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ine\Documents\Claude\Projects\B2B projects\"/>
    </mc:Choice>
  </mc:AlternateContent>
  <xr:revisionPtr revIDLastSave="0" documentId="13_ncr:1_{1186DF1A-47A3-41BB-8E60-A059C56B8B80}" xr6:coauthVersionLast="47" xr6:coauthVersionMax="47" xr10:uidLastSave="{00000000-0000-0000-0000-000000000000}"/>
  <bookViews>
    <workbookView xWindow="7245" yWindow="3450" windowWidth="21555" windowHeight="12030" xr2:uid="{00000000-000D-0000-FFFF-FFFF00000000}"/>
  </bookViews>
  <sheets>
    <sheet name="База КазНИИСА 04.2026" sheetId="1" r:id="rId1"/>
    <sheet name="Список сводный д.сад (копия)" sheetId="3" state="hidden" r:id="rId2"/>
    <sheet name="Подбор" sheetId="4" r:id="rId3"/>
    <sheet name="Лист2" sheetId="5" r:id="rId4"/>
  </sheets>
  <definedNames>
    <definedName name="_xlnm._FilterDatabase" localSheetId="0" hidden="1">'База КазНИИСА 04.2026'!$A$1:$Z$5195</definedName>
    <definedName name="_xlnm._FilterDatabase" localSheetId="3" hidden="1">Лист2!$A$1:$AF$2474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34" i="3" l="1"/>
  <c r="A1234" i="3"/>
  <c r="B1233" i="3"/>
  <c r="A1233" i="3"/>
  <c r="B1232" i="3"/>
  <c r="A1232" i="3"/>
  <c r="B1231" i="3"/>
  <c r="A1231" i="3"/>
  <c r="B1230" i="3"/>
  <c r="A1230" i="3"/>
  <c r="B1229" i="3"/>
  <c r="A1229" i="3"/>
  <c r="B1228" i="3"/>
  <c r="A1228" i="3"/>
  <c r="B1227" i="3"/>
  <c r="A1227" i="3"/>
  <c r="B1226" i="3"/>
  <c r="A1226" i="3"/>
  <c r="B1225" i="3"/>
  <c r="A1225" i="3"/>
  <c r="B1224" i="3"/>
  <c r="A1224" i="3"/>
  <c r="B1223" i="3"/>
  <c r="A1223" i="3"/>
  <c r="B1222" i="3"/>
  <c r="A1222" i="3"/>
  <c r="B1221" i="3"/>
  <c r="A1221" i="3"/>
  <c r="B1220" i="3"/>
  <c r="A1220" i="3"/>
  <c r="B1219" i="3"/>
  <c r="A1219" i="3"/>
  <c r="B1218" i="3"/>
  <c r="A1218" i="3"/>
  <c r="B1217" i="3"/>
  <c r="A1217" i="3"/>
  <c r="B1216" i="3"/>
  <c r="A1216" i="3"/>
  <c r="B1215" i="3"/>
  <c r="A1215" i="3"/>
  <c r="B1214" i="3"/>
  <c r="A1214" i="3"/>
  <c r="B1213" i="3"/>
  <c r="A1213" i="3"/>
  <c r="B1212" i="3"/>
  <c r="A1212" i="3"/>
  <c r="B1211" i="3"/>
  <c r="A1211" i="3"/>
  <c r="B1210" i="3"/>
  <c r="A1210" i="3"/>
  <c r="B1209" i="3"/>
  <c r="A1209" i="3"/>
  <c r="B1208" i="3"/>
  <c r="A1208" i="3"/>
  <c r="B1207" i="3"/>
  <c r="A1207" i="3"/>
  <c r="B1206" i="3"/>
  <c r="A1206" i="3"/>
  <c r="B1205" i="3"/>
  <c r="A1205" i="3"/>
  <c r="B1204" i="3"/>
  <c r="A1204" i="3"/>
  <c r="B1203" i="3"/>
  <c r="A1203" i="3"/>
  <c r="B1202" i="3"/>
  <c r="A1202" i="3"/>
  <c r="B1201" i="3"/>
  <c r="A1201" i="3"/>
  <c r="B1200" i="3"/>
  <c r="A1200" i="3"/>
  <c r="B1199" i="3"/>
  <c r="A1199" i="3"/>
  <c r="B1198" i="3"/>
  <c r="A1198" i="3"/>
  <c r="B1197" i="3"/>
  <c r="A1197" i="3"/>
  <c r="B1196" i="3"/>
  <c r="A1196" i="3"/>
  <c r="B1195" i="3"/>
  <c r="A1195" i="3"/>
  <c r="B1194" i="3"/>
  <c r="A1194" i="3"/>
  <c r="B1193" i="3"/>
  <c r="A1193" i="3"/>
  <c r="B1192" i="3"/>
  <c r="A1192" i="3"/>
  <c r="B1191" i="3"/>
  <c r="A1191" i="3"/>
  <c r="B1190" i="3"/>
  <c r="A1190" i="3"/>
  <c r="B1189" i="3"/>
  <c r="A1189" i="3"/>
  <c r="B1188" i="3"/>
  <c r="A1188" i="3"/>
  <c r="B1187" i="3"/>
  <c r="A1187" i="3"/>
  <c r="B1186" i="3"/>
  <c r="A1186" i="3"/>
  <c r="B1185" i="3"/>
  <c r="A1185" i="3"/>
  <c r="B1184" i="3"/>
  <c r="A1184" i="3"/>
  <c r="B1183" i="3"/>
  <c r="A1183" i="3"/>
  <c r="B1182" i="3"/>
  <c r="A1182" i="3"/>
  <c r="B1181" i="3"/>
  <c r="A1181" i="3"/>
  <c r="B1180" i="3"/>
  <c r="A1180" i="3"/>
  <c r="B1179" i="3"/>
  <c r="A1179" i="3"/>
  <c r="B1178" i="3"/>
  <c r="A1178" i="3"/>
  <c r="B1177" i="3"/>
  <c r="A1177" i="3"/>
  <c r="B1176" i="3"/>
  <c r="A1176" i="3"/>
  <c r="B1175" i="3"/>
  <c r="A1175" i="3"/>
  <c r="B1174" i="3"/>
  <c r="A1174" i="3"/>
  <c r="B1173" i="3"/>
  <c r="A1173" i="3"/>
  <c r="B1172" i="3"/>
  <c r="A1172" i="3"/>
  <c r="B1171" i="3"/>
  <c r="A1171" i="3"/>
  <c r="B1170" i="3"/>
  <c r="A1170" i="3"/>
  <c r="B1169" i="3"/>
  <c r="A1169" i="3"/>
  <c r="B1168" i="3"/>
  <c r="A1168" i="3"/>
  <c r="B1167" i="3"/>
  <c r="A1167" i="3"/>
  <c r="B1166" i="3"/>
  <c r="A1166" i="3"/>
  <c r="B1165" i="3"/>
  <c r="A1165" i="3"/>
  <c r="B1164" i="3"/>
  <c r="A1164" i="3"/>
  <c r="B1163" i="3"/>
  <c r="A1163" i="3"/>
  <c r="B1162" i="3"/>
  <c r="A1162" i="3"/>
  <c r="B1161" i="3"/>
  <c r="A1161" i="3"/>
  <c r="B1160" i="3"/>
  <c r="A1160" i="3"/>
  <c r="B1159" i="3"/>
  <c r="A1159" i="3"/>
  <c r="B1158" i="3"/>
  <c r="A1158" i="3"/>
  <c r="B1157" i="3"/>
  <c r="A1157" i="3"/>
  <c r="B1156" i="3"/>
  <c r="A1156" i="3"/>
  <c r="B1155" i="3"/>
  <c r="A1155" i="3"/>
  <c r="B1154" i="3"/>
  <c r="A1154" i="3"/>
  <c r="B1153" i="3"/>
  <c r="A1153" i="3"/>
  <c r="B1152" i="3"/>
  <c r="A1152" i="3"/>
  <c r="B1151" i="3"/>
  <c r="A1151" i="3"/>
  <c r="B1150" i="3"/>
  <c r="A1150" i="3"/>
  <c r="B1149" i="3"/>
  <c r="A1149" i="3"/>
  <c r="B1148" i="3"/>
  <c r="A1148" i="3"/>
  <c r="B1147" i="3"/>
  <c r="A1147" i="3"/>
  <c r="B1146" i="3"/>
  <c r="A1146" i="3"/>
  <c r="B1145" i="3"/>
  <c r="A1145" i="3"/>
  <c r="B1144" i="3"/>
  <c r="A1144" i="3"/>
  <c r="B1143" i="3"/>
  <c r="A1143" i="3"/>
  <c r="B1142" i="3"/>
  <c r="A1142" i="3"/>
  <c r="B1141" i="3"/>
  <c r="A1141" i="3"/>
  <c r="B1140" i="3"/>
  <c r="A1140" i="3"/>
  <c r="B1139" i="3"/>
  <c r="A1139" i="3"/>
  <c r="B1138" i="3"/>
  <c r="A1138" i="3"/>
  <c r="B1137" i="3"/>
  <c r="A1137" i="3"/>
  <c r="B1136" i="3"/>
  <c r="A1136" i="3"/>
  <c r="B1135" i="3"/>
  <c r="A1135" i="3"/>
  <c r="B1134" i="3"/>
  <c r="A1134" i="3"/>
  <c r="B1133" i="3"/>
  <c r="A1133" i="3"/>
  <c r="B1132" i="3"/>
  <c r="A1132" i="3"/>
  <c r="B1131" i="3"/>
  <c r="A1131" i="3"/>
  <c r="B1130" i="3"/>
  <c r="A1130" i="3"/>
  <c r="B1129" i="3"/>
  <c r="A1129" i="3"/>
  <c r="B1128" i="3"/>
  <c r="A1128" i="3"/>
  <c r="B1127" i="3"/>
  <c r="A1127" i="3"/>
  <c r="B1126" i="3"/>
  <c r="A1126" i="3"/>
  <c r="B1125" i="3"/>
  <c r="A1125" i="3"/>
  <c r="B1124" i="3"/>
  <c r="A1124" i="3"/>
  <c r="B1123" i="3"/>
  <c r="A1123" i="3"/>
  <c r="B1122" i="3"/>
  <c r="A1122" i="3"/>
  <c r="B1121" i="3"/>
  <c r="A1121" i="3"/>
  <c r="B1120" i="3"/>
  <c r="A1120" i="3"/>
  <c r="B1119" i="3"/>
  <c r="A1119" i="3"/>
  <c r="B1118" i="3"/>
  <c r="A1118" i="3"/>
  <c r="B1117" i="3"/>
  <c r="A1117" i="3"/>
  <c r="B1116" i="3"/>
  <c r="A1116" i="3"/>
  <c r="B1115" i="3"/>
  <c r="A1115" i="3"/>
  <c r="B1114" i="3"/>
  <c r="A1114" i="3"/>
  <c r="B1113" i="3"/>
  <c r="A1113" i="3"/>
  <c r="B1112" i="3"/>
  <c r="A1112" i="3"/>
  <c r="B1111" i="3"/>
  <c r="A1111" i="3"/>
  <c r="B1110" i="3"/>
  <c r="A1110" i="3"/>
  <c r="B1109" i="3"/>
  <c r="A1109" i="3"/>
  <c r="B1108" i="3"/>
  <c r="A1108" i="3"/>
  <c r="B1107" i="3"/>
  <c r="A1107" i="3"/>
  <c r="B1106" i="3"/>
  <c r="A1106" i="3"/>
  <c r="B1105" i="3"/>
  <c r="A1105" i="3"/>
  <c r="B1104" i="3"/>
  <c r="A1104" i="3"/>
  <c r="B1103" i="3"/>
  <c r="A1103" i="3"/>
  <c r="B1102" i="3"/>
  <c r="A1102" i="3"/>
  <c r="B1101" i="3"/>
  <c r="A1101" i="3"/>
  <c r="B1100" i="3"/>
  <c r="A1100" i="3"/>
  <c r="B1099" i="3"/>
  <c r="A1099" i="3"/>
  <c r="B1098" i="3"/>
  <c r="A1098" i="3"/>
  <c r="B1097" i="3"/>
  <c r="A1097" i="3"/>
  <c r="B1096" i="3"/>
  <c r="A1096" i="3"/>
  <c r="B1095" i="3"/>
  <c r="A1095" i="3"/>
  <c r="B1094" i="3"/>
  <c r="A1094" i="3"/>
  <c r="B1093" i="3"/>
  <c r="A1093" i="3"/>
  <c r="B1092" i="3"/>
  <c r="A1092" i="3"/>
  <c r="B1091" i="3"/>
  <c r="A1091" i="3"/>
  <c r="B1090" i="3"/>
  <c r="A1090" i="3"/>
  <c r="B1089" i="3"/>
  <c r="A1089" i="3"/>
  <c r="B1088" i="3"/>
  <c r="A1088" i="3"/>
  <c r="B1087" i="3"/>
  <c r="A1087" i="3"/>
  <c r="B1086" i="3"/>
  <c r="A1086" i="3"/>
  <c r="B1085" i="3"/>
  <c r="A1085" i="3"/>
  <c r="B1084" i="3"/>
  <c r="A1084" i="3"/>
  <c r="B1083" i="3"/>
  <c r="A1083" i="3"/>
  <c r="B1082" i="3"/>
  <c r="A1082" i="3"/>
  <c r="B1081" i="3"/>
  <c r="A1081" i="3"/>
  <c r="B1080" i="3"/>
  <c r="A1080" i="3"/>
  <c r="B1079" i="3"/>
  <c r="A1079" i="3"/>
  <c r="B1078" i="3"/>
  <c r="A1078" i="3"/>
  <c r="B1077" i="3"/>
  <c r="A1077" i="3"/>
  <c r="B1076" i="3"/>
  <c r="A1076" i="3"/>
  <c r="B1075" i="3"/>
  <c r="A1075" i="3"/>
  <c r="B1074" i="3"/>
  <c r="A1074" i="3"/>
  <c r="B1073" i="3"/>
  <c r="A1073" i="3"/>
  <c r="B1072" i="3"/>
  <c r="A1072" i="3"/>
  <c r="B1071" i="3"/>
  <c r="A1071" i="3"/>
  <c r="B1070" i="3"/>
  <c r="A1070" i="3"/>
  <c r="B1069" i="3"/>
  <c r="A1069" i="3"/>
  <c r="B1068" i="3"/>
  <c r="A1068" i="3"/>
  <c r="B1067" i="3"/>
  <c r="A1067" i="3"/>
  <c r="B1066" i="3"/>
  <c r="A1066" i="3"/>
  <c r="B1065" i="3"/>
  <c r="A1065" i="3"/>
  <c r="B1064" i="3"/>
  <c r="A1064" i="3"/>
  <c r="B1063" i="3"/>
  <c r="A1063" i="3"/>
  <c r="B1062" i="3"/>
  <c r="A1062" i="3"/>
  <c r="B1061" i="3"/>
  <c r="A1061" i="3"/>
  <c r="B1060" i="3"/>
  <c r="A1060" i="3"/>
  <c r="B1059" i="3"/>
  <c r="A1059" i="3"/>
  <c r="B1058" i="3"/>
  <c r="A1058" i="3"/>
  <c r="B1057" i="3"/>
  <c r="A1057" i="3"/>
  <c r="B1056" i="3"/>
  <c r="A1056" i="3"/>
  <c r="B1055" i="3"/>
  <c r="A1055" i="3"/>
  <c r="B1054" i="3"/>
  <c r="A1054" i="3"/>
  <c r="B1053" i="3"/>
  <c r="A1053" i="3"/>
  <c r="B1052" i="3"/>
  <c r="A1052" i="3"/>
  <c r="B1051" i="3"/>
  <c r="A1051" i="3"/>
  <c r="B1050" i="3"/>
  <c r="A1050" i="3"/>
  <c r="B1049" i="3"/>
  <c r="A1049" i="3"/>
  <c r="B1048" i="3"/>
  <c r="A1048" i="3"/>
  <c r="B1047" i="3"/>
  <c r="A1047" i="3"/>
  <c r="B1046" i="3"/>
  <c r="A1046" i="3"/>
  <c r="B1045" i="3"/>
  <c r="A1045" i="3"/>
  <c r="B1044" i="3"/>
  <c r="A1044" i="3"/>
  <c r="B1043" i="3"/>
  <c r="A1043" i="3"/>
  <c r="B1042" i="3"/>
  <c r="A1042" i="3"/>
  <c r="B1041" i="3"/>
  <c r="A1041" i="3"/>
  <c r="B1040" i="3"/>
  <c r="A1040" i="3"/>
  <c r="B1039" i="3"/>
  <c r="A1039" i="3"/>
  <c r="B1038" i="3"/>
  <c r="A1038" i="3"/>
  <c r="B1037" i="3"/>
  <c r="A1037" i="3"/>
  <c r="B1036" i="3"/>
  <c r="A1036" i="3"/>
  <c r="B1035" i="3"/>
  <c r="A1035" i="3"/>
  <c r="B1034" i="3"/>
  <c r="A1034" i="3"/>
  <c r="B1033" i="3"/>
  <c r="A1033" i="3"/>
  <c r="B1032" i="3"/>
  <c r="A1032" i="3"/>
  <c r="B1031" i="3"/>
  <c r="A1031" i="3"/>
  <c r="B1030" i="3"/>
  <c r="A1030" i="3"/>
  <c r="B1029" i="3"/>
  <c r="A1029" i="3"/>
  <c r="B1028" i="3"/>
  <c r="A1028" i="3"/>
  <c r="B1027" i="3"/>
  <c r="A1027" i="3"/>
  <c r="B1026" i="3"/>
  <c r="A1026" i="3"/>
  <c r="B1025" i="3"/>
  <c r="A1025" i="3"/>
  <c r="B1024" i="3"/>
  <c r="A1024" i="3"/>
  <c r="B1023" i="3"/>
  <c r="A1023" i="3"/>
  <c r="B1022" i="3"/>
  <c r="A1022" i="3"/>
  <c r="B1021" i="3"/>
  <c r="A1021" i="3"/>
  <c r="B1020" i="3"/>
  <c r="A1020" i="3"/>
  <c r="B1019" i="3"/>
  <c r="A1019" i="3"/>
  <c r="B1018" i="3"/>
  <c r="A1018" i="3"/>
  <c r="B1017" i="3"/>
  <c r="A1017" i="3"/>
  <c r="B1016" i="3"/>
  <c r="A1016" i="3"/>
  <c r="B1015" i="3"/>
  <c r="A1015" i="3"/>
  <c r="B1014" i="3"/>
  <c r="A1014" i="3"/>
  <c r="B1013" i="3"/>
  <c r="A1013" i="3"/>
  <c r="B1012" i="3"/>
  <c r="A1012" i="3"/>
  <c r="B1011" i="3"/>
  <c r="A1011" i="3"/>
  <c r="B1010" i="3"/>
  <c r="A1010" i="3"/>
  <c r="B1009" i="3"/>
  <c r="A1009" i="3"/>
  <c r="B1008" i="3"/>
  <c r="A1008" i="3"/>
  <c r="B1007" i="3"/>
  <c r="A1007" i="3"/>
  <c r="B1006" i="3"/>
  <c r="A1006" i="3"/>
  <c r="B1005" i="3"/>
  <c r="A1005" i="3"/>
  <c r="B1004" i="3"/>
  <c r="A1004" i="3"/>
  <c r="B1003" i="3"/>
  <c r="A1003" i="3"/>
  <c r="B1002" i="3"/>
  <c r="A1002" i="3"/>
  <c r="B1001" i="3"/>
  <c r="A1001" i="3"/>
  <c r="B1000" i="3"/>
  <c r="A1000" i="3"/>
  <c r="B999" i="3"/>
  <c r="A999" i="3"/>
  <c r="B998" i="3"/>
  <c r="A998" i="3"/>
  <c r="B997" i="3"/>
  <c r="A997" i="3"/>
  <c r="B996" i="3"/>
  <c r="A996" i="3"/>
  <c r="B995" i="3"/>
  <c r="A995" i="3"/>
  <c r="B994" i="3"/>
  <c r="A994" i="3"/>
  <c r="B993" i="3"/>
  <c r="A993" i="3"/>
  <c r="B992" i="3"/>
  <c r="A992" i="3"/>
  <c r="B991" i="3"/>
  <c r="A991" i="3"/>
  <c r="B990" i="3"/>
  <c r="A990" i="3"/>
  <c r="B989" i="3"/>
  <c r="A989" i="3"/>
  <c r="B988" i="3"/>
  <c r="A988" i="3"/>
  <c r="B987" i="3"/>
  <c r="A987" i="3"/>
  <c r="B986" i="3"/>
  <c r="A986" i="3"/>
  <c r="B985" i="3"/>
  <c r="A985" i="3"/>
  <c r="B984" i="3"/>
  <c r="A984" i="3"/>
  <c r="B983" i="3"/>
  <c r="A983" i="3"/>
  <c r="B982" i="3"/>
  <c r="A982" i="3"/>
  <c r="B981" i="3"/>
  <c r="A981" i="3"/>
  <c r="B980" i="3"/>
  <c r="A980" i="3"/>
  <c r="B979" i="3"/>
  <c r="A979" i="3"/>
  <c r="B978" i="3"/>
  <c r="A978" i="3"/>
  <c r="B977" i="3"/>
  <c r="A977" i="3"/>
  <c r="B976" i="3"/>
  <c r="A976" i="3"/>
  <c r="B975" i="3"/>
  <c r="A975" i="3"/>
  <c r="B974" i="3"/>
  <c r="A974" i="3"/>
  <c r="B973" i="3"/>
  <c r="A973" i="3"/>
  <c r="B972" i="3"/>
  <c r="A972" i="3"/>
  <c r="B971" i="3"/>
  <c r="A971" i="3"/>
  <c r="B970" i="3"/>
  <c r="A970" i="3"/>
  <c r="B969" i="3"/>
  <c r="A969" i="3"/>
  <c r="B968" i="3"/>
  <c r="A968" i="3"/>
  <c r="B967" i="3"/>
  <c r="A967" i="3"/>
  <c r="B966" i="3"/>
  <c r="A966" i="3"/>
  <c r="B965" i="3"/>
  <c r="A965" i="3"/>
  <c r="B964" i="3"/>
  <c r="A964" i="3"/>
  <c r="B963" i="3"/>
  <c r="A963" i="3"/>
  <c r="B962" i="3"/>
  <c r="A962" i="3"/>
  <c r="B961" i="3"/>
  <c r="A961" i="3"/>
  <c r="B960" i="3"/>
  <c r="A960" i="3"/>
  <c r="B959" i="3"/>
  <c r="A959" i="3"/>
  <c r="B958" i="3"/>
  <c r="A958" i="3"/>
  <c r="B957" i="3"/>
  <c r="A957" i="3"/>
  <c r="B956" i="3"/>
  <c r="A956" i="3"/>
  <c r="B955" i="3"/>
  <c r="A955" i="3"/>
  <c r="B954" i="3"/>
  <c r="A954" i="3"/>
  <c r="B953" i="3"/>
  <c r="A953" i="3"/>
  <c r="B952" i="3"/>
  <c r="A952" i="3"/>
  <c r="B951" i="3"/>
  <c r="A951" i="3"/>
  <c r="B950" i="3"/>
  <c r="A950" i="3"/>
  <c r="B949" i="3"/>
  <c r="A949" i="3"/>
  <c r="B948" i="3"/>
  <c r="A948" i="3"/>
  <c r="B947" i="3"/>
  <c r="A947" i="3"/>
  <c r="B946" i="3"/>
  <c r="A946" i="3"/>
  <c r="B945" i="3"/>
  <c r="A945" i="3"/>
  <c r="B944" i="3"/>
  <c r="A944" i="3"/>
  <c r="B943" i="3"/>
  <c r="A943" i="3"/>
  <c r="B942" i="3"/>
  <c r="A942" i="3"/>
  <c r="B941" i="3"/>
  <c r="A941" i="3"/>
  <c r="B940" i="3"/>
  <c r="A940" i="3"/>
  <c r="B939" i="3"/>
  <c r="A939" i="3"/>
  <c r="B938" i="3"/>
  <c r="A938" i="3"/>
  <c r="B937" i="3"/>
  <c r="A937" i="3"/>
  <c r="B936" i="3"/>
  <c r="A936" i="3"/>
  <c r="B935" i="3"/>
  <c r="A935" i="3"/>
  <c r="B934" i="3"/>
  <c r="A934" i="3"/>
  <c r="B933" i="3"/>
  <c r="A933" i="3"/>
  <c r="B932" i="3"/>
  <c r="A932" i="3"/>
  <c r="B931" i="3"/>
  <c r="A931" i="3"/>
  <c r="B930" i="3"/>
  <c r="A930" i="3"/>
  <c r="B929" i="3"/>
  <c r="A929" i="3"/>
  <c r="B928" i="3"/>
  <c r="A928" i="3"/>
  <c r="B927" i="3"/>
  <c r="A927" i="3"/>
  <c r="B926" i="3"/>
  <c r="A926" i="3"/>
  <c r="B925" i="3"/>
  <c r="A925" i="3"/>
  <c r="B924" i="3"/>
  <c r="A924" i="3"/>
  <c r="B923" i="3"/>
  <c r="A923" i="3"/>
  <c r="B922" i="3"/>
  <c r="A922" i="3"/>
  <c r="B921" i="3"/>
  <c r="A921" i="3"/>
  <c r="B920" i="3"/>
  <c r="A920" i="3"/>
  <c r="B919" i="3"/>
  <c r="A919" i="3"/>
  <c r="B918" i="3"/>
  <c r="A918" i="3"/>
  <c r="B917" i="3"/>
  <c r="A917" i="3"/>
  <c r="B916" i="3"/>
  <c r="A916" i="3"/>
  <c r="B915" i="3"/>
  <c r="A915" i="3"/>
  <c r="B914" i="3"/>
  <c r="A914" i="3"/>
  <c r="B913" i="3"/>
  <c r="A913" i="3"/>
  <c r="B912" i="3"/>
  <c r="A912" i="3"/>
  <c r="B911" i="3"/>
  <c r="A911" i="3"/>
  <c r="B910" i="3"/>
  <c r="A910" i="3"/>
  <c r="B909" i="3"/>
  <c r="A909" i="3"/>
  <c r="B908" i="3"/>
  <c r="A908" i="3"/>
  <c r="B907" i="3"/>
  <c r="A907" i="3"/>
  <c r="B906" i="3"/>
  <c r="A906" i="3"/>
  <c r="B905" i="3"/>
  <c r="A905" i="3"/>
  <c r="B904" i="3"/>
  <c r="A904" i="3"/>
  <c r="B903" i="3"/>
  <c r="A903" i="3"/>
  <c r="B902" i="3"/>
  <c r="A902" i="3"/>
  <c r="B901" i="3"/>
  <c r="A901" i="3"/>
  <c r="B900" i="3"/>
  <c r="A900" i="3"/>
  <c r="B899" i="3"/>
  <c r="A899" i="3"/>
  <c r="B898" i="3"/>
  <c r="A898" i="3"/>
  <c r="B897" i="3"/>
  <c r="A897" i="3"/>
  <c r="B896" i="3"/>
  <c r="A896" i="3"/>
  <c r="B895" i="3"/>
  <c r="A895" i="3"/>
  <c r="B894" i="3"/>
  <c r="A894" i="3"/>
  <c r="B893" i="3"/>
  <c r="A893" i="3"/>
  <c r="B892" i="3"/>
  <c r="A892" i="3"/>
  <c r="B891" i="3"/>
  <c r="A891" i="3"/>
  <c r="B890" i="3"/>
  <c r="A890" i="3"/>
  <c r="B889" i="3"/>
  <c r="A889" i="3"/>
  <c r="B888" i="3"/>
  <c r="A888" i="3"/>
  <c r="B887" i="3"/>
  <c r="A887" i="3"/>
  <c r="B886" i="3"/>
  <c r="A886" i="3"/>
  <c r="B885" i="3"/>
  <c r="A885" i="3"/>
  <c r="B884" i="3"/>
  <c r="A884" i="3"/>
  <c r="B883" i="3"/>
  <c r="A883" i="3"/>
  <c r="B882" i="3"/>
  <c r="A882" i="3"/>
  <c r="B881" i="3"/>
  <c r="A881" i="3"/>
  <c r="B880" i="3"/>
  <c r="A880" i="3"/>
  <c r="B879" i="3"/>
  <c r="A879" i="3"/>
  <c r="B878" i="3"/>
  <c r="A878" i="3"/>
  <c r="B877" i="3"/>
  <c r="A877" i="3"/>
  <c r="B876" i="3"/>
  <c r="A876" i="3"/>
  <c r="B875" i="3"/>
  <c r="A875" i="3"/>
  <c r="B874" i="3"/>
  <c r="A874" i="3"/>
  <c r="B873" i="3"/>
  <c r="A873" i="3"/>
  <c r="B872" i="3"/>
  <c r="A872" i="3"/>
  <c r="B871" i="3"/>
  <c r="A871" i="3"/>
  <c r="B870" i="3"/>
  <c r="A870" i="3"/>
  <c r="B869" i="3"/>
  <c r="A869" i="3"/>
  <c r="B868" i="3"/>
  <c r="A868" i="3"/>
  <c r="B867" i="3"/>
  <c r="A867" i="3"/>
  <c r="B866" i="3"/>
  <c r="A866" i="3"/>
  <c r="B865" i="3"/>
  <c r="A865" i="3"/>
  <c r="B864" i="3"/>
  <c r="A864" i="3"/>
  <c r="B863" i="3"/>
  <c r="A863" i="3"/>
  <c r="B862" i="3"/>
  <c r="A862" i="3"/>
  <c r="B861" i="3"/>
  <c r="A861" i="3"/>
  <c r="B860" i="3"/>
  <c r="A860" i="3"/>
  <c r="B859" i="3"/>
  <c r="A859" i="3"/>
  <c r="B858" i="3"/>
  <c r="A858" i="3"/>
  <c r="B857" i="3"/>
  <c r="A857" i="3"/>
  <c r="B856" i="3"/>
  <c r="A856" i="3"/>
  <c r="B855" i="3"/>
  <c r="A855" i="3"/>
  <c r="B854" i="3"/>
  <c r="A854" i="3"/>
  <c r="B853" i="3"/>
  <c r="A853" i="3"/>
  <c r="B852" i="3"/>
  <c r="A852" i="3"/>
  <c r="B851" i="3"/>
  <c r="A851" i="3"/>
  <c r="B850" i="3"/>
  <c r="A850" i="3"/>
  <c r="B849" i="3"/>
  <c r="A849" i="3"/>
  <c r="B848" i="3"/>
  <c r="A848" i="3"/>
  <c r="B847" i="3"/>
  <c r="A847" i="3"/>
  <c r="B846" i="3"/>
  <c r="A846" i="3"/>
  <c r="B845" i="3"/>
  <c r="A845" i="3"/>
  <c r="B844" i="3"/>
  <c r="A844" i="3"/>
  <c r="B843" i="3"/>
  <c r="A843" i="3"/>
  <c r="B842" i="3"/>
  <c r="A842" i="3"/>
  <c r="B841" i="3"/>
  <c r="A841" i="3"/>
  <c r="B840" i="3"/>
  <c r="A840" i="3"/>
  <c r="B839" i="3"/>
  <c r="A839" i="3"/>
  <c r="B838" i="3"/>
  <c r="A838" i="3"/>
  <c r="B837" i="3"/>
  <c r="A837" i="3"/>
  <c r="B836" i="3"/>
  <c r="A836" i="3"/>
  <c r="B835" i="3"/>
  <c r="A835" i="3"/>
  <c r="B834" i="3"/>
  <c r="A834" i="3"/>
  <c r="B833" i="3"/>
  <c r="A833" i="3"/>
  <c r="B832" i="3"/>
  <c r="A832" i="3"/>
  <c r="B831" i="3"/>
  <c r="A831" i="3"/>
  <c r="B830" i="3"/>
  <c r="A830" i="3"/>
  <c r="B829" i="3"/>
  <c r="A829" i="3"/>
  <c r="B828" i="3"/>
  <c r="A828" i="3"/>
  <c r="B827" i="3"/>
  <c r="A827" i="3"/>
  <c r="B826" i="3"/>
  <c r="A826" i="3"/>
  <c r="B825" i="3"/>
  <c r="A825" i="3"/>
  <c r="B824" i="3"/>
  <c r="A824" i="3"/>
  <c r="B823" i="3"/>
  <c r="A823" i="3"/>
  <c r="B822" i="3"/>
  <c r="A822" i="3"/>
  <c r="B821" i="3"/>
  <c r="A821" i="3"/>
  <c r="B820" i="3"/>
  <c r="A820" i="3"/>
  <c r="B819" i="3"/>
  <c r="A819" i="3"/>
  <c r="B818" i="3"/>
  <c r="A818" i="3"/>
  <c r="B817" i="3"/>
  <c r="A817" i="3"/>
  <c r="B816" i="3"/>
  <c r="A816" i="3"/>
  <c r="B815" i="3"/>
  <c r="A815" i="3"/>
  <c r="B814" i="3"/>
  <c r="A814" i="3"/>
  <c r="B813" i="3"/>
  <c r="A813" i="3"/>
  <c r="B812" i="3"/>
  <c r="A812" i="3"/>
  <c r="B811" i="3"/>
  <c r="A811" i="3"/>
  <c r="B810" i="3"/>
  <c r="A810" i="3"/>
  <c r="B809" i="3"/>
  <c r="A809" i="3"/>
  <c r="B808" i="3"/>
  <c r="A808" i="3"/>
  <c r="B807" i="3"/>
  <c r="A807" i="3"/>
  <c r="B806" i="3"/>
  <c r="A806" i="3"/>
  <c r="B805" i="3"/>
  <c r="A805" i="3"/>
  <c r="B804" i="3"/>
  <c r="A804" i="3"/>
  <c r="B803" i="3"/>
  <c r="A803" i="3"/>
  <c r="B802" i="3"/>
  <c r="A802" i="3"/>
  <c r="B801" i="3"/>
  <c r="A801" i="3"/>
  <c r="B800" i="3"/>
  <c r="A800" i="3"/>
  <c r="B799" i="3"/>
  <c r="A799" i="3"/>
  <c r="B798" i="3"/>
  <c r="A798" i="3"/>
  <c r="B797" i="3"/>
  <c r="A797" i="3"/>
  <c r="B796" i="3"/>
  <c r="A796" i="3"/>
  <c r="B795" i="3"/>
  <c r="A795" i="3"/>
  <c r="B794" i="3"/>
  <c r="A794" i="3"/>
  <c r="B793" i="3"/>
  <c r="A793" i="3"/>
  <c r="B792" i="3"/>
  <c r="A792" i="3"/>
  <c r="B791" i="3"/>
  <c r="A791" i="3"/>
  <c r="B790" i="3"/>
  <c r="A790" i="3"/>
  <c r="B789" i="3"/>
  <c r="A789" i="3"/>
  <c r="B788" i="3"/>
  <c r="A788" i="3"/>
  <c r="B787" i="3"/>
  <c r="A787" i="3"/>
  <c r="B786" i="3"/>
  <c r="A786" i="3"/>
  <c r="B785" i="3"/>
  <c r="A785" i="3"/>
  <c r="B784" i="3"/>
  <c r="A784" i="3"/>
  <c r="B783" i="3"/>
  <c r="A783" i="3"/>
  <c r="B782" i="3"/>
  <c r="A782" i="3"/>
  <c r="B781" i="3"/>
  <c r="A781" i="3"/>
  <c r="B780" i="3"/>
  <c r="A780" i="3"/>
  <c r="B779" i="3"/>
  <c r="A779" i="3"/>
  <c r="B778" i="3"/>
  <c r="A778" i="3"/>
  <c r="B777" i="3"/>
  <c r="A777" i="3"/>
  <c r="B776" i="3"/>
  <c r="A776" i="3"/>
  <c r="B775" i="3"/>
  <c r="A775" i="3"/>
  <c r="B774" i="3"/>
  <c r="A774" i="3"/>
  <c r="B773" i="3"/>
  <c r="A773" i="3"/>
  <c r="B772" i="3"/>
  <c r="A772" i="3"/>
  <c r="B771" i="3"/>
  <c r="A771" i="3"/>
  <c r="B770" i="3"/>
  <c r="A770" i="3"/>
  <c r="B769" i="3"/>
  <c r="A769" i="3"/>
  <c r="B768" i="3"/>
  <c r="A768" i="3"/>
  <c r="B767" i="3"/>
  <c r="A767" i="3"/>
  <c r="B766" i="3"/>
  <c r="A766" i="3"/>
  <c r="B765" i="3"/>
  <c r="A765" i="3"/>
  <c r="B764" i="3"/>
  <c r="A764" i="3"/>
  <c r="B763" i="3"/>
  <c r="A763" i="3"/>
  <c r="B762" i="3"/>
  <c r="A762" i="3"/>
  <c r="B761" i="3"/>
  <c r="A761" i="3"/>
  <c r="B760" i="3"/>
  <c r="A760" i="3"/>
  <c r="B759" i="3"/>
  <c r="A759" i="3"/>
  <c r="B758" i="3"/>
  <c r="A758" i="3"/>
  <c r="B757" i="3"/>
  <c r="A757" i="3"/>
  <c r="B756" i="3"/>
  <c r="A756" i="3"/>
  <c r="B755" i="3"/>
  <c r="A755" i="3"/>
  <c r="B754" i="3"/>
  <c r="A754" i="3"/>
  <c r="B753" i="3"/>
  <c r="A753" i="3"/>
  <c r="B752" i="3"/>
  <c r="A752" i="3"/>
  <c r="B751" i="3"/>
  <c r="A751" i="3"/>
  <c r="B750" i="3"/>
  <c r="A750" i="3"/>
  <c r="B749" i="3"/>
  <c r="A749" i="3"/>
  <c r="B748" i="3"/>
  <c r="A748" i="3"/>
  <c r="B747" i="3"/>
  <c r="A747" i="3"/>
  <c r="B746" i="3"/>
  <c r="A746" i="3"/>
  <c r="B745" i="3"/>
  <c r="A745" i="3"/>
  <c r="B744" i="3"/>
  <c r="A744" i="3"/>
  <c r="B743" i="3"/>
  <c r="A743" i="3"/>
  <c r="B742" i="3"/>
  <c r="A742" i="3"/>
  <c r="B741" i="3"/>
  <c r="A741" i="3"/>
  <c r="B740" i="3"/>
  <c r="A740" i="3"/>
  <c r="B739" i="3"/>
  <c r="A739" i="3"/>
  <c r="B738" i="3"/>
  <c r="A738" i="3"/>
  <c r="B737" i="3"/>
  <c r="A737" i="3"/>
  <c r="B736" i="3"/>
  <c r="A736" i="3"/>
  <c r="B735" i="3"/>
  <c r="A735" i="3"/>
  <c r="B734" i="3"/>
  <c r="A734" i="3"/>
  <c r="B733" i="3"/>
  <c r="A733" i="3"/>
  <c r="B732" i="3"/>
  <c r="A732" i="3"/>
  <c r="B731" i="3"/>
  <c r="A731" i="3"/>
  <c r="B730" i="3"/>
  <c r="A730" i="3"/>
  <c r="B729" i="3"/>
  <c r="A729" i="3"/>
  <c r="B728" i="3"/>
  <c r="A728" i="3"/>
  <c r="B727" i="3"/>
  <c r="A727" i="3"/>
  <c r="B726" i="3"/>
  <c r="A726" i="3"/>
  <c r="B725" i="3"/>
  <c r="A725" i="3"/>
  <c r="B724" i="3"/>
  <c r="A724" i="3"/>
  <c r="B723" i="3"/>
  <c r="A723" i="3"/>
  <c r="B722" i="3"/>
  <c r="A722" i="3"/>
  <c r="B721" i="3"/>
  <c r="A721" i="3"/>
  <c r="B720" i="3"/>
  <c r="A720" i="3"/>
  <c r="B719" i="3"/>
  <c r="A719" i="3"/>
  <c r="B718" i="3"/>
  <c r="A718" i="3"/>
  <c r="B717" i="3"/>
  <c r="A717" i="3"/>
  <c r="B716" i="3"/>
  <c r="A716" i="3"/>
  <c r="B715" i="3"/>
  <c r="A715" i="3"/>
  <c r="B714" i="3"/>
  <c r="A714" i="3"/>
  <c r="B713" i="3"/>
  <c r="A713" i="3"/>
  <c r="B712" i="3"/>
  <c r="A712" i="3"/>
  <c r="B711" i="3"/>
  <c r="A711" i="3"/>
  <c r="B710" i="3"/>
  <c r="A710" i="3"/>
  <c r="B709" i="3"/>
  <c r="A709" i="3"/>
  <c r="B708" i="3"/>
  <c r="A708" i="3"/>
  <c r="B707" i="3"/>
  <c r="A707" i="3"/>
  <c r="B706" i="3"/>
  <c r="A706" i="3"/>
  <c r="B705" i="3"/>
  <c r="A705" i="3"/>
  <c r="B704" i="3"/>
  <c r="A704" i="3"/>
  <c r="B703" i="3"/>
  <c r="A703" i="3"/>
  <c r="B702" i="3"/>
  <c r="A702" i="3"/>
  <c r="B701" i="3"/>
  <c r="A701" i="3"/>
  <c r="B700" i="3"/>
  <c r="A700" i="3"/>
  <c r="B699" i="3"/>
  <c r="A699" i="3"/>
  <c r="B698" i="3"/>
  <c r="A698" i="3"/>
  <c r="B697" i="3"/>
  <c r="A697" i="3"/>
  <c r="B696" i="3"/>
  <c r="A696" i="3"/>
  <c r="B695" i="3"/>
  <c r="A695" i="3"/>
  <c r="B694" i="3"/>
  <c r="A694" i="3"/>
  <c r="B693" i="3"/>
  <c r="A693" i="3"/>
  <c r="B692" i="3"/>
  <c r="A692" i="3"/>
  <c r="B691" i="3"/>
  <c r="A691" i="3"/>
  <c r="B690" i="3"/>
  <c r="A690" i="3"/>
  <c r="B689" i="3"/>
  <c r="A689" i="3"/>
  <c r="B688" i="3"/>
  <c r="A688" i="3"/>
  <c r="B687" i="3"/>
  <c r="A687" i="3"/>
  <c r="B686" i="3"/>
  <c r="A686" i="3"/>
  <c r="B685" i="3"/>
  <c r="A685" i="3"/>
  <c r="B684" i="3"/>
  <c r="A684" i="3"/>
  <c r="B683" i="3"/>
  <c r="A683" i="3"/>
  <c r="B682" i="3"/>
  <c r="A682" i="3"/>
  <c r="B681" i="3"/>
  <c r="A681" i="3"/>
  <c r="B680" i="3"/>
  <c r="A680" i="3"/>
  <c r="B679" i="3"/>
  <c r="A679" i="3"/>
  <c r="B678" i="3"/>
  <c r="A678" i="3"/>
  <c r="B677" i="3"/>
  <c r="A677" i="3"/>
  <c r="B676" i="3"/>
  <c r="A676" i="3"/>
  <c r="B675" i="3"/>
  <c r="A675" i="3"/>
  <c r="B674" i="3"/>
  <c r="A674" i="3"/>
  <c r="B673" i="3"/>
  <c r="A673" i="3"/>
  <c r="B672" i="3"/>
  <c r="A672" i="3"/>
  <c r="B671" i="3"/>
  <c r="A671" i="3"/>
  <c r="B670" i="3"/>
  <c r="A670" i="3"/>
  <c r="B669" i="3"/>
  <c r="A669" i="3"/>
  <c r="B668" i="3"/>
  <c r="A668" i="3"/>
  <c r="B667" i="3"/>
  <c r="A667" i="3"/>
  <c r="B666" i="3"/>
  <c r="A666" i="3"/>
  <c r="B665" i="3"/>
  <c r="A665" i="3"/>
  <c r="B664" i="3"/>
  <c r="A664" i="3"/>
  <c r="B663" i="3"/>
  <c r="A663" i="3"/>
  <c r="B662" i="3"/>
  <c r="A662" i="3"/>
  <c r="B661" i="3"/>
  <c r="A661" i="3"/>
  <c r="B660" i="3"/>
  <c r="A660" i="3"/>
  <c r="B659" i="3"/>
  <c r="A659" i="3"/>
  <c r="B658" i="3"/>
  <c r="A658" i="3"/>
  <c r="B657" i="3"/>
  <c r="A657" i="3"/>
  <c r="B656" i="3"/>
  <c r="A656" i="3"/>
  <c r="B655" i="3"/>
  <c r="A655" i="3"/>
  <c r="B654" i="3"/>
  <c r="A654" i="3"/>
  <c r="B653" i="3"/>
  <c r="A653" i="3"/>
  <c r="B652" i="3"/>
  <c r="A652" i="3"/>
  <c r="B651" i="3"/>
  <c r="A651" i="3"/>
  <c r="B650" i="3"/>
  <c r="A650" i="3"/>
  <c r="B649" i="3"/>
  <c r="A649" i="3"/>
  <c r="B648" i="3"/>
  <c r="A648" i="3"/>
  <c r="B647" i="3"/>
  <c r="A647" i="3"/>
  <c r="B646" i="3"/>
  <c r="A646" i="3"/>
  <c r="B645" i="3"/>
  <c r="A645" i="3"/>
  <c r="B644" i="3"/>
  <c r="A644" i="3"/>
  <c r="B643" i="3"/>
  <c r="A643" i="3"/>
  <c r="B642" i="3"/>
  <c r="A642" i="3"/>
  <c r="B641" i="3"/>
  <c r="A641" i="3"/>
  <c r="B640" i="3"/>
  <c r="A640" i="3"/>
  <c r="B639" i="3"/>
  <c r="A639" i="3"/>
  <c r="B638" i="3"/>
  <c r="A638" i="3"/>
  <c r="B637" i="3"/>
  <c r="A637" i="3"/>
  <c r="B636" i="3"/>
  <c r="A636" i="3"/>
  <c r="B635" i="3"/>
  <c r="A635" i="3"/>
  <c r="B634" i="3"/>
  <c r="A634" i="3"/>
  <c r="B633" i="3"/>
  <c r="A633" i="3"/>
  <c r="B632" i="3"/>
  <c r="A632" i="3"/>
  <c r="B631" i="3"/>
  <c r="A631" i="3"/>
  <c r="B630" i="3"/>
  <c r="A630" i="3"/>
  <c r="B629" i="3"/>
  <c r="A629" i="3"/>
  <c r="B628" i="3"/>
  <c r="A628" i="3"/>
  <c r="B627" i="3"/>
  <c r="A627" i="3"/>
  <c r="B626" i="3"/>
  <c r="A626" i="3"/>
  <c r="B625" i="3"/>
  <c r="A625" i="3"/>
  <c r="B624" i="3"/>
  <c r="A624" i="3"/>
  <c r="B623" i="3"/>
  <c r="A623" i="3"/>
  <c r="B622" i="3"/>
  <c r="A622" i="3"/>
  <c r="B621" i="3"/>
  <c r="A621" i="3"/>
  <c r="B620" i="3"/>
  <c r="A620" i="3"/>
  <c r="B619" i="3"/>
  <c r="A619" i="3"/>
  <c r="B618" i="3"/>
  <c r="A618" i="3"/>
  <c r="B617" i="3"/>
  <c r="A617" i="3"/>
  <c r="B616" i="3"/>
  <c r="A616" i="3"/>
  <c r="B615" i="3"/>
  <c r="A615" i="3"/>
  <c r="B614" i="3"/>
  <c r="A614" i="3"/>
  <c r="B613" i="3"/>
  <c r="A613" i="3"/>
  <c r="B612" i="3"/>
  <c r="A612" i="3"/>
  <c r="B611" i="3"/>
  <c r="A611" i="3"/>
  <c r="B610" i="3"/>
  <c r="A610" i="3"/>
  <c r="B609" i="3"/>
  <c r="A609" i="3"/>
  <c r="B608" i="3"/>
  <c r="A608" i="3"/>
  <c r="B607" i="3"/>
  <c r="A607" i="3"/>
  <c r="B606" i="3"/>
  <c r="A606" i="3"/>
  <c r="B605" i="3"/>
  <c r="A605" i="3"/>
  <c r="B604" i="3"/>
  <c r="A604" i="3"/>
  <c r="B603" i="3"/>
  <c r="A603" i="3"/>
  <c r="B602" i="3"/>
  <c r="A602" i="3"/>
  <c r="B601" i="3"/>
  <c r="A601" i="3"/>
  <c r="B600" i="3"/>
  <c r="A600" i="3"/>
  <c r="B599" i="3"/>
  <c r="A599" i="3"/>
  <c r="B598" i="3"/>
  <c r="A598" i="3"/>
  <c r="B597" i="3"/>
  <c r="A597" i="3"/>
  <c r="B596" i="3"/>
  <c r="A596" i="3"/>
  <c r="B595" i="3"/>
  <c r="A595" i="3"/>
  <c r="B594" i="3"/>
  <c r="A594" i="3"/>
  <c r="B593" i="3"/>
  <c r="A593" i="3"/>
  <c r="B592" i="3"/>
  <c r="A592" i="3"/>
  <c r="B591" i="3"/>
  <c r="A591" i="3"/>
  <c r="B590" i="3"/>
  <c r="A590" i="3"/>
  <c r="B589" i="3"/>
  <c r="A589" i="3"/>
  <c r="B588" i="3"/>
  <c r="A588" i="3"/>
  <c r="B587" i="3"/>
  <c r="A587" i="3"/>
  <c r="B586" i="3"/>
  <c r="A586" i="3"/>
  <c r="B585" i="3"/>
  <c r="A585" i="3"/>
  <c r="B584" i="3"/>
  <c r="A584" i="3"/>
  <c r="B583" i="3"/>
  <c r="A583" i="3"/>
  <c r="B582" i="3"/>
  <c r="A582" i="3"/>
  <c r="B581" i="3"/>
  <c r="A581" i="3"/>
  <c r="B580" i="3"/>
  <c r="A580" i="3"/>
  <c r="B579" i="3"/>
  <c r="A579" i="3"/>
  <c r="B578" i="3"/>
  <c r="A578" i="3"/>
  <c r="B577" i="3"/>
  <c r="A577" i="3"/>
  <c r="B576" i="3"/>
  <c r="A576" i="3"/>
  <c r="B575" i="3"/>
  <c r="A575" i="3"/>
  <c r="B574" i="3"/>
  <c r="A574" i="3"/>
  <c r="B573" i="3"/>
  <c r="A573" i="3"/>
  <c r="B572" i="3"/>
  <c r="A572" i="3"/>
  <c r="B571" i="3"/>
  <c r="A571" i="3"/>
  <c r="B570" i="3"/>
  <c r="A570" i="3"/>
  <c r="B569" i="3"/>
  <c r="A569" i="3"/>
  <c r="B568" i="3"/>
  <c r="A568" i="3"/>
  <c r="B567" i="3"/>
  <c r="A567" i="3"/>
  <c r="B566" i="3"/>
  <c r="A566" i="3"/>
  <c r="B565" i="3"/>
  <c r="A565" i="3"/>
  <c r="B564" i="3"/>
  <c r="A564" i="3"/>
  <c r="B563" i="3"/>
  <c r="A563" i="3"/>
  <c r="B562" i="3"/>
  <c r="A562" i="3"/>
  <c r="B561" i="3"/>
  <c r="A561" i="3"/>
  <c r="B560" i="3"/>
  <c r="A560" i="3"/>
  <c r="B559" i="3"/>
  <c r="A559" i="3"/>
  <c r="B558" i="3"/>
  <c r="A558" i="3"/>
  <c r="B557" i="3"/>
  <c r="A557" i="3"/>
  <c r="B556" i="3"/>
  <c r="A556" i="3"/>
  <c r="B555" i="3"/>
  <c r="A555" i="3"/>
  <c r="B554" i="3"/>
  <c r="A554" i="3"/>
  <c r="B553" i="3"/>
  <c r="A553" i="3"/>
  <c r="B552" i="3"/>
  <c r="A552" i="3"/>
  <c r="B551" i="3"/>
  <c r="A551" i="3"/>
  <c r="B550" i="3"/>
  <c r="A550" i="3"/>
  <c r="B549" i="3"/>
  <c r="A549" i="3"/>
  <c r="B548" i="3"/>
  <c r="A548" i="3"/>
  <c r="B547" i="3"/>
  <c r="A547" i="3"/>
  <c r="B546" i="3"/>
  <c r="A546" i="3"/>
  <c r="B545" i="3"/>
  <c r="A545" i="3"/>
  <c r="B544" i="3"/>
  <c r="A544" i="3"/>
  <c r="B543" i="3"/>
  <c r="A543" i="3"/>
  <c r="B542" i="3"/>
  <c r="A542" i="3"/>
  <c r="B541" i="3"/>
  <c r="A541" i="3"/>
  <c r="B540" i="3"/>
  <c r="A540" i="3"/>
  <c r="B539" i="3"/>
  <c r="A539" i="3"/>
  <c r="B538" i="3"/>
  <c r="A538" i="3"/>
  <c r="B537" i="3"/>
  <c r="A537" i="3"/>
  <c r="B536" i="3"/>
  <c r="A536" i="3"/>
  <c r="B535" i="3"/>
  <c r="A535" i="3"/>
  <c r="B534" i="3"/>
  <c r="A534" i="3"/>
  <c r="B533" i="3"/>
  <c r="A533" i="3"/>
  <c r="B532" i="3"/>
  <c r="A532" i="3"/>
  <c r="B531" i="3"/>
  <c r="A531" i="3"/>
  <c r="B530" i="3"/>
  <c r="A530" i="3"/>
  <c r="B529" i="3"/>
  <c r="A529" i="3"/>
  <c r="B528" i="3"/>
  <c r="A528" i="3"/>
  <c r="B527" i="3"/>
  <c r="A527" i="3"/>
  <c r="B526" i="3"/>
  <c r="A526" i="3"/>
  <c r="B525" i="3"/>
  <c r="A525" i="3"/>
  <c r="B524" i="3"/>
  <c r="A524" i="3"/>
  <c r="B523" i="3"/>
  <c r="A523" i="3"/>
  <c r="B522" i="3"/>
  <c r="A522" i="3"/>
  <c r="B521" i="3"/>
  <c r="A521" i="3"/>
  <c r="B520" i="3"/>
  <c r="A520" i="3"/>
  <c r="B519" i="3"/>
  <c r="A519" i="3"/>
  <c r="B518" i="3"/>
  <c r="A518" i="3"/>
  <c r="B517" i="3"/>
  <c r="A517" i="3"/>
  <c r="B516" i="3"/>
  <c r="A516" i="3"/>
  <c r="B515" i="3"/>
  <c r="A515" i="3"/>
  <c r="B514" i="3"/>
  <c r="A514" i="3"/>
  <c r="B513" i="3"/>
  <c r="A513" i="3"/>
  <c r="B512" i="3"/>
  <c r="A512" i="3"/>
  <c r="B511" i="3"/>
  <c r="A511" i="3"/>
  <c r="B510" i="3"/>
  <c r="A510" i="3"/>
  <c r="B509" i="3"/>
  <c r="A509" i="3"/>
  <c r="B508" i="3"/>
  <c r="A508" i="3"/>
  <c r="B507" i="3"/>
  <c r="A507" i="3"/>
  <c r="B506" i="3"/>
  <c r="A506" i="3"/>
  <c r="B505" i="3"/>
  <c r="A505" i="3"/>
  <c r="B504" i="3"/>
  <c r="A504" i="3"/>
  <c r="B503" i="3"/>
  <c r="A503" i="3"/>
  <c r="B502" i="3"/>
  <c r="A502" i="3"/>
  <c r="B501" i="3"/>
  <c r="A501" i="3"/>
  <c r="B500" i="3"/>
  <c r="A500" i="3"/>
  <c r="B499" i="3"/>
  <c r="A499" i="3"/>
  <c r="B498" i="3"/>
  <c r="A498" i="3"/>
  <c r="B497" i="3"/>
  <c r="A497" i="3"/>
  <c r="B496" i="3"/>
  <c r="A496" i="3"/>
  <c r="B495" i="3"/>
  <c r="A495" i="3"/>
  <c r="B494" i="3"/>
  <c r="A494" i="3"/>
  <c r="B493" i="3"/>
  <c r="A493" i="3"/>
  <c r="B492" i="3"/>
  <c r="A492" i="3"/>
  <c r="B491" i="3"/>
  <c r="A491" i="3"/>
  <c r="B490" i="3"/>
  <c r="A490" i="3"/>
  <c r="B489" i="3"/>
  <c r="A489" i="3"/>
  <c r="B488" i="3"/>
  <c r="A488" i="3"/>
  <c r="B487" i="3"/>
  <c r="A487" i="3"/>
  <c r="B486" i="3"/>
  <c r="A486" i="3"/>
  <c r="B485" i="3"/>
  <c r="A485" i="3"/>
  <c r="B484" i="3"/>
  <c r="A484" i="3"/>
  <c r="B483" i="3"/>
  <c r="A483" i="3"/>
  <c r="B482" i="3"/>
  <c r="A482" i="3"/>
  <c r="B481" i="3"/>
  <c r="A481" i="3"/>
  <c r="B480" i="3"/>
  <c r="A480" i="3"/>
  <c r="B479" i="3"/>
  <c r="A479" i="3"/>
  <c r="B478" i="3"/>
  <c r="A478" i="3"/>
  <c r="B477" i="3"/>
  <c r="A477" i="3"/>
  <c r="B476" i="3"/>
  <c r="A476" i="3"/>
  <c r="B475" i="3"/>
  <c r="A475" i="3"/>
  <c r="B474" i="3"/>
  <c r="A474" i="3"/>
  <c r="B473" i="3"/>
  <c r="A473" i="3"/>
  <c r="B472" i="3"/>
  <c r="A472" i="3"/>
  <c r="B471" i="3"/>
  <c r="A471" i="3"/>
  <c r="B470" i="3"/>
  <c r="A470" i="3"/>
  <c r="B469" i="3"/>
  <c r="A469" i="3"/>
  <c r="B468" i="3"/>
  <c r="A468" i="3"/>
  <c r="B467" i="3"/>
  <c r="A467" i="3"/>
  <c r="B466" i="3"/>
  <c r="A466" i="3"/>
  <c r="B465" i="3"/>
  <c r="A465" i="3"/>
  <c r="B464" i="3"/>
  <c r="A464" i="3"/>
  <c r="B463" i="3"/>
  <c r="A463" i="3"/>
  <c r="B462" i="3"/>
  <c r="A462" i="3"/>
  <c r="B461" i="3"/>
  <c r="A461" i="3"/>
  <c r="B460" i="3"/>
  <c r="A460" i="3"/>
  <c r="B459" i="3"/>
  <c r="A459" i="3"/>
  <c r="B458" i="3"/>
  <c r="A458" i="3"/>
  <c r="B457" i="3"/>
  <c r="A457" i="3"/>
  <c r="B456" i="3"/>
  <c r="A456" i="3"/>
  <c r="B455" i="3"/>
  <c r="A455" i="3"/>
  <c r="B454" i="3"/>
  <c r="A454" i="3"/>
  <c r="B453" i="3"/>
  <c r="A453" i="3"/>
  <c r="B452" i="3"/>
  <c r="A452" i="3"/>
  <c r="B451" i="3"/>
  <c r="A451" i="3"/>
  <c r="B450" i="3"/>
  <c r="A450" i="3"/>
  <c r="B449" i="3"/>
  <c r="A449" i="3"/>
  <c r="B448" i="3"/>
  <c r="A448" i="3"/>
  <c r="B447" i="3"/>
  <c r="A447" i="3"/>
  <c r="B446" i="3"/>
  <c r="A446" i="3"/>
  <c r="B445" i="3"/>
  <c r="A445" i="3"/>
  <c r="B444" i="3"/>
  <c r="A444" i="3"/>
  <c r="B443" i="3"/>
  <c r="A443" i="3"/>
  <c r="B442" i="3"/>
  <c r="A442" i="3"/>
  <c r="B441" i="3"/>
  <c r="A441" i="3"/>
  <c r="B440" i="3"/>
  <c r="A440" i="3"/>
  <c r="B439" i="3"/>
  <c r="A439" i="3"/>
  <c r="B438" i="3"/>
  <c r="A438" i="3"/>
  <c r="B437" i="3"/>
  <c r="A437" i="3"/>
  <c r="B436" i="3"/>
  <c r="A436" i="3"/>
  <c r="B435" i="3"/>
  <c r="A435" i="3"/>
  <c r="B434" i="3"/>
  <c r="A434" i="3"/>
  <c r="B433" i="3"/>
  <c r="A433" i="3"/>
  <c r="B432" i="3"/>
  <c r="A432" i="3"/>
  <c r="B431" i="3"/>
  <c r="A431" i="3"/>
  <c r="B430" i="3"/>
  <c r="A430" i="3"/>
  <c r="B429" i="3"/>
  <c r="A429" i="3"/>
  <c r="B428" i="3"/>
  <c r="A428" i="3"/>
  <c r="B427" i="3"/>
  <c r="A427" i="3"/>
  <c r="B426" i="3"/>
  <c r="A426" i="3"/>
  <c r="B425" i="3"/>
  <c r="A425" i="3"/>
  <c r="B424" i="3"/>
  <c r="A424" i="3"/>
  <c r="B423" i="3"/>
  <c r="A423" i="3"/>
  <c r="B422" i="3"/>
  <c r="A422" i="3"/>
  <c r="B421" i="3"/>
  <c r="A421" i="3"/>
  <c r="B420" i="3"/>
  <c r="A420" i="3"/>
  <c r="B419" i="3"/>
  <c r="A419" i="3"/>
  <c r="B418" i="3"/>
  <c r="A418" i="3"/>
  <c r="B417" i="3"/>
  <c r="A417" i="3"/>
  <c r="B416" i="3"/>
  <c r="A416" i="3"/>
  <c r="B415" i="3"/>
  <c r="A415" i="3"/>
  <c r="B414" i="3"/>
  <c r="A414" i="3"/>
  <c r="B413" i="3"/>
  <c r="A413" i="3"/>
  <c r="B412" i="3"/>
  <c r="A412" i="3"/>
  <c r="B411" i="3"/>
  <c r="A411" i="3"/>
  <c r="B410" i="3"/>
  <c r="A410" i="3"/>
  <c r="B409" i="3"/>
  <c r="A409" i="3"/>
  <c r="B408" i="3"/>
  <c r="A408" i="3"/>
  <c r="B407" i="3"/>
  <c r="A407" i="3"/>
  <c r="B406" i="3"/>
  <c r="A406" i="3"/>
  <c r="B405" i="3"/>
  <c r="A405" i="3"/>
  <c r="B404" i="3"/>
  <c r="A404" i="3"/>
  <c r="B403" i="3"/>
  <c r="A403" i="3"/>
  <c r="B402" i="3"/>
  <c r="A402" i="3"/>
  <c r="B401" i="3"/>
  <c r="A401" i="3"/>
  <c r="B400" i="3"/>
  <c r="A400" i="3"/>
  <c r="B399" i="3"/>
  <c r="A399" i="3"/>
  <c r="B398" i="3"/>
  <c r="A398" i="3"/>
  <c r="B397" i="3"/>
  <c r="A397" i="3"/>
  <c r="B396" i="3"/>
  <c r="A396" i="3"/>
  <c r="B395" i="3"/>
  <c r="A395" i="3"/>
  <c r="B394" i="3"/>
  <c r="A394" i="3"/>
  <c r="B393" i="3"/>
  <c r="A393" i="3"/>
  <c r="B392" i="3"/>
  <c r="A392" i="3"/>
  <c r="B391" i="3"/>
  <c r="A391" i="3"/>
  <c r="B390" i="3"/>
  <c r="A390" i="3"/>
  <c r="B389" i="3"/>
  <c r="A389" i="3"/>
  <c r="B388" i="3"/>
  <c r="A388" i="3"/>
  <c r="B387" i="3"/>
  <c r="A387" i="3"/>
  <c r="B386" i="3"/>
  <c r="A386" i="3"/>
  <c r="B385" i="3"/>
  <c r="A385" i="3"/>
  <c r="B384" i="3"/>
  <c r="A384" i="3"/>
  <c r="B383" i="3"/>
  <c r="A383" i="3"/>
  <c r="B382" i="3"/>
  <c r="A382" i="3"/>
  <c r="B381" i="3"/>
  <c r="A381" i="3"/>
  <c r="B380" i="3"/>
  <c r="A380" i="3"/>
  <c r="B379" i="3"/>
  <c r="A379" i="3"/>
  <c r="B378" i="3"/>
  <c r="A378" i="3"/>
  <c r="B377" i="3"/>
  <c r="A377" i="3"/>
  <c r="B376" i="3"/>
  <c r="A376" i="3"/>
  <c r="B375" i="3"/>
  <c r="A375" i="3"/>
  <c r="B374" i="3"/>
  <c r="A374" i="3"/>
  <c r="B373" i="3"/>
  <c r="A373" i="3"/>
  <c r="B372" i="3"/>
  <c r="A372" i="3"/>
  <c r="B371" i="3"/>
  <c r="A371" i="3"/>
  <c r="B370" i="3"/>
  <c r="A370" i="3"/>
  <c r="B369" i="3"/>
  <c r="A369" i="3"/>
  <c r="B368" i="3"/>
  <c r="A368" i="3"/>
  <c r="B367" i="3"/>
  <c r="A367" i="3"/>
  <c r="B366" i="3"/>
  <c r="A366" i="3"/>
  <c r="B365" i="3"/>
  <c r="A365" i="3"/>
  <c r="B364" i="3"/>
  <c r="A364" i="3"/>
  <c r="B363" i="3"/>
  <c r="A363" i="3"/>
  <c r="B362" i="3"/>
  <c r="A362" i="3"/>
  <c r="B361" i="3"/>
  <c r="A361" i="3"/>
  <c r="B360" i="3"/>
  <c r="A360" i="3"/>
  <c r="B359" i="3"/>
  <c r="A359" i="3"/>
  <c r="B358" i="3"/>
  <c r="A358" i="3"/>
  <c r="B357" i="3"/>
  <c r="A357" i="3"/>
  <c r="B356" i="3"/>
  <c r="A356" i="3"/>
  <c r="B355" i="3"/>
  <c r="A355" i="3"/>
  <c r="B354" i="3"/>
  <c r="A354" i="3"/>
  <c r="B353" i="3"/>
  <c r="A353" i="3"/>
  <c r="B352" i="3"/>
  <c r="A352" i="3"/>
  <c r="B351" i="3"/>
  <c r="A351" i="3"/>
  <c r="B350" i="3"/>
  <c r="A350" i="3"/>
  <c r="B349" i="3"/>
  <c r="A349" i="3"/>
  <c r="B348" i="3"/>
  <c r="A348" i="3"/>
  <c r="B347" i="3"/>
  <c r="A347" i="3"/>
  <c r="B346" i="3"/>
  <c r="A346" i="3"/>
  <c r="B345" i="3"/>
  <c r="A345" i="3"/>
  <c r="B344" i="3"/>
  <c r="A344" i="3"/>
  <c r="B343" i="3"/>
  <c r="A343" i="3"/>
  <c r="B342" i="3"/>
  <c r="A342" i="3"/>
  <c r="B341" i="3"/>
  <c r="A341" i="3"/>
  <c r="B340" i="3"/>
  <c r="A340" i="3"/>
  <c r="B339" i="3"/>
  <c r="A339" i="3"/>
  <c r="B338" i="3"/>
  <c r="A338" i="3"/>
  <c r="B337" i="3"/>
  <c r="A337" i="3"/>
  <c r="B336" i="3"/>
  <c r="A336" i="3"/>
  <c r="B335" i="3"/>
  <c r="A335" i="3"/>
  <c r="B334" i="3"/>
  <c r="A334" i="3"/>
  <c r="B333" i="3"/>
  <c r="A333" i="3"/>
  <c r="B332" i="3"/>
  <c r="A332" i="3"/>
  <c r="B331" i="3"/>
  <c r="A331" i="3"/>
  <c r="B330" i="3"/>
  <c r="A330" i="3"/>
  <c r="B329" i="3"/>
  <c r="A329" i="3"/>
  <c r="B328" i="3"/>
  <c r="A328" i="3"/>
  <c r="B327" i="3"/>
  <c r="A327" i="3"/>
  <c r="B326" i="3"/>
  <c r="A326" i="3"/>
  <c r="B325" i="3"/>
  <c r="A325" i="3"/>
  <c r="B324" i="3"/>
  <c r="A324" i="3"/>
  <c r="B323" i="3"/>
  <c r="A323" i="3"/>
  <c r="B322" i="3"/>
  <c r="A322" i="3"/>
  <c r="B321" i="3"/>
  <c r="A321" i="3"/>
  <c r="B320" i="3"/>
  <c r="A320" i="3"/>
  <c r="B319" i="3"/>
  <c r="A319" i="3"/>
  <c r="B318" i="3"/>
  <c r="A318" i="3"/>
  <c r="B317" i="3"/>
  <c r="A317" i="3"/>
  <c r="B316" i="3"/>
  <c r="A316" i="3"/>
  <c r="B315" i="3"/>
  <c r="A315" i="3"/>
  <c r="B314" i="3"/>
  <c r="A314" i="3"/>
  <c r="B313" i="3"/>
  <c r="A313" i="3"/>
  <c r="B312" i="3"/>
  <c r="A312" i="3"/>
  <c r="B311" i="3"/>
  <c r="A311" i="3"/>
  <c r="B310" i="3"/>
  <c r="A310" i="3"/>
  <c r="B309" i="3"/>
  <c r="A309" i="3"/>
  <c r="B308" i="3"/>
  <c r="A308" i="3"/>
  <c r="B307" i="3"/>
  <c r="A307" i="3"/>
  <c r="B306" i="3"/>
  <c r="A306" i="3"/>
  <c r="B305" i="3"/>
  <c r="A305" i="3"/>
  <c r="B304" i="3"/>
  <c r="A304" i="3"/>
  <c r="B303" i="3"/>
  <c r="A303" i="3"/>
  <c r="B302" i="3"/>
  <c r="A302" i="3"/>
  <c r="B301" i="3"/>
  <c r="A301" i="3"/>
  <c r="B300" i="3"/>
  <c r="A300" i="3"/>
  <c r="B299" i="3"/>
  <c r="A299" i="3"/>
  <c r="B298" i="3"/>
  <c r="A298" i="3"/>
  <c r="B297" i="3"/>
  <c r="A297" i="3"/>
  <c r="B296" i="3"/>
  <c r="A296" i="3"/>
  <c r="B295" i="3"/>
  <c r="A295" i="3"/>
  <c r="B294" i="3"/>
  <c r="A294" i="3"/>
  <c r="B293" i="3"/>
  <c r="A293" i="3"/>
  <c r="B292" i="3"/>
  <c r="A292" i="3"/>
  <c r="B291" i="3"/>
  <c r="A291" i="3"/>
  <c r="B290" i="3"/>
  <c r="A290" i="3"/>
  <c r="B289" i="3"/>
  <c r="A289" i="3"/>
  <c r="B288" i="3"/>
  <c r="A288" i="3"/>
  <c r="B287" i="3"/>
  <c r="A287" i="3"/>
  <c r="B286" i="3"/>
  <c r="A286" i="3"/>
  <c r="B285" i="3"/>
  <c r="A285" i="3"/>
  <c r="B284" i="3"/>
  <c r="A284" i="3"/>
  <c r="B283" i="3"/>
  <c r="A283" i="3"/>
  <c r="B282" i="3"/>
  <c r="A282" i="3"/>
  <c r="B281" i="3"/>
  <c r="A281" i="3"/>
  <c r="B280" i="3"/>
  <c r="A280" i="3"/>
  <c r="B279" i="3"/>
  <c r="A279" i="3"/>
  <c r="B278" i="3"/>
  <c r="A278" i="3"/>
  <c r="B277" i="3"/>
  <c r="A277" i="3"/>
  <c r="B276" i="3"/>
  <c r="A276" i="3"/>
  <c r="B275" i="3"/>
  <c r="A275" i="3"/>
  <c r="B274" i="3"/>
  <c r="A274" i="3"/>
  <c r="B273" i="3"/>
  <c r="A273" i="3"/>
  <c r="B272" i="3"/>
  <c r="A272" i="3"/>
  <c r="B271" i="3"/>
  <c r="A271" i="3"/>
  <c r="B270" i="3"/>
  <c r="A270" i="3"/>
  <c r="B269" i="3"/>
  <c r="A269" i="3"/>
  <c r="B268" i="3"/>
  <c r="A268" i="3"/>
  <c r="B267" i="3"/>
  <c r="A267" i="3"/>
  <c r="B266" i="3"/>
  <c r="A266" i="3"/>
  <c r="B265" i="3"/>
  <c r="A265" i="3"/>
  <c r="B264" i="3"/>
  <c r="A264" i="3"/>
  <c r="B263" i="3"/>
  <c r="A263" i="3"/>
  <c r="B262" i="3"/>
  <c r="A262" i="3"/>
  <c r="B261" i="3"/>
  <c r="A261" i="3"/>
  <c r="B260" i="3"/>
  <c r="A260" i="3"/>
  <c r="B259" i="3"/>
  <c r="A259" i="3"/>
  <c r="B258" i="3"/>
  <c r="A258" i="3"/>
  <c r="B257" i="3"/>
  <c r="A257" i="3"/>
  <c r="B256" i="3"/>
  <c r="A256" i="3"/>
  <c r="B255" i="3"/>
  <c r="A255" i="3"/>
  <c r="B254" i="3"/>
  <c r="A254" i="3"/>
  <c r="B253" i="3"/>
  <c r="A253" i="3"/>
  <c r="B252" i="3"/>
  <c r="A252" i="3"/>
  <c r="B251" i="3"/>
  <c r="A251" i="3"/>
  <c r="B250" i="3"/>
  <c r="A250" i="3"/>
  <c r="B249" i="3"/>
  <c r="A249" i="3"/>
  <c r="B248" i="3"/>
  <c r="A248" i="3"/>
  <c r="B247" i="3"/>
  <c r="A247" i="3"/>
  <c r="B246" i="3"/>
  <c r="A246" i="3"/>
  <c r="B245" i="3"/>
  <c r="A245" i="3"/>
  <c r="B244" i="3"/>
  <c r="A244" i="3"/>
  <c r="B243" i="3"/>
  <c r="A243" i="3"/>
  <c r="B242" i="3"/>
  <c r="A242" i="3"/>
  <c r="B241" i="3"/>
  <c r="A241" i="3"/>
  <c r="B240" i="3"/>
  <c r="A240" i="3"/>
  <c r="B239" i="3"/>
  <c r="A239" i="3"/>
  <c r="B238" i="3"/>
  <c r="A238" i="3"/>
  <c r="B237" i="3"/>
  <c r="A237" i="3"/>
  <c r="B236" i="3"/>
  <c r="A236" i="3"/>
  <c r="B235" i="3"/>
  <c r="A235" i="3"/>
  <c r="B234" i="3"/>
  <c r="A234" i="3"/>
  <c r="B233" i="3"/>
  <c r="A233" i="3"/>
  <c r="B232" i="3"/>
  <c r="A232" i="3"/>
  <c r="B231" i="3"/>
  <c r="A231" i="3"/>
  <c r="B230" i="3"/>
  <c r="A230" i="3"/>
  <c r="B229" i="3"/>
  <c r="A229" i="3"/>
  <c r="B228" i="3"/>
  <c r="A228" i="3"/>
  <c r="B227" i="3"/>
  <c r="A227" i="3"/>
  <c r="B226" i="3"/>
  <c r="A226" i="3"/>
  <c r="B225" i="3"/>
  <c r="A225" i="3"/>
  <c r="B224" i="3"/>
  <c r="A224" i="3"/>
  <c r="B223" i="3"/>
  <c r="A223" i="3"/>
  <c r="B222" i="3"/>
  <c r="A222" i="3"/>
  <c r="B221" i="3"/>
  <c r="A221" i="3"/>
  <c r="B220" i="3"/>
  <c r="A220" i="3"/>
  <c r="B219" i="3"/>
  <c r="A219" i="3"/>
  <c r="B218" i="3"/>
  <c r="A218" i="3"/>
  <c r="B217" i="3"/>
  <c r="A217" i="3"/>
  <c r="B216" i="3"/>
  <c r="A216" i="3"/>
  <c r="B215" i="3"/>
  <c r="A215" i="3"/>
  <c r="B214" i="3"/>
  <c r="A214" i="3"/>
  <c r="B213" i="3"/>
  <c r="A213" i="3"/>
  <c r="B212" i="3"/>
  <c r="A212" i="3"/>
  <c r="B211" i="3"/>
  <c r="A211" i="3"/>
  <c r="B210" i="3"/>
  <c r="A210" i="3"/>
  <c r="B209" i="3"/>
  <c r="A209" i="3"/>
  <c r="B208" i="3"/>
  <c r="A208" i="3"/>
  <c r="B207" i="3"/>
  <c r="A207" i="3"/>
  <c r="B206" i="3"/>
  <c r="A206" i="3"/>
  <c r="B205" i="3"/>
  <c r="A205" i="3"/>
  <c r="B204" i="3"/>
  <c r="A204" i="3"/>
  <c r="B203" i="3"/>
  <c r="A203" i="3"/>
  <c r="B202" i="3"/>
  <c r="A202" i="3"/>
  <c r="B201" i="3"/>
  <c r="A201" i="3"/>
  <c r="B200" i="3"/>
  <c r="A200" i="3"/>
  <c r="B199" i="3"/>
  <c r="A199" i="3"/>
  <c r="B198" i="3"/>
  <c r="A198" i="3"/>
  <c r="B197" i="3"/>
  <c r="A197" i="3"/>
  <c r="B196" i="3"/>
  <c r="A196" i="3"/>
  <c r="B195" i="3"/>
  <c r="A195" i="3"/>
  <c r="B194" i="3"/>
  <c r="A194" i="3"/>
  <c r="B193" i="3"/>
  <c r="A193" i="3"/>
  <c r="B192" i="3"/>
  <c r="A192" i="3"/>
  <c r="B191" i="3"/>
  <c r="A191" i="3"/>
  <c r="B190" i="3"/>
  <c r="A190" i="3"/>
  <c r="B189" i="3"/>
  <c r="A189" i="3"/>
  <c r="B188" i="3"/>
  <c r="A188" i="3"/>
  <c r="B187" i="3"/>
  <c r="A187" i="3"/>
  <c r="B186" i="3"/>
  <c r="A186" i="3"/>
  <c r="B185" i="3"/>
  <c r="A185" i="3"/>
  <c r="B184" i="3"/>
  <c r="A184" i="3"/>
  <c r="B183" i="3"/>
  <c r="A183" i="3"/>
  <c r="B182" i="3"/>
  <c r="A182" i="3"/>
  <c r="B181" i="3"/>
  <c r="A181" i="3"/>
  <c r="B180" i="3"/>
  <c r="A180" i="3"/>
  <c r="B179" i="3"/>
  <c r="A179" i="3"/>
  <c r="B178" i="3"/>
  <c r="A178" i="3"/>
  <c r="B177" i="3"/>
  <c r="A177" i="3"/>
  <c r="B176" i="3"/>
  <c r="A176" i="3"/>
  <c r="B175" i="3"/>
  <c r="A175" i="3"/>
  <c r="B174" i="3"/>
  <c r="A174" i="3"/>
  <c r="B173" i="3"/>
  <c r="A173" i="3"/>
  <c r="B172" i="3"/>
  <c r="A172" i="3"/>
  <c r="B171" i="3"/>
  <c r="A171" i="3"/>
  <c r="B170" i="3"/>
  <c r="A170" i="3"/>
  <c r="B169" i="3"/>
  <c r="A169" i="3"/>
  <c r="B168" i="3"/>
  <c r="A168" i="3"/>
  <c r="B167" i="3"/>
  <c r="A167" i="3"/>
  <c r="B166" i="3"/>
  <c r="A166" i="3"/>
  <c r="B165" i="3"/>
  <c r="A165" i="3"/>
  <c r="B164" i="3"/>
  <c r="A164" i="3"/>
  <c r="B163" i="3"/>
  <c r="A163" i="3"/>
  <c r="B162" i="3"/>
  <c r="A162" i="3"/>
  <c r="B161" i="3"/>
  <c r="A161" i="3"/>
  <c r="B160" i="3"/>
  <c r="A160" i="3"/>
  <c r="B159" i="3"/>
  <c r="A159" i="3"/>
  <c r="B158" i="3"/>
  <c r="A158" i="3"/>
  <c r="B157" i="3"/>
  <c r="A157" i="3"/>
  <c r="B156" i="3"/>
  <c r="A156" i="3"/>
  <c r="B155" i="3"/>
  <c r="A155" i="3"/>
  <c r="B154" i="3"/>
  <c r="A154" i="3"/>
  <c r="B153" i="3"/>
  <c r="A153" i="3"/>
  <c r="B152" i="3"/>
  <c r="A152" i="3"/>
  <c r="B151" i="3"/>
  <c r="A151" i="3"/>
  <c r="B150" i="3"/>
  <c r="A150" i="3"/>
  <c r="B149" i="3"/>
  <c r="A149" i="3"/>
  <c r="B148" i="3"/>
  <c r="A148" i="3"/>
  <c r="B147" i="3"/>
  <c r="A147" i="3"/>
  <c r="B146" i="3"/>
  <c r="A146" i="3"/>
  <c r="B145" i="3"/>
  <c r="A145" i="3"/>
  <c r="B144" i="3"/>
  <c r="A144" i="3"/>
  <c r="B143" i="3"/>
  <c r="A143" i="3"/>
  <c r="B142" i="3"/>
  <c r="A142" i="3"/>
  <c r="B141" i="3"/>
  <c r="A141" i="3"/>
  <c r="B140" i="3"/>
  <c r="A140" i="3"/>
  <c r="B139" i="3"/>
  <c r="A139" i="3"/>
  <c r="B138" i="3"/>
  <c r="A138" i="3"/>
  <c r="B137" i="3"/>
  <c r="A137" i="3"/>
  <c r="B136" i="3"/>
  <c r="A136" i="3"/>
  <c r="B135" i="3"/>
  <c r="A135" i="3"/>
  <c r="B134" i="3"/>
  <c r="A134" i="3"/>
  <c r="B133" i="3"/>
  <c r="A133" i="3"/>
  <c r="B132" i="3"/>
  <c r="A132" i="3"/>
  <c r="B131" i="3"/>
  <c r="A131" i="3"/>
  <c r="B130" i="3"/>
  <c r="A130" i="3"/>
  <c r="B129" i="3"/>
  <c r="A129" i="3"/>
  <c r="B128" i="3"/>
  <c r="A128" i="3"/>
  <c r="B127" i="3"/>
  <c r="A127" i="3"/>
  <c r="B126" i="3"/>
  <c r="A126" i="3"/>
  <c r="B125" i="3"/>
  <c r="A125" i="3"/>
  <c r="B124" i="3"/>
  <c r="A124" i="3"/>
  <c r="B123" i="3"/>
  <c r="A123" i="3"/>
  <c r="B122" i="3"/>
  <c r="A122" i="3"/>
  <c r="B121" i="3"/>
  <c r="A121" i="3"/>
  <c r="B120" i="3"/>
  <c r="A120" i="3"/>
  <c r="B119" i="3"/>
  <c r="A119" i="3"/>
  <c r="B118" i="3"/>
  <c r="A118" i="3"/>
  <c r="B117" i="3"/>
  <c r="A117" i="3"/>
  <c r="B116" i="3"/>
  <c r="A116" i="3"/>
  <c r="B115" i="3"/>
  <c r="A115" i="3"/>
  <c r="B114" i="3"/>
  <c r="A114" i="3"/>
  <c r="B113" i="3"/>
  <c r="A113" i="3"/>
  <c r="B112" i="3"/>
  <c r="A112" i="3"/>
  <c r="B111" i="3"/>
  <c r="A111" i="3"/>
  <c r="B110" i="3"/>
  <c r="A110" i="3"/>
  <c r="B109" i="3"/>
  <c r="A109" i="3"/>
  <c r="B108" i="3"/>
  <c r="A108" i="3"/>
  <c r="B107" i="3"/>
  <c r="A107" i="3"/>
  <c r="B106" i="3"/>
  <c r="A106" i="3"/>
  <c r="B105" i="3"/>
  <c r="A105" i="3"/>
  <c r="B104" i="3"/>
  <c r="A104" i="3"/>
  <c r="B103" i="3"/>
  <c r="A103" i="3"/>
  <c r="B102" i="3"/>
  <c r="A102" i="3"/>
  <c r="B101" i="3"/>
  <c r="A101" i="3"/>
  <c r="B100" i="3"/>
  <c r="A100" i="3"/>
  <c r="B99" i="3"/>
  <c r="A99" i="3"/>
  <c r="B98" i="3"/>
  <c r="A98" i="3"/>
  <c r="B97" i="3"/>
  <c r="A97" i="3"/>
  <c r="B96" i="3"/>
  <c r="A96" i="3"/>
  <c r="B95" i="3"/>
  <c r="A95" i="3"/>
  <c r="B94" i="3"/>
  <c r="A94" i="3"/>
  <c r="B93" i="3"/>
  <c r="A93" i="3"/>
  <c r="B92" i="3"/>
  <c r="A92" i="3"/>
  <c r="B91" i="3"/>
  <c r="A91" i="3"/>
  <c r="B90" i="3"/>
  <c r="A90" i="3"/>
  <c r="B89" i="3"/>
  <c r="A89" i="3"/>
  <c r="B88" i="3"/>
  <c r="A88" i="3"/>
  <c r="B87" i="3"/>
  <c r="A87" i="3"/>
  <c r="B86" i="3"/>
  <c r="A86" i="3"/>
  <c r="B85" i="3"/>
  <c r="A85" i="3"/>
  <c r="B84" i="3"/>
  <c r="A84" i="3"/>
  <c r="B83" i="3"/>
  <c r="A83" i="3"/>
  <c r="B82" i="3"/>
  <c r="A82" i="3"/>
  <c r="B81" i="3"/>
  <c r="A81" i="3"/>
  <c r="B80" i="3"/>
  <c r="A80" i="3"/>
  <c r="B79" i="3"/>
  <c r="A79" i="3"/>
  <c r="B78" i="3"/>
  <c r="A78" i="3"/>
  <c r="B77" i="3"/>
  <c r="A77" i="3"/>
  <c r="B76" i="3"/>
  <c r="A76" i="3"/>
  <c r="B75" i="3"/>
  <c r="A75" i="3"/>
  <c r="B74" i="3"/>
  <c r="A74" i="3"/>
  <c r="B73" i="3"/>
  <c r="A73" i="3"/>
  <c r="B72" i="3"/>
  <c r="A72" i="3"/>
  <c r="B71" i="3"/>
  <c r="A71" i="3"/>
  <c r="B70" i="3"/>
  <c r="A70" i="3"/>
  <c r="B69" i="3"/>
  <c r="A69" i="3"/>
  <c r="B68" i="3"/>
  <c r="A68" i="3"/>
  <c r="B67" i="3"/>
  <c r="A67" i="3"/>
  <c r="B66" i="3"/>
  <c r="A66" i="3"/>
  <c r="B65" i="3"/>
  <c r="A65" i="3"/>
  <c r="B64" i="3"/>
  <c r="A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A49" i="3"/>
  <c r="B48" i="3"/>
  <c r="A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B5" i="3"/>
  <c r="A5" i="3"/>
  <c r="B4" i="3"/>
  <c r="A4" i="3"/>
  <c r="B3" i="3"/>
  <c r="A3" i="3"/>
  <c r="B2" i="3"/>
  <c r="A2" i="3"/>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alcChain>
</file>

<file path=xl/sharedStrings.xml><?xml version="1.0" encoding="utf-8"?>
<sst xmlns="http://schemas.openxmlformats.org/spreadsheetml/2006/main" count="30761" uniqueCount="22451">
  <si>
    <t>Код</t>
  </si>
  <si>
    <t>Наименование</t>
  </si>
  <si>
    <t>Описание</t>
  </si>
  <si>
    <t>Единица измерения</t>
  </si>
  <si>
    <t>Класс груза</t>
  </si>
  <si>
    <t>Масса брутто, кг</t>
  </si>
  <si>
    <t>Сметная цена, тенге</t>
  </si>
  <si>
    <t>поисковый текст</t>
  </si>
  <si>
    <t>Оборудование, мебель и инвентарь для объектов образования Отдел 52. Технологическое оборудование, мебель и инвентарь
Раздел 521. Оборудование и мебель организаций образования
Подраздел 521-1. Оборудование и мебель организации дошкольного образования</t>
  </si>
  <si>
    <t>Группа 521-101. Оборудование, мебель, технические средства обучения, пособия и инвентарь</t>
  </si>
  <si>
    <t>521-101-0100</t>
  </si>
  <si>
    <t>Оборудования игровое</t>
  </si>
  <si>
    <t>521-101-0121</t>
  </si>
  <si>
    <t>Ширма для кукольного театра</t>
  </si>
  <si>
    <t>шт.</t>
  </si>
  <si>
    <t>521-101-0131</t>
  </si>
  <si>
    <t>Манеж детский</t>
  </si>
  <si>
    <t>521-101-0131-0001</t>
  </si>
  <si>
    <t>Манеж детский размерами 830х680 мм</t>
  </si>
  <si>
    <t>521-101-0131-0002</t>
  </si>
  <si>
    <t>Манеж детский размерами 840х840х680 мм</t>
  </si>
  <si>
    <t>521-101-0131-0003</t>
  </si>
  <si>
    <t>Корзина для игрушек размерами 420х840х680 мм</t>
  </si>
  <si>
    <t>521-101-0300</t>
  </si>
  <si>
    <t>Мебель для организации учебной деятельности</t>
  </si>
  <si>
    <t>521-101-0301</t>
  </si>
  <si>
    <t>Полка для книг</t>
  </si>
  <si>
    <t>521-101-0301-0001</t>
  </si>
  <si>
    <t>Полка книжная 1300х200х550</t>
  </si>
  <si>
    <t>521-101-0302</t>
  </si>
  <si>
    <t>Стол рабочий на 4 детей. Размер 900*900*570(В) мм, опоры металлические и регулируются по высоте, столешница из мдф толщиной 18 мм</t>
  </si>
  <si>
    <t>521-101-0303</t>
  </si>
  <si>
    <t>Стол для дидактических занятий</t>
  </si>
  <si>
    <t>521-101-0303-0001</t>
  </si>
  <si>
    <t>Дидактический стол с набором игрушек, размер: L180 W50 H46</t>
  </si>
  <si>
    <t>521-101-0304</t>
  </si>
  <si>
    <t>Стенка для игрушек</t>
  </si>
  <si>
    <t>521-101-0304-0001</t>
  </si>
  <si>
    <t>Стенка для игрушек "Пирамида" 2900*350*950</t>
  </si>
  <si>
    <t>521-101-0304-0002</t>
  </si>
  <si>
    <t>Стенка для игрушек 1900*350*1200</t>
  </si>
  <si>
    <t>521-101-0304-0003</t>
  </si>
  <si>
    <t>Стенка для игрушек "Домик" 1680*340*1200</t>
  </si>
  <si>
    <t>521-101-0304-0004</t>
  </si>
  <si>
    <t>Стенка для игрушек "Домик" 1185*350*1200</t>
  </si>
  <si>
    <t>521-101-0304-0005</t>
  </si>
  <si>
    <t>Стенка для игрушек «Кухня» 1200*400*1100</t>
  </si>
  <si>
    <t>521-101-0304-0006</t>
  </si>
  <si>
    <t>Стенка в игровую "Кухня" 1160х380х900 мм</t>
  </si>
  <si>
    <t>Материал изготовления ЛДСП 16 мм, класс эмиссии Е1.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</si>
  <si>
    <t>521-101-0304-0007</t>
  </si>
  <si>
    <t>Стенка в игровую "Парикмахерская" 1200х300х1300 мм</t>
  </si>
  <si>
    <t>Материал изготовления ЛДСП 16 мм, класс эмиссии Е1. Кромки деталей облицованы полимерным кромочным материалом (ПВХ), толщиной 1,5 мм. Укомплектовано обработанным зеркалом.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</si>
  <si>
    <t>521-101-0304-0008</t>
  </si>
  <si>
    <t>Стенка в игровую "Магазин" 1200х500х960 мм</t>
  </si>
  <si>
    <t>Материал изготовления ЛДСП 16 мм, класс эмиссии Е1. Кромки деталей одлицованы полимерным кромочным материалом (ПВХ), толщиной 1,5 мм.Фасады изготавливаются из цветного ЛДСП.Фурнитура: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t>
  </si>
  <si>
    <t>521-101-0304-0009</t>
  </si>
  <si>
    <t>Стенка модульная, материал ЛДСП 16 мм, кромка ПВХ, размеры 3600х470х2030 мм</t>
  </si>
  <si>
    <t>Материал ЛДСП 16 мм, кромка ПВХ 0,4 мм. Стенка состоит из трех шкафов. Первый шкаф длиной 800 мм, состоит из 5 закрытых секций и 2 открытых. Второй длиной 2000 мм и высотой 1200 мм, состоит из 4 закрытых и 3 открытых секций. Третий шкаф длиной 800 и высотой 1600 мм, состоит из 5 закрытых и 2 открытых секций. Фасады имеют комбинированную расцветку.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Петля для дверок должна быть шарнирная накладная с функцией «softclose». Мебельные ножки должны регулироваться по высоте для компенсации неровностей пола.</t>
  </si>
  <si>
    <t>521-101-0304-0010</t>
  </si>
  <si>
    <t>Стенка "Домик", материал из ЛДСП 16 мм,
размеры 1800х450х1318 мм</t>
  </si>
  <si>
    <t>Стенка выполнена из ЛДСП 16 мм. Домик установлена на ЛДСП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¾ радиусом 90мм.
Задняя стенка ЛДСП 16 мм. С двух сторон полки размером 290х448, первый ряд расположен на высоте 412 мм от пола, второй ряд 774 мм. На полках 1 угол с закруглением радиусом 120 мм. Полки закрепленына задней стенке выполненной из ЛДСП с фигурным вырезом. С 2х сторон у основания домика расположены соединительные элементы 145х170 мм, закруглена на ¾ радиусом 90 мм. Изделие установлено на пластиковые
опоры размером 30 мм.</t>
  </si>
  <si>
    <t>521-101-0304-0011</t>
  </si>
  <si>
    <t>Стенка под пуфы на 12 ячеек, материал ЛДСП 16 мм, размеры 1324х400х1790 мм</t>
  </si>
  <si>
    <t>Стенка представляет из себя открытый стеллаж, поделенный вертикальными и горизонтальными стойками на 12 ячеек. Несущие части, полки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Мебельные ножки должны регулироваться по высоте для компенсации неровностей пола.</t>
  </si>
  <si>
    <t>521-101-0305</t>
  </si>
  <si>
    <t>Мебель для игрушек</t>
  </si>
  <si>
    <t>Мебель для игрушек. Состоит из стеллажей с пластиковыми лотками, изготовлены из ЛДСП, задняя стенка ХДФ, размеры
520/930/1340/930/520*2300*350мм.</t>
  </si>
  <si>
    <t>комплект</t>
  </si>
  <si>
    <t>521-101-0307</t>
  </si>
  <si>
    <t>Стеллаж для игрушек и пособий</t>
  </si>
  <si>
    <t>521-101-0307-0001</t>
  </si>
  <si>
    <t>Шкаф стеллаж для игрушек и пособий,
ЛДСП 16 мм, размеры 2572х425х1230мм</t>
  </si>
  <si>
    <t>Шкаф стеллаж для игрушек и пособий, ЛДСП 16 мм, ножки регулируемые.
Размеры 2572х425х1230мм</t>
  </si>
  <si>
    <t>521-101-0400</t>
  </si>
  <si>
    <t>Средства обучения технические</t>
  </si>
  <si>
    <t>521-101-0401</t>
  </si>
  <si>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</si>
  <si>
    <t>521-101-0401-0001</t>
  </si>
  <si>
    <t>Персональный компьютер Acer Aspire TC-1660 (DG.BGZMC.005)</t>
  </si>
  <si>
    <t>521-101-0401-0002</t>
  </si>
  <si>
    <t>Материнская плата ASRock H470M-HDV, LGA1200</t>
  </si>
  <si>
    <t>521-101-0401-0003</t>
  </si>
  <si>
    <t>Системный блок Acer Veriton N4670G (i3-10100, 8GB RAM, 128GB SSD, DOS)</t>
  </si>
  <si>
    <t>521-101-0401-0004</t>
  </si>
  <si>
    <t>Системный блок Acer Aspire TC-1660, Core i3
10105-3.7GHz/8Gb/1TbHDD+256GbSSD/GT X1650, 4Gb/GLAN/DOS</t>
  </si>
  <si>
    <t>521-101-0401-0005</t>
  </si>
  <si>
    <t>Системный блок HP Pavilion Gaming TG01-2087ur (60Q91EA), AMD Ryzen 5
5600G-3.9GHz/16Gb/512GbSSD/RX6600XT,8
Gb/DOS</t>
  </si>
  <si>
    <t>521-101-0401-0006</t>
  </si>
  <si>
    <t>Системный блок HP Pavilion TP01-2037ur (60Q92EA), Ryzen 7
5700G-3.8GHz/16Gb/256Gb SSD/GF RTX3060,12Gb/WL/BT/DOS</t>
  </si>
  <si>
    <t>521-101-0401-0007</t>
  </si>
  <si>
    <t>Системный блок Lenovo IdeaCentre G5, Core i5 11400F-2.6Hz/16Gb/512SSD/GF GTX 1660S, 6Gb/GLAN/WL/BT/DOS</t>
  </si>
  <si>
    <t>521-101-0401-0008</t>
  </si>
  <si>
    <t>Системный блок Lenovo IdeaCentre G5, Core i5 11400F-2.6Hz/8Gb/512GbSSD/GF GTX1650S, 4Gb/GLAN/WL/BT/DOS</t>
  </si>
  <si>
    <t>521-101-0401-0009</t>
  </si>
  <si>
    <t>Клавиатура A4Tech
3000N(GK-85+G3-200N), Black, Wireless, Multimed, Mouse Wireless,1000dpi,USB + мышь</t>
  </si>
  <si>
    <t>521-101-0401-0010</t>
  </si>
  <si>
    <t>Клавиатура Defender Annihilator GK-013, Black-Grey, Wired, Gaming, Multimedia, RGB-backlight, USB</t>
  </si>
  <si>
    <t>521-101-0401-0011</t>
  </si>
  <si>
    <t>Клавиатура Delux DLK-150GB, Wireless, Black, 1xAAA</t>
  </si>
  <si>
    <t>521-101-0401-0012</t>
  </si>
  <si>
    <t>Клавиатура Genius KM-125, Black, USB,
+мышь DX-120</t>
  </si>
  <si>
    <t>521-101-0401-0013</t>
  </si>
  <si>
    <t>Клавиатура Logitech K230, Wireless, Black, USB, 2 х AAA</t>
  </si>
  <si>
    <t>521-101-0401-0014</t>
  </si>
  <si>
    <t>Мышь 2E MF110, White, Wired, Optical, 3200dpi, USB</t>
  </si>
  <si>
    <t>521-101-0401-0015</t>
  </si>
  <si>
    <t>Мышь A4Tech Bloody Q50, Battlefield, Wired, Gaming, Optical, 3200dpi, Neon backlight, USB</t>
  </si>
  <si>
    <t>521-101-0401-0016</t>
  </si>
  <si>
    <t>Мышь Canyon Eclector GM-3, Black, Wired, Gaming, Optical, 3200dpi, RGB backlight, USB</t>
  </si>
  <si>
    <t>521-101-0401-0017</t>
  </si>
  <si>
    <t>Мышь Defender Killem All GM-480L, Black, Wired, Gaming, Optical, 3200dpi, Backlight, USB</t>
  </si>
  <si>
    <t>521-101-0401-0018</t>
  </si>
  <si>
    <t>Мышь Genius NX-7005, Black, Wireless, Optical, 1600dpi, 1 x AA, USB</t>
  </si>
  <si>
    <t>521-101-0401-0019</t>
  </si>
  <si>
    <t>Мышь Logitech M110 Silent, Blue, Wired, Optical, 1000dpi, USB</t>
  </si>
  <si>
    <t>521-101-0401-0020</t>
  </si>
  <si>
    <t>Колонки Accesstyle Pumpkin BTL (1.0) - Black, 5Вт RMS, 90Hz-20kHz, SD, Bluetooth, backlight</t>
  </si>
  <si>
    <t>521-101-0401-0021</t>
  </si>
  <si>
    <t>Колонки Defender Eclipse (2.1) - Black, 40Вт (2х10+20) RMS, 40Hz-20kHz, SD, USB, FM, MP3, LED</t>
  </si>
  <si>
    <t>521-101-0401-0022</t>
  </si>
  <si>
    <t>Колонки Defender Rage (2.0) - Black, 50Вт RMS, 45Hz-22kHz, AUX, USB, microSD, FM,
Bluetooth</t>
  </si>
  <si>
    <t>521-101-0401-0023</t>
  </si>
  <si>
    <t>Колонки Microlab FINECone 530U (2.1) - Wood, 64Вт(2х18+28)RMS, 35Hz-20kHz,
USB/SD/FM, +wireless RC</t>
  </si>
  <si>
    <t>521-101-0401-0024</t>
  </si>
  <si>
    <t>Источник бесперебойного питания UPS SVC V600-L-LCD, 600VA, 360W, 1x12V/7.5Ah, AVR 138-292V, 2 розет., 1xIEC C13, Black</t>
  </si>
  <si>
    <t>521-101-0401-0025</t>
  </si>
  <si>
    <t>Источник бесперебойного питания UPS SVC V1200-L-LCD, 1200VA, 720W, 2x12V/7 Ah, AVR 145-290V, 3 розет.</t>
  </si>
  <si>
    <t>521-101-0401-0026</t>
  </si>
  <si>
    <t>Источник бесперебойного питания UPS SVC V1500-L, 1500 VA, 900W, 2x12V/9 Ah, AVR
145-290 V, 3 розет.</t>
  </si>
  <si>
    <t>521-101-0401-0027</t>
  </si>
  <si>
    <t>Источник бесперебойного питания UPS SVC V2000-L, 2000VA, 1200W, 2x12v/9 Ah, AVR
175-275V, 2 розет.</t>
  </si>
  <si>
    <t>521-101-0401-0028</t>
  </si>
  <si>
    <t>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</si>
  <si>
    <t>- Компьютер Smart SSP CT РК 1996-2010 (с поддержкой казахского языка);
- Корпус: цельнометаллический корпус с перфорацией Smart SSP ГОСТ 32126.1-2013 Размеры: (430мм*90мм*395мм); - Процессор:Intel CoreI5 13400 10 / 16 ; L3 20 МБ; Базовая частота процессора (МГц) 1,8 ГГц; Максимальная частота (МГц) 4,6 ГГц; встроенный графический процессор;
- Оперативная память: Комплект модулей памяти DDR5, 16GB Тактовая частота: 4800 Мгц Жесткий диск: SSD 512 M2 Порты и системы передачи данных: 7 портов: 2 порта USB 3.0, 2 порта USB 2.0, 1 порта HDMI, 1
Type-C, RJ-45 х 1, 1 VGA; 1 Материнская плата не менее 1 (одного) разъема М.2, не менее 1 (одного) слота PCI Express 3.0 x 4, не менее 1 (одного) Ethernet-скорость – не менее 1 Гбит/сек. Блока питания 300 Вт. 80 PLUS Gold. Кабель питания 1,8 метра; - Монитор: SMART IPS 24 с ультратонкой рамкой FHD 1920x1080 Герц (Гц) 75 HDMI, 1 порт Display Port. Разъем для наушников, аудиовход 3.5 мм MiniJack; встроенные динамики  2х2 Вт; режимы –  умное энергосбережение, безопасный режим мерцания, режим чтения, динамическая синхронизация действий; яркость экрана - 250 кд/кв.м; - Сетевой фильтр 1,8 метра сумарная мощность нагрузки 2200 / 10А - Веб-камера: Full Hd, 3 мегапикселя; - Микрофонно-телефонная гарнитура: Тип крепления гарнитуры - дуговое. Частотный диапазон: нижняя граница не более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Аудиовыход комбинированный 3.5 мм; - Клавиатура Мышь: Клавиатура+мышь(с поддержкой казахского языка); -
Программное обеспечение: Windows 11 PRO/ Office 2019 - Гарантия 3 года, на обслуживание 5 лет;</t>
  </si>
  <si>
    <t>521-101-0401-0030</t>
  </si>
  <si>
    <t>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</si>
  <si>
    <t>- Персональный компьютер HP Pro Tower 400 G9 260W - Програмное обеспечение (ПО) Windows 11 Pro - Клавиатура HP 125 BLK Wired  - Компьютерная мышь HP Black 125 Wired - Office LTSC Professional Plus 2021 - Акустическая система Logitech Z150</t>
  </si>
  <si>
    <t>521-101-0401-0031</t>
  </si>
  <si>
    <t>Lenovo Neo 50s/Core™ i5-12400 Processor (P-cores 2.50 GHz up to 4.40 GHz)/256 GB SSD M.2 2280/4 GB DDR4-3200MHz+
монитор Lenovo C24-40</t>
  </si>
  <si>
    <t>-Компьютер Lenovo Neo 50s, Core™ i5-12400/Processor (P-cores 2.50 GHz up to 4.40 GHz)/256 GB SSD M.2 2280/4 GB DDR4-3200MHz (UDIMM)
-Монитор
Lenovo C24-40, 23.8"/VA/1920x1080/16:9/75 Hz</t>
  </si>
  <si>
    <t>521-101-0401-0032</t>
  </si>
  <si>
    <t>Гарнитура Genius HS-400A, тип крепления: дуговые, подключение 3,5 MiniJack, длина кабеля 1,2 м</t>
  </si>
  <si>
    <t>521-101-0401-0033</t>
  </si>
  <si>
    <t>Гарнитура Rapoo H100,  тип крепления: дуговые, выходная мощность 50мВт, 3.5MiniJack, длина кабеля 2.2м</t>
  </si>
  <si>
    <t>521-101-0401-0034</t>
  </si>
  <si>
    <t>Гарнитура Genius HS-05A, тип крепления: дуговые, подключение 3,5 MiniJack</t>
  </si>
  <si>
    <t>521-101-0401-0035</t>
  </si>
  <si>
    <t>Сетевой фильтр SVC ZP4S-50M, 5 м.220 в, 4 розетки, 5 метров, 220-250В, 10A</t>
  </si>
  <si>
    <t>521-101-0401-0036</t>
  </si>
  <si>
    <t>Системный блок ASUS Expert Center D5 / Intel® Core™ i3-13100 / 8Gb DDR4 / 256 Gb SSD + 1Tb HDD / Win 11 Edu / USB+MS</t>
  </si>
  <si>
    <t>521-101-0401-0037</t>
  </si>
  <si>
    <t>Системный блок ASUS Expert Center D5 / Intel® Core™ i5-13400 / 8Gb DDR4 / 256 Gb SSD + 1Tb HDD / Win 11 Edu / USB+MS</t>
  </si>
  <si>
    <t>521-101-0401-0038</t>
  </si>
  <si>
    <t>Системный блок ASUS Expert Center D7 / Intel® Core™ i3-13100 / 8Gb DDR4 / 256 Gb SSD + 1Tb HDD / Win 11 Edu / USB+MS</t>
  </si>
  <si>
    <t>521-101-0401-0039</t>
  </si>
  <si>
    <t>Системный блок ASUS Expert Center D7 / Intel® Core™ i5-13400 / 8Gb DDR4 / 256 Gb SSD + 1Tb HDD / Win 11Edu / USB+MS</t>
  </si>
  <si>
    <t>521-101-0401-0040</t>
  </si>
  <si>
    <t>Системный блок ASUS Expert Center D5 / Intel® Core™ i3-12100 / NV RTX3050 / 8Gb DDR4 / 256 Gb SSD + 1Tb HDD / Win 11 Edu
/ USB+MS</t>
  </si>
  <si>
    <t>521-101-0401-0041</t>
  </si>
  <si>
    <t>Системный блок ASUS Expert Center D5 / Intel® Core™ i5-12400 / NV RTX3060 / 16Gb DDR4 / 256 Gb SSD + 1Tb HDD / Win 11 Edu
/ USB+MS</t>
  </si>
  <si>
    <t>521-101-0401-0042</t>
  </si>
  <si>
    <t>Системный блок ASUS Workstation PD5 / Intel® Core™ i7-13700 / NV RTX4070 / 32Gb DDR4 / 512 Gb SSD + 2Tb HDD / Win 11 Pro
/ USB+MS</t>
  </si>
  <si>
    <t>521-101-0401-0043</t>
  </si>
  <si>
    <t>Системный блок Acer Veriton X2720G (Системный блок Veriton X2720G, клавиатура, мышь), конфигурация компьютера: процессор i5-13400, ОЗУ 16GB DDR4, диск 512GB SSD, ОС Win11ProEdu, и
Acer Classroom Manager⁠</t>
  </si>
  <si>
    <t>521-101-0401-0044</t>
  </si>
  <si>
    <t>Системный блок Acer Veriton S2720G (Системный блок Veriton S2720G, клавиатура, мышь),конфигурация компьютера: процессор i5-13400, ОЗУ 16GB DDR4, диск 512GB SSD, ОС Win11ProEdu, и Acer Classroom Manager</t>
  </si>
  <si>
    <t>521-101-0401-0045</t>
  </si>
  <si>
    <t>Портативный компьютер Acer Veriton N4690G/Core i3 12100/8гб 256 гб.
SSD/Монитор Vero B247 23.8 IPS/ОС Win11 Pro 64/с клавиатурой и сенсорной мышкой</t>
  </si>
  <si>
    <t>521-101-0401-0046</t>
  </si>
  <si>
    <t>Системный блок TC M90t G3 #1 Intel Core™ i5-12500 Processor (P-cores 3.00 GHz up to 4.60 GHz)/ 16 GB/RTX™ 3060 12GB/512 GB
SSD/Windows 11 для образовательныхучреждений</t>
  </si>
  <si>
    <t>521-101-0401-0047</t>
  </si>
  <si>
    <t>Системный блок TC M90t G3 #2 Intel® Core™ i7-12700 Processor (E-cores up to 3.60 GHz P-cores up to 4.80 GHz)/16 GB/RTX™ 3060 12GB/256 GB SSD/Windows 11 для образовательных учреждений</t>
  </si>
  <si>
    <t>521-101-0401-0048</t>
  </si>
  <si>
    <t>Системный блок Lenovo Neo 50t G4 #1 Intel® Core™ i5-12500 Processor (P-cores 3.00 GHz up to 4.60 GHz)/4 GB/256 GB
SSD/Windows 11 для образовательных учреждений</t>
  </si>
  <si>
    <t>521-101-0401-0049</t>
  </si>
  <si>
    <t>Системный блок Lenovo Neo 50t G4 #2 Intel® Core™ i3-12100 Processor (P-cores 3.30 GHz up to 4.30 GHz)/8 GB/256 GB
SSD/Windows 11 для образовательных учреждений</t>
  </si>
  <si>
    <t>521-101-0401-0050</t>
  </si>
  <si>
    <t>521-101-0401-0051</t>
  </si>
  <si>
    <t>Системный блок Lenovo TC ThinkCentre Neo 50t G4 #4/ Intel® Core™ i5-13400 Processor (E-cores up to 3.30 GHz P-cores up to 4.60 GHz)/8 GB DDR4-3200MHz (UDIMM)/1 TB 7200rpm HDD 3.5" SATA/256 GB SSD M.2
2280 PCIe Gen4 TLC Opal/USB/Windows 11
для образовательных учреждений</t>
  </si>
  <si>
    <t>521-101-0401-0052</t>
  </si>
  <si>
    <t>Системный блок Lenovo M70t G4 #1/Intel® Core™ i3-13100 Processor (P-cores 3.40 GHz up to 4.50 GHz)/8 GB DDR4-3200MHz (UDIMM)/256 GB SSD M.2 2280 PCIe Gen4 TLC Opal/1 TB 7200rpm HDD 3.5" SATA/1x
USB-C/4x USB-A Front, 4x USB-A Rear Ports/Windows 11 для образовательных
учреждений</t>
  </si>
  <si>
    <t>521-101-0401-0053</t>
  </si>
  <si>
    <t>Системный блок Lenovo M70t G4 #2/Intel® Core™ i5-13400 Processor (E-cores up to 3.30 GHz P-cores up to 4.60 GHz)/8 GB
DDR4-3200MHz (UDIMM)/256 GB SSD M.2
2280 PCIe Gen4 TLC Opal/1 TB 7200rpm HDD 3.5" SATA/1x USB-C/4x USB-A Front,
4x USB-A Rear Ports/Windows 11 для образовательных учреждений</t>
  </si>
  <si>
    <t>521-101-0401-0054</t>
  </si>
  <si>
    <t>Системный блок Lenovo M70t G4 #3/Intel® Core™ i3-13100 Processor (P-cores 3.40 GHz up to 4.50 GHz)/8 GB DDR4-3200MHz (UDIMM)/8 GB DDR4-3200MHz (UDIMM)/1
TB 7200rpm HDD 3.5" SATA/GeForce RTX™ 3050 8GB GDDR6/1x USB-C/4x USB-A
Front, 4x USB-A Rear Ports/Windows 11 для образовательных учреждений</t>
  </si>
  <si>
    <t>521-101-0401-0055</t>
  </si>
  <si>
    <t>Системный блок Lenovo M90t G3 #4/Intel® Core™ i5-12400F Processor (P-cores 2.50 GHz up to 4.40 GHz)/16 GB DDR5-4400MHz (UDIMM)/1 TB 7200rpm HDD 3.5" SATA/256 GB SSD M.2 2280 PCIe Gen4 TLC
Opal/GeForce® GTX 1660 SUPER™ 6GB GDDR6/1x USB-C/4x USB-A Front, 4x USB-A Rear Ports/Windows 11 для
образовательных учреждений</t>
  </si>
  <si>
    <t>521-101-0401-0056</t>
  </si>
  <si>
    <t>Системный блок Lenovo M90q G4 #1/Intel® Core™ i3-13100 Processor (P-cores 3.40 GHz up to 4.50 GHz)/8 GB DDR5-4800MHz (SODIMM)/256 GB SSD M.2 2280 PCIe Gen4
TLC Opal/Integrated Graphics/1 x USB-C, 2 x Front USB, 4 x Rear USB/Windows 11 для образовательных учреждений</t>
  </si>
  <si>
    <t>521-101-0401-0057</t>
  </si>
  <si>
    <t>Системный блок Lenovo Neo 50t G4 #5/Intel® Core™ i3-13100 Processor (P-cores 3.40 GHz up to 4.50 GHz)/8 GB
DDR4-3200MHz (UDIMM)/1 TB 7200rpm HDD 3.5" SATA/256 GB SSD M.2 2280 PCIe
Gen4 TLC Opal/AMD Radeon™ RX 6400 4GB GDDR6/Windows 11 для образовательных учреждений</t>
  </si>
  <si>
    <t>521-101-0401-0058</t>
  </si>
  <si>
    <t>Системный блок Lenovo M70t G4 #4/Intel® Core™ i5-13400 Processor (E-cores up to 3.30 GHz P-cores up to 4.60 GHz)/8 GB
DDR4-3200MHz (UDIMM)/512 GB SSD M.2
2280 PCIe Gen4 TLC Opal/GeForce RTX™ 3050 8GB GDDR6/1x USB-C/4x USB-A
Front, 4x USB-A Rear Ports/Windows 11 для образовательных учреждений</t>
  </si>
  <si>
    <t>521-101-0401-0059</t>
  </si>
  <si>
    <t>Системный блок Lenovo Neo 50s G4 #1/Intel® Core™ i5-12400 Processor (P-cores 2.50 GHz up to 4.40 GHz)/4 GB
DDR4-3200MHz (UDIMM)/256 GB SSD M.2
2280 PCIe Gen4 TLC Opal/Integrated Graphics/1 x USB-C, 2 x Front USB, 4 x Rear USB/Windows 11 для образовательных учреждений/Монитор 23.8" Lenovo
C24-40/1920x1080 FHD/75Hz/250 nits/16:9/1x HDMI 1.4, 1x VGA/Время отклика 4ms</t>
  </si>
  <si>
    <t>521-101-0401-0060</t>
  </si>
  <si>
    <t>Системный блок AVTECH, Intel Core
i3/8GB/SSD 256GB/ Windows 10</t>
  </si>
  <si>
    <t>521-101-0401-0061</t>
  </si>
  <si>
    <t>Монитор AVTECH SD40IF-V 23", 1920х1080/LED/60 Гц/5 мс/3000:1/HDMI, VGA (D-Sub)</t>
  </si>
  <si>
    <t>521-101-0401-0062</t>
  </si>
  <si>
    <t>Клавиатура+мышь AVTECH C304</t>
  </si>
  <si>
    <t>521-101-0401-0063</t>
  </si>
  <si>
    <t>Сетевой фильтр Defender M518, 1,8 м, 5
розеток</t>
  </si>
  <si>
    <t>521-101-0401-0064</t>
  </si>
  <si>
    <t>Системный блок HP Pro Tower 400 G9 P 260W / Intel Core i5-14500 5.00G 24 MB 14 cores 65W CPU /  8GB (1x8GB) DDR5 4800 UDIMM Memory / 256GB 2280 PCIe NVMe
Value Solid State Drive / Windows 11 Pro 64 / HP 125 BLK Wired Keyboard / HP Black 125 Wired Mouse / HP 3 year Next Business
Day Onsite Desktop excl. External Monitor Hardware Support</t>
  </si>
  <si>
    <t>521-101-0401-0066</t>
  </si>
  <si>
    <t>Персональный компьютер Smart SSP, монитор Smart IPS 23,8/ i5-12400/8GB/SSD 240GB</t>
  </si>
  <si>
    <t>Персональный компьютер Smart SSP CT РК 1996-2010; монитор SMART IPS 23.8 с ультратонкой рамкой FHD 1920x1080 Герц (Гц)  75; процессор
i5-12400; охлаждение центрального процессора S1700/1200/115x/775/AMD, 100W,12cm fan, 1600rpm; оперативная память 8GB; твёрдотельный накопитель SSD 240Gb; корпус Smart SSP  цельнометаллический корпус с перфорацией (430мм*90мм*395мм); ПО Windows 10PRO; клавиатура+мышь; 3 года гарантии+2 года сервис.</t>
  </si>
  <si>
    <t>521-101-0401-0067</t>
  </si>
  <si>
    <t>Сетевой фильтр типа Surge Protector</t>
  </si>
  <si>
    <t>Производитель HONGKONG SUNO TECHNOLOGY LIMITED,  Мощность на выходе 2200 Вт, Напряжение на входе 220-230В,  Тип устройства Сетевой фильр,  Количество выходных розеток 6, Тип розеток , Длина кабеля 5м, Вес изделия (кг) 0,700.</t>
  </si>
  <si>
    <t>521-101-0401-0069</t>
  </si>
  <si>
    <t>Системный блок HP Pro Tower 400 G9 P 260W / Intel Core i5-14500 5.00G 24 MB 14 cores 65W CPU / 16GB (1x16GB) DDR5 4800 UDIMM Memory / 512GB 2280 PCIe NVMe
Value Solid State Drive / Windows 11 Pro 64 / HP 125 BLK Wired Keyboard / HP Black 125 Wired Mouse / HP 3 year Next Business Day Onsite Desktop excl. External Monitor Hardware Support</t>
  </si>
  <si>
    <t>521-101-0401-0070</t>
  </si>
  <si>
    <t>Персональный компьютер HP Z1 TWR Intel Core i7-13700 2.10G 30MB 16 cores 65W CPU / 16GB (1x16GB) DDR5 4800 UDIMM
Memory / 512GB 2280 PCIeNVMe Value Solid State Drive / Windows 11 Pro 64 / NVIDIA GeForce RTX 3070 3DP+HDMI
Graphics LHR / HP 125 BLK Wired Keyboard
/ HP Black 125 Wired Mouse</t>
  </si>
  <si>
    <t>521-101-0401-0071</t>
  </si>
  <si>
    <t>Гарнитура Logitech H390 (USB, элементы управления на кабеле, кабель 2,33м)</t>
  </si>
  <si>
    <t>521-101-0401-0072</t>
  </si>
  <si>
    <t>Мышь HP 125 Wired Mouse</t>
  </si>
  <si>
    <t>521-101-0401-0076</t>
  </si>
  <si>
    <t>Персональный компьютер Smart SSP с монитором SMART IPS 23,8 дюйм FHD 1920×1080, 75 Гц, со встроенной
веб-камерой, цельнометаллический корпус Smart SSP; Intel Core i9-14900 2,2 ГГц, DDR5 32 GB, SSD 512 GB + SSD 1000 GB,
видеокарта RTX 5070 12 GB; комплект: клавиатура, мышь, гарнитура, сетевой фильтр, Windows 11 Pro, Office 2021</t>
  </si>
  <si>
    <t>521-101-0401-0077</t>
  </si>
  <si>
    <t>Персональный компьютер Smart SSP с монитором SMART IPS 23,8 дюйм FHD 1920×1080, 75 Гц, со встроенной
веб-камерой, цельнометаллический корпус Smart SSP; Intel Core i3-14100 3,5 ГГц, DDR5 16 GB, SSD 512 GB; комплект: клавиатура, мышь, гарнитура, сетевой фильтр 5 м (6 розеток), Windows 11 Pro, Office 2021</t>
  </si>
  <si>
    <t>521-101-0401-0078</t>
  </si>
  <si>
    <t>Персональный компьютер Smart SSP с монитором SMART IPS 23,8 дюйм FHD 1920×1080, 75 Гц, со встроенной
веб-камерой, цельнометаллический корпус Smart SSP; Intel Core i7-14700 1.5 ГГц, DDR5 32 GB, SSD 512 GB + SSD 1000 GB,
видеокарта RTX 4060 8 GB; комплект: клавиатура, мышь, гарнитура, сетевой фильтр 5 м (6 розеток), Windows 11 Pro,
Office 2021</t>
  </si>
  <si>
    <t>521-101-0401-0079</t>
  </si>
  <si>
    <t>Персональный компьютер Smart SSP с монитором Smart SSP 23,8 дюйм IPS, Full HD 1920×1080, 100 Гц, ультратонкая рамка, встроенная веб-камера; корпус Smart SSP; Intel Core i5-14400 1,8 ГГц, DDR5 16 GB,
SSD 512 GB; комплект: клавиатура, мышь, гарнитура, сетевой фильтр 5 м (6 розеток),
Windows 11 Pro, Office 2021</t>
  </si>
  <si>
    <t>521-101-0401-0080</t>
  </si>
  <si>
    <t>Компьютер 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</si>
  <si>
    <t>Тактовая частота: 3200 Мгц, система беспроводной передачи данных и наличие 6 портов: 2 порта USB 3.0, 2 порта USB 2.0, 1 порта HDMI,  RJ-45 х 1, 1 для аудио/микрофона или порты с иной раскладкой превосходящие текущие параметры. Устройство хранения данных: 512 Гб SSD, материнская плата  1 разъема М.2,  1 слота PCI Express 3.0 x 4. Системный блок с кабелем питания. Монитор: разрешение экрана –  1920x1080, диагональ -  23,8 дюймов; Порты 1 порта HDMI, 1 порта Display Port.
Разъем для наушников, аудиовход 3.5 мм MiniJack. Умное энергосбережение, безопасный режим мерцания, режим чтения, динамическая синхронизация действий. Минимальная яркость экрана  250 кд/кв.м. Матрица  VA или IPS. Максимальная частота обновления кадров не менее 75 Гц. Мин. время отклика пикселя не более 4 мс. Веб-камера: 2 МП, поддержка Full Hd. Клавиатура: проводная; языки: казахский/русский/английский с заводским нанесением букв, мембранная, длина провода  1,5 метра. Мышь: проводная, оптическая, USB 1,5 метра с ковриком. Микрофонно-телефонная гарнитура: тип крепления дуговое, длина кабеля  1,8 м. Мягкие накладки-амбушюры, регулятор громкости.
Аудиовыход комбинированный  3.5 мм. Сетевой фильтр: количество выходных розеток 5, длина шнура 1.8 м. В комплекте с системным блоком, клавиатурой, мышью (с ковриком), микрофонной  гарнитурой, веб-камерой,
сетевым фильтром, монитором.</t>
  </si>
  <si>
    <t>521-101-0402</t>
  </si>
  <si>
    <t>Проектор</t>
  </si>
  <si>
    <t>521-101-0402-0001</t>
  </si>
  <si>
    <t>Проектор Epson EB-E01, LCD, 3300lm, 15000:1, XGA, 1024x768, 6000hr, 0.58-8.89m,
2.37kg</t>
  </si>
  <si>
    <t>521-101-0402-0002</t>
  </si>
  <si>
    <t>Проектор Acer P6200, DLP,3D, 5000lm, XGA, 1024x768, 0.43-7.62m, 3000hr, 1-11.4m,
4.6kg</t>
  </si>
  <si>
    <t>521-101-0402-0003</t>
  </si>
  <si>
    <t>Проектор Acer Predator Z650, DLP,3D, 2200lm,20000:1, Full HD, 1920x1080,
0.9-4.6m, 3000hr, 3.6kg</t>
  </si>
  <si>
    <t>521-101-0402-0004</t>
  </si>
  <si>
    <t>Проектор Xiaomi Mi 4K Laser Project 150", Full HD,1920x1080</t>
  </si>
  <si>
    <t>521-101-0402-0005</t>
  </si>
  <si>
    <t>Экран проекционный моторизованный Deluxe DLS-ERC203xW, 1:1, 195 x 195 см</t>
  </si>
  <si>
    <t>521-101-0402-0006</t>
  </si>
  <si>
    <t>Экран проекционный моторизованный Mr.Pixel MSPSAB135V2, 1:1, 244x244 см</t>
  </si>
  <si>
    <t>521-101-0402-0007</t>
  </si>
  <si>
    <t>Экран проекционный моторизованный Deluxe DLS-ERC350x270W, 16:9, 342 x 262
см, белый матовый</t>
  </si>
  <si>
    <t>521-101-0402-0008</t>
  </si>
  <si>
    <t>Экран проекционный настенный Xiaomi Mi Ambient Light Rejecting Projector Screen 100"</t>
  </si>
  <si>
    <t>521-101-0402-0009</t>
  </si>
  <si>
    <t>Проектор Epson CO-FD01, 3LCD, 3000 ANSI Lm, 1080p, 300:1</t>
  </si>
  <si>
    <t>521-101-0402-0010</t>
  </si>
  <si>
    <t>Проектор Epson CO-WX01, 3LCD, 3000 ANSI Lm, WXGA, 300:1</t>
  </si>
  <si>
    <t>521-101-0402-0011</t>
  </si>
  <si>
    <t>Проектор Epson EB-685W, 3LCD, 3500 ANSI Lm, WXGA, 14000:1</t>
  </si>
  <si>
    <t>521-101-0402-0012</t>
  </si>
  <si>
    <t>Проектор Epson EB-770F, 3LCD, 4100 ANSI Lm, 1080p, 2500000:1</t>
  </si>
  <si>
    <t>521-101-0402-0013</t>
  </si>
  <si>
    <t>Интерактивный проектор Epson EB-770Fi, 3LCD, 4100 ANSI Lm, 1080p, 2500000:1</t>
  </si>
  <si>
    <t>521-101-0402-0014</t>
  </si>
  <si>
    <t>Проектор Epson EB-810E, 3LCD, 5000 ANSI Lm, 4K, 2500000:1</t>
  </si>
  <si>
    <t>521-101-0402-0015</t>
  </si>
  <si>
    <t>Проектор Epson EB-E20, 3LCD, 3400 ANSI Lm, XGA, 15000:1</t>
  </si>
  <si>
    <t>521-101-0402-0016</t>
  </si>
  <si>
    <t>Проектор Epson EB-W49, 3LCD, 3800 ANSI Lm, WXGA, 16000:1</t>
  </si>
  <si>
    <t>521-101-0402-0017</t>
  </si>
  <si>
    <t>Проектор Epson EB-X49, 3LCD, 3600 ANSI Lm, XGA, 16000:1</t>
  </si>
  <si>
    <t>521-101-0402-0018</t>
  </si>
  <si>
    <t>Проектор Epson EF-11, 3LCD, 2000 ANSI Lm, 1080p, 2500000:1</t>
  </si>
  <si>
    <t>521-101-0402-0019</t>
  </si>
  <si>
    <t>Проектор Epson EB-2250U, 3LCD, 5000 ANSI Lm, WUXGA, 15000:1</t>
  </si>
  <si>
    <t>521-101-0402-0020</t>
  </si>
  <si>
    <t>Проектор Epson EB-L260F,3LCD, 4600 ANSI Lm, 1080p, 2500000:1</t>
  </si>
  <si>
    <t>521-101-0402-0021</t>
  </si>
  <si>
    <t>Проектор Epson EB-L520U, 3LCD, 5200 ANSI Lm, WUXGA, 2500000:1</t>
  </si>
  <si>
    <t>521-101-0402-0022</t>
  </si>
  <si>
    <t>Проектор Epson EB-L720U, 3LCD, 7000 ANSI Lm, WUXGA, 2500000:1</t>
  </si>
  <si>
    <t>521-101-0402-0023</t>
  </si>
  <si>
    <t>Проектор Epson EB-PU1008W, 3LCD, 8500ANSI Lm, WUXGA + 4K  Enhancement, 2500000:1 с ультракороткофокусным
объективом EpsonELPLX01WS, 0.35:1"</t>
  </si>
  <si>
    <t>521-101-0402-0024</t>
  </si>
  <si>
    <t>Проектор Epson EB-PU2010W, 3LCD, 10000 ANSI Lm, WUXGA + 4K Enhancement, 2500000:1 с короткофокусным объективом Epson ELPLU03S, 0.48-0.57:1</t>
  </si>
  <si>
    <t>521-101-0402-0025</t>
  </si>
  <si>
    <t>Проектор Epson EB-PU2113W, 3LCD, 13000 ANSI Lm, WUXGA + 4K Enhancement, 2500000:1 со среднефокусным объективом Epson ELPLM15, 1.57-2.56:1</t>
  </si>
  <si>
    <t>521-101-0410</t>
  </si>
  <si>
    <t>Ноутбук</t>
  </si>
  <si>
    <t>521-101-0410-0002</t>
  </si>
  <si>
    <t>Ноутбук HP 16-d0000ur, Core i5 11400-2.7GHz/16.1"FHD/512GB
SSD/8GB/GTX 1650, 4GB/WL/BT/Cam/DOS</t>
  </si>
  <si>
    <t>521-101-0410-0003</t>
  </si>
  <si>
    <t>Ноутбук HP ENVY x360 15-es0009ur, Core i5-1135G7-2.4GHz/15.6"FHD/512GB
SSD/16GB/Intel Iris Xe/WL/W10</t>
  </si>
  <si>
    <t>521-101-0410-0004</t>
  </si>
  <si>
    <t>Ноутбук HP 16-d0021ur, Core i7 11800H-2.3GHz/16.1"FHD/1TB SSD/16GB/RTX3050Ti,
4GB/WL/BT/Cam/DOS</t>
  </si>
  <si>
    <t>521-101-0410-0007</t>
  </si>
  <si>
    <t>Ноутбук Lenovo ideapad 15S/Core
i5-1155G7/1920/1080 Full HD/2.5 GHz/4.5
GHz (Turbo) max/Windows 10/MS Office/Not32/DDR4/8GB/RAM: SSD 512 GB/Web Camera 720P</t>
  </si>
  <si>
    <t>521-101-0410-0008</t>
  </si>
  <si>
    <t>Ноутбук Lenovo ThinkBook 15 G4/Core™ i3-1215U Processor/256 GB SSD+мышь Lenovo ThinkPad Essential Wireless Mouse</t>
  </si>
  <si>
    <t>- Ноутбук  Lenovo ThinkBook 15 G4/Core™ i3-1215U Processor (E-cores up to 3.30 GHz P-cores up to 4.40 GHz)/256 GB SSD M.2 2242 PCIe Gen4 TLC/8 GB (8GB Onboard + 0 SoDIMM) DDR4 3200MHz
- Лицензия Office Home and
Student 2021                                                       - ПО Windows 11 Pro 64 Academ
- Мышь Lenovo ThinkPad Essential Wireless Mouse</t>
  </si>
  <si>
    <t>521-101-0410-0009</t>
  </si>
  <si>
    <t>Ноутбук Tactus t-book / 11.6" / 4Gb / SSD M.2 128GB 4 ядерный 4 потока / 2.0 ГГц / WiFi 802.11b/g/n/ac и wifi6 2.4G/5G, Bluetooth 4.2.
/ батарея 37 Вт*ч</t>
  </si>
  <si>
    <t>521-101-0410-0010</t>
  </si>
  <si>
    <t>Ноутбук Tactus t-book 15 / 15.6" / 8Gb / SSD
M.2 256Gb 2 ядерный, 4 потока / 3.4 ГГц / WiFi 2.4G, Bluetooth / батарея 3600 мАч</t>
  </si>
  <si>
    <t>521-101-0410-0011</t>
  </si>
  <si>
    <t>Ноутбук ASUS B1402CVA, Core i3 1315U/14"FHD/8GB/256GB SSD/Intel
UHD/WL/BT/Cam/W11Edu</t>
  </si>
  <si>
    <t>521-101-0410-0012</t>
  </si>
  <si>
    <t>Ноутбук ASUS B1402CVA, Core
i5-1335U/14"FHD/8GB/256GB SSD/Intel
UHD/WL/BT/Cam/W11Edu</t>
  </si>
  <si>
    <t>521-101-0410-0013</t>
  </si>
  <si>
    <t>Ноутбук ASUS B1402CVA, Core i7 1355U/14"FHD/8GB/256GB SSD/Intel
UHD/WL/BT/Cam/W11Pro</t>
  </si>
  <si>
    <t>521-101-0410-0014</t>
  </si>
  <si>
    <t>Ноутбук ASUS B1502CVA, Core i3 1315U/15,6"FHD/8GB/256GB SSD/Intel
UHD/WL/BT/Cam/W11Pro</t>
  </si>
  <si>
    <t>521-101-0410-0015</t>
  </si>
  <si>
    <t>Ноутбук ASUS B1502CVA, Core
i5-1335U/15,6"FHD/8GB/256GB SSD/Intel
UHD/WL/BT/Cam/W11Pro</t>
  </si>
  <si>
    <t>521-101-0410-0016</t>
  </si>
  <si>
    <t>Ноутбук ASUS B1502CVA, Core i7 1355U/15,6"FHD/8GB/256GB SSD/Intel
UHD/WL/BT/Cam/W11Pro</t>
  </si>
  <si>
    <t>521-101-0410-0017</t>
  </si>
  <si>
    <t>Ноутбук EX215-33 15.6FHD / i3 N305/ 8гб DDR4/ 256Gb SSD / Win11Pro/Acer Classroom Manager</t>
  </si>
  <si>
    <t>521-101-0410-0018</t>
  </si>
  <si>
    <t>Ноутбук TMP215-54/15.6" FHD /  i3-1215U/
8 гб DDR4/ 256GB SSD / Win11Pro EDU/Acer Classroom Manager</t>
  </si>
  <si>
    <t>521-101-0410-0019</t>
  </si>
  <si>
    <t>Ноутбук Acer EX215-55 (15.6FHD IPS/ i3 1215U/ 8/ 256 SSD/ Win11 EDU/ Office STd EDU/Acer Classroom Manager</t>
  </si>
  <si>
    <t>521-101-0410-0020</t>
  </si>
  <si>
    <t>Ноутбук Acer TMB514-31 (14FHD IPS / i3 N305 / 8Gb / 256Gb SSD / Win11Pro EDU/Acer Classroom Manager</t>
  </si>
  <si>
    <t>521-101-0410-0021</t>
  </si>
  <si>
    <t>Ноутбук Acer TMP215-54 (15.6FHD IPS / i3 1215U / 8Gb / 128Gb SSD +1Tb HDD/
Win11Pro EDU/Acer Classroom Manager</t>
  </si>
  <si>
    <t>521-101-0410-0022</t>
  </si>
  <si>
    <t>Ноутбук Acer TMP214-54 (15.6FHD IPS / i3 1215U / 8Gb / 256Gb SSD/Type-C 65W/ Win11Pro EDU/Type-C 65W/Acer Classroom Manager</t>
  </si>
  <si>
    <t>521-101-0410-0023</t>
  </si>
  <si>
    <t>Ноутбук TMP215-54/15.6" FHD/  i5-1235U/8
Гб DDR4 /512GB SSD/ Win11Pro Edu/Acer Classroom Manager</t>
  </si>
  <si>
    <t>521-101-0410-0024</t>
  </si>
  <si>
    <t>Ноутбук HP 250 G10 / UMA i3-1315U 250 G10 / 15.6 FHD AG SVA 250 / 8GB 1D DDR4
3200 / 256GB PCIe NVMe Value / W11p64 / 1yw / Flint Opaque kbd TP Imagepad num kypd kbd / Wi-Fi 6 +BT 5.3 with 1 Antenna for Plastic Cover / Turbo Silver  w/HD Webcam no Fingerprint / HP 3 year Next Business
Day Response Onsite Notebook Hardware
Support</t>
  </si>
  <si>
    <t>521-101-0410-0025</t>
  </si>
  <si>
    <t>Тележка Acer Charging Car для хранения и зарядки до 32 ноутбуков</t>
  </si>
  <si>
    <t>521-101-0410-0026</t>
  </si>
  <si>
    <t>Ноутбук Lenovo P16v #1  Intel® Core™
i7-13700H Processor (E-cores up to 3.70 GHz P-cores up to 5.00 GHz)/16"FHD/512 GB SSD/ 8 GB/  RTX™ A500 Laptop GPU
4GB/WL/BT/Cam 1080P FHD/Windows 11 для образовательных учреждений</t>
  </si>
  <si>
    <t>521-101-0410-0027</t>
  </si>
  <si>
    <t>Ноутбук Lenovo L13 Yoga G4 #1  Intel® Core™ i5-1335U Processor (E-cores up to 3.40 GHz P-cores up to 4.60 GHz)/13.3"FHD/512 GB SSD/16 GB/Enabled Discrete TPM2.0/WL/BT/Windows 11 для
образовательных учреждений</t>
  </si>
  <si>
    <t>521-101-0410-0028</t>
  </si>
  <si>
    <t>Ноутбук Lenovo P16v #2 Intel® Core™
i7-13700H Processor (E-cores up to 3.70 GHz P-cores up to 5.00 GHz)/16""FHD/1 TB SSD/16 GB/RTX™ A1000 Laptop GPU
6GB/WL/BT/Cam FHD/Windows 11 для образовательныхучреждений</t>
  </si>
  <si>
    <t>521-101-0410-0029</t>
  </si>
  <si>
    <t>Ноутбук Lenovo ThinkBook 16 G6 #1 Intel® Core™ i3-1315U Processor (E-cores up to 3.30 GHz P-cores up to 4.50 GHz)/16"FHD/8 GB/256 GB SSD/Integrated Intel® UHD Graphics/WL/BT/Cam FHD/Windows 11 для образовательных учреждений</t>
  </si>
  <si>
    <t>521-101-0410-0030</t>
  </si>
  <si>
    <t>Ноутбук Lenovo ThinkBook 14 G6 #1/Intel® Core™ i3-1315U Processor (E-cores up to 3.30 GHz P-cores up to 4.50 GHz)/14" FHD/8 GB DDR5-5200MHz (SODIMM)/256 GB SSD
M.2 2242 PCIe Gen4 TLC/Intel® UHD Graphics/WL/BL/Cam FHD/Windows 11 для образовательных учреждений</t>
  </si>
  <si>
    <t>521-101-0410-0031</t>
  </si>
  <si>
    <t>Ноутбук Lenovo ThinkBook 14 G6 #2/Intel® Core™ i5-1335U Processor (E-cores up to 3.40 GHz P-cores up to 4.60 GHz)/14" FHD/8 GB DDR5-5200MHz (SODIMM)/256 GB SSD
M.2 2242 PCIe Gen4 TLC/Integrated Intel® UHD Graphics/WL/BL/Cam FHD/Windows 11 для образовательных учреждений</t>
  </si>
  <si>
    <t>521-101-0410-0032</t>
  </si>
  <si>
    <t>Ноутбук Lenovo ThinkBook 14 G6 #3/Intel® Core™ i7-13700H Processor (E-cores up to 3.70 GHz P-cores up to 5.00 GHz)/14" FHD/8 GB DDR5-5200MHz (SODIMM)/256 GB SSD
M.2 2242 PCIe Gen4 TLC/Integrated Intel® UHD Graphics/WL/BL/Cam FHD/Windows 11 для образовательных учреждений</t>
  </si>
  <si>
    <t>521-101-0410-0034</t>
  </si>
  <si>
    <t>Ноутбук Lenovo ThinkBook 16 G6 #2/Intel® Core™ i5-1335U Processor (E-cores up to 3.40 GHz P-cores up to 4.60 GHz)/16" FHD/8 GB DDR5-5200MHz (SODIMM)/256 GB SSD
M.2 2242 PCIe Gen4 TLC/Integrated Intel® UHD Graphics/WL/BL/Cam FHD/Windows 11 для образовательных учреждений</t>
  </si>
  <si>
    <t>521-101-0410-0035</t>
  </si>
  <si>
    <t>Ноутбук Lenovo ThinkBook 16 G6 #3/Intel® Core™ i7-13700H Processor (E-cores up to 3.70 GHz P-cores up to 5.00 GHz)/16" FHD/8 GB DDR5-5200MHz (SODIMM)/256 GB SSD
M.2 2242 PCIe Gen4 TLC/Integrated Intel® UHD Graphics/WL/BL/Cam FHD/Windows 11 для образовательных учреждений</t>
  </si>
  <si>
    <t>521-101-0410-0036</t>
  </si>
  <si>
    <t>Ноутбук Lenovo ThinkBook 16 G6 #1 Intel® Core™ i3-1315U Processor (E-cores up to 3.30 GHz P-cores up to 4.50 GHz)/16""FHD/8 GB/256 GB SSD/Integrated Intel® UHD Graphics/WL/BT/Cam FHD/Lenovo ThinkPad Essential Wireless Mouse/Windows 11 для образовательных учреждений</t>
  </si>
  <si>
    <t>521-101-0410-0037</t>
  </si>
  <si>
    <t>Ноутбук Lenovo M90t G3 #5/Intel® Core™ i5-12400F Processor (P-cores 2.50 GHz up to 4.40 GHz)/16 GB DDR5-4400MHz (UDIMM)/512 GB SSD M.2 2280 PCIe Gen4
TLC Opal/GeForce® GTX 1660 SUPER™ 6GB GDDR6/WL/BT/Windows 11 для образовательных учреждений</t>
  </si>
  <si>
    <t>521-101-0410-0038</t>
  </si>
  <si>
    <t>Ноутбук Ubook Ubook Lite 15.6" IPS FHD
/i5-1240P / 8Gb / 256Gb SSD / Win11Edu</t>
  </si>
  <si>
    <t>521-101-0410-0039</t>
  </si>
  <si>
    <t>Ноутбук Ubook Ubook Pro 15.6" IPS FHD
/i5-1240P / 16Gb / 512Gb SSD / Win11Edu</t>
  </si>
  <si>
    <t>521-101-0410-0040</t>
  </si>
  <si>
    <t>Ноутбук Ubook Quantumflare 15.6" IPS FHD
/i7-1260P / 8Gb / 256Gb SSD / Win11Edu</t>
  </si>
  <si>
    <t>521-101-0410-0041</t>
  </si>
  <si>
    <t>Ноутбук Ubook ThundercoreX 15.6" IPS FHD
/i7-1260P / 16Gb / 512Gb SSD / Win11Edu</t>
  </si>
  <si>
    <t>521-101-0410-0042</t>
  </si>
  <si>
    <t>Ноутбук Ubook NovaSpectre 15.6" IPS QHD
/I3-1135G4 / 8Gb / 256Gb SSD / Win11Edu</t>
  </si>
  <si>
    <t>521-101-0410-0043</t>
  </si>
  <si>
    <t>Ноутбук Ubook NovaSpectre Y 15.6" IPS QHD /I3-1135G4 / 16Gb / 512Gb SSD /
Win11Edu</t>
  </si>
  <si>
    <t>521-101-0410-0045</t>
  </si>
  <si>
    <t>Ноутбук HP ProBook 450 G10 / UMA
i5-1335U Realtek USBC 450 G10 / 15.6 FHD
AG UWVA 250 HD NarrowBezel bent / 8GB 1D DDR4 3200 / 256GB PCIe NVMe Value /
W11p64 / 1yw / Dual AryMicUSB2 WFOVCamera / Clickpad with numeric keypad
/ Intel AX211 Wi-Fi 6E 160 MHz / HP 3 year Next Business
Day Response Onsite Notebook Hardware Support</t>
  </si>
  <si>
    <t>521-101-0410-0046</t>
  </si>
  <si>
    <t>Ноутбук HP 250 G10 / UMA i5-1334U 250 G10 / 15.6 FHD AG UWVA 250 / 8GB 1D DDR4 3200 / 512GB PCIe NVMe Value /
W11p64 / 1yw / Flint Opaque kbd TP Imagepad num kypd  kbd / Wi-Fi 6 +BT 5.3 with 2 Antenna for Plastic Cover / Turbo Silver  w/HD Webcam no Fingerprint Reader ID / No / HP 3 year Next Business
Day Response Onsite Notebook Hardware Support</t>
  </si>
  <si>
    <t>521-101-0410-0049</t>
  </si>
  <si>
    <t>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</si>
  <si>
    <t>Клавиатура и мышь. Покрытие экрана: Матовое, Частота обновления: 60 Гц, Яркость: 250 Кд/м², Плотность пикселей: 141 ppi, Внешний вид: Цвет: черный, Материал корпуса: Алюминий, Шторка веб-камеры имеется.
Распознавание лица: нет, Устройства ввода: клавиатура, Раскладка клавиатуры: английская/русская/казахская, Цифровой блок клавиатуры: имеется, Подсветка клавиш: одноцветная (белая), Тачпад: стандартный тачпад, Интернет/передача данных: Bluetooth: 5.2, Wifi: WIFI 6(802.11ax1), Разъемы периферии: RJ45: 1,  HDMI 2.0: 1, Type-C: 1, USB-A 3.0: 2, USB-A
2.0: 1,  Аудиоразъем 3 .5 мм jack (микрофон/аудио): 1. SD card: 1, Питание:
Батарея: 49.08Wh (11.55V/4250MA), Приблизительное время автономной работы: 6 ч, Выходная мощность адаптера питания: 65 Вт</t>
  </si>
  <si>
    <t>521-101-0411</t>
  </si>
  <si>
    <t>Монитор</t>
  </si>
  <si>
    <t>521-101-0411-0002</t>
  </si>
  <si>
    <t>Монитор 27" Acer EI272URPbmiiipx, Black,VA,2560x1440@144Hz,320кд/м2,DC10 0M:1,H:178/V:178,4m,3HDMI,DP</t>
  </si>
  <si>
    <t>521-101-0411-0003</t>
  </si>
  <si>
    <t>Монитор 27" ASUS ProArt PA278CV,
Black-Silver,IPS,2560x1440@75Hz,350кд/м2, H/V:178,5ms,2xDP,HDMI</t>
  </si>
  <si>
    <t>521-101-0411-0004</t>
  </si>
  <si>
    <t>Монитор 27" Dell S2722DGM, Black, VA, 2560x1440@165Hz, 350кд/м2,3000:1, H/V:178, 2ms, 2xHDMI,DP</t>
  </si>
  <si>
    <t>521-101-0411-0005</t>
  </si>
  <si>
    <t>Монитор 27" HP U27 4K Wireless,
Silver-Black, 3840x2160@60Hz,300кд/м2, DC10M:1, H/V:178, 5ms,DP,HDMI</t>
  </si>
  <si>
    <t>521-101-0411-0006</t>
  </si>
  <si>
    <t>Монитор 27" Philips 272E1SA, Black, IPS, 1920x1080@75Hz, 300кд/м2, 1000:1, 1ms, HDMI, VGA, DP, Audio</t>
  </si>
  <si>
    <t>521-101-0411-0007</t>
  </si>
  <si>
    <t>Монитор 27" SAMSUNG F27T850QWI,
Black, IPS, 2560x1440@75Hz, 350кд/м2, H/V:178, 4ms, DP, HDMI, 3xUSB</t>
  </si>
  <si>
    <t>521-101-0411-0008</t>
  </si>
  <si>
    <t>Монитор HP Series 3 Pro 21.5 inch FHD Monitor - 322pf</t>
  </si>
  <si>
    <t>521-101-0411-0009</t>
  </si>
  <si>
    <t>Монитор HP Series 3 Pro 23.8 inch FHD Monitor - 324pf</t>
  </si>
  <si>
    <t>521-101-0411-0010</t>
  </si>
  <si>
    <t>Монитор 23.8" ASUS VA24EHE, black, IPS, 1920x1080 (16:9 ), 75 Гц, 250cd/m2, H178°/V178°, 1000:1, 8M:1, 5ms, VGA, HDMI, D-SUB</t>
  </si>
  <si>
    <t>521-101-0411-0011</t>
  </si>
  <si>
    <t>Монитор 23.8" ASUS VA24EHF, black, IPS, 1920x1080 (16:9 ), 100 Гц, 250cd/m2, H178°/V178°, 1000:1, 8M:1, 5ms,1xHDMI, D-SUB</t>
  </si>
  <si>
    <t>521-101-0411-0012</t>
  </si>
  <si>
    <t>Монитор 23.8" ASUS VA24DQ, black, IPS, 1920x1080 (16:9 ), 75, 250cd/m2, H178°/V178°, 1000:1, 8M:1, 5ms,VGA, HDMI, D-SUB</t>
  </si>
  <si>
    <t>521-101-0411-0013</t>
  </si>
  <si>
    <t>Монитор 27" ASUS ProArt PA278QV,
Black-Silver,IPS,2560x1440@60Hz,350кд/м2, H/V:178,5ms,DP, MiniDP, HDMI, DVI,
4xUSB 3,0, 2x2W Audio</t>
  </si>
  <si>
    <t>521-101-0411-0014</t>
  </si>
  <si>
    <t>Монитор 27" ASUS VA27AQSB,
Black,IPS,2560x1440@75Hz,350кд/м2, H/V:178,5ms,DP,HDMI,2xUSB 2.0, 2x2W
Audio</t>
  </si>
  <si>
    <t>521-101-0411-0015</t>
  </si>
  <si>
    <t>Монитор 27" ASUS VA27DQ,
Black,IPS,1920x1080@75Hz,250кд/м2, H/V:178,5ms,DP,HDMI, D Sub, 2x2W Audio</t>
  </si>
  <si>
    <t>521-101-0411-0016</t>
  </si>
  <si>
    <t>Монитор 27" ASUS VP27EHE,
Black,VA,1920x1080@75Hz,250кд/м2, H/V:178,5ms, HDMI, D Sub, 2x2W Audio</t>
  </si>
  <si>
    <t>521-101-0411-0017</t>
  </si>
  <si>
    <t>Монитор 24" Acer Vero B247Wbmiprxv, 16:10 ZeroFrame IPS LED 4ms 100M:1 ACM
300nits HDMI DP MM Audio Out Height adj. Pivot EUEMEA TCO Black Acer EcoDisplay</t>
  </si>
  <si>
    <t>521-101-0411-0018</t>
  </si>
  <si>
    <t>Монитор 27" Lenovo  ThinkVision
T27p-30/4K Wireless/3840x2160@60Hz/350 nits/16:9/HDMI/USB/1300:1/4ms</t>
  </si>
  <si>
    <t>521-101-0411-0019</t>
  </si>
  <si>
    <t>Монитор 21.5" Lenovo ThinkVision S22e-20/1920x1080 FHD/75Hz/250
nits/16:9/HDMI/VGA/3000:1/4ms</t>
  </si>
  <si>
    <t>521-101-0411-0020</t>
  </si>
  <si>
    <t>Монитор 23.8" Lenovo  ThinkVision S24i-30/1920x1080 FHD/100Hz/250
nits/16:9/HDMI/VGA/1300:1/4ms</t>
  </si>
  <si>
    <t>521-101-0411-0021</t>
  </si>
  <si>
    <t>Монитор 27" Lenovo  ThinkVision
P27h-28/2560x1440/16:9/60Hz/350 nits/1x HDMI 1.4, 1x DP 1.2, 1x DP out, 1x USB-C
3.2 Gen 1 (DP 1.2 Alt Mode)/4x USB 3.2 Gen
1 (1x BC 1.2), 1x USB-C 3.2 Gen 1/4ms</t>
  </si>
  <si>
    <t>521-101-0411-0023</t>
  </si>
  <si>
    <t>Монитор 23.8" Lenovo ThinkVision
E24-28/1920x1080/60Hz/250 nits/1x HDMI 1.4, 1x DP 1.2, 1x VGA/4ms</t>
  </si>
  <si>
    <t>521-101-0411-0025</t>
  </si>
  <si>
    <t>Монитор 27" Lenovo ThinkVision
T27q-20/2560x1440/16:9/60Hz/350 nits/1x HDMI 1.4, 1x DP 1.2/4x USB 3.1 Gen 1 (1x BC), 1x USB-B 3.1 Gen 1/4ms</t>
  </si>
  <si>
    <t>521-101-0411-0026</t>
  </si>
  <si>
    <t>Монитор 27" Lenovo ThinkVision
S27i-30/1920x1080/100Hz/300 nits/2x HDMI 1.4, 1x VGA/4ms</t>
  </si>
  <si>
    <t>521-101-0411-0027</t>
  </si>
  <si>
    <t>Монитор 27" Lenovo ThinkVision
E27q-20/2560x1440/16:9/75Hz/350 nits/1x HDMI 1.4, 1x DP 1.2/4ms</t>
  </si>
  <si>
    <t>521-101-0411-0029</t>
  </si>
  <si>
    <t>Монитор, тип: профессиональная LCD панель для видеостен; диагональ: 55 дюймов; технология: IPS; соотношение сторон: 16:9; разрешение: Full HD (1920 x 1080); яркость: 700 кд/м²; антибликовое
покрытие: 28%; количество портов HDMI: 2; поддержка HDMI CEC: да; порты: HDMI (2), displayport (1), dvi-d (1), usb 2.0 (1),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</si>
  <si>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521-101-0411-0030</t>
  </si>
  <si>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</si>
  <si>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521-101-0411-0031</t>
  </si>
  <si>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1,74 мм (межпанельный шов); контрастность: 1000:1;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</si>
  <si>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521-101-0411-0032</t>
  </si>
  <si>
    <t>Монитор; диагональ: 23,8 дюйма; технология: IPS; соотношение сторон: 16:9; разрешение: Full HD (1920 x 1080); яркость: 250 кд/м²; порты: 2 x HDMI, выход для наушников</t>
  </si>
  <si>
    <t>521-101-0411-0033</t>
  </si>
  <si>
    <t>Монитор; диагональ: 27 дюймов; технология: IPS; соотношение сторон: 16:9; разрешение: Full HD (1920 x 1080); яркость: 250 кд/м²; количество портов HDMI: 1; порты: 2 x HDMI, выход для наушников</t>
  </si>
  <si>
    <t>521-101-0411-0034</t>
  </si>
  <si>
    <t>Монитор, диагональ: 27 дюймов; разрешение: 2560х1440; тип панели: IPS; тип покрытия: антибликовое; частота обновления: 75 Гц; время отклика: 5 мс; яркость: 350 кд/м²; контрастность: 1000:1; порты: HDMI (2 шт.), display port (1 шт.),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</si>
  <si>
    <t>521-101-0411-0035</t>
  </si>
  <si>
    <t>Монитор, диагональ: 27 дюймов; разрешение: 2560х1440; тип панели: IPS; тип покрытия: антибликовое; частота обновления: 100 Гц; время отклика: 5 мс; яркость: 350 кд/м²; контрастность: 1000:1; порты: HDMI (1 шт.), display port (1 шт. вход, 1 шт. выход), usb (1 шт. вход, 3 шт. выход), usb-c (1 шт. 65 Вт),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</si>
  <si>
    <t>521-101-0411-0036</t>
  </si>
  <si>
    <t>Монитор, диагональ: 23,8 дюймов; разрешение: 1920х1080; тип панели: IPS; тип покрытия: антибликовое; частота обновления: 100 Гц; время отклика: 5 мс; яркость: 250 кд/м²; контрастность: 1000:1; порты: HDMI (1 шт.), display port (2 шт.), usb
3.2 gen 1 (4 шт.), usb-c (1 шт. 65 Вт), выход на наушники: 3-х полосный (только звук); встроенные динамики: 2 Вт х 2; тип регулировки: поворот, вращение, высота, наклон;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t>
  </si>
  <si>
    <t>521-101-0411-0037</t>
  </si>
  <si>
    <t>Монитор, тип: интерактивный дисплей; диагональ: 75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direct-led;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240 вт; вес: 45,5 кг; размеры (ш x в x г): 1725 x 1048 x 87 мм; стандарт VESA: 800 x 400 мм; дополнительно: поддержка до 40 одновременных касаний, встроенный wi-fi 802.11a/b/g/n/ac/ax (wi-fi 6), bluetooth 5.0, встроенная память 32 ГБ, оперативная память 4 ГБ</t>
  </si>
  <si>
    <t>521-101-0411-0038</t>
  </si>
  <si>
    <t>Монитор; тип: интерактивный дисплей; диагональ: 86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прямая (direct);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370 вт (типичное), 500 вт (максимальное); вес: 58,6 кг; размеры (ш x в x г): 1957 x 1160 x 100 мм; стандарт VESA: 800 x 600 мм; дополнительно: поддержка до 40 одновременных касаний, встроенный wi-fi 802.11a/b/g/n/ac/ax (wi-fi 6), bluetooth 5.0, встроенная память 32 ГБ, оперативная память 4 ГБ</t>
  </si>
  <si>
    <t>521-101-0414</t>
  </si>
  <si>
    <t>МР-3 плеер</t>
  </si>
  <si>
    <t>521-101-0414-0001</t>
  </si>
  <si>
    <t>MP3 Player FiiO M3K, MP3/WMA/FLAC/DSD, LCD, VoiceRec, Equalizer, USB, Silver</t>
  </si>
  <si>
    <t>521-101-0414-0002</t>
  </si>
  <si>
    <t>MP3 Player Sony NW-E394, 8Gb, MP3/WMA/AAC, TFT, Radio, Equalizer, 35 hours, Black</t>
  </si>
  <si>
    <t>521-101-0417</t>
  </si>
  <si>
    <t>Телевизор</t>
  </si>
  <si>
    <t>521-101-0417-0001</t>
  </si>
  <si>
    <t>LED Телевизор Kivi 32F710KB, 32"(81.2см), Full HD(1920x1080), 3xHDMI, 2xUSB, Smart, BT, Wi-Fi</t>
  </si>
  <si>
    <t>521-101-0417-0002</t>
  </si>
  <si>
    <t>LED Телевизор Xiaomi Mi TV P1, 32" (80см), HD(1366x768), 3xHDMI, 2xUSB, Wi-Fi,
LAN, BT, Smart</t>
  </si>
  <si>
    <t>521-101-0417-0003</t>
  </si>
  <si>
    <t>LED Телевизор Kivi 40F740LB, 40"(102 см), Full HD(1920x1080), 3xHDMI, 2xUSB, Wi-Fi,
LAN, Smart, BT</t>
  </si>
  <si>
    <t>521-101-0417-0004</t>
  </si>
  <si>
    <t>LED Телевизор Saturn LED50UHD800U4K, 50"(127см), Ultral HD(3840x2160), 60Hz,
3xHDMI, 3xUSB</t>
  </si>
  <si>
    <t>521-101-0417-0005</t>
  </si>
  <si>
    <t>LED Телевизор Samsung UE55AU8000UXCE, 55"(140 см), UHD (3840x2160), 3хHDMI,2xUSB,WL,BT,LAN,Smart</t>
  </si>
  <si>
    <t>521-101-0417-0006</t>
  </si>
  <si>
    <t>Телевизор WADE 55L23100 4K, 55" (139
см), Ultra HD 4K (3840x2160), DLED, Smart TV</t>
  </si>
  <si>
    <t>521-101-0417-0007</t>
  </si>
  <si>
    <t>Телевизор WADE 50L23100 4K, 50" (127
см), Ultra HD 4K (3840x2160), DLED, Smart TV</t>
  </si>
  <si>
    <t>521-101-0417-0008</t>
  </si>
  <si>
    <t>Телевизор WADE 43L23100 2K, 43" (109
см), DLED, Smart TV</t>
  </si>
  <si>
    <t>521-101-0417-0009</t>
  </si>
  <si>
    <t>Коммерческий телевизор - 86UN640S, 86
дюймов типа LG</t>
  </si>
  <si>
    <t>Базовая комплектация: пульт дистанционного управления L-Con, кабель питания (2 м, прилагается) Дополнительный противоугонный аксессуар Chromecast</t>
  </si>
  <si>
    <t>521-101-0417-0010</t>
  </si>
  <si>
    <t>Коммерческий телевизор - 75UN640S, 75
дюймов типа LG</t>
  </si>
  <si>
    <t>Базовая комплектация: пульт дистанционного управления L-Con, кабель питания (2 м, прилагается) Дополнительно приобретаемая комплектация: противоугонный аксессуар Chromecast</t>
  </si>
  <si>
    <t>521-101-0417-0011</t>
  </si>
  <si>
    <t>Коммерческий телевизор - 65UN640S, 65
дюймов типа LG</t>
  </si>
  <si>
    <t>Базовая комплектация: пульт дистанционного управления типа S-can, отсоединенный кабель питания (1,5 м, прямой), противоугонная крышка для ключа Chromecast</t>
  </si>
  <si>
    <t>521-101-0417-0012</t>
  </si>
  <si>
    <t>Коммерческий телевизор - 55UN640S, 55
дюймов типа LG</t>
  </si>
  <si>
    <t>521-101-0417-0013</t>
  </si>
  <si>
    <t>Коммерческий телевизор - 50UN640S, 50
дюймов типа LG</t>
  </si>
  <si>
    <t>521-101-0417-0014</t>
  </si>
  <si>
    <t>Коммерческий телевизор - 43UN640S, 43
дюйма типа LG</t>
  </si>
  <si>
    <t>521-101-0419</t>
  </si>
  <si>
    <t>Принтер</t>
  </si>
  <si>
    <t>521-101-0419-0001</t>
  </si>
  <si>
    <t>Принтер А3 цветной HP Color LaserJet Ent M751dn Prntr</t>
  </si>
  <si>
    <t>521-101-0419-0002</t>
  </si>
  <si>
    <t>Принтер A3 цветной Xerox VersaLink C7000N,HiQ LED, 35/35 стр/мин (A4)/ 19/19 стр/мин (A3), 520+100 стр., 1.05GHz DualCore, 2GB, PostScript 3, PCL5c/6, USB 3.0, 10/100/1000 ethernet, optional wi-fi, 1200x2400DPI, VersaLink C7000 (C7000EUD)</t>
  </si>
  <si>
    <t>521-101-0419-0003</t>
  </si>
  <si>
    <t>Принтер А4 цветной Epson L8058, CD/DVD, USB Type B, Wi-Fi, 5760 x 1440 dpi, 0х15см ("draft"), CD Windows и OS X</t>
  </si>
  <si>
    <t>521-101-0419-0004</t>
  </si>
  <si>
    <t>Принтер А3 цветной Xerox VersaLink C8000DT, LED, 45 стр/мин (A4)/ 22 стр/мин (A3), дуплекс, нагрузка (max) 205K в месяц, 1040+100 стр.- емкость лотков подачи, 1.6GHz, 4GB, PostScript 3, PCL5c/6, USB 3.0,
Gigabit Ethernet</t>
  </si>
  <si>
    <t>521-101-0419-0006</t>
  </si>
  <si>
    <t>Принтер А3 цветной Epson L11160 USB, LAN, Wi-Fi, tray 250, duplex</t>
  </si>
  <si>
    <t>521-101-0419-0007</t>
  </si>
  <si>
    <t>Принтер А4 матричный Epson LX-350II USB, до 357 зн./сек.</t>
  </si>
  <si>
    <t>521-101-0419-0008</t>
  </si>
  <si>
    <t>Принтер А4 матричный Epson FX-890II USB, до 738 зн./сек.</t>
  </si>
  <si>
    <t>521-101-0419-0009</t>
  </si>
  <si>
    <t>"Принтер Epson M1170, A4, 20ppm,1200 x 2400dpi, USB, LAN, Wi¬Fi, tray"</t>
  </si>
  <si>
    <t>521-101-0419-0010</t>
  </si>
  <si>
    <t>"Принтер WF- C5390DW, A4 25/25 pm, 4.800
x 1.200 dpi, USB, LAN, tray 250"</t>
  </si>
  <si>
    <t>521-101-0419-0012</t>
  </si>
  <si>
    <t>Принтер Катюша P247, монохромный лазерный, 47 стр/мин, А4 Ч/Б, 1200 dpi, CPU 800 МГц, 512 Мб RAM, Ethernet, USB,
USB-host, Wi-Fi, PS3, PCL5/6, PDF, GDI</t>
  </si>
  <si>
    <t>2,2" экран, клавиатура. Тонер 3 000 отп., заменяемый 13 000 отп.</t>
  </si>
  <si>
    <t>521-101-0419-0013</t>
  </si>
  <si>
    <t>Принтер Катюша P247e, монохромный лазерный, 47 стр/мин, А4 Ч/Б, 1200 dpi, CPU 1 ГГц, 2 ГБ RAM, Ethernet, USB, USB-host, Wi-Fi. PS3, PCL5/6, PDF, GDI</t>
  </si>
  <si>
    <t>2,2" экран, клавиатура. Тонер 3 000 отп., 13 000 отп.</t>
  </si>
  <si>
    <t>521-101-0419-0014</t>
  </si>
  <si>
    <t>Принтер Катюша P133, монохромный лазерный, 33 стр/мин А4 Ч/Б, 1200 dpi. 256 МБ RAM, Ethernet, USB, USB-host</t>
  </si>
  <si>
    <t>Тонер в комплекте на 700 отп</t>
  </si>
  <si>
    <t>521-101-0419-0015</t>
  </si>
  <si>
    <t>Принтер Катюша P140, монохромный светодиодный, 40 стр/мин А4 Ч/Б, 1 ГБ RAM, Ethernet, USB</t>
  </si>
  <si>
    <t>521-101-0419-0016</t>
  </si>
  <si>
    <t>Принтер Катюша P140T, монохромный светодиодный, 40 стр/мин А4 Ч/Б, большой лоток для бумаги, CPU 1200 МГц, 1 ГБ RAM, Ethernet, USB</t>
  </si>
  <si>
    <t>521-101-0419-0017</t>
  </si>
  <si>
    <t>Принтер Sindoh A500dn, монохромный лазерный, 34 стр/мин А4 Ч/Б, 2400х600 dpi. Нагрузка до 30 000 отп/мес. CPU 1ГГц, 2 ядра, 256 Мб RAM, Ethernet, USB, USB-host, Wi-Fi. AirPrint, PCL, PWG, PDF, стартовый тонер на 700 отпечатков</t>
  </si>
  <si>
    <t>521-101-0419-0018</t>
  </si>
  <si>
    <t>Принтер Sindoh P300dn цветной лазерный, А4, 24 стр/мин А4 цветная печать, 2400x600 dpi. CPU 1ГГц, 2 Ядра, 512 МБ RAM, Ethernet, USB, Wi-Fi. PCL, PS3, PDF,
стартовые тонер-картриджи на 1500 отп. ч/б и цвет. До 75 000 отп/мес</t>
  </si>
  <si>
    <t>521-101-0419-0019</t>
  </si>
  <si>
    <t>Принтер монохромный, Xerox, B230DNI, B230V_DNI, лазерный, А4, 34 стр./мин., подача 251 лист, ЖК Дисплей, 1 ГГц CPU, 256 МБ RAM, USB 2.0, Ethernet 10/100,
Wi-Fi</t>
  </si>
  <si>
    <t>Принтер Xerox B230DNI, шнур питания, чёрный картридж (ресурс 1200 страниц), диск с программным обеспечением и документацией, паспорт безопасности продукта, краткое руководство пользователя</t>
  </si>
  <si>
    <t>521-101-0419-0020</t>
  </si>
  <si>
    <t>Принтер монохромный, Xerox, B410DN, B410V_DN, лазерный, А4, 47 стр./мин., подача 650 листов, сенсорный дисплей 4.3",
1 ГГц CPU, 1 ГБ RAM, 8 ГБ eMMC, USB 2.0,
Ethernet 10/100/1000</t>
  </si>
  <si>
    <t>Принтер Xerox B410DN, шнур питания, чёрный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t>
  </si>
  <si>
    <t>521-101-0419-0021</t>
  </si>
  <si>
    <t>Принтер монохромный, Xerox, VersaLink B620DN, B620V_DN, лазерный, А4, 61 стр./мин., подача 550 листов, сенсорный дисплей 5", 1.2 ГГц CPU, 2 ГБ RAM, 32 ГБ eMMC, USB 2.0, Ethernet 10/100/1000, NFC</t>
  </si>
  <si>
    <t>Принтер Xerox B620,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</si>
  <si>
    <t>521-101-0419-0022</t>
  </si>
  <si>
    <t>Принтер цветной, Xerox, C410DN, C410V_DN, лазерный , А4, 40 стр./мин., подача 251 лист, сенсорный дисплей 4.3", 1 ГГц CPU, 1 ГБ RAM, 8 ГБ eMMC, USB 2.0,
Ethernet 10/100/1000</t>
  </si>
  <si>
    <t>Принтер Xerox C410,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жёлтый) — ресурс 2000 страниц, чёрный картридж — ресурс 2400 страниц</t>
  </si>
  <si>
    <t>521-101-0419-0023</t>
  </si>
  <si>
    <t>Принтер цветной, Xerox, VersaLink C620DN, C620V_DN, лазерный , А4, 50 стр./мин., подача 650 листов, сенсорный дисплей 5",
1.2 ГГц CPU, 2 ГБ RAM, 32 ГБ eMMC, USB
2.0, Ethernet 10/100/1000, NFC</t>
  </si>
  <si>
    <t>Принтер Xerox C620,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тонер-картриджи CMY — ресурс 7000 страниц, принт-картридж K — ресурс 8000 страниц</t>
  </si>
  <si>
    <t>521-101-0420</t>
  </si>
  <si>
    <t>Моноблок</t>
  </si>
  <si>
    <t>521-101-0420-0002</t>
  </si>
  <si>
    <t>Моноблок Avtech G40, Intel® Core™
i3-10100 частота 3.60-4,30 GHz 4 ядра 8 потоков, Intel HD Graphics 630, ОЗУ DDR4 8G, ПЗУ SSD 256G, Windows 10/11</t>
  </si>
  <si>
    <t>521-101-0420-0003</t>
  </si>
  <si>
    <t>Моноблок Avtech X5 23,8", Intel® DC G6400/6405/Asus/DDR4 4Gb 2666Mhz/SSD
256Gb M.2/ядер 2 потока 4, Intel® Pentium® Gold G6400 частота 4,00 GHz 2 ядра 4 потоков, Intel HD Graphics 610, ОЗУ DDR4 4G, ПЗУ SSD 256G, Windows 10/11</t>
  </si>
  <si>
    <t>521-101-0420-0004</t>
  </si>
  <si>
    <t>Моноблок Avtech K40 Pro, i3 10100 /DDR4 8Gb/ SSD 256Gb/ Windows 10 Pro, частота 3.60-4,30 GHz 4 ядра 8 потоков, Intel HD Graphics 630, ОЗУ DDR4 8G ,ПЗУ SSD
256G, Windows 10/11</t>
  </si>
  <si>
    <t>521-101-0420-0005</t>
  </si>
  <si>
    <t>Моноблок Avtech GL 40Pro, black silver USB Type C, H610JW, Intel® Core i3 12100, DDR4 8Gb 3200Mhz, SSD 256Gb. Windows 11 Pro для школ, Intel® Core i3 12100, Intel HD Graphics 730, ОЗУ DDR4 8G, ПЗУ SSD
256G, Windows 10/11</t>
  </si>
  <si>
    <t>521-101-0420-0006</t>
  </si>
  <si>
    <t>Моноблок Avtech GT40 Pro, Touch USB Type C, H610JW, Intel® Core i3 12100, DDR4 8Gb
3200Mhz, SSD 256 Gb, Windows 11 Pro для школ, Intel® Core i3 12100, Intel HD Graphics 730, ОЗУ DDR4 8G, ПЗУ SSD 256G,
Windows 10/11</t>
  </si>
  <si>
    <t>521-101-0420-0007</t>
  </si>
  <si>
    <t>Моноблок Avtech GL 40Pro,black silver USB Type C, H610JW, Intel® Core i5 12400, DDR4 8Gb 3200Mhz, SSD 256Gb M.2 NVME,
Windows 11 Pro для школ, Intel® Core i5 12400, Intel HD Graphics 730, ОЗУ DDR4 8G, ПЗУ SSD 256G, Windows 10/11</t>
  </si>
  <si>
    <t>521-101-0420-0008</t>
  </si>
  <si>
    <t>Моноблок Avtech GT40 Pro, Touch USB Type C, H610JW, Intel® Core i5 12400, DDR4 8Gb 3200Mhz, SSD 256 Gb M.2 NVME, Windows
11 Pro для школ, Intel® Core i5 12400, Intel HD Graphics 730, ОЗУ DDR4 8G, ПЗУ SSD
256G, Windows 10/11</t>
  </si>
  <si>
    <t>521-101-0420-0009</t>
  </si>
  <si>
    <t>Моноблок Labortrix Station (AIO), 23" 1920/1080 Full HD, Core i3-7100, 4 ядерный, 4 поточный, 3. 9 GHz, ОЗУ, 4GB, RAM: SSD,
256GB</t>
  </si>
  <si>
    <t>521-101-0420-0010</t>
  </si>
  <si>
    <t>Моноблок Labortrix Station (AIO), 23" 1920/1080 Full HD, Core i5-11400, 6 ядерный, 12 поточный, 4.4 GHz макс., ОЗУ, 8GB, RAM: SSD, 512GB</t>
  </si>
  <si>
    <t>521-101-0420-0011</t>
  </si>
  <si>
    <t>Моноблок Lenovo AIO S660, 23,8", 1920/1080 Full HD, Core  i5-1155G7, 4 ядра, 8 потоков, 2.5 GHz/4.5 GHz (Turbo) max, Windows 10  для образовательных учреждений ( 64-разрядная версия), MS Office+Not32, ОЗУ DDR4, 8 GB, RAM: SSD,
web camera 720P, 512 GB, I/O Port, 1* USB 3.0, 1* USB 3.10, 2 *USB 2.0, 1*HDMI,
1*RJ45</t>
  </si>
  <si>
    <t>521-101-0420-0012</t>
  </si>
  <si>
    <t>Моноблок Lenovo AIO S660, 23,8", 1920/1080 Full HD, Core  i3-1115G4, 2 ядра, 4 потоков, 3 GHz/4.1 GHz (Turbo) max, Windows 10  для образовательных учреждений ( 64-разрядная версия), MS Office+Not32, ОЗУ DDR4, 8 GB, RAM: SSD,
web camera 720P, 512 GB, I/O Port, 1* USB 3.0, 1* USB 3.10, 2 *USB 2.0, 1*HDMI,
1*RJ45</t>
  </si>
  <si>
    <t>521-101-0420-0013</t>
  </si>
  <si>
    <t>Моноблок Lenovo Neo 50a-24, 23.8FHD, Core I5-12450H-2.0G-8C-12T, 8 GB DDR5-4800MHz</t>
  </si>
  <si>
    <t>521-101-0420-0014</t>
  </si>
  <si>
    <t>Моноблок Veriton Z2514G, Core i3 1315u, 8Gb DDR4, 256гб SSD, диагональ экрана 23,8", FHD дисплей, мышь проводная, клавиатура, встроенные5 MP HD 2K
web-камера, Win11Pro Edu, предустановленная система управления классом Acer Classroom Manager с бессрочной лицензией</t>
  </si>
  <si>
    <t>521-101-0420-0015</t>
  </si>
  <si>
    <t>Моноблок Acer Veriton Z2594G, 23,8" FHD, i3 1215U, 8Gb, 256Gb SSD, WIN11pro,
DQ.VX1MC.007, предустановленная система управления классом Acer Classroom Manager с бессрочной лицензией</t>
  </si>
  <si>
    <t>521-101-0420-0016</t>
  </si>
  <si>
    <t>Моноблок Acer Veriton Z4694G, 23,8" FHD, i5 12400, 16Gb, 512Gb SSD, WIN11pro,
DQ.VWKMC.00A, предустановленная система управления классом Acer Classroom Manager с бессрочной лицензией</t>
  </si>
  <si>
    <t>521-101-0420-0017</t>
  </si>
  <si>
    <t>Моноблок Lenovo TC ThinkCentre Neo 30a-24 G4 #1/Core i5-13420H 2.1G 8C 12T
NP/8GB DDR4-3200MHz SoDIMM/256 GB SSD M.2 2280 PCIe Gen4 TLC
Opal/23.8FHD/Cam HD/Wi-Fi 6 AX201 2x2 AX &amp; Bluetooth® 5.1/Dual Microphone/Windows 11 для образовательных учреждений</t>
  </si>
  <si>
    <t>521-101-0420-0018</t>
  </si>
  <si>
    <t>Моноблок Lenovo M90a G3 #1 23.8"/Intel® Pentium® Gold G7400 Processor (3.70 GHz)/4 GB DDR4-3200MHz (SODIMM)/256 GB SSD
M.2 2280 PCIe Gen4 TLC Opal/Integrated Graphics/HDMI/Windows 11 для образовательных учреждений</t>
  </si>
  <si>
    <t>521-101-0420-0019</t>
  </si>
  <si>
    <t>Моноблок Lenovo 23,8" Neo 30a-24 G4 #2/Core i5-13420H 2.1G 8C 12T NP/8GB DDR4-3200MHz SoDIMM/512 GB SSD M.2
2280 PCIe Gen4 QLC/Integrated Graphics/HDMI/WL/BT/Cam HD/Windows 11 для образовательных учреждений</t>
  </si>
  <si>
    <t>521-101-0420-0020</t>
  </si>
  <si>
    <t>Моноблок Lenovo 23,8" Neo 50a-24 G4 #1/Core i5-13500H 2.6G 12C 16T/8GB DDR5 5200 SoDIMM/512 GB SSD M.2 2280 PCIe
Gen4 QLC/Integrated Graphics/HDMI/WL/BT/Cam/Windows 11 для образовательных учреждений</t>
  </si>
  <si>
    <t>521-101-0420-0021</t>
  </si>
  <si>
    <t>Моноблок Uvision Uvision Spark 23.8 IPS 1920x1080 full viewing angle/INTEL I5-12450H/3200-16GB/512 GB</t>
  </si>
  <si>
    <t>521-101-0420-0022</t>
  </si>
  <si>
    <t>Моноблок Uvision Enigma 23.8 IPS 1920x1080 full viewing angle/INTEL I7-12700H/DDR4 3200-32GB/512 GB</t>
  </si>
  <si>
    <t>521-101-0420-0023</t>
  </si>
  <si>
    <t>Моноблок HP ProOne 240 G10
24AiOBU-i3-N300IDS / 23.8 inch AG FHD UWVA IPS 250 / 8GB DDR4 / 256GB M.2
SSD Value / W11 Pro / 1yw / HP 3 year Next Business Day Onsite Desktop Only Hardware SupportWarranty Extension / 125 Black Cellulose Fiber Packagingkbd /</t>
  </si>
  <si>
    <t>521-101-0420-0024</t>
  </si>
  <si>
    <t>Моноблок F3S2410B
24-i510400-8-256-Win11, диагональ экрана 23.8", оперативная память 8 GB DDR4, жёсткий диск SD - 256 GB, процессор Intel Core processor i5-10400, лицензионная Windows 11 Pro 64 Bit</t>
  </si>
  <si>
    <t>521-101-0420-0025</t>
  </si>
  <si>
    <t>Моноблок F3S2410B
24-i510400-16-512-1TB-Win, диагональ экрана 23.8", оперативная память 16 GB DDR4, жёсткий диск SSD - 512 GB / HDD - 1TБ, процессор Intel Core processor i5-10400, лицензионная Windows 11 Pro 64 Bit</t>
  </si>
  <si>
    <t>521-101-0420-0026</t>
  </si>
  <si>
    <t>Моноблок F3S2711B
27-i510400-8-256-Win-11, диагональ экрана 23.8", оперативная память 8 GB DDR4, жёсткий диск SSD - 256 GB, Intel Core processor i5-10400, лицензионная Windows 11 Pro 64 Bit</t>
  </si>
  <si>
    <t>521-101-0420-0027</t>
  </si>
  <si>
    <t>Моноблок F3S2711B
27-i510400-16-512-1TB-Win, диагональ экрана 23.8", оперативная память 16 GB DDR4, жёсткий диск SSD - 512GB / HDD - 1TБ, Intel Core processor i5-10400, лицензионная Windows 11 Pro 64 Bit</t>
  </si>
  <si>
    <t>521-101-0420-0028</t>
  </si>
  <si>
    <t>Моноблок F3S2410B
24-i511400-8-256-Win11, диагональ экрана 23.8", оперативная память 8 GB DDR4, жёсткий диск SSD - 256 GB, процессор Intel Core processor i5-11400, лицензионная Windows 11 Pro 64 Bit</t>
  </si>
  <si>
    <t>521-101-0420-0029</t>
  </si>
  <si>
    <t>Моноблок F3S2410B
24-i511400-16-512-1TB-Win, диагональ экрана 23.8", оперативная память 16 GB DDR4, жёсткий диск SSD - 512 GB / HDD - 1TB, процессор Intel Core processor i5-11400, лицензионная Windows 11 Pro 64 Bit</t>
  </si>
  <si>
    <t>521-101-0420-0030</t>
  </si>
  <si>
    <t>Моноблок F3S2711B 27-i511400-8-256-Win,
диагональ экрана 27", оперативная память 8 GB DDR4, жёсткий диск: SSD - 256GB, процессор Intel Core processor i5-11400, лицензионная Windows 11 Pro 64 Bit</t>
  </si>
  <si>
    <t>521-101-0420-0031</t>
  </si>
  <si>
    <t>Моноблок F3S2711B
27-i511400-8-256-1TB-Win, диагональ экрана 27", оперативная память 16 GB DDR4, жёсткий диск SSD - 256 GB / HDD - 1 TB, процессор Intel Core processor i5-11400, лицензионная Windows 11 Pro 64 Bit</t>
  </si>
  <si>
    <t>521-101-0420-0032</t>
  </si>
  <si>
    <t>Моноблок F3S2410B
24-i312100-8-256-Win11, диагональ экрана 23.8", оперативная память 8 GB DDR4, жёсткий диск SSD - 256 GB, Intel Core processor i3-12100, лицензионная Windows 11 Pro 64 Bit</t>
  </si>
  <si>
    <t>521-101-0420-0033</t>
  </si>
  <si>
    <t>Моноблок F3S2410B
24-i312100-16-512-1TB-Win, диагональ экрана 23.8", оперативная память 16 GB DDR4, жёсткий диск  SSD - 512 GB / HDD - 1 TB, процессор Intel Core processor
i5-12400, лицензионная Windows 11 Pro 64 Bit</t>
  </si>
  <si>
    <t>521-101-0420-0034</t>
  </si>
  <si>
    <t>Моноблок F3S2711B 27-i512400-8-256-Win,
диагональ экрана 27", оперативная память 8 GB DDR4, жёсткий диск SSD - 256 GB, процессор Intel Core processor i5-12400</t>
  </si>
  <si>
    <t>521-101-0420-0035</t>
  </si>
  <si>
    <t>Моноблок F3S2711B
27-i512400-8-256-1TB-Win, оперативная память 8 GB DDR4, жёсткий диск SSD - 256 GB / HDD- 1 TB, процессор Intel Core processor i5-12400, лицензионная Windows 11 Pro 64 Bit</t>
  </si>
  <si>
    <t>521-101-0420-0036</t>
  </si>
  <si>
    <t>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</si>
  <si>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 20
Мб.</t>
  </si>
  <si>
    <t>521-101-0420-0037</t>
  </si>
  <si>
    <t>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</si>
  <si>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уровня:20
Мб.</t>
  </si>
  <si>
    <t>521-101-0420-0038</t>
  </si>
  <si>
    <t>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</si>
  <si>
    <t>Клавиатура и мышь. Камера 2MP; Встроенными микрофоном 2 штук; Динамики 2 шт по 3W; 1 слот для kensington lock; 3 х USB 2.0 Type-А; 2 х USB 3.0 Type-А; 1 x HDMI; 1 х RJ-45;1 х power connector; Порты ввода/вывода на боковой панели корпуса: 1 х USB 3.0 Type-А; 1 х USB Type-C; 1 х 2in1 combo jack;  1 x Line-Out Jack 3,5mm; 1 x Mic-In Jack 3,5mm; Процессор: I7-13620H; Общее количество ядер: 10, Количество потоков: 16, Тактовая частота: 2.4 ГГц, Максимальная тактовая частота: 4.9 ГГц, Объем кэша третьего уровня: 24 Мб.</t>
  </si>
  <si>
    <t>521-101-0421</t>
  </si>
  <si>
    <t>МФУ</t>
  </si>
  <si>
    <t>521-101-0421-0001</t>
  </si>
  <si>
    <t>МФУ Катюша M247, монохромный лазерный, принтер/копир/сканер/факс, 47 стр/мин A4, Ч/Б печать, 1200 dpi. Сканер цвет А4-А3, до 60 стр/мин. CPU 800 МГц (4 ядра), 1 Гб RAM, Ethernet, USB, USB-host, Wi-Fi. PS3, PCL, PDF, GDI. ADF 50 листов</t>
  </si>
  <si>
    <t>6" панель управления, клавиатура. Тонер 3 000 отп., заменяемый 13 000 отп.</t>
  </si>
  <si>
    <t>521-101-0421-0002</t>
  </si>
  <si>
    <t>МФУ Катюша M247e, монохромный лазерный, принтер/копир/сканер/факс. 47 стр/мин A4, Ч/Б печать, 1200 dpi. Сканер цвет А4-А3, до 60 стр/мин. CPU 1 ГГц, 1 ГБ RAM, Ethernet, USB, USB-host, Wi-Fi. PS3, PCL, PDF, GDI. ADF 50 листов</t>
  </si>
  <si>
    <t>521-101-0421-0003</t>
  </si>
  <si>
    <t>МФУ Катюша M348, монохромный лазерный цветной, принтер/копир/сканер, А3, 48 стр/мин, Ч/Б печать А4, 1200 dpi. Сканер цвет А4-А3 до 70 стр/мин. CPU 1,2ГГц, 2 Гб RAM, Ethernet, USB, USB-host.
PS3, PCL, PDF, ADF 100 листов</t>
  </si>
  <si>
    <t>10,1" панель. Тонер 20 000 отп., замена 30 000 отп. до 200 000 отп/мес.</t>
  </si>
  <si>
    <t>521-101-0421-0004</t>
  </si>
  <si>
    <t>МФУ Катюша M133, монохромный лазерный, принтер/копир/сканер, 33 стр/мин А4 Ч/Б, 1200 dpi. 512МБ RAM, Ethernet, USB, USB-host</t>
  </si>
  <si>
    <t>521-101-0421-0005</t>
  </si>
  <si>
    <t>МФУ Катюша M240, монохромный светодиодный, принтер/копир/сканер/факс, 40 стр/мин А4, ч/б, 1200 dpi. Скан: цвет/чб 1200 dpi. 4 ГБ RAM, 1000 Мб Ethernet, 1200 МГц USB, USB-host. 75 листов</t>
  </si>
  <si>
    <t>Тонер в комплекте 3 000 отпечатков</t>
  </si>
  <si>
    <t>521-101-0421-0006</t>
  </si>
  <si>
    <t>МФУ Катюша M140, монохромный светодиодный, принтер/копир/сканер, 40 стр/мин А4 Ч/Б, Скан: цвет/чб, CPU 1200 МГц, 1 ГБ RAM, Ethernet, USB</t>
  </si>
  <si>
    <t>521-101-0421-0007</t>
  </si>
  <si>
    <t>МФУ Катюша M140T, монохромный светодиодный, принтер/копир/сканер, 40 стр/мин А4 Ч/Б, Скан: цвет/чб, большой лоток для бумаги, CPU 1200 МГц, 2 ГБ RAM, Ethernet, USB</t>
  </si>
  <si>
    <t>521-101-0421-0008</t>
  </si>
  <si>
    <t>МФУ Катюша M240T, монохромный светодиодный, принтер/копир/сканер/факс, 40 стр/мин А4, ч/б, 1200 dpi. Скан: цвет/чб, большой лоток для бумаги, 1000 Мб Ethernet, USB, USB-host</t>
  </si>
  <si>
    <t>521-101-0421-0009</t>
  </si>
  <si>
    <t>МФУ Sindoh N511, монохромный лазерный, принтер/копир/сканер, А3. 28 стр/мин, 1800х600 dpi. Автоподатчик DF-628, 130 листов, скорость сканирования до 45 стр/мин. Нагрузка до 28 000 отп/мес.
Процессор 1,2ГГц (2 ядра), 2 Гб (4Гб макс.) RAM, 250 ГБ HDD, 1000 Мб Ethernet, USB,
USB-host. PS3, PCL5\6. Бумага 60-220 г/м2, подача 1100 листов, вывод 250 листов</t>
  </si>
  <si>
    <t>7" панель управления. Автоподатчик, тонер и тумба для хранения и наполного размещения в комплекте</t>
  </si>
  <si>
    <t>521-101-0421-0010</t>
  </si>
  <si>
    <t>МФУ Sindoh N512, монохромный лазерный, принтер/копир/сканер, А3. 36 стр/мин, 1800х600 dpi. Автоподатчик DF-628, 130 листов, скорость сканирования до 45 стр/мин. Нагрузка до 48 000 отп/мес.
Процессор 1,2ГГц, 2 Гб (4Гб макс.) RAM, 250 ГБ HDD, 1000 Мб Ethernet, USB,
USB-host. PS3, PCL5\6. Бумага 60-220 г/м2, подача 1100 листов, вывод 250 листов</t>
  </si>
  <si>
    <t>521-101-0421-0011</t>
  </si>
  <si>
    <t>МФУ Sindoh D330e полноцветный лазерный принтер/копир/сканер, А3. 22 стр/мин, 1800х600 dpi. Автоподатчик DF-633, 130 листов, скорость сканирования до 55 стр/мин. До 80 000 отп/мес. CPU 1,6ГГц (4
ядра), 6 Гб RAM, 256 ГБ SSD, 1000 Мб
Ethernet, USB, USB-host. PS3, PCL5\6. Бумага 60-256 г/м2, подача 1100 листов,
вывод 250 листов</t>
  </si>
  <si>
    <t>7" панель управления. Блок фотобарабана K\CMY 80\70 000 отпечатков. Автоподатчик, комплект тонеров и тумба для хранения и наполного размещения в комплекте</t>
  </si>
  <si>
    <t>521-101-0421-0012</t>
  </si>
  <si>
    <t>МФУ Sindoh D332e полноцветный лазерный принтер/копир/сканер, А3. 28 стр/мин, 1800х600 dpi. Автоподатчик DF-633, 130 листов, скорость сканирования до 55 стр/мин. До 108 000 отп/мес. CPU 1,6ГГц (4
ядра), 6 Гб RAM, 256 ГБ SSD, 1000 Мб
Ethernet, USB, USB-host. PS3, PCL5\6. Бумага 60-256 г/м2, подача 1100 листов,
вывод 250 листов</t>
  </si>
  <si>
    <t>7" панель управления. Блок фотобарабана K\CMY 105\90 000 отпечатков.
Автоподатчик, комплект тонеров и тумба для хранения и наполного размещения в комплекте</t>
  </si>
  <si>
    <t>521-101-0421-0013</t>
  </si>
  <si>
    <t>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</si>
  <si>
    <t>Автоподатчик оригиналов 50 листов. Стартовый тонер на 700 отпечатков</t>
  </si>
  <si>
    <t>521-101-0421-0014</t>
  </si>
  <si>
    <t>МФУ Sindoh C300 цветной лазерный, А4 принтер/копир/сканер/факс. 24 стр/мин А4 цветная печать/копирование, 2400x600 dpi. Сканер цвет А4 до 90 изобр/мин. CPU 1ГГц, 2 Ядра, 1 Гб RAM, Ethernet, USB, USB-host, Wi-Fi. PCL, PS3, PDF. ADF 50 л, стартовые тонер-картриджи на 1500 отп. ч/б и цвет. До 75 000 отп/мес</t>
  </si>
  <si>
    <t>521-101-0421-0015</t>
  </si>
  <si>
    <t>МФУ Катюша M325p, монохромный лазерный, принтер/копир/сканер, А3 формат, монохромный, 25 А4/мин, 1200 dpi. Сканер цвет/чб. CPU 1200 МГц, 4 ГБ RAM, Ethernet, USB, USB-host</t>
  </si>
  <si>
    <t>8" панель. Тонер в комплекте 6000 отп. До 100 000 отп/мес.</t>
  </si>
  <si>
    <t>521-101-0421-0016</t>
  </si>
  <si>
    <t>МФУ Катюша M350p, монохромный лазерный, принтер/копир/сканер, А3 формат, монохромный, 50 А4/мин, 1200 dpi. Сканер цвет/чб. CPU 1200 МГц, 4 ГБ RAM, Ethernet, USB, USB-host</t>
  </si>
  <si>
    <t>8" панель. Тонер в комплекте 10 000 отп.</t>
  </si>
  <si>
    <t>521-101-0421-0017</t>
  </si>
  <si>
    <t>МФУ Canon imageRUNNER C3326i, цветной, лазерный, А3, 26 стр/мин, 1.6 ГГц Dual Core Processor, 2.0Гб RAM</t>
  </si>
  <si>
    <t>С функцией цветной печати, А3, тип печати - лазерный, 26 стр/мин, время выхода первой страницы не более 7 секунд, емкость лотка для загрузки бумаги: не менее 250 листов; Тип сканера: планшетный с автоподатчиком,
1.6ГГц Dual Core Processor, 2.0Гб RAM. МФУ, стенд-стойка, тонеры T10L (C/M/Y - 11 000 стр. ; Bk - 17 500 стр.)</t>
  </si>
  <si>
    <t>521-101-0421-0018</t>
  </si>
  <si>
    <t>МФУ Canon i-SENSYS X 1440i,
монохромный, А4, лазерный, 40 стр/мин, 1,2 ГГц Processor,  1Гб RAM, USB 2.0 Hi-Speed, 10BASE-T/100BASE-TX/1000Base-T,
Wireless 802.11b/g/n, Wireless Direct Connection</t>
  </si>
  <si>
    <t>Монохромное, А4, тип печати - лазерный, 40 стр/мин,  Время выхода первой страницы: не более 5 секунд; Емкость лотка для загрузки бумаги: не менее 250 листов; Тип сканера: планшетный с автоподатчиком, 1,2 ГГц Processor, 1GB RAM, USB 2.0 Hi-Speed,
10BASE-T/100BASE-TX/1000Base-T, Wireless 802.11b/g/n, Wireless Direct Connection. МФУ, тонер T13 (Bk - 10 600 стр.)</t>
  </si>
  <si>
    <t>521-101-0421-0019</t>
  </si>
  <si>
    <t>МФУ Canon C1538IF II, цветной, А4, лазерный, 38 стр./мин; 1.6ГГц Dual Core Processor, 2.0Гб RAM,
1000Base-T/100Base-TX/10Base-T, Wireless LAN</t>
  </si>
  <si>
    <t>Цветной, устройство с функцией цветной печати, А4, тип печати - лазерный, 38 стр./мин; Время выхода первой страницы: не более 6,9 секунд; Емкость лотка для загрузки бумаги: не менее 250 листов; Тип сканера: планшетный с автоподатчиком, 1.6ГГц Dual Core Processor, 2.0Гб RAM, 1000Base-T/100Base-TX/10Base-T, Wireless LAN (IEEE 802.11 b/g/n), USB
2.0 (Host) x2, USB 2.0 (Device) x1. МФУ, тонеры T10L (C/M/Y - 5000 стр. ; Bk - 6000 стр.)</t>
  </si>
  <si>
    <t>521-101-0421-0020</t>
  </si>
  <si>
    <t>МФУ монохромное, Xerox, VersaLink B415DN, B415V_DN, лазерное , А4, 47 стр./мин., подача 650 листов, двусторонний автоподатчик документов, до 98 изобр./мин., сенсорный дисплей 7", 1.2 ГГц CPU, 2 ГБ RAM, 32 ГБ eMMC, USB 2.0, Ethernet 10/100/1000, NFC, Fax</t>
  </si>
  <si>
    <t>МФУ B415 Сетевой шнур питания,Руководство по установке,Информационный буклет о продукте,Инструкция по технике безопасности,Буклет об обновлении программного,обеспечения,Диск с программным обеспечением и документацией,Чёрный картридж: ресурс печати — 6000 страниц</t>
  </si>
  <si>
    <t>521-101-0421-0021</t>
  </si>
  <si>
    <t>МФУ монохромное, Xerox, VersaLink B625DN, B625V_DN, лазерное, А4, 61 стр./мин., подача 650 листов, двусторонний автоподатчик документов, до 144 изобр./мин., сенсорный дисплей 7", 1.2 ГГц
CPU, 4 ГБ RAM, 32 ГБ eMMC, USB 2.0,
Ethernet 10/100/1000, NFC, Fax</t>
  </si>
  <si>
    <t>МФУ B625,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</si>
  <si>
    <t>521-101-0421-0022</t>
  </si>
  <si>
    <t>МФУ цветное, Xerox, C325DNI, C325V_DNI, лазерное цветное, А4, 33 стр./мин., подача 251 лист, двусторонний автоподатчик документов, до 47 изобр./мин., сенсорный дисплей 4.3", 1.2 ГГц CPU, 2 ГБ RAM, 8 ГБ eMMC, USB 2.0, Ethernet 10/100/1000, Wi-Fi, Fax</t>
  </si>
  <si>
    <t>Принтер Xerox C320,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жёлтый) — ресурс 1000 страниц, чёрный картридж — ресурс 1500 страниц</t>
  </si>
  <si>
    <t>521-101-0421-0023</t>
  </si>
  <si>
    <t>МФУ цветное, Xerox, VersaLink C415DN, C415V_DN, лазерное, А4, 40 стр./мин., подача 251 лист, двусторонний автоподатчик документов, до 98 изобр./мин., сенсорный дисплей 7", 1.2 ГГц CPU, 2 ГБ RAM, 32 ГБ eMMC, USB 2.0, Ethernet 10/100/1000, NFC,
Fax</t>
  </si>
  <si>
    <t>МФУ Xerox C415,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стартовые картриджи: по одному каждого цвета (голубой, пурпурный, жёлтый) — ресурс 2000 страниц, чёрный картридж — ресурс 2400 страниц</t>
  </si>
  <si>
    <t>521-101-0421-0024</t>
  </si>
  <si>
    <t>МФУ цветное, Xerox, VersaLink C625DN, C625V_DN, лазерное , А4, 50 стр./мин., подача 650 листов, двусторонний автоподатчик документов, до 98 изобр./мин., сенсорный дисплей 7", 1.2 ГГц CPU, 4 ГБ RAM, 32 ГБ eMMC, USB 2.0, Ethernet 10/100/1000, NFC, Fax</t>
  </si>
  <si>
    <t>МФУ Xerox C625, сетевой шнур питания (AC),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CMY (голубой, пурпурный, жёлтый) — ресурс 7000 страниц, чёрный картридж (K) — ресурс 8000 страниц</t>
  </si>
  <si>
    <t>521-101-0600</t>
  </si>
  <si>
    <t>Оборудование и мебель вспомогательные для групповой комнаты</t>
  </si>
  <si>
    <t>521-101-0601</t>
  </si>
  <si>
    <t>Шкаф для посуды</t>
  </si>
  <si>
    <t>521-101-0601-0001</t>
  </si>
  <si>
    <t>Шкаф с полками для посуды 800*450*1800</t>
  </si>
  <si>
    <t>521-101-0602</t>
  </si>
  <si>
    <t>Шкаф для моющих средств</t>
  </si>
  <si>
    <t>521-101-0602-0001</t>
  </si>
  <si>
    <t>Шкаф для моющих средств 800х500х1800мм</t>
  </si>
  <si>
    <t>Шкаф для моющих средств 800х500х1800мм. Материал ЛДСП 16мм.
Внутри секции имеются полки для инвентаря</t>
  </si>
  <si>
    <t>521-101-0603</t>
  </si>
  <si>
    <t>Шкаф для уборочного инвентаря</t>
  </si>
  <si>
    <t>521-101-0603-0001</t>
  </si>
  <si>
    <t>Шкаф металлический для хозинвентаря
одностворчатый 500х400х1750мм</t>
  </si>
  <si>
    <t>Шкаф металлический для хозинвентаря одностворчатый 500х400х1750мм.
Внутри секции имеются полки для инвентаря</t>
  </si>
  <si>
    <t>521-101-0603-0002</t>
  </si>
  <si>
    <t>Шкаф металлический для хозинвентаря
двухстворчатый 800х400х1750мм</t>
  </si>
  <si>
    <t>Шкаф металлический для хозинвентаря двухстворчатый 800х400х1750мм.
Внутри секции имеются полки для инвентаря</t>
  </si>
  <si>
    <t>521-101-0603-0003</t>
  </si>
  <si>
    <t>Шкаф металлический односекционный для уборочного инвентаря с замком 600*500*1656мм, с полками и нишей.
Покрытие — краска порошковая-полимерная.</t>
  </si>
  <si>
    <t>Шкаф металлический для уборочного инвентаря 600*500*1656мм. Шкаф односекционный. Полки и ниша для инвентаря. Покрытие — краска порошковая-полимерная. Двери снабжены замком.</t>
  </si>
  <si>
    <t>521-101-0604</t>
  </si>
  <si>
    <t>Стеллаж</t>
  </si>
  <si>
    <t>521-101-0604-0001</t>
  </si>
  <si>
    <t>Стеллаж для цветов 1500х300х1300мм. Каркас изготовлен из стального профиля. Полки ЛДСП 16 мм</t>
  </si>
  <si>
    <t>Каркас изготовлен из стального профиля 25х25 мм (толщина 1,2 мм), покраска полимерно-порошковая на 2 слоя. Полки ЛДСП 16мм, торцы закатаны кромочным материалом ПВХ 1,5 мм.</t>
  </si>
  <si>
    <t>521-101-0605</t>
  </si>
  <si>
    <t>Вешалка</t>
  </si>
  <si>
    <t>521-101-0605-0001</t>
  </si>
  <si>
    <t>Шкаф 5-ти секционный с полками и крючками, 600*150*600. Материал -ЛДСП 16 мм.</t>
  </si>
  <si>
    <t>Шкаф 5-ти секционный с полками и крючками, 600*150*600. Материал
-ЛДСП 16 мм.</t>
  </si>
  <si>
    <t>521-101-0605-0002</t>
  </si>
  <si>
    <t>Вешалка 5-ти секционная с полками и крючками 658*116*1000. Материал - ЛДСП 16 мм.</t>
  </si>
  <si>
    <t>521-101-0605-0003</t>
  </si>
  <si>
    <t>Вешалка настенная на 14 крючков для одежды, размер 2256х254х263мм, ЛДСП 16мм</t>
  </si>
  <si>
    <t>521-101-0611</t>
  </si>
  <si>
    <t>Шкаф гардеробный</t>
  </si>
  <si>
    <t>521-101-0611-0001</t>
  </si>
  <si>
    <t>Шкаф гардеробный 2300/1100х550х2200мм. Материал - ЛДСП 16мм, полки для головного убора и обуви, перекладина.</t>
  </si>
  <si>
    <t>Шкаф гардеробный 2300/1100х550х2200мм. ЛДСП 16мм, полки для головного убора и обуви, перекладина.</t>
  </si>
  <si>
    <t>521-101-0612</t>
  </si>
  <si>
    <t>Кровать односпальная</t>
  </si>
  <si>
    <t>521-101-0612-0001</t>
  </si>
  <si>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</si>
  <si>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t>Кровать детская односпальная, размеры 1436х650х600мм.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Боковины и царги кровати из ЛДСП 16 мм, все углы закруглены. Ложе 1400х600мм.</t>
  </si>
  <si>
    <t>521-101-0612-0002</t>
  </si>
  <si>
    <t>Кровать детская односпальная, размеры 1440х650х700мм. Каркас ЛДСП 16мм, все углы закруглены. Ложе 1400х600мм.</t>
  </si>
  <si>
    <t>521-101-0612-0003</t>
  </si>
  <si>
    <t>Кровать детская односпальная, размеры 1436х640х550мм. ЛДСП 16мм, все углы закруглены</t>
  </si>
  <si>
    <t>521-101-0612-0004</t>
  </si>
  <si>
    <t>Кровать детская односпальная, размеры 1400х600х450мм, ЛДСП 16мм, без острых углов</t>
  </si>
  <si>
    <t>ЛДСП 16 мм, класс эмиссии Е1. Кромки деталей облицованы полимерным кромочным материалом (ПВХ), толщиной 2 мм. Фурнитура: стяжка типа Blum</t>
  </si>
  <si>
    <t>521-101-0612-0005</t>
  </si>
  <si>
    <t>Кровать детская 1 ярус, материал изготовления ЛДСП 16 мм, габаритные размеры 1532х650х500 мм</t>
  </si>
  <si>
    <t>Для изготовления должна использоваться ЛДСП не менее 16 мм. Цвет на выбор по каталогу. Отделка видимы торцов должна быть из ПВХ не менее 2 мм, остальных элементов 0,4 мм. Основание кровати содержит 1 перемычку из профильной квадратной трубы 25х25 мм для более жесткой конструкции. Спинки и царги изготовлены из лдсп не менее 16мм, которые соединяются между собой с помощью винтовой стяжки м6 и гайки боченка.
Спинки с внешним радиусом закругления не менее 800 мм и внутренним - не менее 550 мм, а царги имеют волнообразную форму. Опоры имеют на
концах заглушки из ударопрочных полимеров, предотвращающих порчу полового покрытия.</t>
  </si>
  <si>
    <t>521-101-0613</t>
  </si>
  <si>
    <t>Кровать двухъярусная</t>
  </si>
  <si>
    <t>521-101-0613-0001</t>
  </si>
  <si>
    <t>Кровать детская двухъярусная. Каркас цельносварная рамочная конструкция. Верхний ярус кровати с нижним соединяется лестницей. Боковины и царги кровати из ЛДСП 16 мм. Все углы закруглены.
Размеры: 1477х657х1359мм. Ложе
1400х600мм.</t>
  </si>
  <si>
    <t>Кровать детская двухъярусная.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Верхний ярус кровати с нижним соединяется лестницей. Боковины и царги кровати из ЛДСП 16 мм. Все углы закруглены. Размеры: 1477х657х1359мм. Ложе 1400х600мм.</t>
  </si>
  <si>
    <t>521-101-0613-0002</t>
  </si>
  <si>
    <t>Кровать детская двухъярусная. Каркас ЛДСП 16мм, все углы закруглены. Размеры 1450*700*1200мм.</t>
  </si>
  <si>
    <t>Кровать детская двухъярусная. Каркас ЛДСП 16мм, все углы закруглены. Верхний и нижний ярус соединяются лестницей из ЛДСП с перекладинами, покрытые лаковым покрытием. Размеры 1450*700*1200мм.</t>
  </si>
  <si>
    <t>521-101-0614</t>
  </si>
  <si>
    <t>Кровать трехъярусная выкатная</t>
  </si>
  <si>
    <t>521-101-0614-0001</t>
  </si>
  <si>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</si>
  <si>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</si>
  <si>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t>521-101-0614-0002</t>
  </si>
  <si>
    <t>Кровать трехъярусная, телоскопическая, выполнена из ЛДСП 16мм, размеры 1528х693х923мм</t>
  </si>
  <si>
    <t>521-101-0616</t>
  </si>
  <si>
    <t>Раскладушка</t>
  </si>
  <si>
    <t>521-101-0616-0001</t>
  </si>
  <si>
    <t>Раскладушка детская 1670х600х270 мм</t>
  </si>
  <si>
    <t>521-101-0616-0002</t>
  </si>
  <si>
    <t>Раскладушка детская с поролоном 1670х600х270 мм</t>
  </si>
  <si>
    <t>521-101-0616-0003</t>
  </si>
  <si>
    <t>Раскладушка взрослая 2040х720х380 мм</t>
  </si>
  <si>
    <t>Группа 521-102. Инвентарь для изобразительной деятельности</t>
  </si>
  <si>
    <t>521-102-0100</t>
  </si>
  <si>
    <t>Инвентарь для рисования</t>
  </si>
  <si>
    <t>521-102-0114</t>
  </si>
  <si>
    <t>Мольберт</t>
  </si>
  <si>
    <t>521-102-0114-0001</t>
  </si>
  <si>
    <t>Мольберт напольный алюминиевый, размеры не менее 960х960х1800мм</t>
  </si>
  <si>
    <t>521-102-0114-0002</t>
  </si>
  <si>
    <t>Мольберт двухсторонний 1200х600мм, с двумя рабочими поверхностями 600х580мм, двумя лотками 600х50мм и
планкой-ограничителем типа Инт парк 17091</t>
  </si>
  <si>
    <t>Группа 521-103. Оборудование и мебель административных помещений организаций дошкольного образования</t>
  </si>
  <si>
    <t>521-103-0200</t>
  </si>
  <si>
    <t>Методический кабинет</t>
  </si>
  <si>
    <t>521-103-0201</t>
  </si>
  <si>
    <t>Шкаф для книг открытый</t>
  </si>
  <si>
    <t>521-103-0201-0001</t>
  </si>
  <si>
    <t>Шкаф для книг открытый. ЛДСП 16мм, размеры 1000х500х1800мм</t>
  </si>
  <si>
    <t>Шкаф для книг открытый. ЛДСП 16мм, размеры 1000х500х1800мм. Полки открытые.</t>
  </si>
  <si>
    <t>521-103-0210</t>
  </si>
  <si>
    <t>Ламинатор</t>
  </si>
  <si>
    <t>521-103-0210-0001</t>
  </si>
  <si>
    <t>Ламинатор А4 "Lunar +" размерами 2*125 мкм. 30 см/мин. серый/синий (FELLOWES)</t>
  </si>
  <si>
    <t>521-103-0211</t>
  </si>
  <si>
    <t>Машина переплетная</t>
  </si>
  <si>
    <t>521-103-0211-0001</t>
  </si>
  <si>
    <t>Машина для переплета для пластиковых пружин "STAR+" (FELLOWES)</t>
  </si>
  <si>
    <t>521-103-0211-0002</t>
  </si>
  <si>
    <t>Переплетная машина Comix B2980, дырокол 15 листов, переплет до 120 листов,
Black-Silver</t>
  </si>
  <si>
    <t>521-103-0211-0003</t>
  </si>
  <si>
    <t>Переплетная машина Fellowes Starlet 2+, дырокол 12 листов, переплет до 120 листов (16мм),White-Black</t>
  </si>
  <si>
    <t>521-103-0211-0004</t>
  </si>
  <si>
    <t>Переплетная машина GBC CombBind 100, дырокол 9 листов, переплет до 160 листов (19мм), Black</t>
  </si>
  <si>
    <t>521-103-0211-0005</t>
  </si>
  <si>
    <t>Переплетная машина GBC CombBind 110, дырокол 12 листов, переплет до 190 листов (22мм), Black</t>
  </si>
  <si>
    <t>521-103-0211-0006</t>
  </si>
  <si>
    <t>Переплетная машина GBC CombBind 200, дырокол 20 листов, переплет до 330 листов (38мм), Black</t>
  </si>
  <si>
    <t>521-103-0211-0007</t>
  </si>
  <si>
    <t>Переплетная машина GBC CombBind 210, дырокол 25 листов, переплет до 450 листов (51мм), Black-Gray</t>
  </si>
  <si>
    <t>521-103-0211-0008</t>
  </si>
  <si>
    <t>Переплетная машина GBC CombBind C200E, дырокол 15 листов, переплет до 330 листов (38мм), Black</t>
  </si>
  <si>
    <t>521-103-0300</t>
  </si>
  <si>
    <t>Другие административно-хозяйственные кабинеты</t>
  </si>
  <si>
    <t>521-103-0301</t>
  </si>
  <si>
    <t>Шкаф для документов</t>
  </si>
  <si>
    <t>521-103-0301-0001</t>
  </si>
  <si>
    <t>Шкаф для документов. Вверх с открытой полкой, низ с закрытыми полками и дверьми. Размеры 1000*340*1200мм. ЛДСП 16мм.</t>
  </si>
  <si>
    <t>521-103-0301-0002</t>
  </si>
  <si>
    <t>Шкаф для документов с открытыми верхними полками и закрытой нижней частью. Размеры 800*450*2000мм. ЛДСП 16мм.</t>
  </si>
  <si>
    <t>521-103-0301-0003</t>
  </si>
  <si>
    <t>Шкаф для документов с открытыми верхними полками и закрытой нижней частью. Размеры 600х450х1800мм. ЛДСП 16мм.</t>
  </si>
  <si>
    <t>521-103-0302</t>
  </si>
  <si>
    <t>Стол из HPL-пластика</t>
  </si>
  <si>
    <t>521-103-0302-0001</t>
  </si>
  <si>
    <t>Стол из HPL-пластика, размер 800х800х720 мм</t>
  </si>
  <si>
    <t>521-103-0302-0002</t>
  </si>
  <si>
    <t>Стол из HPL-пластика, размер 800х1200х720 мм</t>
  </si>
  <si>
    <t>521-103-0303</t>
  </si>
  <si>
    <t>Стул из пластика</t>
  </si>
  <si>
    <t>521-103-0303-0001</t>
  </si>
  <si>
    <t>Стул из пластика, размер 465х530х800 мм</t>
  </si>
  <si>
    <t>Материал сидушки и ножек пластик. Размеры 465х530х800мм.</t>
  </si>
  <si>
    <t>521-103-0303-0002</t>
  </si>
  <si>
    <t>Стул из пластика, размер 500х550х820 мм</t>
  </si>
  <si>
    <t>Материал пластик. Размеры 500х550х820мм. Стул цельнолитой.</t>
  </si>
  <si>
    <t>521-103-0303-0003</t>
  </si>
  <si>
    <t>Стул из пластика, размер 590х590х840 мм</t>
  </si>
  <si>
    <t>Материал сидушки и ножек пластик. Размеры 590х590х840мм.</t>
  </si>
  <si>
    <t>521-103-0303-0004</t>
  </si>
  <si>
    <t>Стул офисный пластиковый, каркас хром</t>
  </si>
  <si>
    <t>Стул изготовлен из пластика. Каркас из хромированного металла.
Материал: основание - хром, спинка - пластик</t>
  </si>
  <si>
    <t>521-103-0303-0005</t>
  </si>
  <si>
    <t>Стул офисный. Сиденье и спинка: пластик. Каркас стула: металл, хром.лак/черный муар. Размер: 460х480х840мм</t>
  </si>
  <si>
    <t>Цвет по согласованию с заказчиком. Усиленный каркас до 240 кг.</t>
  </si>
  <si>
    <t>521-103-0303-0006</t>
  </si>
  <si>
    <t>Стул офисный пластиковый. Материал
сиденья и спинки полипропилен.</t>
  </si>
  <si>
    <t>Материал основания: пустотелая сталь. Размер: 860*592*515 мм. Цвет по согласованию</t>
  </si>
  <si>
    <t>521-103-0303-0007</t>
  </si>
  <si>
    <t>Стул типа Форум. Цвет по согласованию с заказчиком. Материал - полипропилен.
Габаритные размеры: 590х590х840мм</t>
  </si>
  <si>
    <t>Стул типа Форум. Цвет по согласованию с заказчиком. Материал - полипропилен. Габаритные размеры: 590х590х840мм</t>
  </si>
  <si>
    <t>521-103-0303-0008</t>
  </si>
  <si>
    <t>Стул типа ИМС. Материал - пластик. Цвет по согласованию с заказчиком. Материал - полипропилен. Габаритные размеры: 465х530х800мм</t>
  </si>
  <si>
    <t>Стул типа ИМС. Материал - пластик. Цвет по согласованию с заказчиком.
Материал - полипропилен. Габаритные размеры: 465х530х800мм</t>
  </si>
  <si>
    <t>521-103-0303-0009</t>
  </si>
  <si>
    <t>Стул типа ЛАЙН. Материал - полипропилен. Габаритные размеры: 480х470х845мм. Цвет по согласованию с заказчиком</t>
  </si>
  <si>
    <t>521-103-0303-0010</t>
  </si>
  <si>
    <t>Стул типа ЛЕО.  Материал -полипропилен. Габаритные размеры: 465х415х845мм. Цвет по согласованию с заказчиком</t>
  </si>
  <si>
    <t>521-103-0303-0011</t>
  </si>
  <si>
    <t>Табурет-корзина типа Юна. Материал -
полипропилен. Цвет- антрацит</t>
  </si>
  <si>
    <t>521-103-0303-0012</t>
  </si>
  <si>
    <t>Табурет-корзина типа Оркеш. Материал - полипропилен. Цвет- антрацит. Габаритные размеры: 395х250х310мм</t>
  </si>
  <si>
    <t>521-103-0303-0013</t>
  </si>
  <si>
    <t>Табурет типа Тулип. Материал -
полипропилен. Цвет- антрацит</t>
  </si>
  <si>
    <t>Табурет типа Тулип. Материал - полипропилен. Цвет- антрацит</t>
  </si>
  <si>
    <t>521-103-0303-0014</t>
  </si>
  <si>
    <t>Стул детский типа Фокси. Цвет по согласованию с заказчиком. Материал - полипропилен. Габаритные размеры: 390х400х585мм</t>
  </si>
  <si>
    <t>521-103-0303-0015</t>
  </si>
  <si>
    <t>Стул из пластика, размер 470х390х770мм, металлический каркас</t>
  </si>
  <si>
    <t>Обивка отсутствует. Жесткость сиденья средняя. Высота 770мм. Ширина 470мм. Глубина 390мм. Сиденье и спинка из полипропиленового пластика.
Цвет по согласованию</t>
  </si>
  <si>
    <t>521-103-0303-0016</t>
  </si>
  <si>
    <t>Стул из пластика, размер 440х400х780мм, ножки металлические</t>
  </si>
  <si>
    <t>Каркас пластик. Ножки металлические с эффектом покраски под дерево</t>
  </si>
  <si>
    <t>521-103-0303-0017</t>
  </si>
  <si>
    <t>Стул из пластика, размер 400х380х780мм, металлический каркас цветной</t>
  </si>
  <si>
    <t>Обивка отсутствует. Жесткость сиденья средняя. Высота 780мм. Ширина 400мм. Глубина 380мм. Сиденье и спинка из полипропиленового пластика.
Цвет по согласованию</t>
  </si>
  <si>
    <t>Группа 521-105. Оборудование и мебель национальные для кабинета казахского языка</t>
  </si>
  <si>
    <t>521-105-0500</t>
  </si>
  <si>
    <t>Национальные музыкальные инструменты</t>
  </si>
  <si>
    <t>521-105-0501</t>
  </si>
  <si>
    <t>Домбра</t>
  </si>
  <si>
    <t>Домбра, длина грифа не менее 450 мм.</t>
  </si>
  <si>
    <t>521-105-0502</t>
  </si>
  <si>
    <t>Дауылпаз</t>
  </si>
  <si>
    <t>Ударный музыкальный инструмент. Корпус котлообразный изготовлен из твёрдых пород дерева, лицевая часть обтянута из козлиной кожи.</t>
  </si>
  <si>
    <t>521-105-0503</t>
  </si>
  <si>
    <t>Жетіген</t>
  </si>
  <si>
    <t>521-105-0504</t>
  </si>
  <si>
    <t>Қобыз</t>
  </si>
  <si>
    <t>521-105-0505</t>
  </si>
  <si>
    <t>Сазсырнай</t>
  </si>
  <si>
    <t>Это духовой музыкальный инструмент, сделанный из глины. Имеет по бокам отверстия. В комплекте идет чехол.</t>
  </si>
  <si>
    <t>521-105-0508</t>
  </si>
  <si>
    <t>Адырна</t>
  </si>
  <si>
    <t>521-105-0509</t>
  </si>
  <si>
    <t>Шертер</t>
  </si>
  <si>
    <t>521-105-0510</t>
  </si>
  <si>
    <t>Қыл қобыз</t>
  </si>
  <si>
    <t>521-105-0511</t>
  </si>
  <si>
    <t>Нар қобыз</t>
  </si>
  <si>
    <t>521-105-0512</t>
  </si>
  <si>
    <t>Бас қобыз</t>
  </si>
  <si>
    <t>521-105-0513</t>
  </si>
  <si>
    <t>Дабыл</t>
  </si>
  <si>
    <t>521-105-0514</t>
  </si>
  <si>
    <t>Кепшік</t>
  </si>
  <si>
    <t>521-105-0515</t>
  </si>
  <si>
    <t>Тай-тұяқ деревянный</t>
  </si>
  <si>
    <t>521-105-0516</t>
  </si>
  <si>
    <t>Тоқылдақ (коробка)</t>
  </si>
  <si>
    <t>521-105-0517</t>
  </si>
  <si>
    <t>Сыбызғы с футляром</t>
  </si>
  <si>
    <t>521-105-0518</t>
  </si>
  <si>
    <t>Керней с футляром</t>
  </si>
  <si>
    <t>521-105-0519</t>
  </si>
  <si>
    <t>Асатаяқ сылдырмақты</t>
  </si>
  <si>
    <t>521-105-0520</t>
  </si>
  <si>
    <t>Асатаяқ</t>
  </si>
  <si>
    <t>Шумовой музыкальный ударный инструмент. На корпус навешиваются колокольчики или лепестки.</t>
  </si>
  <si>
    <t>521-105-0521</t>
  </si>
  <si>
    <t>Сақпан</t>
  </si>
  <si>
    <t>521-105-0600</t>
  </si>
  <si>
    <t>Национальные принадлежности и мебель</t>
  </si>
  <si>
    <t>521-105-0601</t>
  </si>
  <si>
    <t>Бесік</t>
  </si>
  <si>
    <t>521-105-0606</t>
  </si>
  <si>
    <t>Сандық</t>
  </si>
  <si>
    <t>Группа 521-106. Оборудование для физкультурного зала</t>
  </si>
  <si>
    <t>521-106-0400</t>
  </si>
  <si>
    <t>Инвентарь для спортивных игр</t>
  </si>
  <si>
    <t>521-106-0409</t>
  </si>
  <si>
    <t>Сухой бассейн в комплекте с шариками</t>
  </si>
  <si>
    <t>521-106-0409-0001</t>
  </si>
  <si>
    <t>Сухой бассейн в комплекте с шариками
габариты: 950х330 мм</t>
  </si>
  <si>
    <t>521-106-0500</t>
  </si>
  <si>
    <t>Оборудование и инвентарь для детских игр
на спортивной площадке</t>
  </si>
  <si>
    <t>521-106-0504</t>
  </si>
  <si>
    <t>Велосипед детский</t>
  </si>
  <si>
    <t>521-106-0504-0001</t>
  </si>
  <si>
    <t>Велосипед детский трехколесный велосипед "Балдырган"</t>
  </si>
  <si>
    <t>521-106-0504-0002</t>
  </si>
  <si>
    <t>Велосипед детский трехколесный "Балдырган" с ручкой</t>
  </si>
  <si>
    <t>521-106-0506</t>
  </si>
  <si>
    <t>Беговел</t>
  </si>
  <si>
    <t>521-106-0600</t>
  </si>
  <si>
    <t>Зимний инвентарь</t>
  </si>
  <si>
    <t>521-106-0604</t>
  </si>
  <si>
    <t>Санки</t>
  </si>
  <si>
    <t>521-106-0604-0001</t>
  </si>
  <si>
    <t>Санки детские "АЛАҚАЙ" со спинкой размерами 720х335х165 мм</t>
  </si>
  <si>
    <t>521-106-0604-0002</t>
  </si>
  <si>
    <t>Санки трубчатые "СНЕЖОК" с подножкой и роликами размерами 800х360х190/950 мм</t>
  </si>
  <si>
    <t>521-106-0604-0003</t>
  </si>
  <si>
    <t>Санки для двойняшек удлиненные трубчатые "БӨБЕК" размерами 1200х370х195/960 мм</t>
  </si>
  <si>
    <t>Группа 521-107. Музыкальный зал</t>
  </si>
  <si>
    <t>521-107-0200</t>
  </si>
  <si>
    <t>Музыкальные инструменты и оборудование</t>
  </si>
  <si>
    <t>521-107-0201</t>
  </si>
  <si>
    <t>Аккордеон</t>
  </si>
  <si>
    <t>Группа 521-108. Инвентарь мягкий, оборудование для прачечной</t>
  </si>
  <si>
    <t>521-108-0500</t>
  </si>
  <si>
    <t>Оборудование для прачечной</t>
  </si>
  <si>
    <t>521-108-0502</t>
  </si>
  <si>
    <t>Тележка для перевозки белья</t>
  </si>
  <si>
    <t>521-108-0502-0001</t>
  </si>
  <si>
    <t>Тележка для сухого белья из полипропилена (стандартная) 830*480*620 мм</t>
  </si>
  <si>
    <t>521-108-0502-0002</t>
  </si>
  <si>
    <t>Тележка для сухого белья из полипропилена (удлиненная) 1020*630*825 мм</t>
  </si>
  <si>
    <t>521-108-0502-0003</t>
  </si>
  <si>
    <t>Тележка для влажного белья из алюминия (стандартная) 840*490*650 мм</t>
  </si>
  <si>
    <t>521-108-0502-0004</t>
  </si>
  <si>
    <t>Тележка для влажного белья из алюминия (удлиненная) 1030*630*850 мм</t>
  </si>
  <si>
    <t>521-108-0502-0005</t>
  </si>
  <si>
    <t>Тележка для перевозки белья 930*430*980</t>
  </si>
  <si>
    <t>521-108-0502-0006</t>
  </si>
  <si>
    <t>Тележка для белья типа ТП-120. Объем корзины 120 л, грузоподъемность 75 кг, габаритные размеры (ДхШхВ) 960х530х960 мм</t>
  </si>
  <si>
    <t>521-108-0502-0007</t>
  </si>
  <si>
    <t>Тележка для белья типа ТП-200. Объем корзины 200 л, грузоподъемность 75 кг, габаритные размеры (ДхШхВ) 1150х720х900 мм</t>
  </si>
  <si>
    <t>521-108-0502-0008</t>
  </si>
  <si>
    <t>Тележка для белья типа ТС-200. Объем корзины 200 л, грузоподъемность 100 кг, габаритные размеры (ДхШхВ) 650х605х845 мм</t>
  </si>
  <si>
    <t>521-108-0502-0009</t>
  </si>
  <si>
    <t>Тележка для белья типа ТН-200. Объем корзины 200 л, грузоподъемность 100 кг, габаритные размеры (ДхШхВ) 1255х540х950 мм</t>
  </si>
  <si>
    <t>521-108-0502-0010</t>
  </si>
  <si>
    <t>Тележка для белья типа ТС-300. Объем корзины 300 л, грузоподъемность 150 кг, габаритные размеры (ДхШхВ) 950х605х845 мм</t>
  </si>
  <si>
    <t>521-108-0502-0011</t>
  </si>
  <si>
    <t>Тележка для белья типа ТН-300. Объем корзины 300 л, грузоподъемность 150 кг, габаритные размеры (ДхШхВ) 1135х600х930 мм</t>
  </si>
  <si>
    <t>521-108-0502-0012</t>
  </si>
  <si>
    <t>Тележка сетчатая с полками для белья типа ТСП-500. Объем корзины 500 л, грузоподъемность 100 кг, габаритные размеры (ДхШхВ) 1053х437х1640 мм</t>
  </si>
  <si>
    <t>521-108-0502-0013</t>
  </si>
  <si>
    <t>Тележка сетчатая с полками для белья типа ТСП-600. Объем корзины 600 л, грузоподъемность 120 кг, габаритные размеры (ДхШхВ) 960х610х1655 мм</t>
  </si>
  <si>
    <t>521-108-0502-0014</t>
  </si>
  <si>
    <t>Тележка сетчатая с полками для белья типа ТСПР-800. Объем корзины 800 л, грузоподъемность 140 кг, габаритные размеры (ДхШхВ) 900х700х1800 мм</t>
  </si>
  <si>
    <t>521-108-0502-0015</t>
  </si>
  <si>
    <t>Тележка для белья, пластиковый корпус цельнозаливной, объем 200 л. Габаритные размеры: 1050х750х800 мм</t>
  </si>
  <si>
    <t>Тележка пластиковая для транспортировки, хранения и замачивания белья.
4 поворотных колеса, 2 из них с тормозом.</t>
  </si>
  <si>
    <t>521-108-0502-0016</t>
  </si>
  <si>
    <t>Тележка для белья, пластиковый корпус цельнозаливной, объем 300 л. Габаритные размеры: 1200х850х800 мм</t>
  </si>
  <si>
    <t>521-108-0502-0017</t>
  </si>
  <si>
    <t>Тележка для белья, пластиковый корпус цельнозаливной, объем 400 л. Габаритные размеры: 1350х850х800 мм</t>
  </si>
  <si>
    <t>521-108-0502-0018</t>
  </si>
  <si>
    <t>Тележка стеллаж из нержавеющей стали, 3 полки, 4 поворотных колеса, 2 из них с тормозом. Габаритные размеры: 800х600х1800 мм</t>
  </si>
  <si>
    <t>Тележка стеллаж из нержавеющей стали, решетчатого типа.</t>
  </si>
  <si>
    <t>521-108-0502-0019</t>
  </si>
  <si>
    <t>Тележка стеллаж из нержавеющей стали, 3 полки, 4 поворотных колеса, 2 из них с тормозом. Габаритные размеры: 1000х600х1800 мм</t>
  </si>
  <si>
    <t>521-108-0502-0020</t>
  </si>
  <si>
    <t>Тележка стеллаж из нержавеющей стали, 3 полки, 4 поворотных колеса, 2 из них с тормозом. Габаритные размеры: 1200х600х1800 мм</t>
  </si>
  <si>
    <t>521-108-0504</t>
  </si>
  <si>
    <t>Машина стиральная профессиональная</t>
  </si>
  <si>
    <t>521-108-0504-0001</t>
  </si>
  <si>
    <t>Стиральная машина с отжимом 535 об/мин. Загрузочная масса 11 кг</t>
  </si>
  <si>
    <t>521-108-0504-0002</t>
  </si>
  <si>
    <t>Стиральная машина с отжимом 470 об/мин. Загрузочная масса 18 кг</t>
  </si>
  <si>
    <t>521-108-0504-0003</t>
  </si>
  <si>
    <t>Стиральная машина с отжимом 470 об/мин. Загрузочная масса 23 кг</t>
  </si>
  <si>
    <t>521-108-0504-0004</t>
  </si>
  <si>
    <t>Стиральная машина с отжимом 450 об/мин. Загрузочная масса 30 кг</t>
  </si>
  <si>
    <t>521-108-0504-0005</t>
  </si>
  <si>
    <t>Стиральная машина с отжимом 450 об/мин. Загрузочная масса 40 кг</t>
  </si>
  <si>
    <t>521-108-0504-0006</t>
  </si>
  <si>
    <t>Стиральная машина с отжимом 408 об/мин. Загрузочная масса 55 кг</t>
  </si>
  <si>
    <t>521-108-0504-0007</t>
  </si>
  <si>
    <t>Стиральная машина с отжимом 360 об/мин. Загрузочная масса 70 кг</t>
  </si>
  <si>
    <t>521-108-0504-0008</t>
  </si>
  <si>
    <t>Стиральная машина с отжимом 360 об/мин. Загрузочная масса 85 кг</t>
  </si>
  <si>
    <t>521-108-0504-0009</t>
  </si>
  <si>
    <t>Стиральная машина с окончательным отжимом 1002 об/мин. Загрузочная масса 8 кг</t>
  </si>
  <si>
    <t>521-108-0504-0010</t>
  </si>
  <si>
    <t>Стиральная машина с окончательным отжимом 1002 об/мин. Загрузочная масса 11 кг</t>
  </si>
  <si>
    <t>521-108-0504-0011</t>
  </si>
  <si>
    <t>Стиральная машина с окончательным отжимом 947 об/мин. Загрузочная масса 14 кг</t>
  </si>
  <si>
    <t>521-108-0504-0012</t>
  </si>
  <si>
    <t>Стиральная машина с окончательным отжимом 947 об/мин. Загрузочная масса 18 кг</t>
  </si>
  <si>
    <t>521-108-0504-0013</t>
  </si>
  <si>
    <t>Стиральная машина с окончательным отжимом  947 об/мин. Загрузочная масса 23 кг</t>
  </si>
  <si>
    <t>521-108-0504-0014</t>
  </si>
  <si>
    <t>Стиральная машина с окончательным отжимом 840 об/мин. Загрузочная масса 26 кг</t>
  </si>
  <si>
    <t>521-108-0504-0016</t>
  </si>
  <si>
    <t>Стиральная машина с окончательным отжимом 830 об/мин. Загрузочная масса 40 кг</t>
  </si>
  <si>
    <t>521-108-0504-0017</t>
  </si>
  <si>
    <t>Стиральная машина с окончательным отжимом 829 об/мин. Загрузочная масса 55 кг</t>
  </si>
  <si>
    <t>521-108-0504-0018</t>
  </si>
  <si>
    <t>Стиральная машина с окончательным отжимом 750 об/мин. Загрузочная масса 70 кг</t>
  </si>
  <si>
    <t>521-108-0504-0019</t>
  </si>
  <si>
    <t>Стиральная машина с окончательным отжимом 750 об/мин. Загрузочная масса 85 кг</t>
  </si>
  <si>
    <t>521-108-0504-0020</t>
  </si>
  <si>
    <t>Стиральная машина с окончательным отжимом 750 об/мин. Загрузочная масса 100 кг</t>
  </si>
  <si>
    <t>521-108-0504-0021</t>
  </si>
  <si>
    <t>Стиральная машина с окончательным отжимом 700 об/мин. Загрузочная масса 125 кг</t>
  </si>
  <si>
    <t>521-108-0504-0022</t>
  </si>
  <si>
    <t>Стиральная машина санитарно барьерного типа с окончательным отжимом 947 об/мин. Загрузочная масса 18 кг</t>
  </si>
  <si>
    <t>521-108-0504-0023</t>
  </si>
  <si>
    <t>Стиральная машина санитарно барьерного типа с окончательным отжимом 947 об/мин. Загрузочная масса 23 кг</t>
  </si>
  <si>
    <t>521-108-0504-0024</t>
  </si>
  <si>
    <t>Стиральная машина санитарно барьерного типа с окончательным отжимом 846 об/мин. Загрузочная масса 30 кг</t>
  </si>
  <si>
    <t>521-108-0504-0025</t>
  </si>
  <si>
    <t>Стиральная машина санитарно барьерного типа с окончательным отжимом 802 об/мин. Загрузочная масса 55 кг</t>
  </si>
  <si>
    <t>521-108-0504-0026</t>
  </si>
  <si>
    <t>Машина стирально-отжимная типа ВО-11. Облицовки нержавеющая сталь. Загрузка 11 кг, объем барабана 100л, габаритные размеры (ДхШхВ) 850х750х1125 мм, напряжение 380В</t>
  </si>
  <si>
    <t>521-108-0504-0027</t>
  </si>
  <si>
    <t>Машина стирально-отжимная типа ВО-15. Облицовки нержавеющая сталь. Загрузка 15 кг, объем барабана 150л, габаритные размеры (ДхШхВ) 935х930х1330 мм, напряжение 380В</t>
  </si>
  <si>
    <t>521-108-0504-0028</t>
  </si>
  <si>
    <t>Машина стирально-отжимная типа ВО-20. Облицовки нержавеющая сталь. Загрузка 20 кг, объем барабана 200л, габаритные размеры (ДхШхВ) 1020х1015х1440 мм, напряжение 380В</t>
  </si>
  <si>
    <t>521-108-0504-0029</t>
  </si>
  <si>
    <t>Машина стирально-отжимная типа ВО-25. Облицовки нержавеющая сталь. Загрузка 25 кг, объем барабана 250л, габаритные размеры (ДхШхВ) 1080х1190х1585 мм, напряжение 380В</t>
  </si>
  <si>
    <t>521-108-0504-0030</t>
  </si>
  <si>
    <t>Машина стирально-отжимная типа ВО-30. Облицовки нержавеющая сталь. Загрузка 30 кг, объем барабана 300л, габаритные размеры (ДхШхВ) 1180х1185х1550 мм, напряжение 380В</t>
  </si>
  <si>
    <t>521-108-0504-0031</t>
  </si>
  <si>
    <t>Машина стирально-отжимная типа ВО-40. Облицовки нержавеющая сталь. Загрузка 40 кг, объем барабана 400л, габаритные размеры (ДхШхВ) 1290х1265х1700 мм, напряжение 380В</t>
  </si>
  <si>
    <t>521-108-0504-0032</t>
  </si>
  <si>
    <t>Машина стирально-отжимная типа ВО-50. Облицовки нержавеющая сталь. Загрузка 50 кг, объем барабана 500 л, габаритные размеры (ДхШхВ) 1450х1345х1905 мм, напряжение 380В</t>
  </si>
  <si>
    <t>521-108-0504-0033</t>
  </si>
  <si>
    <t>Машина стирально-отжимная типа ВО-60. Облицовки нержавеющая сталь. Загрузка 60 кг, объем барабана 600 л, габаритные размеры (ДхШхВ) 1460х1494х1895 мм, напряжение 380В</t>
  </si>
  <si>
    <t>521-108-0504-0034</t>
  </si>
  <si>
    <t>Машина стирально-отжимная типа ВО-80. Облицовки нержавеющая сталь. Загрузка 80 кг, объем барабана 800 л, габаритные размеры (ДхШхВ) 1570х1690х2215 мм, напряжение 380В</t>
  </si>
  <si>
    <t>521-108-0504-0035</t>
  </si>
  <si>
    <t>Машина стирально-отжимная типа ВО-100. Облицовки нержавеющая сталь. Загрузка 100 кг, объем барабана 1000 л, габаритные размеры (ДхШхВ) 1730х1690х2215 мм, напряжение 380В</t>
  </si>
  <si>
    <t>521-108-0504-0036</t>
  </si>
  <si>
    <t>Машина стирально-отжимная барьерная типа ЛБ-20. Облицовки нержавеющая сталь. Загрузка 20 кг, объем барабана 200 л, габаритные размеры (ДхШхВ) 1090х1080х1800 мм, напряжение 380В</t>
  </si>
  <si>
    <t>521-108-0504-0037</t>
  </si>
  <si>
    <t>Машина стирально-отжимная барьерная типа ЛБ-30. Облицовки нержавеющая сталь. Загрузка 30 кг, объем барабана 300 л, габаритные размеры (ДхШхВ) 1090х1340х1800 мм, напряжение 380В</t>
  </si>
  <si>
    <t>521-108-0504-0038</t>
  </si>
  <si>
    <t>Машина стирально-отжимная барьерная типа ЛБ-40. Облицовки нержавеющая сталь. Загрузка 40 кг, объем барабана 400 л, габаритные размеры (ДхШхВ) 1090х1600х1800 мм, напряжение 380В</t>
  </si>
  <si>
    <t>521-108-0504-0039</t>
  </si>
  <si>
    <t>Машина стирально-отжимная барьерная типа ВБ-60. Облицовки нержавеющая сталь. Загрузка 60 (2х30) кг, объем барабана 600 (2х300) л, габаритные размеры (ДхШхВ) 1090х2000х1780 мм, напряжение 380В</t>
  </si>
  <si>
    <t>521-108-0504-0040</t>
  </si>
  <si>
    <t>Машина стирально-отжимная барьерная типа ВБ-100. Облицовки нержавеющая сталь. Загрузка 100 кг, объем барабана 1000 л, габаритные размеры (ДхШхВ) 1650х2550х2120 мм, напряжение 380В</t>
  </si>
  <si>
    <t>521-108-0504-0041</t>
  </si>
  <si>
    <t>Машина стирально-отжимная типа В-11. Облицовки окрашенная сталь. Загрузка 11 кг, объем барабана 100 л, габаритные размеры (ДхШхВ) 815х760х1230 мм, напряжение 380В</t>
  </si>
  <si>
    <t>521-108-0504-0042</t>
  </si>
  <si>
    <t>Машина стирально-отжимная типа В-15. Облицовки окрашенная сталь. Загрузка 15 кг, объем барабана 150 л, габаритные размеры (ДхШхВ) 850х870х1380 мм, напряжение 380В</t>
  </si>
  <si>
    <t>521-108-0504-0043</t>
  </si>
  <si>
    <t>Машина стирально-отжимная типа В-18. Облицовки окрашенная сталь. Загрузка 18 кг, объем барабана 180 л, габаритные размеры (ДхШхВ) 920х870х1380 мм, напряжение 380В</t>
  </si>
  <si>
    <t>521-108-0504-0044</t>
  </si>
  <si>
    <t>Машина стирально-отжимная типа В-25. Облицовки окрашенная сталь. Загрузка 25 кг, объем барабана 250 л, габаритные размеры (ДхШхВ) 955х970х1445 мм, напряжение 380В</t>
  </si>
  <si>
    <t>521-108-0504-0045</t>
  </si>
  <si>
    <t>Машина стирально-отжимная типа В-35. Облицовки окрашенная сталь. Загрузка 35 кг, объем барабана 350 л, габаритные размеры (ДхШхВ) 1050х1115х1550 мм, напряжение 380В</t>
  </si>
  <si>
    <t>521-108-0504-0046</t>
  </si>
  <si>
    <t>Машина стирально-отжимная типа В-50. Облицовки окрашенная сталь. Загрузка 50 кг, объем барабана 500 л, габаритные размеры (ДхШхВ) 1350х1130х1660 мм, напряжение 380В</t>
  </si>
  <si>
    <t>521-108-0504-0047</t>
  </si>
  <si>
    <t>Машина 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Мощность 6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</si>
  <si>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310 мм., вес 190 кг. обогрев электрический подготовленна к паровому обогреву.</t>
  </si>
  <si>
    <t>521-108-0504-0048</t>
  </si>
  <si>
    <t>Машина 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Мощность 9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</si>
  <si>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</si>
  <si>
    <t>521-108-0504-0049</t>
  </si>
  <si>
    <t>Машина 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Мощность 18 кВт</t>
  </si>
  <si>
    <t>521-108-0504-0050</t>
  </si>
  <si>
    <t>Машина 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Мощность 18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</si>
  <si>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 индикатор оставшегося времени, G force-200, обогрев комбинированный электрический и паровой.</t>
  </si>
  <si>
    <t>521-108-0504-0051</t>
  </si>
  <si>
    <t>Машина 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Мощность 6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</si>
  <si>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</si>
  <si>
    <t>521-108-0504-0052</t>
  </si>
  <si>
    <t>Машина 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Мощность 9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</si>
  <si>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 на 50 программ, инвертер, USB порт, индикатор оставшегося времени, G force-400, обогрев электрический подготовленна к паровому обогреву.</t>
  </si>
  <si>
    <t>521-108-0504-0053</t>
  </si>
  <si>
    <t>Машина 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Мощность 18 кВт</t>
  </si>
  <si>
    <t>521-108-0504-0054</t>
  </si>
  <si>
    <t>Машина 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Мощность 18 кВт</t>
  </si>
  <si>
    <t>521-108-0504-0055</t>
  </si>
  <si>
    <t>Машина 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Мощность 34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</si>
  <si>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force-350, обогрев электрический подготовленна к паровому обогреву.</t>
  </si>
  <si>
    <t>521-108-0504-0056</t>
  </si>
  <si>
    <t>Машина 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Мощность 37,5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</si>
  <si>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комбинированный электрический и паровой.</t>
  </si>
  <si>
    <t>521-108-0504-0057</t>
  </si>
  <si>
    <t>Машина 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Мощность 37,5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</si>
  <si>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электрический подготовленна к паровому обогреву.</t>
  </si>
  <si>
    <t>521-108-0504-0058</t>
  </si>
  <si>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1774х1761х2092 мм. Мощность 71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</si>
  <si>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</si>
  <si>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521-108-0504-0059</t>
  </si>
  <si>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1774х1828х2092 мм. Мощность 71 кВт</t>
  </si>
  <si>
    <t>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</si>
  <si>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521-108-0504-0060</t>
  </si>
  <si>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1850х1825х2285 мм. Мощность 71 кВт</t>
  </si>
  <si>
    <t>Машина стирально-отжимная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</si>
  <si>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521-108-0504-0061</t>
  </si>
  <si>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1850х1895х2290 мм. Мощность 71 кВт</t>
  </si>
  <si>
    <t>521-108-0504-0062</t>
  </si>
  <si>
    <t>Машина 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Габаритные размеры: 1290х1222х1496 мм.
Мощность 21 кВт</t>
  </si>
  <si>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</si>
  <si>
    <t>521-108-0504-0063</t>
  </si>
  <si>
    <t>Машина 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Габаритные размеры: 1592х1448х2035 мм.
Мощность 37,5 кВт</t>
  </si>
  <si>
    <t>521-108-0504-0064</t>
  </si>
  <si>
    <t>Машина стирально-отжимная, загрузка 110-115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1268
мм. Габаритные размеры: 2100х1448х2035
мм. Мощность 56 кВт</t>
  </si>
  <si>
    <t>521-108-0505</t>
  </si>
  <si>
    <t>Сушильная машина</t>
  </si>
  <si>
    <t>521-108-0505-0001</t>
  </si>
  <si>
    <t>Сушильный барабан загрузочной массой 8-10 кг. Производительность 20-25 кг/час.
Управление: микропроцессор. Исполнение: электронагрев</t>
  </si>
  <si>
    <t>521-108-0505-0002</t>
  </si>
  <si>
    <t>Сушильный барабан загрузочной массой 11 - 14 кг. Производительность 28-35 кг/час.
Управление: микропроцессор. Исполнение: электронагрев</t>
  </si>
  <si>
    <t>521-108-0505-0003</t>
  </si>
  <si>
    <t>Сушильный барабан загрузочной массой 15 - 18 кг. Производительность 36-45 кг/час.
Управление:микропроцессор. Исполнение: электронагрев</t>
  </si>
  <si>
    <t>521-108-0505-0004</t>
  </si>
  <si>
    <t>Сушильный барабан загрузочной массой 19 - 23 кг. Производительность 46-58 кг/час.
Управление: микропроцессор. Исполнение: электронагрев</t>
  </si>
  <si>
    <t>521-108-0505-0005</t>
  </si>
  <si>
    <t>Сушильный барабан загрузочной массой 34 кг. Производительность 68кг/час.
Управление: микропроцессор. Исполнение: электронагрев</t>
  </si>
  <si>
    <t>521-108-0505-0006</t>
  </si>
  <si>
    <t>Машина сушильная типа ВС-11. Облицовки окрашенная сталь. Загрузка 11 кг, объем барабана 250 л, габаритные размеры (ДхШхВ) 860х805х1390 мм, напряжение 380В</t>
  </si>
  <si>
    <t>521-108-0505-0007</t>
  </si>
  <si>
    <t>Машина сушильная типа ВС-15. Облицовки окрашенная сталь. Загрузка 15 кг, объем барабана 330 л, габаритные размеры (ДхШхВ) 1070х805х1390 мм, напряжение 380В</t>
  </si>
  <si>
    <t>521-108-0505-0008</t>
  </si>
  <si>
    <t>Машина сушильная типа ВС-20. Облицовки окрашенная сталь. Загрузка 20 кг, объем барабана 500 л, габаритные размеры (ДхШхВ) 1100х950х1735 мм, напряжение 380В</t>
  </si>
  <si>
    <t>521-108-0505-0009</t>
  </si>
  <si>
    <t>Машина сушильная типа ВС-25. Облицовки окрашенная сталь. Загрузка 25 кг, объем барабана 550 л, габаритные размеры (ДхШхВ) 1200х950х1735 мм, напряжение 380В</t>
  </si>
  <si>
    <t>521-108-0505-0010</t>
  </si>
  <si>
    <t>Машина сушильная типа ВС-30. Облицовки окрашенная сталь. Загрузка 30 кг, объем барабана 650 л, габаритные размеры (ДхШхВ) 1360х950х1735 мм, напряжение 380В</t>
  </si>
  <si>
    <t>521-108-0505-0011</t>
  </si>
  <si>
    <t>Машина сушильная типа ВС-40. Облицовки окрашенная сталь. Загрузка 40 кг, объем барабана 880 л, габаритные размеры (ДхШхВ) 1245х1220х2050 мм, напряжение 380В</t>
  </si>
  <si>
    <t>521-108-0505-0012</t>
  </si>
  <si>
    <t>Машина сушильная типа ВС-50. Облицовки окрашенная сталь. Загрузка 50 кг, объем барабана 1100 л, габаритные размеры (ДхШхВ) 1445х1220х2050 мм, напряжение 380В</t>
  </si>
  <si>
    <t>521-108-0505-0013</t>
  </si>
  <si>
    <t>Машина сушильная типа ВС-75. Облицовки окрашенная сталь.Загрузка 75 кг, объем барабана 1500 л, габаритные размеры (ДхШхВ) 1590х1360х2370 мм, напряжение 380В</t>
  </si>
  <si>
    <t>521-108-0505-0014</t>
  </si>
  <si>
    <t>Комплект профессиональный стирально-сушильный типа ВССК-11. Электрический обогрев. Габаритные размеры (ДхШхВ) 850х750х2050 мм.
Напряжение 380В/220В. Стиральная секция: загрузка 11 кг, объем барабана 100 л, мощность суммарная 10,1 кВт. Сушильная секция: загрузка 11 кг, объем барабана 200 л, мощность суммарная 75,3 кВт</t>
  </si>
  <si>
    <t>521-108-0505-0015</t>
  </si>
  <si>
    <t>Машина 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</si>
  <si>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</si>
  <si>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521-108-0505-0016</t>
  </si>
  <si>
    <t>Машина 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</si>
  <si>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</si>
  <si>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521-108-0505-0017</t>
  </si>
  <si>
    <t>Машина 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</si>
  <si>
    <t>521-108-0505-0018</t>
  </si>
  <si>
    <t>Машина 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</si>
  <si>
    <t>521-108-0505-0019</t>
  </si>
  <si>
    <t>Машина 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</si>
  <si>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</si>
  <si>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521-108-0505-0020</t>
  </si>
  <si>
    <t>Машина 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</si>
  <si>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</si>
  <si>
    <t>521-108-0505-0021</t>
  </si>
  <si>
    <t>Машина 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</si>
  <si>
    <t>521-108-0505-0022</t>
  </si>
  <si>
    <t>Система 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</si>
  <si>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force-330, глубина барабана 405 мм, сушка диаметр барабана 658 мм, глубина барабана 500 мм.</t>
  </si>
  <si>
    <t>521-108-0505-0023</t>
  </si>
  <si>
    <t>Система 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</si>
  <si>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force-300, глубина барабана 478 мм, сушка диаметр барабана 720 мм, глубина барабана 635 мм.</t>
  </si>
  <si>
    <t>521-108-0507</t>
  </si>
  <si>
    <t>Стеллаж для белья</t>
  </si>
  <si>
    <t>521-108-0507-0001</t>
  </si>
  <si>
    <t>Стеллаж металлический 1800*1500*500 мм</t>
  </si>
  <si>
    <t>521-108-0507-0002</t>
  </si>
  <si>
    <t>Стеллаж металлический 1800*1200*500 мм</t>
  </si>
  <si>
    <t>521-108-0507-0003</t>
  </si>
  <si>
    <t>Стеллаж металлический 1800*1000*500 мм</t>
  </si>
  <si>
    <t>521-108-0507-0004</t>
  </si>
  <si>
    <t>Стеллаж металлический 1800*1000*600 мм</t>
  </si>
  <si>
    <t>521-108-0507-0005</t>
  </si>
  <si>
    <t>Стеллаж металлический 1800*1500*600 мм</t>
  </si>
  <si>
    <t>521-108-0507-0006</t>
  </si>
  <si>
    <t>Стойка подвижная типа СП-15. Габаритные размеры (ДхШхВ) 553х1573х1725,5 мм</t>
  </si>
  <si>
    <t>521-108-0508</t>
  </si>
  <si>
    <t>Стол гладильный профессиональный</t>
  </si>
  <si>
    <t>521-108-0508-0001</t>
  </si>
  <si>
    <t>Стол гладильный типа ЛГС-156.00. Подогрев рабочей поверхности, вакуумный отвод пара, электрический обогрев.
Гладильная поверхность 1115х390х245 мм, электродвигатель вентилятора 0,125 кВт, рабочая поверхность 0,6 кВт, парогенератор 1,3 кВт, утюг 0,9 кВт</t>
  </si>
  <si>
    <t>521-108-0508-0002</t>
  </si>
  <si>
    <t>Стол гладильный типа ЛГС-159.12. Встроенный парогенератор, подогрев рабочей поверхности и вакуумный отвод пара из зоны глажения, электрический обогрев. Гладильная поверхность 1160х430х240 мм, электродвигатель вентилятора 0,125 кВт, рабочая поверхность 0,6 кВт, парогенератор 1,3 кВт, утюг 0,85 кВт</t>
  </si>
  <si>
    <t>521-108-0508-0003</t>
  </si>
  <si>
    <t>Стол гладильный типа ЛГС-103.34. Гладильная поверхность 1410х440 мм, электродвигатель вентилятора 0,37 кВт, стол 0,9 кВт, поворотный стол 0,2 кВт,
парогенератор 3,5 кВт, утюг 0,85 кВт,
освещение 0,02 кВт, насос 0,37 кВт</t>
  </si>
  <si>
    <t>521-108-0508-0004</t>
  </si>
  <si>
    <t>Стол гладильный, напряжение 220В. Функции вакуум и наддув, нагрев рабочей поверхности, регулируемая высота 725-945 мм. Габаритные размеры: 1420х480х945 мм. Мощность 0,65 кВт</t>
  </si>
  <si>
    <t>Размер рабочей поверхности 1250х400 мм. Состоит из: полка для белья, розетка, подставка для парогенератора, педаль управления (для подключения вытяжки).</t>
  </si>
  <si>
    <t>521-108-0508-0005</t>
  </si>
  <si>
    <t>Стол гладильный, напряжение 220В. Функции вакуум, нагрев рабочей поверхности, регулируемая высота от 690 до 910мм. Габаритные размеры: 1500х465х910 мм. Мощность 0,22 кВт</t>
  </si>
  <si>
    <t>Размер рабочей поверхности 1230х380 мм. Состоит из: полка для белья, розетка, подставка для парогенератора, педаль управления (для подключения вытяжки).</t>
  </si>
  <si>
    <t>521-108-0508-0006</t>
  </si>
  <si>
    <t>Стол гладильный с бойлером, напряжение 380 В, объём 5 литров, рабочее давление пара 3 бар. Габаритные размеры: 1900×670×930 мм. Мощность 5,1 кВт</t>
  </si>
  <si>
    <t>Бойлер с электронным контролем уровня воды, размер столешницы 1300×500 мм (сужение до 250 мм), регулируемая высота от 750 до 930 мм, предусмотрена возможность глажения с обеих сторон, оснащён вакуумной аспирацией, поддувом и электрическим нагревом.</t>
  </si>
  <si>
    <t>521-108-0508-0007</t>
  </si>
  <si>
    <t>Стол гладильный с бойлером, напряжение 380 В, объём 5 литров, рабочее давление пара 2,8 бар. Габаритные размеры: 1550×600×930 мм. Мощность 5,6 кВт</t>
  </si>
  <si>
    <t>Бойлер с электронным контролем уровня воды, размер рабочей поверхности 1100×380 мм (сужение до 230 мм), регулируемая высот от 750 до 930, оснащён вакуумной аспирацией, поддувом и электрическим нагревом, возможна установка формы для рукавов и подключение второго утюга.</t>
  </si>
  <si>
    <t>521-108-0508-0008</t>
  </si>
  <si>
    <t>Стол гладильный с парогенератором, напряжение 380 В, объём 5 литров, давление пара 4,8 бар. Габаритные размеры: 1823×653×970 мм. Мощность 7,65 кВт</t>
  </si>
  <si>
    <t>Высота регулируется от 770 до 970 мм. Рабочая поверхность 1300×500 мм, сужение до 250 мм. Оснащён вакуумной аспирацией, поддувом и электрическим нагревом столешницы. Встроенный парогенератор (бойлер) с электронным контролем уровня воды. Мотор насоса подачи воды, утюг, педали управления: вакуум/поддув с возможностью переключения функций. Возможна установка двух кронштейнов с формами, включая форму для рукавов.</t>
  </si>
  <si>
    <t>521-108-0508-0009</t>
  </si>
  <si>
    <t>Стол гладильный с парогенератором, напряжение 380 В, объём 5 литров, рабочее давление пара 4,5 бар. Габаритные размеры: 1800×600×970 мм. Мощность 9,1 кВт</t>
  </si>
  <si>
    <t>Высота регулируемая. Рабочая поверхность 1300×500 мм, сужение до 250 мм. Оснащён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Возможна установка формы для рукавов и других аксессуаров.</t>
  </si>
  <si>
    <t>521-108-0508-0010</t>
  </si>
  <si>
    <t>Стол гладильный со встроенным парогенератором, напряжение 380 В, объём 5 литров, давление пара 4,5 бар. Габаритные размеры: 3300×700×980 мм. Мощность 9,3 кВт</t>
  </si>
  <si>
    <t>Гладильный стол со встроенным парогенератором для глажения штор и объёмного текстиля, регулируемая высота. Размер гладильной столешницы 3000×700 мм. Оснащён двумя независимо работающими аспираторами, электрическим подогревом столешницы и системой отпаривания.
Встроенный парогенератор объёмом 5 литров, с электронным контролем уровня воды. Состоит из: насос подачи воды, утюг, регулируемый педальный блок.</t>
  </si>
  <si>
    <t>521-108-0508-0011</t>
  </si>
  <si>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</si>
  <si>
    <t>Управление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t>
  </si>
  <si>
    <t>521-108-0508-0012</t>
  </si>
  <si>
    <t>Пароманекен с парогенератором, напряжение 380 В, объём 9 литров, рабочее давление пара 4 бар, рабочее давление воздуха 7 бар. Габаритные размеры: 870х1150х1900 мм. Мощность 13,6 кВт</t>
  </si>
  <si>
    <t>Пароманекен для глажения брюк. Оснащён встроенным бойлером объёмом 9 литров. Микропроцессорное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t>
  </si>
  <si>
    <t>521-108-0509</t>
  </si>
  <si>
    <t>Доска гладильная</t>
  </si>
  <si>
    <t>521-108-0509-0001</t>
  </si>
  <si>
    <t>Гладильная доска Perilla Элона 214702</t>
  </si>
  <si>
    <t>521-108-0509-0002</t>
  </si>
  <si>
    <t>Гладильная доска Haulshalt XL</t>
  </si>
  <si>
    <t>521-108-0509-0003</t>
  </si>
  <si>
    <t>Гладильная доска Perilla Сити 223712</t>
  </si>
  <si>
    <t>521-108-0510</t>
  </si>
  <si>
    <t>Центрифуга</t>
  </si>
  <si>
    <t>521-108-0510-0001</t>
  </si>
  <si>
    <t>Центрифуга типа ЛЦ-10. Загрузка 10 кг, объем барабана 50 л, номинальная мощность 1,1 кВт, габаритные размеры (ДхШхВ) 760х620х950 мм, напряжение 380В</t>
  </si>
  <si>
    <t>521-108-0510-0002</t>
  </si>
  <si>
    <t>Центрифуга типа ЛЦ-25. Загрузка 25 кг, объем барабана 125 л, габаритные размеры (ДхШхВ) 1050х840х1030 мм, напряжение 220В</t>
  </si>
  <si>
    <t>521-108-0510-0003</t>
  </si>
  <si>
    <t>Центрифуга типа КП-223. Загрузка 50 кг, объем барабана 320 л, номинальная мощность 4 кВт, габаритные размеры (ДхШхВ) 1605х1150х1170 мм, напряжение 380В</t>
  </si>
  <si>
    <t>521-108-0511</t>
  </si>
  <si>
    <t>Каток гладильный</t>
  </si>
  <si>
    <t>521-108-0511-0001</t>
  </si>
  <si>
    <t>Каток гладильный типа ВГ-1018. Электрический обогрев. Мощность суммарная 2,772 кВт, габаритные размеры (ДхШхВ) 450х1180х970 мм, напряжение 220В</t>
  </si>
  <si>
    <t>521-108-0511-0002</t>
  </si>
  <si>
    <t>Каток гладильный типа ВГ-1218. Электрический обогрев. Мощность суммарная 3,272 кВт, габаритные размеры (ДхШхВ) 450х1380х970 мм, напряжение 220В</t>
  </si>
  <si>
    <t>521-108-0511-0003</t>
  </si>
  <si>
    <t>Каток гладильный типа ВГ-1430. Электрический обогрев. Мощность суммарная 10,63 кВт, габаритные размеры (ДхШхВ) 740х1925х1085 мм, напряжение 380В</t>
  </si>
  <si>
    <t>521-108-0511-0004</t>
  </si>
  <si>
    <t>Каток гладильный типа ВГ-1630. Электрический обогрев. Мощность суммарная 10,93 кВт, габаритные размеры (ДхШхВ) 740х2125х1085 мм, напряжение 380В</t>
  </si>
  <si>
    <t>521-108-0511-0005</t>
  </si>
  <si>
    <t>Каток гладильный типа ВГ-2030. Электрический обогрев. Мощность суммарная 15,73 кВт,  габаритные размеры (ДхШхВ) 740х2525х1085 мм, напряжение 380В</t>
  </si>
  <si>
    <t>521-108-0511-0006</t>
  </si>
  <si>
    <t>Каток гладильный, рабочая зона 1000 мм, диаметр вала 200 мм, скорость глажения 3,3 м/мин, производительность 20 кг/час, обогрев электрический. Габаритные размеры: 1305x420x933 мм. Мощность 3,6 кВт</t>
  </si>
  <si>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</si>
  <si>
    <t>521-108-0511-0007</t>
  </si>
  <si>
    <t>Каток гладильный, рабочая зона 1200 мм, диаметр вала 200 мм, скорость глажения 3,3 м/мин, производительность 25 кг/час, обогрев электрический. Габаритные размеры: 1505x420x933 мм. Мощность 4 кВт</t>
  </si>
  <si>
    <t>521-108-0511-0008</t>
  </si>
  <si>
    <t>Каток гладильный, рабочая зона 1400 мм, диаметр вала 250 мм, скорость глажения 3,8 м/мин, производительность 35 кг/час, обогрев электрический. Габаритные размеры: 1840x420x1003 мм. Мощность 7,5 кВт</t>
  </si>
  <si>
    <t>521-108-0511-0009</t>
  </si>
  <si>
    <t>Каток гладильный, рабочая зона 1600 мм, диаметр вала 300 мм, скорость глажения
2,7-4,3 м/мин, производительность 50 кг/час, обогрев электрический. Габаритные размеры: 2090x552x1073 мм. Мощность 11,4 кВт</t>
  </si>
  <si>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</si>
  <si>
    <t>521-108-0511-0010</t>
  </si>
  <si>
    <t>Каток гладильный, рабочая зона 2000 мм, диаметр вала 300 мм, скорость глажения
2,7-4,3 м/мин, производительность 60 кг/час, обогрев электрический. Габаритные размеры: 2490x552x1073 мм. Мощность 15 кВт</t>
  </si>
  <si>
    <t>521-108-0512</t>
  </si>
  <si>
    <t>Каландр гладильный</t>
  </si>
  <si>
    <t>521-108-0512-0001</t>
  </si>
  <si>
    <t>Каландр гладильный типа ВК-1424. Электрический обогрев. Мощность суммарная 12,3 кВт, габаритные размеры (ДхШхВ) 600х1880х1085 мм, напряжение 380В</t>
  </si>
  <si>
    <t>521-108-0512-0002</t>
  </si>
  <si>
    <t>Каландр гладильный типа ВК-1640. Электрический обогрев. Мощность суммарная 23,24 кВт, габаритные размеры (ДхШхВ) 1025х2130х1225 мм, напряжение 380В</t>
  </si>
  <si>
    <t>521-108-0512-0003</t>
  </si>
  <si>
    <t>Каландр гладильный типа ВК-1840. Электрический обогрев. Мощность суммарная 25,94 кВт,  габаритные размеры (ДхШхВ) 1025х2330х1225 мм, напряжение 380В</t>
  </si>
  <si>
    <t>521-108-0512-0004</t>
  </si>
  <si>
    <t>Каландр гладильный типа ВК-2050. Электрический обогрев. Мощность суммарная 34,94 кВт, габаритные размеры (ДхШхВ) 1060х2565х1215 мм, напряжение 380В</t>
  </si>
  <si>
    <t>521-108-0512-0005</t>
  </si>
  <si>
    <t>Каландр гладильный типа ВК-2250. Электрический обогрев. Мощность суммарная 38,54 кВт, габаритные размеры (ДхШхВ) 1060х2730х1215 мм, напряжение 380В</t>
  </si>
  <si>
    <t>521-108-0512-0006</t>
  </si>
  <si>
    <t>Каландр гладильный типа ВК-2450. Электрический обогрев. Мощность суммарная 42,14 кВт, габаритные размеры (ДхШхВ) 1060х2970х1215 мм, напряжение 380В</t>
  </si>
  <si>
    <t>521-108-0512-0007</t>
  </si>
  <si>
    <t>Каландр гладильный типа ВК-2880. Электрический обогрев. Мощность суммарная 75,89 кВт, габаритные размеры (ДхШхВ) 1550х3870х1635 мм, напряжение 380В</t>
  </si>
  <si>
    <t>521-108-0512-0008</t>
  </si>
  <si>
    <t>Каландр сушильно-гладильный, рабочая зона 3000 мм, диаметр вала 800 мм, скорость глажения 0-10 м/мин, производительность 158 кг/час, обогрев электрический/газовый/паровой. Габаритные размеры: 4248х1597х1380 мм. Мощность 75 кВт</t>
  </si>
  <si>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</si>
  <si>
    <t>521-108-0512-0009</t>
  </si>
  <si>
    <t>Каландр сушильно-гладильный, рабочая зона 3300 мм, диаметр вала 800 мм, скорость глажения 0-10 м/мин, производительность 168 кг/час, обогрев электрический/газовый/паровой. Габаритные размеры: 4548х1597х1380 мм. Мощность 78 кВт</t>
  </si>
  <si>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</si>
  <si>
    <t>521-108-0512-0010</t>
  </si>
  <si>
    <t>Каландр сушильно-гладильный, рабочая зона 1400 мм, диаметр вала 270 мм, скорость глажения 0,8-3 м/мин, производительность 25 кг/час, обогрев электрический/газовый.
Габаритные размеры: 2010x510x1080 мм. Мощность 13,8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</si>
  <si>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</si>
  <si>
    <t>521-108-0512-0011</t>
  </si>
  <si>
    <t>Каландр сушильно-гладильный, рабочая зона 1800 мм, диаметр вала 320 мм, скорость глажения 1,6-5 м/мин, производительность 50 кг/час, обогрев электрический/газовый/паровой. Габаритные размеры: 2340x550x1100 мм. Мощность 24,3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</si>
  <si>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</si>
  <si>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521-108-0512-0012</t>
  </si>
  <si>
    <t>Каландр сушильно-гладильный, рабочая зона 2100 мм, диаметр вала 320 мм, скорость глажения 1,6-5 м/мин, производительность 56 кг/час, обогрев электрический/газовый/паровой. Габаритные размеры: 2640x550x1100 мм. Мощность 27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</si>
  <si>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</si>
  <si>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521-108-0512-0013</t>
  </si>
  <si>
    <t>Каландр 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Мощность 34,2 кВт</t>
  </si>
  <si>
    <t>521-108-0512-0014</t>
  </si>
  <si>
    <t>Каландр сушильно-гладильный, рабочая зона 3200 мм, диаметр вала 320 мм, скорость глажения 1,6-5 м/мин, производительность 80 кг/час, обогрев электрический/газовый/паровой. Габаритные размеры: 3740 x 585 x 1140 мм. Мощность
39,6 кВт</t>
  </si>
  <si>
    <t>521-108-0512-0015</t>
  </si>
  <si>
    <t>Каландр сушильно-гладильный, рабочая зона 2100 мм, диаметр вала 500 мм, скорость глажения 1,6-8 м/мин, производительность 75 кг/час, обогрев электрический/газовый/паровой. Габаритные размеры: 2880x750x1290 мм. Мощность 45 кВт</t>
  </si>
  <si>
    <t>521-108-0512-0016</t>
  </si>
  <si>
    <t>Каландр сушильно-гладильный, рабочая зона 2600 мм, диаметр вала 500 мм, скорость глажения 1,6-8 м/мин, производительность 95 кг/час, обогрев электрический/газовый/паровой. Габаритные размеры: 3280x750x1290 мм. Мощность 57 кВт</t>
  </si>
  <si>
    <t>521-108-0512-0017</t>
  </si>
  <si>
    <t>Каландр сушильно-гладильный, рабочая зона 3200 мм, диаметр вала 500 мм, скорость глажения 1,6-8 м/мин, производительность 120 кг/час, обогрев электрический/газовый/паровой. Габаритные размеры: 3880x750x1290 мм. Мощность 66 кВт</t>
  </si>
  <si>
    <t>521-108-0513</t>
  </si>
  <si>
    <t>Пресс гладильный</t>
  </si>
  <si>
    <t>521-108-0513-0001</t>
  </si>
  <si>
    <t>Пресс гладильный типа ВР-150. Габаритные размеры гладильного стола (ДхШ) 1490х540 мм, мощность суммарная 11,17 кВт, напряжение 380В</t>
  </si>
  <si>
    <t>521-108-0513-0002</t>
  </si>
  <si>
    <t>Пресс гладильный с парогенератором, напряжение 380 В, объём 9 литров.
Габаритные размеры: 1380x1140x1440 мм. Мощность 12,75 кВт</t>
  </si>
  <si>
    <t>Бойлер объёмом 9 литров с электронным контролем уровня воды, рабочее давление пара 4–5 бар. Гладильная поверхность 1300×500 мм, отпаривающая верхняя поверхность, нижняя поверхность с отпариванием и аспирацией.</t>
  </si>
  <si>
    <t>521-108-0513-0003</t>
  </si>
  <si>
    <t>Пресс гладильный пресс с паровым нагревом, напряжение 380 В, объём 7 литров, давление 5-6 бар. Габаритные размеры: 1340 x 1060 мм. Мощность 12.75кВт</t>
  </si>
  <si>
    <t>Верхняя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объёмом 7 литров, давление 5-6 бар.</t>
  </si>
  <si>
    <t>521-108-0514</t>
  </si>
  <si>
    <t>Стеллаж металлический</t>
  </si>
  <si>
    <t>521-108-0514-0001</t>
  </si>
  <si>
    <t>Стеллаж металлический типа GUARD, размеры 1500х325х2200 мм, 7 полок, полка из листовой стали 0,5 мм, стойки из листовой стали 0,7 мм, нагрузка на полку не более 100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</si>
  <si>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0,5мм - полка, 0,7мм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100 кг.</t>
  </si>
  <si>
    <t>521-108-0514-0002</t>
  </si>
  <si>
    <t>Стеллаж металлический типа GUARD, размеры 1500х325х2200 мм, 7 полок, полка из листовой стали 0,7 мм, стойки из листовой стали 1 мм, нагрузка на полку не более 150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</si>
  <si>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0,7 мм - полка, 1 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150 кг.</t>
  </si>
  <si>
    <t>521-108-0514-0003</t>
  </si>
  <si>
    <t>Стеллаж металлический типа GUARD, размеры 1500х325х2200 мм, 7 полок, стойки, полки из листовой стали 1 мм, нагрузка на полку не более 200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</si>
  <si>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1 мм.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200 кг.</t>
  </si>
  <si>
    <t>521-108-0514-0004</t>
  </si>
  <si>
    <t>Стеллаж металлический типа GUARD для посуды, размеры 1200х400х1550 мм, 4 полки, нержавеющая сталь, 0,8 мм, нагрузка на полку не более 100 кг</t>
  </si>
  <si>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</si>
  <si>
    <t>521-108-0514-0005</t>
  </si>
  <si>
    <t>Стеллаж металлический типа GUARD для посуды, размеры 1500х400х1800 мм, 4 полки, нержавеющая сталь, 0,8 мм, нагрузка на полку не более 100 кг</t>
  </si>
  <si>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</si>
  <si>
    <t>521-108-0514-0006</t>
  </si>
  <si>
    <t>Стеллаж металлический типа GUARD, размеры 1200х400х1850 мм, 3 полки, нержавеющая сталь, 0,8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</si>
  <si>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</si>
  <si>
    <t>521-108-0514-0007</t>
  </si>
  <si>
    <t>Стеллаж металлический типа GUARD, размеры 1200х500х1850 мм, 3 полки, нержавеющая сталь, 0,8 мм, нагрузка на полку не более 100 кг</t>
  </si>
  <si>
    <t>521-108-0514-0008</t>
  </si>
  <si>
    <t>Стеллаж металлический типа GUARD, размеры 1500х500х1500 мм, 3 полки, нержавеющая сталь, 0,8 мм, нагрузка на полку не более 100 кг</t>
  </si>
  <si>
    <t>521-108-0514-0009</t>
  </si>
  <si>
    <t>Стеллаж металлический типа GUARD, размеры 1000х400х1700 мм, 4 полки, нержавеющая сталь, 0,8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</si>
  <si>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 точной, незаметной, с высокими показателями качества, прочности и долговечности. Пластиковые подпятники.</t>
  </si>
  <si>
    <t>521-108-0514-0010</t>
  </si>
  <si>
    <t>Стеллаж металлический типа GUARD, размеры 1200х500х1200 мм, 4 полки, нержавеющая сталь, 0,8 мм, нагрузка на полку не более 100 кг</t>
  </si>
  <si>
    <t>521-108-0514-0011</t>
  </si>
  <si>
    <t>Стеллаж металлический типа GUARD, размеры 800х300х1800 мм, 5 полок, полка из листовой стали 0,5 мм, стойки из листовой стали 0,7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</si>
  <si>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0,5- стойка, 0,7мм.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</si>
  <si>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521-108-0514-0012</t>
  </si>
  <si>
    <t>Стеллаж металлический типа GUARD, размеры 800х300х1800 мм, 5 полок, полка из листовой стали 0,7 мм, стойки из листовой стали 1 мм, нагрузка на полку не более 150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</si>
  <si>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0,7мм, стойка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</si>
  <si>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521-108-0514-0013</t>
  </si>
  <si>
    <t>Стеллаж металлический типа GUARD, размеры 800х300х1800 мм, 5 полок, стойки, полки из листовой стали 1 мм, нагрузка на полку не более 200 кг</t>
  </si>
  <si>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</si>
  <si>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521-108-0514-0014</t>
  </si>
  <si>
    <t>Стеллаж металлический типа GUARD, размеры 1200х600х2000 мм, 5 полок, полка из листовой стали 0,5 мм, стойки из листовой стали 0,7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</si>
  <si>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0,5мм- полка;  0,7мм-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</si>
  <si>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521-108-0514-0015</t>
  </si>
  <si>
    <t>Стеллаж металлический типа GUARD, размеры 1200х600х2000 мм, 5 полок, полка из листовой стали 0,7 мм, стойки из листовой стали 1 мм, нагрузка на полку не более 150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</si>
  <si>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</si>
  <si>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521-108-0514-0016</t>
  </si>
  <si>
    <t>Стеллаж металлический типа GUARD, размеры 1200х500х2000 мм, 5 полок, стойки, полки из листовой стали 1 мм, нагрузка на полку не более 200 кг</t>
  </si>
  <si>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</si>
  <si>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521-108-0514-0017</t>
  </si>
  <si>
    <t>Стеллаж металлический типа GUARD, размеры 1000х300х2450 мм, 6 полок, полка из листовой стали 0,5 мм, стойки из листовой стали 0,7 мм, нагрузка на полку не более 100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</si>
  <si>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100 кг.</t>
  </si>
  <si>
    <t>521-108-0514-0018</t>
  </si>
  <si>
    <t>Стеллаж металлический типа GUARD, размеры 1000х300х2450 мм, 6 полок, полка из листовой стали 0,7 мм, стойки из листовой стали 1 мм, нагрузка на полку не более 150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</si>
  <si>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150 кг.</t>
  </si>
  <si>
    <t>521-108-0514-0019</t>
  </si>
  <si>
    <t>Стеллаж металлический типа GUARD, размеры 1000х300х2450 мм, 6 полок, стойки, полки из листовой стали 1 мм, нагрузка на полку не более 200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</si>
  <si>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200 кг.</t>
  </si>
  <si>
    <t>521-108-0514-0020</t>
  </si>
  <si>
    <t>Стеллаж металлический типа GUARD, размеры 1500х300х1800 мм, 6 полок, полка из листовой стали 0,5 мм, стойки из листовой стали 0,7 мм, нагрузка на полку не более 100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</si>
  <si>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</si>
  <si>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521-108-0514-0021</t>
  </si>
  <si>
    <t>Стеллаж металлический типа GUARD, размеры 1200х400х2200 мм, 6 полок, полка из листовой стали 0,5 мм, стойки из листовой стали 0,7 мм, нагрузка на полку не более 100 кг</t>
  </si>
  <si>
    <t>521-108-0514-0022</t>
  </si>
  <si>
    <t>Стеллаж металлический типа GUARD, размеры 1500х300х1800 мм, 6 полок, полка из листовой стали 0,7 мм, стойки из листовой стали 1 мм, нагрузка на полку не более 150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</si>
  <si>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</si>
  <si>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521-108-0514-0023</t>
  </si>
  <si>
    <t>Стеллаж металлический типа GUARD, размеры 1200х400х2200 мм, 6 полок, полка из листовой стали 0,7 мм, стойки из листовой стали 1 мм, нагрузка на полку не более 150 кг</t>
  </si>
  <si>
    <t>521-108-0514-0024</t>
  </si>
  <si>
    <t>Стеллаж металлический типа GUARD, размеры 1200х300х1800 мм, 6 полок, стойки, полки из листовой стали 1 мм, нагрузка на полку не более 200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</si>
  <si>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</si>
  <si>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521-108-0514-0025</t>
  </si>
  <si>
    <t>Стеллаж металлический типа GUARD, размеры 1200х400х2200 мм, 6 полок, стойки, полки из листовой стали 1 мм, нагрузка на полку не более 200 кг</t>
  </si>
  <si>
    <t>521-108-0515</t>
  </si>
  <si>
    <t>Упаковщик</t>
  </si>
  <si>
    <t>521-108-0515-0001</t>
  </si>
  <si>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</si>
  <si>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</si>
  <si>
    <t>521-108-0515-0002</t>
  </si>
  <si>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</si>
  <si>
    <t>521-108-0515-0003</t>
  </si>
  <si>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</si>
  <si>
    <t>Используется в химчистках и прачечных для упаковки прямого белья, одеял и покрывал. Модель оснащена пневматическим управлением и 4 колесами для удобства перемещения. Максимальный размер катушки: 750 мм.</t>
  </si>
  <si>
    <t>521-108-0516</t>
  </si>
  <si>
    <t>Стол пятновыводной</t>
  </si>
  <si>
    <t>521-108-0516-0001</t>
  </si>
  <si>
    <t>Стол пятновыводной, напряжение 220 В, рабочая поверхность из нержавеющей стали размером 750×270 мм. Габаритные размеры: 820х290х720 мм. Мощность 0,1 кВт</t>
  </si>
  <si>
    <t>Оснащён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t>
  </si>
  <si>
    <t>521-108-0516-0002</t>
  </si>
  <si>
    <t>Стол холодный пятновыводной, напряжение 220 В, рабочая поверхность из нержавеющей стали размером 1440x700х900 мм.
Габаритные размеры: 1440x700х900 мм. Мощность 2,45 кВт</t>
  </si>
  <si>
    <t>Оснащен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t>
  </si>
  <si>
    <t>Подраздел 521-2. Оборудование и мебель организации начального образования Группа 521-201. Оборудование, пособия и принадлежности для кабинетов начальной школы с казахским языком обучения</t>
  </si>
  <si>
    <t>521-201-0500</t>
  </si>
  <si>
    <t>Предмет "Музыка"</t>
  </si>
  <si>
    <t>521-201-0501</t>
  </si>
  <si>
    <t>Пианино</t>
  </si>
  <si>
    <t>Пианино акустическое в комплекте со стулом.</t>
  </si>
  <si>
    <t>521-201-0502</t>
  </si>
  <si>
    <t>Музыкальные инструменты</t>
  </si>
  <si>
    <t>521-201-0502-0001</t>
  </si>
  <si>
    <t>Скрипичный комплект Gewa Violin Outfit HW 1/2</t>
  </si>
  <si>
    <t>521-201-0502-0002</t>
  </si>
  <si>
    <t>Акустическая гитара Enya ED-X1</t>
  </si>
  <si>
    <t>521-201-0502-0003</t>
  </si>
  <si>
    <t>Классическая гитара Walden N350</t>
  </si>
  <si>
    <t>521-201-0502-0004</t>
  </si>
  <si>
    <t>Укулеле сопрано Enya EUS-20</t>
  </si>
  <si>
    <t>521-201-0502-0005</t>
  </si>
  <si>
    <t>Набор электрогитара Squier Affinity Series Stratocaster HSS Lake Placid Blue</t>
  </si>
  <si>
    <t>521-201-0502-0006</t>
  </si>
  <si>
    <t>Бас-гитара Squier Affinity Series™ Precision Bass® PJ Pack Laurel Fingerboard Brown</t>
  </si>
  <si>
    <t>521-201-0502-0007</t>
  </si>
  <si>
    <t>Ударная установка Gretsch Drum set Energy</t>
  </si>
  <si>
    <t>521-201-0502-0008</t>
  </si>
  <si>
    <t>Труба Roy Benson TR-202G Bb</t>
  </si>
  <si>
    <t>521-201-0502-0009</t>
  </si>
  <si>
    <t>Тромбон тенор Roy Benson TT-227</t>
  </si>
  <si>
    <t>521-201-0502-0010</t>
  </si>
  <si>
    <t>Флейта Roy Benson FL-402E</t>
  </si>
  <si>
    <t>521-201-0502-0011</t>
  </si>
  <si>
    <t>Туба Roy Benson TB-301 Bb</t>
  </si>
  <si>
    <t>521-201-0502-0012</t>
  </si>
  <si>
    <t>Баритон Roy Benson BH-301 Bb</t>
  </si>
  <si>
    <t>521-201-0502-0013</t>
  </si>
  <si>
    <t>Тенор Roy Benson TH-202</t>
  </si>
  <si>
    <t>521-201-0502-0014</t>
  </si>
  <si>
    <t>Тенор Roy Benson AH-301 Eb</t>
  </si>
  <si>
    <t>521-201-0502-0015</t>
  </si>
  <si>
    <t>Саксофон альт AS-201</t>
  </si>
  <si>
    <t>521-201-0502-0016</t>
  </si>
  <si>
    <t>Тенор саксофон Roy Benson TS-202</t>
  </si>
  <si>
    <t>521-201-0502-0017</t>
  </si>
  <si>
    <t>Флейта пикколо Roy Benson PC-502</t>
  </si>
  <si>
    <t>521-201-0502-0018</t>
  </si>
  <si>
    <t>Корнет помповый Roy Benson CR-202 Bb</t>
  </si>
  <si>
    <t>521-201-0502-0019</t>
  </si>
  <si>
    <t>Кларнет Roy Benson CB-217</t>
  </si>
  <si>
    <t>521-201-0502-0020</t>
  </si>
  <si>
    <t>Синтезатор Kurzweil KP300X LB</t>
  </si>
  <si>
    <t>521-201-0502-0021</t>
  </si>
  <si>
    <t>Барабан маршевый</t>
  </si>
  <si>
    <t>Барабан детский маршевый выполнен из натурального дерева, материал обода металлический. Наплечный ремень и 2 палочки в комплекте.</t>
  </si>
  <si>
    <t>521-201-0502-0022</t>
  </si>
  <si>
    <t>Кахон с чехлом Gewa Cajon Club Salsa</t>
  </si>
  <si>
    <t>521-201-0502-0023</t>
  </si>
  <si>
    <t>Этнический барабан Toca TO809.250</t>
  </si>
  <si>
    <t>521-201-0502-0024</t>
  </si>
  <si>
    <t>Треугольник Gewa 827.520</t>
  </si>
  <si>
    <t>521-201-0502-0025</t>
  </si>
  <si>
    <t>Шейкер LP Twist Shaker Soft LP441T-S</t>
  </si>
  <si>
    <t>521-201-0502-0026</t>
  </si>
  <si>
    <t>Пластиковый ручной тамбурин LP LP861.402</t>
  </si>
  <si>
    <t>521-201-0502-0027</t>
  </si>
  <si>
    <t>Маракасы на длинной ручке</t>
  </si>
  <si>
    <t>Пара маракасов, внутри которых находятся стальные шарики, воспроизводящие четкий и громкий звук. Круглая, пластиковая конструкция корпуса для воспроизведения звука, деревянные ручки.</t>
  </si>
  <si>
    <t>пара</t>
  </si>
  <si>
    <t>521-201-0700</t>
  </si>
  <si>
    <t>Предмет "Трудовое обучение"</t>
  </si>
  <si>
    <t>521-201-0709</t>
  </si>
  <si>
    <t>Доска маркерно-магнитная детская</t>
  </si>
  <si>
    <t>521-201-0709-0001</t>
  </si>
  <si>
    <t>Доска магнитно-маркерная Comix BO1218, 120х180 см, White</t>
  </si>
  <si>
    <t>521-201-0709-0002</t>
  </si>
  <si>
    <t>Доска магнитно-маркерная Comix BO3045, 30х45см, White</t>
  </si>
  <si>
    <t>521-201-0709-0003</t>
  </si>
  <si>
    <t>Доска магнитно-маркерная Comix BO9018, 176х86 см, White</t>
  </si>
  <si>
    <t>Группа 521-202. Оборудование, пособия и принадлежности для кабинетов начальной школы c русским языком обучения</t>
  </si>
  <si>
    <t>521-202-0400</t>
  </si>
  <si>
    <t>Предмет "Естествознание"</t>
  </si>
  <si>
    <t>521-202-0401</t>
  </si>
  <si>
    <t>Лаборатория цифровая по естественным наукам для начальной школы</t>
  </si>
  <si>
    <t>521-202-0401-0001</t>
  </si>
  <si>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</si>
  <si>
    <t>Комплектация:  База цифровой лаборатории с дисплеем-1шт. Внешний источник питания 100-240V AC/ 5V DC 1A- 1шт. Сумка ддля переноски- 1 шт</t>
  </si>
  <si>
    <t>521-202-0401-0002</t>
  </si>
  <si>
    <t>Лаборатория цифровая по естествознанию для начальной школы типа  ScienceCub, HBL-280, с 9 встроенными датчиками: температура, влажность, барометр, освещенность, пульс, RGB, УФ-излучение,
трехосевое ускорение и магнитное поле</t>
  </si>
  <si>
    <t>521-202-0500</t>
  </si>
  <si>
    <t>Оборудование и принадлежности по биологии</t>
  </si>
  <si>
    <t>521-202-0501</t>
  </si>
  <si>
    <t>Мини-лаборатория для начальной школы "Вода и воздух"</t>
  </si>
  <si>
    <t>521-202-0501-0001</t>
  </si>
  <si>
    <t>Мини-лаборатория для начальной школы "Вода и воздух" типа Experia PHE-019</t>
  </si>
  <si>
    <t>521-202-0501-0002</t>
  </si>
  <si>
    <t>Мини-лаборатория для начальной школы "Вода и воздух" типа Cornelsen Experimenta 16102</t>
  </si>
  <si>
    <t>набор</t>
  </si>
  <si>
    <t>521-202-0501-0004</t>
  </si>
  <si>
    <t>Набор "Пневматика" типа Fischertechnik</t>
  </si>
  <si>
    <t>В набор входит: Детали для сборки; Ресивер; Обратный клапан; Манометр; Компрессор; 4 пневматических цилиндра (2 одностороннего и 2 двустороннего действия); Электромагнитный пневматический клапан; 2 ручных распределительных клапана 4/3; Контейнер для батарейки типа
«Крона» 9 В.</t>
  </si>
  <si>
    <t>521-202-0502</t>
  </si>
  <si>
    <t>Мини-лаборатория для начальной школы "Биология"</t>
  </si>
  <si>
    <t>521-202-0502-0001</t>
  </si>
  <si>
    <t>Мини-лаборатория для начальной школы "Биология" типа Experia PHE-018</t>
  </si>
  <si>
    <t>521-202-0502-0002</t>
  </si>
  <si>
    <t>Мини-лаборатория для начальной школы "Биология" типа Cornelsen Experimenta 16180</t>
  </si>
  <si>
    <t>521-202-0503</t>
  </si>
  <si>
    <t>Набор демонстрационный для интегрированных научных экспериментов по всем темам начальной школы</t>
  </si>
  <si>
    <t>Комплектация:  Кейс с крышкой - 1 шт ,  Лоток со вставкой - 1шт, Комплектация набора: Магнитный стержень  - 1 шт. Пробирка, пластиковая, 100 мм - 1 шт. Катушка нитки - 1 шт. Термометр студенческого типа -5 до +100 °C - 1 шт. Термометр студенческого типа, без делений - 1 шт. Градуированная пластиковая колба, 100 мл - 1 шт. Свеча в металлическом контейнере - 1 шт. Подставка для ночных светильников - 1 шт. Резиновая пробка с отверстием диаметром 6 мм - 1 шт. Капельница, пластиковая - 1 шт. Краситель синий (пищевой краски) - 1 шт. Атомайзер - 1 шт. Термометр студенческого типа -25 до +50 °C - 1 шт. Собиратель дождя с делениями, 80x35 мм - 1 шт. Компас карманный - 1 шт. Зажимы для фильтрованных трубок, красные - 2 шт. Фильтрованные трубки с соединительным шлангом - 2 шт. Мелкая сетка (медная проволока) - 2 шт.
Крупная сетка - 1 шт. Чайная ложка - 1 шт. Соединительный шланг - 1 шт. Сухая батарейная ячейка - 1 шт. Лампа 3,5 В / 0,2 А - 1 шт. Подставка для лампы с подставкой - 4 шт. Зажимы для проводов, 7 мм - 2 шт. Отвертка - 1 шт. Выключатель ножевой, однополюсный, однократной коммутации - 1 шт. Медная проволока с изоляцией - 1 шт. Медная проволока, лакированная, диаметр 0,25 мм - 1 шт. Нагревательная проволока, изолированная, диаметр 0,20 мм - 1 шт. Материалы для проверки проводимости в пластиковых коробках - 1 шт. Наклонное зеркало, 90/90 мм
- 1 шт. Крестовидная основа - 1 шт. Полупрозрачный экран, пластик - 1 шт. Белый экран, пластик - 1 шт. Шестеренчатая палка - 1 шт. Мини-темная комната - 1 шт. Зеркало, полированное алюминием - 1 шт. Бар-магниты, без отметок, диаметр 23 мм - 1 шт. Подставки для весов, пластик - 1 шт.
Весовая палка, желтая - 1 шт. Планшет для весов, желтый, с луками - 2 шт.
Подвес для качелей - 1 шт. Качели - 1 шт. Набор грузов для весов с планшетом - 1 шт. Тройное лупное увеличительное стекло - 1 шт.
Разделительная игла, прямая - 1 шт. Пинцеты с тупыми кончиками - 1 шт. Нож - 1 шт. Пробирки, пластиковые, 152 мм - 2 шт. Петри, пластик - 1 шт.
Треугольные мосты - 1 шт. Труба для прослушивания - 2 шт. Набор звуковых пластин - 1 шт. Палочка для барабана - 1 шт. Катушки ниток с костяной частью - 1 шт. Динамометр двойного диапазона, Н и г - 1 шт. Набор мелких предметов - 1 шт. Плавающие платформы для компаса - 1 шт. Плавающая платформа - 1 шт. Вакуумная колба - 1 шт. Подвижной блок - 1 шт. Диск на воздушной подушке - 1 шт. Воздушная подушка - 1 шт.
Воздушный диск - 1 шт. Сухие батарейные ячейки, набор из 4 шт.   385</t>
  </si>
  <si>
    <t>521-202-0504</t>
  </si>
  <si>
    <t>Набор для юных биологов</t>
  </si>
  <si>
    <t>521-202-0504-0001</t>
  </si>
  <si>
    <t>Набор для юных биологов типа Experia
PHE-017</t>
  </si>
  <si>
    <t>Комплектация: Кейс с крышкой - 1 шт; Лоток со вставкой - 1шт;
Пробирка лабораторная пластиковая (нетермостойкая) –  30 шт.; Мини-пресс для сушки растений –  5 шт.;
Шпулька с веревкой для стягивания пресса — 1 шт.; Покровное стеклышко –  300 шт.;
Ручной микротом (прибор для изготовления тонких срезов для микроскопических исследований) –  15 шт.;
Чашки Петри, пластиковые 80 мм. –  8 шт.; Флакон с растительным маслом – 1 шт.; Микропинцет из нержавеющей стали –  15 шт.; Препаровальная игла, длина  130 мм – 15 шт.;
Стекло увеличительное трехлинзовое; увеличение 3х, 6х, 10х –  25 шт.; Лабораторный нож из нержавеющей стали –  15 шт.;
Пипетка – 15 шт.;
Ножницы из нержавеющей стали, длина  125 мм –  10 шт.; Штатив на 4 пробирки –  15 шт.;
Ершик для чистки лабораторных пробирок – 1 шт.; Предметное стекло –  100 шт.; Высокочувствительные весы – 1 шт.;
Сборник для семян и мелких насекомых –  5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которомсделаны фигурные вырезы для укладки оборудования и приспособлений.</t>
  </si>
  <si>
    <t>521-202-0600</t>
  </si>
  <si>
    <t>Оборудование и принадлежности по физике</t>
  </si>
  <si>
    <t>521-202-0601</t>
  </si>
  <si>
    <t>Набор для юных физиков</t>
  </si>
  <si>
    <t>521-202-0601-0001</t>
  </si>
  <si>
    <t>Набор для юных физиков типа  Experia PHE-016</t>
  </si>
  <si>
    <t>Набор для юных физиков Набор "Юный физик" - игра-набор для детей от 7 до 14 лет. Набор рассчитан на 15 рабочик групп.
Комплектация: Комплектация: Кейс с крышкой - 4 шт ,
Лоток со вставкой - 4шт, Шарики из пенопласта (50 гр) Гибкая соломинка (15 шт) Воронка (15 шт)
Форма НЛО (15 штука) Пластиковый лист (15 шт) Картонная трубка (15 штук) Пенопластовые шарики (15 штук) Пластиковая трубка (15 штук) Неон (15 штук)
Большие скрепки (15 штук) Пластиковый стаканчик (15 штук) Круглая бумажная карта (15 штук) Алюминиевая фольга (15 штук) Магниты (15 штук)
Деревянный держатель магнита (15 штук) Тонкие нити (15 штук)
Деревянная палка (15 штук) Маленькие скрепки (15 штук)
Карточка поезда на магнитной подвеске (15 штук)
Карточка железнодорожной магистрали на магнитной подвеске (15 штук) Деревянная подставка (15 штук)
Ось (15 штук) Резиновое кольцо (15 штук) Стрелка компаса (15 штук)
Карточка с полосками (15 штук) Карточка со скатертью (15 штук) Железное кольцо (15 штук)
Красно-синяя гоночная карточка (15 штук) Карточка с гоночной трассой (15 штук) Железная цепь (15 штук)
Руководство (15 штук)                                        387</t>
  </si>
  <si>
    <t>521-202-0602</t>
  </si>
  <si>
    <t>Мини-лаборатория для начальной школы "Звук"</t>
  </si>
  <si>
    <t>521-202-0602-0001</t>
  </si>
  <si>
    <t>Мини-лаборатория для начальной школы "Звук" типа Experia PHE-020</t>
  </si>
  <si>
    <t>521-202-0602-0002</t>
  </si>
  <si>
    <t>Мини-лаборатория для начальной школы "Звук" типа Cornelsen 16104/44207 Experimenta</t>
  </si>
  <si>
    <t>521-202-0602-0003</t>
  </si>
  <si>
    <t>Набор для изучения звуковых явлений в начальной школе (на 13 учебных групп ) типа Experia PHE-027</t>
  </si>
  <si>
    <t>Комплектация:  кейс с крышкой - 1 шт , лоток со вставкой - 1шт, камертон 256 Гц – 1 шт.; камертон 440 Гц – 1 шт.; резонаторный ящик –  2 шт.; шарманка – 1 шт.; набор пластинок для металлофона ( 5 тонов) – 1 шт.; набор резинок ( 12 шт.) – 1 шт.; набор воздушных шариков – 1 шт.; нить капроновая – 1 шт.; сосуд пластмассовый – 1 шт.; подставка для натяжения струн –  2 шт.; резонаторная пластинка – 1 шт.; пробирка размером  16х100 мм. –  3 шт.; пробирка размером  16х150 мм. –  3 шт.; барабан диаметром 19 см. – 1 шт.; молоточек – 1 шт.;прибор для демонстрации действия барабанной перепонки – 1 шт.; тарелка звуковая –  2 шт.; гонг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 обеспечен руководством для ученика, содержащим подробноеописание
экспериментов.</t>
  </si>
  <si>
    <t>521-202-0602-0004</t>
  </si>
  <si>
    <t>Набор для изучения звуковых явлений в начальной школе (на 13 учебных групп) типа Cornelsen Experimenta 31720</t>
  </si>
  <si>
    <t>В составе: Пластиковый чемодан для хранения и переноски оборудования; спицы стальные-15шт.; гибкие стальные полоски с вибрирующими головками-15шт.; набор запасных частей в пластмассовой коробке; звукопоглощающие прокладки-2шт.; акустическая головка стетоскопа-2шт.; камертоны различной частоты (105 мм)-15 шт.; катушка ниток; струны с наконечниками-ограничителями на катушках-8шт.; колки для натягивания струн -36шт.; комплект узких резинок; комплект широких резинок;
CD-4шт.; молоточки пластиковые-15шт.; музыкальная шкатулка с заводной ручкой-2шт.; набор пластинок для металлофона-15шт.; наушники-125шт.; парные струны для монохорда (в упаковках)-3шт.; пластиковый стакан с отверстием в дне-4 шт.; пластмассовые пробирки (100 мм)-15шт.; пластмассовые пробирки (152 мм)-30шт.; резонаторы с пластмассовыми крышками, донышками и сдвижной мембраной-15шт.; слуховые трубки (630 мм)-30шт.; пластмассовые стаканчики для воды-15шт.; треугольные порожки для струн-15шт.; флейта Пана (многоствольная свирель)
пластиковая-1шт. Руководство объемом 54 страницы формата А4.</t>
  </si>
  <si>
    <t>521-202-0603</t>
  </si>
  <si>
    <t>Мини-лаборатория для начальной школы "Магнетизм"</t>
  </si>
  <si>
    <t>521-202-0603-0001</t>
  </si>
  <si>
    <t>Мини-лаборатория для начальной школы "Магнетизм"  Experia  типа PHE-021</t>
  </si>
  <si>
    <t>521-202-0603-0002</t>
  </si>
  <si>
    <t>Мини-лаборатория для начальной школы "Магнетизм" типа Cornelsen Experimenta 16115</t>
  </si>
  <si>
    <t>521-202-0604</t>
  </si>
  <si>
    <t>Мини-лаборатория для начальной школы "Механика"</t>
  </si>
  <si>
    <t>521-202-0604-0001</t>
  </si>
  <si>
    <t>Мини-лаборатория для начальной школы "Механика" типа Experia PHE-022</t>
  </si>
  <si>
    <t>521-202-0604-0002</t>
  </si>
  <si>
    <t>Мини-лаборатория для начальной школы "Механика" типа Cornelsen Experimenta 16100K</t>
  </si>
  <si>
    <t>521-202-0604-0003</t>
  </si>
  <si>
    <t>Набор демонстрационный для изучения механики в начальной школе типа Experia PHE-024</t>
  </si>
  <si>
    <t>Комплектация: кейс с крышкой - 1 шт , лоток со вставкой - 1шт,
шкивы – 3 штуки;
рычаг-линейка со шкалой – 1 штука; шкала с градуировкой – 1 штука; указатель-стрелка для рычага – 1 штука; опора скользящая для рычага – 1 штука; чаша весов с креплением – 2 штуки; тележка динамическая – 1 штука;
набор грузов от 1 грамма до 50 грамм – 1 набор; груз с прорезью 10 грамм – 4 штуки;
груз цилиндрический с прорезью 50 грамм – 4 штуки; держатель с крючком для грузов – 2 штуки;
блок прямоугольный из железа с крючком 50х20х20мм – 1 штука;
блок прямоугольный из алюминия с крючком 50х20х20мм – 1 штука; блок пустотелый – 1 штука
блок железный с крючком малый – 1 штука; динамометр 2Н – 2 штуки; пружина 3 Н/м – 1 штука;
пружина плоская 160 х 0,4 мм;
пружина 20 Н/м – 1 штука;
дробь свинцовая 50 грамм – 1 упаковка; комплект погружных зондов – 1 комплект; трубка акриловая 200мм – 2 штуки; трубка капиллярная – 3 штуки;
трубка акриловая – 2 штуки; пробирка 12мм – 1 штука;
пробка силиконовая с отверстием – 1 штука; шланг 100 см – 1 штука;
шприц пластиковый – 1 штука; цилиндр мерный пластиковый – 1 штука;
"</t>
  </si>
  <si>
    <t>521-202-0605</t>
  </si>
  <si>
    <t>Мини-лаборатория для начальной школы "Оптика"</t>
  </si>
  <si>
    <t>521-202-0605-0001</t>
  </si>
  <si>
    <t>Мини-лаборатория для начальной школы "Оптика" типа Experia PHE-023</t>
  </si>
  <si>
    <t>521-202-0605-0002</t>
  </si>
  <si>
    <t>Мини-лаборатория для начальной школы "Оптика" типа Cornelsen Experimenta 16110</t>
  </si>
  <si>
    <t>521-202-0605-0003</t>
  </si>
  <si>
    <t>Набор демонстрационный для изучения оптики в начальной школе типа Experia PHE-025</t>
  </si>
  <si>
    <t>Комплектация: Технические характеристики:
Материал оптических элементов: оргстекло Мощность осветительной лампы: минимум 21 Вт Напряжение питания осветителей: 12 В Комплектация:
Кейс с крышкой - 1 шт , Лоток со вставкой - 1шт,
Осветитель с галогеновой лампой: 2 шт.
Лазерный излучатель: 1 шт.
Плоскопараллельная пластина: 1 шт. Полуцилиндрическая пластина: 1 шт.
Трехгранная прямоугольная призма: 1 шт.
Собирающие линзы: 3 шт. Рассеивающая линза: 1 шт.
Светофильтры: 2 шт. Плоское зеркало: 1 шт. Диафрагма 1x3/5: 1 шт. Модель глаза: 1 шт.
Демонстрационный световод: 1 шт.
Кювета: 1 шт.</t>
  </si>
  <si>
    <t>521-202-0606</t>
  </si>
  <si>
    <t>Мини-лаборатория для начальной школы "Электричество"</t>
  </si>
  <si>
    <t>521-202-0606-0001</t>
  </si>
  <si>
    <t>Набор для изучения электричества в начальной школе (на 13 учебных групп) типа Experia PHE-028</t>
  </si>
  <si>
    <t>Комплектация:  кейс с крышкой - 1 шт , лоток со вставкой - 1шт, звонок электрический – 1 шт.; генератор ручной – 1 шт.; эбонитовая и стеклянная палочки – 1 компл.; прибор для получения электрического тока из фруктов и овощей – 1 шт.; патрон для лампочки – 1 шт.; лампочка –  10 шт.; выключатель кнопочный – 1 шт.; соединитель 4-х контактный – 1 шт.; выключатель однополюсной –  3 шт.; блок для батареек типа АА – 1 шт.; батарейка АА типа –  4 шт.; набор пластин (алюминий, сталь, пластик, дерево, резина) – 1 шт.; зажим –  2 шт.; набор резисторов (4 Ом, 2 Ом, 6 Ом) – 1 шт.; набор соединительных проводов ( 8 шт.)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Комплектобеспечен руководством для ученика, содержащим</t>
  </si>
  <si>
    <t>521-202-0606-0002</t>
  </si>
  <si>
    <t>Мини-лаборатория для начальной школы "Электричество" Cornelsen Experimenta 16120</t>
  </si>
  <si>
    <t>521-202-0607</t>
  </si>
  <si>
    <t>Набор для изучения весов и равновесия в начальной школе (на 13 учебных, в кейсе)</t>
  </si>
  <si>
    <t>Комплектация:   Кейс с крышкой - 1 шт ,  лоток со вставкой - 1шт, рычажные весы в составе (до 40г, точность 0,1г): коромысло; рейдер (регулировочная планка);стойка;чашка для груза и разновесов. - Качели в составе:перекладина;опора;пружинные весы (до 25г);пружинные весы (до 75г);пружинные весы со стрелкой (до 100г);динамометр до 12,5кг с двумя шкалами (кг, Н).- Набор разновесов в пластмассовой коробке в составе: •  2 Х 10г, латунная гирька;10 Х 0,1г, алюминиевая пластинка;10 Х 1г, пластиковый кубик;- Пластиковая коробка содержащая:Гвоздь, 50 мм;Деревянный диск;Стеклянный шарик;Камешек;Кусочек картона;Медная пластинка;Скрепка;Винта, 16 мм;Кусочек резины;Прищепки, красные.Набор запасных частей. В наборе:регулировочный груз (2 шт), стеклянный шарик (4 шт), прищепка (2 шт), винт (10 шт), гвоздь (5 шт), кусочек резины (2 шт), деревянный диск (2 шт), кубик 1г (10 шт), грузик 0,1г (10 шт) камешек (2 шт), кусочек картона (2 шт).Приложенные печатные материалы:Методические указания для учителя “Весы и Равновесие”.</t>
  </si>
  <si>
    <t>521-202-0608</t>
  </si>
  <si>
    <t>Набор для исследования возобновляемой энергии в кейсе</t>
  </si>
  <si>
    <t>Комплектация:   Кейс с крышкой - 1 шт ,  Лоток со вставкой - 1шт, Мини-ветряная турбина (генератор ветровой энергии) - 1 шт. Комплект для изучения энергии ветровой энергии - 1 шт. Оценка угла наклона лопастей,
профиля лопастей и количества лопастей возможна Вертикальное выравнивание осуществляется пластиной Специальный трехфазный генератор для повышенной выходной мощности - 1 шт. Светодиод для демонстрации выходной мощности - 1 шт.</t>
  </si>
  <si>
    <t>521-202-0609</t>
  </si>
  <si>
    <t>Мини-лаборатория для начальной школы "Тепло"</t>
  </si>
  <si>
    <t>521-202-0609-0001</t>
  </si>
  <si>
    <t>Мини-лаборатория для начальной школы "Тепло" типа Cornelsen Experimenta 16106</t>
  </si>
  <si>
    <t>Группа 521-204. Оборудование и мебель для кабинета предшкольной подготовки</t>
  </si>
  <si>
    <t>521-204-1000</t>
  </si>
  <si>
    <t>Мебель и технические средства обучения для учебных кабинетов</t>
  </si>
  <si>
    <t>521-204-1002</t>
  </si>
  <si>
    <t>Шкаф полуоткрытый для плакатов</t>
  </si>
  <si>
    <t>521-204-1002-0001</t>
  </si>
  <si>
    <t>Шкаф книжный полуоткрытый с открытыми верхними полками и закрытой нижней частью. Размеры 800х420х1930мм. ЛДСП 16мм.</t>
  </si>
  <si>
    <t>Группа 521-206. Оборудование и мебель для актового зала</t>
  </si>
  <si>
    <t>521-206-0200</t>
  </si>
  <si>
    <t>Телескопическая трибуна с электрическим
приводом</t>
  </si>
  <si>
    <t>521-206-0201</t>
  </si>
  <si>
    <t>Телескопическая трибуна с электрическим
приводом на 52 места</t>
  </si>
  <si>
    <t>521-206-0201-0001</t>
  </si>
  <si>
    <t>Телескопическая трибуна с электрическим
приводом, в комплекте 52 места</t>
  </si>
  <si>
    <t>521-206-0201-0002</t>
  </si>
  <si>
    <t>Телескопическая трибуна с электрическим приводом на 52 мест, размер сидения 400х300х450мм</t>
  </si>
  <si>
    <t>521-206-0202</t>
  </si>
  <si>
    <t>Телескопическая трибуна с электрическим
приводом на 253  места</t>
  </si>
  <si>
    <t>521-206-0202-0001</t>
  </si>
  <si>
    <t>Телескопическая трибуна с электрическим
приводом, в комплекте 253  места</t>
  </si>
  <si>
    <t>521-206-0202-0002</t>
  </si>
  <si>
    <t>Телескопическая трибуна с электрическим приводом на 253 мест, размер сидения 400х300х450мм</t>
  </si>
  <si>
    <t>521-206-0203</t>
  </si>
  <si>
    <t>Телескопическая трибуна с электрическим
приводом на 72 места</t>
  </si>
  <si>
    <t>521-206-0203-0001</t>
  </si>
  <si>
    <t>Телескопическая трибуна с электрическим
приводом на, в комплекте 72 места</t>
  </si>
  <si>
    <t>521-206-0203-0002</t>
  </si>
  <si>
    <t>Телескопическая трибуна с электрическим приводом на 72 мест, размер сидения 400х300х450мм</t>
  </si>
  <si>
    <t>521-206-0204</t>
  </si>
  <si>
    <t>Телескопическая трибуна с электрическим
приводом на 86 мест</t>
  </si>
  <si>
    <t>521-206-0204-0001</t>
  </si>
  <si>
    <t>Телескопическая трибуна с электрическим
приводом, в комплекте 86 мест</t>
  </si>
  <si>
    <t>521-206-0204-0002</t>
  </si>
  <si>
    <t>Телескопическая трибуна с электрическим приводом на 86 мест, размер сидения 400х300х450мм</t>
  </si>
  <si>
    <t>Группа 521-207. Информационно-коммуникационные технологии</t>
  </si>
  <si>
    <t>521-207-0200</t>
  </si>
  <si>
    <t>Инновационное и высокотехнологичное оборудование для занятий робототехникой, исследовательской и проектной деятельностью</t>
  </si>
  <si>
    <t>521-207-0205</t>
  </si>
  <si>
    <t>Набор роботехнический</t>
  </si>
  <si>
    <t>521-207-0205-0001</t>
  </si>
  <si>
    <t>Набор роботехнический базовый для начальных классов типа Robowunderkind</t>
  </si>
  <si>
    <t>1 x Кнопка</t>
  </si>
  <si>
    <t>521-207-0205-0002</t>
  </si>
  <si>
    <t>Набор ресурсный для начальных классов типа Robowunderkind</t>
  </si>
  <si>
    <t>1 x светодиодный дисплей, 1 x кнопка,
1 x RGB-подсветка, 1 x блок разъемов,</t>
  </si>
  <si>
    <t>521-207-0205-0003</t>
  </si>
  <si>
    <t>Набор сервоприводов типа Crafttronics Lab</t>
  </si>
  <si>
    <t>Набор сервомоторов включает следующие элементы: Кронштейн поворотно-наклонный для Servo SG90S MG90S с вращением
360 градусов,
Spring RC SM-S4306R 6KG Робот с непрерывным вращением, Кронштейн крепления сервопривода для SG90 Micro 9g Servo RC,
Модуль драйвера сервопривода Shield 16-канальный 12-битный PWM I2C интерфейс PCA9685,
6-канальный 12-битный ШИМ/драйвер сервопривода-интерфейс I2C-PCA9685 для щита сервопривода модуля arduino или Raspberry pi.
Кронштейны крепления сервопривода для MG995 MG996.</t>
  </si>
  <si>
    <t>521-207-0205-0004</t>
  </si>
  <si>
    <t>Набор GPS GSM типа Crafttronics Lab</t>
  </si>
  <si>
    <t>Набор для создания проектов интернета вещей включает следующие элементы:
GSM / GPRS / GPS / Buletooth SIM868,
Плата расширения для разработки raspberry pi, совместимая с Arduino, SX1278 ESP32 0,96-дюймовый синий,
OLED-дисплей, Bluetooth WIFI Kit 32 модуля,
IOT Development для Arduino с антенной.</t>
  </si>
  <si>
    <t>521-207-0205-0005</t>
  </si>
  <si>
    <t>Набор двигателей постоянного тока типа Crafttronics Lab</t>
  </si>
  <si>
    <t>Набор двигателей постоянного тока включает следующие элементы: 5A Двойной модуль привода двигателя постоянного тока напряжение дистанционного управления 3В-14В,
«Автомобильный комплект 3PI miniQ,
Колесная шина + 12-миллиметровый микромотор N20 + кронштейн для крепления двигателя,
Аксессуары для игрушечных автомобилей, датчик скорости двигателя GA12-N20 с проводом,
Колесо для большого робота, 85 мм, ширина поверхности 38 мм (1 шт. ) серебристый,
Колесо для больших роботов, 85 мм, ширина поверхности 38 мм (1 шт. ) синий,
Колесо для больших роботов, 85 мм, ширина поверхности 38 мм (1 шт. ) красный,
Самобалансирующиеся комплекты для умных автомобилей, Колесо 65 мм + двигатель 281 об / мин 3-9 В + кронштейн + муфта 5 мм.</t>
  </si>
  <si>
    <t>521-207-0205-0006</t>
  </si>
  <si>
    <t>Набор печатных плат типа Crafttronics Lab</t>
  </si>
  <si>
    <t>Набор печатных плат включает следующие элементы: Односторонняя плата 20 * 30 см, толщина 1,5 мм, FR4 Стекловолокно,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 8 см универсальная двухсторонняя плата для прототипа печатной платы,
3 * 7 см универсальная двухсторонняя плата для прототипа печатной платы, 6 * 8 см универсальная двухсторонняя плата для прототипа печатной платы, Универсальная двухсторонняя плата для прототипа печатной платы 8 * 12 см,
Двусторонняя универсальная плата прототипа печатной платы 12 * 18 см, 20 * 30 см универсальная двухсторонняя плата прототипа печатной платы, Светочувствительная сухая пленка шириной 30,5 см вместо термопереносной фоточувствительной пленки для печатных плат.
Мини MTS-203 6-контактные переключатели SPDT ON-OFF-ON 6A 125VAC.
Шоковый выключатель датчика вибрации SW-18020P. Тактильный кнопочный переключатель Momentary Tact 12x12x7,3 мм +
желтая круглая крышка.
Потенциометр 15 мм Вал, 2x40pin гнездовой разъем 2. 54мм, 2x40-контактный загнутый штифт 2,54 мм, ломаемый, прямой разъем
1x40pin 2,54 мм 1x40pin, мама разъем 2,54 мм.</t>
  </si>
  <si>
    <t>521-207-0205-0007</t>
  </si>
  <si>
    <t>Набор электронных компонентов типа Crafttronics Lab</t>
  </si>
  <si>
    <t>Набор электронных компонентов включает следующие элементы: Dupont Line 40 Pin 10см 24AWG мама-мама,
Dupont Line 40 Pin 10см 24AWG папа-мама,
Dupont Line 40 Pin 10см 24AWG папа-папа, оценка 400 вложений без кисти, круглый тактильный кнопочный переключатель 5 мм со светозависимым резистором 5528 LDR,
Momentary Tact Тактильный кнопочный переключатель 12x12x7,5 мм + желтая круглая крышка Тактильный кнопочный переключатель 12x12x7,3 мм + желтый круглый колпачок, светодиодный диод,
5 мм DIY LED Kit (ассортимент ламп) Белый Желтый Зеленый Синий Красный Белый Желтый. Всего 600 штук.
Резисторы из металлической пленки Наборы для сборки электронных устройств 120 шт. 12 Принципов 0,22 мкФ-470 мкФ.
Наборы для электролитических конденсаторов из алюминия. 12 различных значений 1 ° F - 470 ° F
Набор электролитических конденсаторов 1 ° F 2,2 ° F 3,3 ° F 4,7 ° F 10 ° F 22 ° F 33 ° F 47 ° F 100 ° F 220 ° F 220 ° F 220 ° F 220 ° F 220 ° F 220 ° F 220
° F 220 ° F 220 ° F 220 ° F 220 ° F 2.
Конденсатор электролитический 1 мкФ-470 мкФ мкФ мкФ мкФ мкФ. Конденсатор керамический 2ПФ-0,1Ф, 30 шт. Х 10 шт, конденсатор керамический 2ПФ-0,1Ф, 300 шт. конденсатор керамический 2ПФ-0,1Ф, 300 шт. конденсатор керамический 2ПФ-0,1Ф, 300 шт. конденсатор керамический 2ПФ-0,1Ф</t>
  </si>
  <si>
    <t>521-207-0205-0008</t>
  </si>
  <si>
    <t>Набор модулей беспроводной связи типа Crafttronics Lab</t>
  </si>
  <si>
    <t>Набор включает следующие элементы: последовательный модуль платы расширения WiFi,
тестовая плата для платы разработки WiFi + модуль Bluetooth, последовательный порт ESP32 с камерой</t>
  </si>
  <si>
    <t>521-207-0205-0009</t>
  </si>
  <si>
    <t>Набор микроконтроллеров типа Crafttronics Lab</t>
  </si>
  <si>
    <t>Набор включает в себя основные платы Arduino</t>
  </si>
  <si>
    <t>521-207-0205-0010</t>
  </si>
  <si>
    <t>Набор шаговых двигателей типа Crafttronics Lab</t>
  </si>
  <si>
    <t>Набор шаговых моторов плат включает следующие элементы: 4-фазный шаговый двигатель 5 В + плата драйвера,
драйвер шагового двигателя Monster Moto Shield VNH3ASP30 с высоким током 30А,
TB6600 0. 2-5A Контроллер ЧПУ, Драйвер шагового двигателя Nema 17,23,
Одноосный TB6600 Двухфазный гибридный шаговый двигател, Комплект для 3D-принтера.</t>
  </si>
  <si>
    <t>521-207-0205-0011</t>
  </si>
  <si>
    <t>Обучающий набор электронных схем типа Crafttronics Lab</t>
  </si>
  <si>
    <t>Обучающий набор электронных схем состоит из:
Цифровые 4-битные электронные часы WAVGAT AT89C2051: Это электронные часы с 4-битным сегментным дисплеем, которые позволяют отображать время. Они основаны на микроконтроллере AT89C2051.
Беспроводной стерео радиоприемник FM, модуль PCB 76 МГц-108 МГц, DC 1,8 в-3,6 В: Этот модуль предоставляет возможность создания беспроводного стерео радиоприемника FM. Он работает в диапазоне частот от 76 МГц до 108 МГц и требует питания от 1,8 В до 3,6 В.
Отжим 95 светодиодов, ветровой колокольчик 5 в 9 В. Он включает отжим
с 95 светодиодами, который может создавать разнообразные эффекты освещения, а также ветровой колокольчик, работающий от 5 В до 9 В.</t>
  </si>
  <si>
    <t>521-207-0208</t>
  </si>
  <si>
    <t>Набор для сборки квадрокоптера</t>
  </si>
  <si>
    <t>521-207-0208-0001</t>
  </si>
  <si>
    <t>Набор для сборки квадрокоптера типа
Crafttronics Lab</t>
  </si>
  <si>
    <t>Комплектация: "FPV Дрон 5 дюймовый
Шлем для FPV режима 2,4ГГц Пульт управления Аккумулятор
Антенны 2,4ГГц Квадрокоптер малых размеров</t>
  </si>
  <si>
    <t>521-207-0209</t>
  </si>
  <si>
    <t>Набор микрокомпьютеров</t>
  </si>
  <si>
    <t>Набор включает следующие элементы:  Одноплатный микрокомпьютер. Пульт дистанционного управления беспроводной клавиатурой.  Сенсорная панель без батареи для сухих одноразовых элементов AAA.  Беспроводная клавиатура с комплектом мыши.  Плата модуля, модуль инфракрасной
ИК-камеры ночного видения Веб-камера с мощностью не менее 540 Вт</t>
  </si>
  <si>
    <t>521-207-0210</t>
  </si>
  <si>
    <t>Паяльная станция</t>
  </si>
  <si>
    <t>Тип устройства: паяльная станция с регулируемой температурой.
Регулируемая температура: позволяет пользователю точно настраивать температуру нагрева паяльного жала. Температурный диапазон: разнообразные диапазоны температур для различных типов работ.
Поддержка различных паяльных жал: совместима с различными типами и размерами паяльных жал. Встроенный дисплей: дисплей с информацией о текущей температуре и настройках работы. Мощность:не более 80 Вт.
Температурный диапазон: 100°C - 450°C. Длина кабеля: не более 1,5 м.</t>
  </si>
  <si>
    <t>521-207-0211</t>
  </si>
  <si>
    <t>Мебель для кабинета робототехники</t>
  </si>
  <si>
    <t>521-207-0211-0001</t>
  </si>
  <si>
    <t>Стеллаж для наборов по робототехнике типа CraftLab</t>
  </si>
  <si>
    <t>Стеллаж изготовлен из ЛДСП, толщиной 32 мм, кромка ПВХ. Габариты: 1500 х 450 х 900 мм. Специалированный для наборов лего, 16 ячеек с пластиковыми лотками</t>
  </si>
  <si>
    <t>521-207-0211-0002</t>
  </si>
  <si>
    <t>Шкаф инструментальный по ручным универсальным инструментам типа CraftLab</t>
  </si>
  <si>
    <t>Размеры шкафа 1900х550х1000мм (ВхГхШ), корпус выполнен из ЛДСП. Внутренняя часть состоит из деревянных лотков под каждый инструмент.
Содержимое: Лобзик ручной 12шт.
Торцевые кусачки 12шт.
Угольник 12шт. Отвертка №1 12шт. Отвертка №2 12шт. Отвертка №3 12шт. Отвертка №4 12шт. Отвертка №5 12шт. Отвертка №6 12шт. Отвертка №7 12шт. Отвертка №8 12шт.
Ножницы хозяйственные 12шт.
Нож канцелярский 12шт.
Линейка мал 12шт. Линейка средняя 12шт. Линейка большая 12шт.
Шпатель унииверсальный 12шт. Шило квадратное 12шт.
Шило круглое 12шт. Струбцина уголвая 6шт.
Струбцина клещееобразная 50 - 6шт. Струбцина клещееобразная 75 - 6шт. Струбцина клещееобразная 100 - 6шт.
Губка 100 - 6шт. Губка 40 - 6шт. Губка 120 - 6шт.
Рихтовочный молоток 12шт.</t>
  </si>
  <si>
    <t>521-207-0211-0003</t>
  </si>
  <si>
    <t>Шкаф инструментальный по электронике типа CraftLab</t>
  </si>
  <si>
    <t>Инструментальный шкаф по электронике расчитан для 12 учеников, размер 1900х550х1000мм (ВхГхШ). Корпус выполнен из ЛДСП, внутренняя часть состоит из деревянных лотков под каждый инструмент.
Содержимое:
ESD 011
ESD 012
Бокорезы, 130 мм
Длинногубцы, 130 мм Длинногубцы изогнутые, 130 мм Острогубцы Mini, 130 мм
BST-108 E60WT PH 0
PH 00
SL 2.0
PH 000
Клещи для снятия изоляции Insulated FF01-stay
XL830L XL800 XL750ll XL801 XJH01</t>
  </si>
  <si>
    <t>521-207-0211-0004</t>
  </si>
  <si>
    <t>Специализированный стол для паяльного дела типа CraftLab</t>
  </si>
  <si>
    <t>Группа 521-208. Музыкальный зал</t>
  </si>
  <si>
    <t>521-208-0100</t>
  </si>
  <si>
    <t>Мебель</t>
  </si>
  <si>
    <t>521-208-0102</t>
  </si>
  <si>
    <t>Стул крутящийся без спинки</t>
  </si>
  <si>
    <t>521-208-0102-0001</t>
  </si>
  <si>
    <t>Табурет винтовой с колесами</t>
  </si>
  <si>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</si>
  <si>
    <t>521-208-0102-0002</t>
  </si>
  <si>
    <t>Табурет винтовой ТВ 2021-2 320*460/600 (с колесами)</t>
  </si>
  <si>
    <t>521-208-0102-0003</t>
  </si>
  <si>
    <t>Стул-табурет c колесами регулируемый без верхней спинки типа Suno</t>
  </si>
  <si>
    <t>Табурет лабораторный полиуретановый на газ лифте. Каркас стальной с хромированным покрытием. Регулировка подъёма сиденья. Размеры сиденья: 360*340 мм.</t>
  </si>
  <si>
    <t>521-208-0102-0004</t>
  </si>
  <si>
    <t>Стул-табурет с колесами регулируемый. Сиденье эко кожа. Размер: 550х550х525мм</t>
  </si>
  <si>
    <t>Стул-табурет с колесами регулируемый. Размер: 550х550х525мм. Высокий, с сиденьем D-360 мм, пластиковой базой. Сиденье эко кожа.</t>
  </si>
  <si>
    <t>521-208-0102-0005</t>
  </si>
  <si>
    <t>Табурет подъемно-поворотный с регулировкой высоты 420/480 мм</t>
  </si>
  <si>
    <t>Табурет подъемно-поворотный на колесиках.
Диаметр сиденья 360 мм. Регулировка высоты посадки 420/480мм.
Материал: крестовина – хром, обивка – эко-кожа</t>
  </si>
  <si>
    <t>521-208-0102-0006</t>
  </si>
  <si>
    <t>Табурет подъемно-поворотный с регулировкой высоты, диаметр сиденья 380мм, материал искусственная кожа</t>
  </si>
  <si>
    <t>Крестовина пластик, сиденье из искусственной кожи. Часть сиденья выполнена из литой губки и не проваливается. Диаметр сиденья 380мм. Регулировка высоты с помощью однорычажного механизма.  Пластиковые колеса. Высота табурета 310-580мм.</t>
  </si>
  <si>
    <t>521-208-0102-0007</t>
  </si>
  <si>
    <t>Табурет подъемно-поворотный, регулируемое по высоте, сиденье из фанеры, поролон, обтянутое кож.зам</t>
  </si>
  <si>
    <t>Каркас изготовлен из трубы, поворот – 360°. Высота 420/480 мм</t>
  </si>
  <si>
    <t>Группа 521-209. Оборудование для спортивного зала и секционных занятий</t>
  </si>
  <si>
    <t>521-209-0300</t>
  </si>
  <si>
    <t>Лыжные гонки и конькобежная подготовка</t>
  </si>
  <si>
    <t>521-209-0301</t>
  </si>
  <si>
    <t>Комплект лыж (лыжи, ботинки, крепления)</t>
  </si>
  <si>
    <t>521-209-0301-0001</t>
  </si>
  <si>
    <t>Лыжи беговые RAS-100 в комплекте с ботинками, лыжными палками, креплениями</t>
  </si>
  <si>
    <t>Лыжи беговые RAS-100 в комплекте ботинки, палки лыжные, крепления.
Верх выполнен из синтетического морозостойкого материала с полиуретановым покрытием. Изготовлены с использованием карбонового волокна для максимальной прочности и торсионной жесткости.
Особенности: Сотовый сердечник для минимального веса</t>
  </si>
  <si>
    <t>Подраздел 521-3. Оборудование и мебель организации основного среднего и общего среднего образования</t>
  </si>
  <si>
    <t>Группа 521-301. Оборудование и мебель для учебных кабинетов</t>
  </si>
  <si>
    <t>521-301-0300</t>
  </si>
  <si>
    <t>Кабинет математики</t>
  </si>
  <si>
    <t>521-301-0301</t>
  </si>
  <si>
    <t>Пластиковая модель штангенциркуля</t>
  </si>
  <si>
    <t>Пластиковая модель штангенциркуля (размер не менее 42х19,5 см) позволяет измерять внешний и внутренний диаметры по сантиметровой шкале (предел 30 см). Можно использовать в практических занятиях по расчету площадей и объемов.</t>
  </si>
  <si>
    <t>521-301-0302</t>
  </si>
  <si>
    <t>Набор для изучения вероятности</t>
  </si>
  <si>
    <t>Набор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t>
  </si>
  <si>
    <t>521-301-0303</t>
  </si>
  <si>
    <t>Набор для демонстрации куба и сферы</t>
  </si>
  <si>
    <t>521-301-0303-0001</t>
  </si>
  <si>
    <t>Набор для демонстрации куба и сферы типа Invicta</t>
  </si>
  <si>
    <t>Состав набора: Куб №1 Параллелепипед 80х80х40 мм красный – 2 шт.; Куб
№2 Параллелепипед 80х40х40 мм синий – 2 шт.; Параллелепипед 80х80х20 мм синий – 2 шт.; Куб №3 Параллелепипед 40х40х40 мм желтый – 4 шт.; Параллелепипед 80х80х10 мм желтый – 4 шт.; Шар №1 Полушарие Ø 80 мм и высотой 40 мм красного цвета – 2 шт.; Шар №2 Шаровой сектор Ø 80 мм и высотой 40 мм синего цвета – 2 шт.; Сегмент Ø 65 мм и высотой 18 мм желтого цвета – 1 шт.; Сферический слой  с основаниями Ø 65 и Ø 75 высотой 8 мм желтого цвета – 1 шт.; Сферический слой  с основаниями Ø 75 и Ø 78 высотой 7 мм желтого цвета– 1 шт.; Сферический слой  с основаниями Ø 78 и Ø 80 высотой 7 мм желтого цвета– 1 шт.; Шар №3 Сектор радиусами 40 мм высотой и высотой 40 мм желтого цвета – 4 шт.;
Сегмент Ø 74 мм и высотой 26 мм синего цвета– 1 шт.; Сферический слой
с основаниями Ø 74 и Ø 80 высотой 14 мм синего цвета – 1 шт.; Подставка под составные шары высотой 47 мм и внешним диаметром 100 мм – 2 шт.</t>
  </si>
  <si>
    <t>521-301-0305</t>
  </si>
  <si>
    <t>Набор для исследования законов вероятности</t>
  </si>
  <si>
    <t>521-301-0305-0001</t>
  </si>
  <si>
    <t>Набор для исследования законов вероятности типа Invicta 113159/42432</t>
  </si>
  <si>
    <t>В набор входит четыре комплекта для экспериментального исследования законов вероятности и статистики:  1. Комплект игральных костей  2. Комплект игральных карт  54 карты);  3. Набор пластиковых бутылок ( 6 шт.)  4. Модель нормального распределения. Размер модели  30*30*30 см.
Материал пластик. Шарики одного цвета 150 штук.</t>
  </si>
  <si>
    <t>521-301-0306</t>
  </si>
  <si>
    <t>Набор геометрических фигур раздаточный</t>
  </si>
  <si>
    <t>521-301-0306-0001</t>
  </si>
  <si>
    <t>Набор геометрических фигур с развертками</t>
  </si>
  <si>
    <t>521-301-0306-0002</t>
  </si>
  <si>
    <t>Набор геометрических фигур раздаточный типа Invicta 091859/42401</t>
  </si>
  <si>
    <t>521-301-0310</t>
  </si>
  <si>
    <t>Набор Дробные части квадрата и круга</t>
  </si>
  <si>
    <t>521-301-0310-0001</t>
  </si>
  <si>
    <t>Набор Дробные части квадрата и круга типа Invicta</t>
  </si>
  <si>
    <t>1. Набор для объемного представления дробей в виде кубов и шаров. В набор входит подставка под составные шары высотой 47 мм и внешним
диаметром 100 мм – 2 шт  2.Набор плоских пластиковых пластин квадратной формы, которые могут разделяться на 2, 3, 4 и 6 частей и одна неделимая пластина. 3.Пособие состоит из: 8 кругов, диаметр 100мм, материал прочный пластик, разного цвета, целые и разбиты на разное количество секторов. В пластиковом контейнере цилиндрической формы.</t>
  </si>
  <si>
    <t>521-301-0310-0002</t>
  </si>
  <si>
    <t>Набор "Части целого на круге. Простые дроби"</t>
  </si>
  <si>
    <t>Предназначен для демонстрации понятия дроби и представляет собой набор секторов круга, маркированных по его долям. В состав набора входят круг и секторы его – 1/2, 1/3, 1/4, 1/5 и 1/6. Круг и его секторы имеют магниты, что позволяет проводить демонстрацию на стальной классной доске.</t>
  </si>
  <si>
    <t>521-301-0319</t>
  </si>
  <si>
    <t>Калькулятор графический</t>
  </si>
  <si>
    <t>521-301-0319-0001</t>
  </si>
  <si>
    <t>Калькулятор графический типа Texas
Instruments TI-84 Plus CE-T</t>
  </si>
  <si>
    <t>Инструмент для школьников и студентов по решению математических задач и научной работы, в том числе статистических и финансовых вычислений. Перезаряжаемая батарея TI Rechargeable Battery (в комплекте), обновляемая операционная система, встроенные приложения, возможность использования изображений. Память для хранения результатов расчетов и приложений Flash ROM: 3.0Мб, оперативная память RAM: 154Кб. Цветной дисплей, разрешение экрана: 140 DPI; 16-битная цветовая схема, размер дисплея: 320 x 240 пикселей (2.8" диагональ).</t>
  </si>
  <si>
    <t>521-301-0400</t>
  </si>
  <si>
    <t>Цифровая интерактивная лаборатория для
экспериментов по физике</t>
  </si>
  <si>
    <t>521-301-0401</t>
  </si>
  <si>
    <t>Датчик гальванометрический</t>
  </si>
  <si>
    <t>521-301-0401-0001</t>
  </si>
  <si>
    <t>Датчик гальванометрический беспроводной (ток) Go Direct GDX-CUR. Диапазон: +/-1A и
+/-0.1A. Максимальный ток без повреждения: 1,5А и 0,5А. Типовой шаг измерений: 0,031мА и 0,003мА</t>
  </si>
  <si>
    <t>521-301-0401-0002</t>
  </si>
  <si>
    <t>Датчик гальванометрический беспроводной (напряжение и ток) DataHarvest 1131 .
Диапазоны измерения ±100 мА, ±5 В. USB соединительный провод. ПО сбора и обработки данных Easysense2 на трех языках: каз., рус., англ. языке.</t>
  </si>
  <si>
    <t>521-301-0401-0003</t>
  </si>
  <si>
    <t>Einstein™ Датчик тока (+/-2.5 A) ENCRN005. Диапазон: +/-2,5 А. Входной ток: переменный или постоянный ток.
Точность: +/-3 % по всему диапазону. Разрешение (12 бит): 1,25 мА</t>
  </si>
  <si>
    <t>521-301-0401-0004</t>
  </si>
  <si>
    <t>Einstein™ Датчик тока (+/-250 мА) ENCRN006. Диапазон: +/-250 мА. Входной ток: переменный или постоянный ток.
Точность: +/-3 % по всему диапазону. Разрешение (12 бит): +/-125 мкА</t>
  </si>
  <si>
    <t>521-301-0401-0005</t>
  </si>
  <si>
    <t>Внешний датчик тока Globisense. Диапазон:+/-250 мА. Точность:+/- 4%</t>
  </si>
  <si>
    <t>521-301-0401-0006</t>
  </si>
  <si>
    <t>Датчик гальванометрический (ток) беспроводной типа PHYWE Cobra SMARTSence High Current 12925-00. Диапазон: +/-10 A. Разрешение: 10 мA</t>
  </si>
  <si>
    <t>521-301-0401-0007</t>
  </si>
  <si>
    <t>Датчик гальванометрический беспроводной типа ScienceCube, WL109GV. Диапазон:
+/-0,0125 А. Разрешение: 0,002 мА</t>
  </si>
  <si>
    <t>521-301-0401-0008</t>
  </si>
  <si>
    <t>Датчик тока типа Sense disc S0005. Диапазон: -1+1А. Точность: +/-1%. Разрешение: 0.001А</t>
  </si>
  <si>
    <t>521-301-0401-0009</t>
  </si>
  <si>
    <t>Датчик микротока типа Sense disc S0006. Диапазон: -10 мкА+10 мкА. Точность:
+/-1%. Разрешение: 0.01 мкА</t>
  </si>
  <si>
    <t>521-301-0401-0010</t>
  </si>
  <si>
    <t>Датчик тока типа Sense disc S0035. Диапазон: -10А+10А. Точность: +/-2%</t>
  </si>
  <si>
    <t>521-301-0401-0011</t>
  </si>
  <si>
    <t>Датчик гальванометрический типа MicroLab Mlab_curr250. Напряжение 3,3В/5В, диапазон 0–2000 мкс/см, разрешение +/-5% (STP)</t>
  </si>
  <si>
    <t>521-301-0401-0012</t>
  </si>
  <si>
    <t>Датчик измерения силы тока при низком напряжении АС и DC в контурах. Диапазон измерения: -2.5 /+2.5A Разрешение: +/- 1,25 mA (12bit)</t>
  </si>
  <si>
    <t>521-301-0401-0013</t>
  </si>
  <si>
    <t>Датчик гальванометрический. Диапазон
измерения: +/- 250мА. Разрешение: 125 мкА</t>
  </si>
  <si>
    <t>521-301-0403</t>
  </si>
  <si>
    <t>Датчик напряжения</t>
  </si>
  <si>
    <t>521-301-0403-0001</t>
  </si>
  <si>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</si>
  <si>
    <t>521-301-0403-0002</t>
  </si>
  <si>
    <t>Einstein™ Датчик напряжения ±25V ENVLT001. Диапазон: ±25 В. Входное напряжение: переменный или постоянный ток. Точность: ±3 % по всему диапазону. Разрешение (12 бит): 12,5 мВ</t>
  </si>
  <si>
    <t>521-301-0403-0003</t>
  </si>
  <si>
    <t>Einstein™ Датчик напряжения (±2,5 В) ENVLT002. Диапазон: ±2,5 А. Входной ток: переменный или постоянный ток. Точность:
±3 % по всему диапазону.  Разрешение (12 бит): 1,25 мА</t>
  </si>
  <si>
    <t>521-301-0403-0004</t>
  </si>
  <si>
    <t>Einstein™Многодиапазонный датчик напряжения (±1V, ±10V, ±25V) ENVLT019.
Диапазон: ± 1 V, ± 10 V, ± 25 V. Входное напряжение: переменный или постоянный ток</t>
  </si>
  <si>
    <t>521-301-0403-0005</t>
  </si>
  <si>
    <t>Внешний датчик  напряжения Globisense.
Диапазон:+/-10 В. Точность:+/-2 %</t>
  </si>
  <si>
    <t>521-301-0403-0006</t>
  </si>
  <si>
    <t>Датчик напряжения беспроводной типа Phywe Cobra SMARTsense Voltage 12901-01. Диапазон: +/- 30 В. Разрешение: 20 мВ. Частота: 1000 Гц</t>
  </si>
  <si>
    <t>521-301-0403-0007</t>
  </si>
  <si>
    <t>Датчик напряжения беспроводной типа ScienceCube, WL101V. Диапазон: +/- 15 В. Разрешение: 2 мВ</t>
  </si>
  <si>
    <t>521-301-0403-0008</t>
  </si>
  <si>
    <t>Датчик напряжения типа Sense disc S0001. Диапазон: -30В+30В. Точность: +/-1%.
Разрешение: 0.02В</t>
  </si>
  <si>
    <t>521-301-0403-0009</t>
  </si>
  <si>
    <t>Датчик напряжения типа Sense disc S0037. Диапазон: -500В+500В. Точность: +/-2%. Разрешение: 0.3В</t>
  </si>
  <si>
    <t>521-301-0403-0010</t>
  </si>
  <si>
    <t>Датчик напряжения (переменного) типа MicroLab Mlab_curr. Рабочее напряжение до 100 В. Диапазон измерения тока 0 – 2,5 А.
Чувствительность 800 мВ/А</t>
  </si>
  <si>
    <t>521-301-0403-0011</t>
  </si>
  <si>
    <t>Датчик измерения напряжения. Диапазон измерения: +/- 25В. Точность +/- 3% во всем диапазоне. Разрешение 12,5 мВ. Максимальная частота дискретизации 20000 выборок в секунду. Входное сопротивление 250 кОм. Максимальное входное напряжение 60В</t>
  </si>
  <si>
    <t>521-301-0404</t>
  </si>
  <si>
    <t>Датчик силы</t>
  </si>
  <si>
    <t>521-301-0404-0001</t>
  </si>
  <si>
    <t>Einstein™ Датчик силы ENFRC272. Диапазон: от -10 Н до +10 Н - 50 Н до +50 Н. Точность: ±2 % по всему диапазону</t>
  </si>
  <si>
    <t>521-301-0404-0002</t>
  </si>
  <si>
    <t>Датчик силы типа Sense disc S0014. Диапазон: -50+50 Н. Точность: +/-1%. Разрешение: 0.03 Н</t>
  </si>
  <si>
    <t>521-301-0404-0003</t>
  </si>
  <si>
    <t>Датчик силы. Диапазон измерения:  +/- 10Н/
+/- 50Н</t>
  </si>
  <si>
    <t>521-301-0405</t>
  </si>
  <si>
    <t>Источник питания лабораторный</t>
  </si>
  <si>
    <t>521-301-0405-0001</t>
  </si>
  <si>
    <t>Источник бесперебойного питания
демонстрационный</t>
  </si>
  <si>
    <t>Интервал регулируемых напряжений постоянного и переменного тока от 2V до 24V, 12 режимов переключения напряжения. Максимальный ток нагрузки 6А. Интервал регулируемых напряжений постоянного тока 6V, 9V, 12V. Максимальный ток нагрузки 1А. Напряжения питания 220V, 50 Hz</t>
  </si>
  <si>
    <t>521-301-0405-0002</t>
  </si>
  <si>
    <t>Источник питания лабораторный. Прибор питается переменным током напряжением 42 V. Выходные напряжения: постоянное фиксированное – 1,5 – 9 V, при токе – 1,5 А.</t>
  </si>
  <si>
    <t>521-301-0405-0003</t>
  </si>
  <si>
    <t>Источник постоянного и переменного
напряжения</t>
  </si>
  <si>
    <t>Плавное регулирование переменного напряжения с частотой 50 Гц в пределах от 0 до 30 В и постоянного (пульсирующего) напряжения с частотой пульсаций 100 Гц в пределах от 0 до 24 В.</t>
  </si>
  <si>
    <t>521-301-0405-0004</t>
  </si>
  <si>
    <t>Источник питания лабораторный с
комплектом электрических проводов</t>
  </si>
  <si>
    <t>Прибор питается переменным током напряжением 42 V. Выходные напряжения постоянное фиксированное 1,5 - 9V при токе 1,5 А. В комплекте содержится 10 гибких изолированных проводов разного цвета и длины с наконечниками. Габаритные размеры: длиной 200мм - 2 шт, 400мм
- 2 шт, 600мм - 2 шт, 800мм - 2 шт, 1000мм - 2 шт, переходники 10 шт</t>
  </si>
  <si>
    <t>521-301-0406</t>
  </si>
  <si>
    <t>Датчик света</t>
  </si>
  <si>
    <t>521-301-0406-0001</t>
  </si>
  <si>
    <t>Einstein™ Датчик света (многодиапазнонный) ENLGT009-4. Диапазон: от 0 до 600 лк, от 0 до 6 000 лк, от
0 до 150 klx. Точность: ±4 % по всему диапазону.</t>
  </si>
  <si>
    <t>521-301-0406-0002</t>
  </si>
  <si>
    <t>Датчик для измерения освещенности беспроводной типа Phywe Cobra SMARTsense Light 12906-01. Диапазон: 0-128 кЛк. Разрешение: 1 Лк. Частота
измерений: 10 Гц</t>
  </si>
  <si>
    <t>521-301-0406-0003</t>
  </si>
  <si>
    <t>Датчик света типа Sense disc S0019. Диапазон: 0-55000 люкс. Точность: +/-5%. Разрешение: 15 люкс</t>
  </si>
  <si>
    <t>521-301-0406-0004</t>
  </si>
  <si>
    <t>Датчик фотометрический. Диапазон измерения: от 0 до 600 лк, от 0 до 6000лк, от 0 до 150 клк. Точность +/- 4% по всему диапазону</t>
  </si>
  <si>
    <t>521-301-0408</t>
  </si>
  <si>
    <t>Датчик измерения магнитного поля</t>
  </si>
  <si>
    <t>521-301-0408-0001</t>
  </si>
  <si>
    <t>Датчик измерения магнитного поля 3-осевой беспроводной Go Direct GDX-3MG. Диапазон измерений: ± 5 мТл. Рабочая температура: от -40 ° C до 85 ° C.</t>
  </si>
  <si>
    <t>521-301-0408-0002</t>
  </si>
  <si>
    <t>Датчик магнитного поля DataHarvest 1140 беспроводной. Диапазоны измерения ±5 мТл и ±130 мТл. 3 канала для измерения магнитного поля в направлениях X, Y и Z. USB соединительный провод. ПО сбора и обработки данных Easysense2 на трех языках: каз., рус., англ. языке.</t>
  </si>
  <si>
    <t>521-301-0408-0003</t>
  </si>
  <si>
    <t>Einstein™ Датчик магнитного поля (3 - оси) ENMGN. Диапазон: Две оси: ±20 мТл; Три оси: ±0,4 мТл. Погрешность: ±6 % по всему</t>
  </si>
  <si>
    <t>521-301-0408-0004</t>
  </si>
  <si>
    <t>Внешний датчик  магнитного поля Globisense. 2 диапазона: +/-10mT, +/-0.2mT. Двойной диапазон:+/-10 мТл, +/-0,2 мТл.
Точность:+/-5 %</t>
  </si>
  <si>
    <t>521-301-0408-0005</t>
  </si>
  <si>
    <t>Датчик магнитного поля беспроводной типа PhyweCobra SMARTsense - 3-Axis Magnetic field 12947-00. Диапазон: 130 мТ; 5 мТ.
Разрешение: 0.1 мТ; 0.001 мТ. Частота
измерений: 1000 Гц</t>
  </si>
  <si>
    <t>521-301-0408-0006</t>
  </si>
  <si>
    <t>Беспроводной датчик магнитного поля беспроводной типа ScienceCube, WL108MG Wireless 3-axis Magnetic Field. Диапазон: +/-5 мТл</t>
  </si>
  <si>
    <t>521-301-0408-0007</t>
  </si>
  <si>
    <t>Датчик магнитного поля типа Sense disc S0020. Диапазон: -64-64 мТл. Точность:
+/-3%. Разрешение: 0.04 мТл</t>
  </si>
  <si>
    <t>521-301-0408-0008</t>
  </si>
  <si>
    <t>Датчик гравитационно-магнитный типа Sense disc S0022. Диапазон: 0-40000 с/мин</t>
  </si>
  <si>
    <t>521-301-0408-0009</t>
  </si>
  <si>
    <t>Датчик магнитного поля типа MicroLab Mlab_magnet. Диапазон измерения магнитометра от -4800µT до +4800µT</t>
  </si>
  <si>
    <t>521-301-0409</t>
  </si>
  <si>
    <t>Датчик движения</t>
  </si>
  <si>
    <t>521-301-0409-0001</t>
  </si>
  <si>
    <t>Датчик движения беспроводной Go Direct GDX-MD. Диапазон: от 15 см до 3,5 м.
Точность: 1 мм. Максимальная частота дискретизации: 30 запросов/с</t>
  </si>
  <si>
    <t>521-301-0409-0002</t>
  </si>
  <si>
    <t>Датчик движения беспроводной  DataHarvest 1190. Диапазоны измерения: от 0,15 м до 6
м, от 0 до 50 000 мкс, от -10 до 70 °C.
Точность: ±2 мм, ±2 °С. Разрешение: 0,001 м, 1 мкс, 0,1 °С. USB соединительный провод.  ПО сбора и обработки данных Easysense2 на трех языках: каз., рус., англ. языке.</t>
  </si>
  <si>
    <t>521-301-0409-0003</t>
  </si>
  <si>
    <t>Einstein™ Датчик расстояния ENDST020. Диапазон: от 0,2 до 10 м. Точность: 3 мм на 2 м, 8 мм на 10 м. Разрешение (12 бит): 2,5 мм</t>
  </si>
  <si>
    <t>521-301-0409-0004</t>
  </si>
  <si>
    <t>Датчик движения беспроводной типа Phywe Cobra SMARTsense Motion 12908-01.
Диапазон: 0.2-2 м. Разрешение: 1 мм. Частота измерений: 20 Гц</t>
  </si>
  <si>
    <t>521-301-0409-0005</t>
  </si>
  <si>
    <t>Датчик движения беспроводной типа ScienceCube, WL106M . Диапазон: 0,15-6 м. Разрешение: 1 мм</t>
  </si>
  <si>
    <t>521-301-0409-0006</t>
  </si>
  <si>
    <t>Датчик движения  Sense disc S0015. Диапазон: 20-600 см. Точность: +/-2%. Разрешение: 0.1 см</t>
  </si>
  <si>
    <t>521-301-0409-0007</t>
  </si>
  <si>
    <t>Датчик движения типа MicroLab Mlab_motion. Диапазон измерения от 10 мм до 25 см. Максимальная частота дискретизации: 30 запросов/с. Точность 1мм</t>
  </si>
  <si>
    <t>521-301-0409-0008</t>
  </si>
  <si>
    <t>Датчик движения. Диапазон измерения: 0,16
- 6м. Максимальный диапазон: 10м. Разрешение: +/-1,5мм</t>
  </si>
  <si>
    <t>521-301-0410</t>
  </si>
  <si>
    <t>Датчик вращения</t>
  </si>
  <si>
    <t>521-301-0410-0001</t>
  </si>
  <si>
    <t>Датчик вращательного движения беспроводной DataHarvest 1195, 3288. Угловое положение 360 ° 0,1 °. Угловая скорость ±6 об/с 0,001 об/с. Угловая
скорость ±40 рад/с 0,001 рад/с.
USB-соединение и зарядный кабель, маятниковый стержень. 2x регулируемые массы. 1x набор дисков углового момента. 1x линейная стойка. ПО сбора и обработки данных Easysense2 на трех языках: каз., рус., англ. языке.</t>
  </si>
  <si>
    <t>521-301-0410-0002</t>
  </si>
  <si>
    <t>Einstein™ датчик вращательного движения ( Rotary Motion без Pendulum) ENROT-A148. Диапазон: +/-360°. Точность: +/-0,125°.
Разрешение (12 бит): 0,062°</t>
  </si>
  <si>
    <t>521-301-0411</t>
  </si>
  <si>
    <t>Датчик фотозатвор</t>
  </si>
  <si>
    <t>521-301-0411-0001</t>
  </si>
  <si>
    <t>Датчик фотозатвор беспроводной Go Direct GDX-VPG. Инфракрасный источник Пик при 880 нм, Ширина ворот 77,5 мм, Разделение внутренних ворот 20 мм</t>
  </si>
  <si>
    <t>521-301-0411-0002</t>
  </si>
  <si>
    <t>Датчик фотозатвор беспроводной DataHarvest 1200. Точность 1 мкс. Длина волны 940нм. Разделение ворот 0,025 м. Чувствительность приемника (RX): - 90 дБм. USB соединительный провод, соединительный кабель, монтажный стержень. ПО сбора и обработки данных Easysense2 на трех языках: каз., рус., англ.
языке.</t>
  </si>
  <si>
    <t>521-301-0411-0003</t>
  </si>
  <si>
    <t>Einstein™ Умный шкиф+ фотозатвор ENSMP-A122. Диапазон: от 0 до 99 м/с. Точность: 0,05 м/с. Разрешение (12 бит):
0,024 м/с</t>
  </si>
  <si>
    <t>521-301-0411-0004</t>
  </si>
  <si>
    <t>Внешний датчик фотозатвора Globisense. Время подъема/спада: 1 мс. Ширина ворот: 76,6 мм. Источник света: инфракрасный.
Индикатор: зеленый светодиод</t>
  </si>
  <si>
    <t>521-301-0411-0005</t>
  </si>
  <si>
    <t>Датчик фотозатвор беспроводной типа Phywe Cobra SMARTsense Photogate 12909-00. Разрешение: 0,01 мс. Частота
измерений: 1000 Гц</t>
  </si>
  <si>
    <t>521-301-0411-0006</t>
  </si>
  <si>
    <t>Датчик фотозатвор беспроводной типа
ScienceCube, WL120PG. Диапозон: +/- 5 мТ</t>
  </si>
  <si>
    <t>521-301-0411-0007</t>
  </si>
  <si>
    <t>Датчик фотозатвора  типа Sense disc S0016.
Точность: +/-1 мкс. Разрешение: 1 мкс</t>
  </si>
  <si>
    <t>521-301-0411-0008</t>
  </si>
  <si>
    <t>Датчик фотозатвор типа MicroLab Mlab_photogate. Имеется соосно светодиод  с длиной волны 940 нм и малым конусом излучения и фотодиод, светодиод для контроля срабатывания устройства.
Быстродействие составляет 0,1 мс</t>
  </si>
  <si>
    <t>521-301-0411-0009</t>
  </si>
  <si>
    <t>Фотодатчик для регистрации времени движения и частоты вращения состоит из фотоэлемента (2 шт), шкива (2 шт), штрих-пластины (2 шт), источника инфракрасного излучения (1 шт).
Чувствительность спектра: 500 - 1050nm</t>
  </si>
  <si>
    <t>521-301-0412</t>
  </si>
  <si>
    <t>Динамическая система</t>
  </si>
  <si>
    <t>521-301-0412-0001</t>
  </si>
  <si>
    <t>Динамическая система для работы с беспроводными датчиками DataHarvest 1500PK. Кривая ЭКГ, от 200 до 4000 мкВ. Разрешение ±1 мкВ. Самая высокая скорость регистрации 500 мкс (2 кГц)</t>
  </si>
  <si>
    <t>2 самовыравнивающихся ножки Smart Dynamics 2 магнитных концевых упора Smart Dynamics
2 магнитных держателя Smart Dynamics 4 х стальная масса
1 х тележка Dynamics белого цвета 1 x корзина Dynamics Blue
1 х беспроводной динамический трек 1,2 м 1 х мини-USB-кабель
1 x Dynamics Set Сумка с застежками и креплениями Программное обеспечение сбора и обработки данных Easysense2 на трех
языках: каз., рус., англ. языке. Методические пособия.</t>
  </si>
  <si>
    <t>521-301-0412-0002</t>
  </si>
  <si>
    <t>Динамическая система для работы с датчиками типа Cobra DigiCart Set 12940-77</t>
  </si>
  <si>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Необходимые принадлежности для проведения 8 экспериментов</t>
  </si>
  <si>
    <t>521-301-0412-0003</t>
  </si>
  <si>
    <t>Динамическая система типа ScienceCube SCS-500</t>
  </si>
  <si>
    <t>Комплектация:
Трек 1,2 м - 1 шт.
Одиночный ограничитель конца - 1 шт. Двойной ограничитель конца - 1 шт.
Регулируемый ограничитель конца - 1 шт.
Тележка с поршнем с двумя магнитами и пенными вставками для включенных концевых крышек - 1 шт.
Стандартная тележка с двумя магнитами и пенными вставками для включенных концевых крышек - 1 шт.
Кронштейн фотоэлектрического ворота - 2 шт.
Кронштейн шкива - 1 шт.
Масса 500 г - 1 шт.
Зажим для стержня - 1 шт.
Крепеж - 1 набор Мини-гаечный ключ - 1 шт.</t>
  </si>
  <si>
    <t>521-301-0412-0004</t>
  </si>
  <si>
    <t>Динамическая система расширенная для работы с датчиками типа Cobra DigiCart Set 12940-88</t>
  </si>
  <si>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Вибрационный двигатель
Электромагнитное пусковое устройство Необходимые принадлежности для проведения 8 экспериментов</t>
  </si>
  <si>
    <t>521-301-0412-0005</t>
  </si>
  <si>
    <t>Динамическая система для работы с датчиками типа MicroLab Mlab_dynamickit. Состоит из скамьи длиною 1,2 м и двух пластиковых тележек</t>
  </si>
  <si>
    <t>521-301-0412-0006</t>
  </si>
  <si>
    <t>Динамическая система типа Einstein DT072A</t>
  </si>
  <si>
    <t>Комплектация:
1. Дорожка длиной 1,2 м
2. Стандартная тележка с двумя неодимовыми магнитами внутри 3.Стандартная тележка с двумя неодимовыми магнитами внутри
4. Концевой упор для одной ножки
5. Регулируемый концевой упор
6. Кольцо столкновения
7. Дополнительный вес 50 г 4шт.
8. Два кронштейна для фотодатчиков и датчиков расстояния
9. Держатель кронштейна
10. Шкив
11. Флаги световой барьер
12. Держатель флага перпендикулярный</t>
  </si>
  <si>
    <t>521-301-0413</t>
  </si>
  <si>
    <t>Датчик звука</t>
  </si>
  <si>
    <t>521-301-0413-0001</t>
  </si>
  <si>
    <t>Датчик звука беспроводной DataHarvest 1145. Уровень звука в 2 диапазонах: (1) от 40
до 110 дБА и (2) от 40 до 110 дБА. Форма
звуковой волны в 2 диапазонах: (1) ±25 мВ,
(2) ±100 мВ. USB соединительный провод. ПО сбора и обработки данных Easysense2 на трех языках: каз., рус., англ. языке.</t>
  </si>
  <si>
    <t>521-301-0413-0002</t>
  </si>
  <si>
    <t>Einstein™ Микрофон ENMCR008. Частотный диапазон: от 35 до 10 000 Гц.
Диапазон: ±2.5 В. Разрешение (12 бит): 1,22 мВ</t>
  </si>
  <si>
    <t>521-301-0413-0003</t>
  </si>
  <si>
    <t>Einstein™ Датчик звука ENSND320. Диапазон: от 45 до 80 дБ, от 65 до 110 дБ. Погрешность (при 23±5°C): ±3 дБ. Время отклика: 20 мс. Частота: от 31,5 до 8 000 Гц</t>
  </si>
  <si>
    <t>521-301-0413-0004</t>
  </si>
  <si>
    <t>Датчик звука беспроводной Phywe Cobra SMARTsense - Sound 12939-00. Диапазон: 55-110 дБ(А). Разрешение: 0,1 дБ(А)</t>
  </si>
  <si>
    <t>521-301-0413-0005</t>
  </si>
  <si>
    <t>Датчик звука беспроводной типа ScienceCube, WL124S. Диапазон: от 40 дБ до 130 дБ. Точность: 0,1 дБ</t>
  </si>
  <si>
    <t>521-301-0413-0006</t>
  </si>
  <si>
    <t>Датчик звука типа Sense disc S0021. Диапазон: 40-92 дБ. Точность: +/-4 дБ. Разрешение: 0.1 дБ</t>
  </si>
  <si>
    <t>521-301-0413-0007</t>
  </si>
  <si>
    <t>Датчик-микрофон Sense disc S0034. Диапазон: 100 Гц-15 кГц</t>
  </si>
  <si>
    <t>521-301-0413-0008</t>
  </si>
  <si>
    <t>Датчик звука типа MicroLab Mlab_sound. Низкое энергопотребление: 185 мкА в режиме малой мощности. Расширенная частотная характеристика от 36 Гц до 20 кГц</t>
  </si>
  <si>
    <t>521-301-0413-0009</t>
  </si>
  <si>
    <t>Датчик микрофон. Диапазон измерения: 35
Гц - 10000 Гц</t>
  </si>
  <si>
    <t>521-301-0415</t>
  </si>
  <si>
    <t>Датчик света и цвета</t>
  </si>
  <si>
    <t>521-301-0415-0001</t>
  </si>
  <si>
    <t>Датчик света и цвета беспроводной DataHarvest 1160. Окружающий свет: 30 000 люкс и 200 000 люкс. Прямой свет: 4K люкс и 16K люкс медленный. 1K, 10K и 100K люкс быстро. USB соединительный провод. ПО сбора и обработки данных Easysense2 на трех языках: каз., рус., англ. языке.</t>
  </si>
  <si>
    <t>521-301-0415-0002</t>
  </si>
  <si>
    <t>Einstein™ Датчик света и цвета
ENCOL-A185. Коэффициент пропускания: 20% - 90%. Точность ±10%. Разрешение (12
бит): 0,03 %</t>
  </si>
  <si>
    <t>521-301-0415-0003</t>
  </si>
  <si>
    <t>Датчик света и цвета беспроводной типа ScienceCube, WL112LC. Диапазон: от 0 до 199000 лк (люкс). Цветность: от 1 до 65,535
отсчетов. УФ: 0 - 11 УФ-индекс.
Разрешение: 0,1 люкс</t>
  </si>
  <si>
    <t>521-301-0415-0004</t>
  </si>
  <si>
    <t>Датчик света и цвета типа MicroLab Mlab_lightcolor. Измерение яркости до 60 000 люкс. Динамический диапазаон контрастности цветов 16.7M:1</t>
  </si>
  <si>
    <t>521-301-0416</t>
  </si>
  <si>
    <t>Датчик силы и ускорения</t>
  </si>
  <si>
    <t>521-301-0416-0001</t>
  </si>
  <si>
    <t>Датчик силы и ускорения беспроводной DataHarvest 1120. Угловое положение 360 °
0,1 °. Угловая скорость ±6 об/с 0,001 об/с.
Угловая скорость ±40 рад/с 0,001 рад/с. USB-соединение и зарядный кабель. ПО сбора и обработки данных Easysense2 на трех языках: каз., рус., англ. языке.</t>
  </si>
  <si>
    <t>521-301-0416-0002</t>
  </si>
  <si>
    <t>Einstein™ датчик ускорения ENACL138. Диапазон: ±6 г (±49 м/с²). Разрешение (12 бит): 0,0025 г или 0,025 м/с2. Максимальная частота дискретизации: 100 выборок в секунду. Точность: ± 0,05 г.</t>
  </si>
  <si>
    <t>521-301-0416-0003</t>
  </si>
  <si>
    <t>Датчик силы и ускорения беспроводной типа Phywe Cobra SMARTsense Force &amp; Acceleration 12943-00. Cила: Диапазон: +/-50 Н. Разрешение: 30 мН. Ускорение: Диапазон: +/-16 г. Разрешение: 0.01 г</t>
  </si>
  <si>
    <t>521-301-0416-0004</t>
  </si>
  <si>
    <t>Датчик силы и ускорения беспроводной типа ScienceCube, WL105F. Диапазон силы: от -80 до +80 Н. Диапазон измерения ускорения: от
- 16 до + 16м/с2. Разрешение: 0.01 Ньютон</t>
  </si>
  <si>
    <t>521-301-0416-0005</t>
  </si>
  <si>
    <t>Датчик силы и ускорения (датчик вращения) типа MicroLab Mlab_accel. Сочетает в себе
3-осевой гироскоп, 3-осевой акселерометр, 3-осевой компас и аппаратный ускоритель движения. Диапазоны: гироскоп:
-2000+2000, ускорение: -156.90+156.90</t>
  </si>
  <si>
    <t>521-301-0416-0006</t>
  </si>
  <si>
    <t>Датчик акселерометрический для измерения ускорения и углов от 0° до 90°. Полный диапазон: -47м/с2 +47 м/с2. Доступный диапазон: -19,6 м/с2 +19,6 м/с2. Разрешение:
0,038 м/с2. Амплитудно-частотная характеристика: 0-100Гц</t>
  </si>
  <si>
    <t>521-301-0417</t>
  </si>
  <si>
    <t>Датчик инфракрасный</t>
  </si>
  <si>
    <t>521-301-0417-0001</t>
  </si>
  <si>
    <t>Датчик инфракрасный беспроводной DataHarvest 1205. Освещенность: от 0 до
2000 Вт/м 2. Яркость: от 0 до 3000 Вт/м 2
/Sr. USB соединительный провод. ПО сбора и обработки данных Easysense2 на трех языках: каз., рус., англ. языке.</t>
  </si>
  <si>
    <t>521-301-0418</t>
  </si>
  <si>
    <t>Датчик УФ</t>
  </si>
  <si>
    <t>521-301-0418-0001</t>
  </si>
  <si>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</si>
  <si>
    <t>521-301-0418-0002</t>
  </si>
  <si>
    <t>Einstein™Датчик УФ излучения ENUVAB063. Диапазон UVA: от 320 нм до 400 нм, 1 Вт/м2, 10 Вт/м2, 200 Вт/м2.
Диапазон UVB: от 280 нм до 320 нм, 100
мВт/м2, 1 Вт/м2, 10 Вт/м2</t>
  </si>
  <si>
    <t>521-301-0418-0003</t>
  </si>
  <si>
    <t>Датчик УФ-излучения типа Sense disc S1040. Диапазон: 0-400 Вт/м². Точность: +/-5%.
Разрешение: 0.1 Вт/м²</t>
  </si>
  <si>
    <t>521-301-0419</t>
  </si>
  <si>
    <t>Набор посуды и принадлежностей для экспериментов по физике</t>
  </si>
  <si>
    <t>521-301-0420</t>
  </si>
  <si>
    <t>Einstein™Tablet+3. Планшет ENTAB3. 13 встроенных датчиков: видео датчик, акселерометр, точка росы, индекс тепла, датчик звука, барометрическое давление, GPS/местоположение, микрофон, УФ, свет, температура, частота сердцебиения, влажность</t>
  </si>
  <si>
    <t>521-301-0421</t>
  </si>
  <si>
    <t>Регистратор данных со специальным программным обеспечением</t>
  </si>
  <si>
    <t>521-301-0421-0001</t>
  </si>
  <si>
    <t>Регистратор данных со специальным программным обеспечением Einstein™ Labmate. ENLMSEN.   Частота дискретизации до 100 кс/с. Объем внутренней памяти: до 800 тыс. образцов</t>
  </si>
  <si>
    <t>521-301-0421-0002</t>
  </si>
  <si>
    <t>Регистратор данных со специальным программным обеспечением типа Phywe Cobra SMARTlink 12999-99E с 7 встроенными измерительными датчиками температуры термопара типа К 2 шт., напряжения, тока, освещенности, влажности, уф, ускорения</t>
  </si>
  <si>
    <t>521-301-0421-0003</t>
  </si>
  <si>
    <t>Регистратор данных со специальным программным обеспечением типа ScienceCube WL100B</t>
  </si>
  <si>
    <t>521-301-0421-0004</t>
  </si>
  <si>
    <t>Регистратор данных со специальным ПО типа ScienceCube MAX-A1</t>
  </si>
  <si>
    <t>521-301-0421-0005</t>
  </si>
  <si>
    <t>Регистратор данных с встроенными датчиками: акселерометр (3 оси), GPS, температура окружающей среды, барометр/Альтиметр типа Sense disc SD0010</t>
  </si>
  <si>
    <t>521-301-0421-0006</t>
  </si>
  <si>
    <t>Регистратор данных со специальным программным обеспечением типа MicroLab Mlab_01 и встроенными датчиками для измерения температуры, давления, влажности воздуха, расстояния до другого объекта, уровень освещённости, уровень громкости звука, ускорение, магнитный поток, угловую скорость, угол наклона, гироскоп по трем осям</t>
  </si>
  <si>
    <t>521-301-0421-0007</t>
  </si>
  <si>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</si>
  <si>
    <t>521-301-0421-0008</t>
  </si>
  <si>
    <t>Регистратор данных со специальным ПО на русском языке для приема и обработки информации, комплексом лабораторных работ по химии, физики и биологии.
Дисплей: 7 дюймов TFT-LCD сенсорным экраном, 1024 x 600 пиксель, 16.7M цветов. Порты подключения USB 2.0: 3 шт.
Дополнительный порт USB 2.0: 1 шт. Порты подключения датчиков аналоговый/цифр. - 4 шт. (12bit ADC)</t>
  </si>
  <si>
    <t>Регистратор данных:  Процессор: 1GHz ARM CortexTM-A8, 32bit RISC, 32/32 KB I/D Cache. 512 KB L2 Cache Память: 256MB mobile DDR RAM 1GB NAND Flash Операционнаясистема  Дисплей: 7" TFT-LCD сенсорным экраном, 1024 x 600 pixel, 16.7M цветов Порты подключения USB 2.0: 3 шт.
Дополнительный порт USB 2.0: 1 шт. 10/100Mbps LAN порт: 1шт. Порт подключения наушников. Слот для SD карты - 1 шт.  Внешний порт VGA out (D-sub) - 1 шт. Порт для адаптера 12V, 3.5A, DC - 1 шт. Заглушка WiFi, внутренний USB порт с поддержкой 802.11b/g - 1 шт. Порты подключения датчиков аналоговый/цифр. - 4 шт. (12bit ADC)  Цифровой порт ввода/вывод: 2 порта (SPI &amp; DIO) Частота отбора проб: максимум 500KHz/канал Разрешение: 12 bit A/D Программное обеспечение для комплекта компьютерных измерительных датчиков и регистратора данных Software YS iLAB 8.0 на русском языке предназначено для записи, демонстрации, анализа данных и повторного воспроизведения сохраненных данных.Поддержка и отображение работы трех датчиков одновременно.
Комплекс лабораторных работ по химии, физики и биологии (методическое пособие) с использованием регистратора данных и датчиков на русском языке. В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t>
  </si>
  <si>
    <t>521-301-0422</t>
  </si>
  <si>
    <t>Датчик заряда</t>
  </si>
  <si>
    <t>521-301-0422-0001</t>
  </si>
  <si>
    <t>Einstein™ Датчик электростатического заряда ENCRG261. Диапазон: ±0,25 мкКл,
±0,025 мкКл. Разрешение (12 бит): 0,12 нКл
для ±0,25 мкКл, 12,2 пКл для ±0,025 мкКл</t>
  </si>
  <si>
    <t>521-301-0422-0002</t>
  </si>
  <si>
    <t>Датчик заряда типа Sense disc S0008. Диапазон: 0-220 нКл. Точность: 4.4 нКл.
Разрешение: 0.1 нКл</t>
  </si>
  <si>
    <t>521-301-0423</t>
  </si>
  <si>
    <t>Вход универсальный вход</t>
  </si>
  <si>
    <t>521-301-0424</t>
  </si>
  <si>
    <t>Мобильная научная тележка Globisense Mobile Science cart для хранения и зарядки до 16 устройств Labdisc и до 16 планшетных компьютеров</t>
  </si>
  <si>
    <t>521-301-0425</t>
  </si>
  <si>
    <t>Зарядный лоток Globisense Charging tray для
зарядки 8 устройств Labdisc</t>
  </si>
  <si>
    <t>521-301-0426</t>
  </si>
  <si>
    <t>Лаборатория цифровая по физике</t>
  </si>
  <si>
    <t>521-301-0426-0001</t>
  </si>
  <si>
    <t>Лаборатория цифровая по физике типа Globisense Labdisc PHYSIO - 9-12 Physics со встроенными датчиками</t>
  </si>
  <si>
    <t>521-301-0426-0002</t>
  </si>
  <si>
    <t>Лаборатория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Архимед</t>
  </si>
  <si>
    <t>521-301-0500</t>
  </si>
  <si>
    <t>Приборы и принадлежности для опытов демонстрационные и лабораторные</t>
  </si>
  <si>
    <t>521-301-0501</t>
  </si>
  <si>
    <t>Набор пружин с различной жесткостью</t>
  </si>
  <si>
    <t>В состав набора входят 5 пружин со следующими характеристиками: пружина №, длина намотки витков в мм, диаметр витка в мм, жесткость пружины в Н/м 1 75 21 25 2 71 19 15 3 62 18 10 4 62 15 5 5 40 16 2,5 Все
пружины в верхней части имеют кольцо для подвешивания на штативе или гвоздике, вбитой в стену. К нижней части пружин прикреплены одинакового размера проволочные крючки. Крючки оснащены стрелочными указателями, которые могут перемещаться вдоль проволоки крючка.</t>
  </si>
  <si>
    <t>521-301-0503</t>
  </si>
  <si>
    <t>Весы лабораторные</t>
  </si>
  <si>
    <t>521-301-0503-0001</t>
  </si>
  <si>
    <t>Весы электронные до 200гр (0,1г)</t>
  </si>
  <si>
    <t>Назначение: Выбирать и использовать приборы для определения массы.
Проводить эксперимент и фиксировать его результаты в таблице.</t>
  </si>
  <si>
    <t>521-301-0503-0002</t>
  </si>
  <si>
    <t>Весы лабораторные. Максимальный вес взвешивания 200г</t>
  </si>
  <si>
    <t>Весы лабораторные. Весы учебные с гирями. Максимальный вес взвешивания до 200 г. Чувствительность 20мг.
В комплект входят: весы – 1 шт., чашки – 2 шт.,
набор гирь технических 4 класса в комплектации Г4-211.10 – 1 шт., руководство по эксплуатации – 1 шт.</t>
  </si>
  <si>
    <t>521-301-0503-0003</t>
  </si>
  <si>
    <t>Весы технические. Диапазон измерений 0,05-1000г. Цена деления 0,05г</t>
  </si>
  <si>
    <t>Весы технические. Диапазон измерений 0,05-1000г. Цена деления 0,05г.</t>
  </si>
  <si>
    <t>521-301-0503-0004</t>
  </si>
  <si>
    <t>Весы лабораторные. Допускаемая максимальная нагрузка 200г, чувствительность 20мг</t>
  </si>
  <si>
    <t>Допускаемая максимальная нагрузка 200г, чувствительность 20мг.
Укомплектованы набором разновесов от 1 до 50 г. Весы изготовлены из стали с покрытием. Чашки и основание изготовлены из пластмассы.</t>
  </si>
  <si>
    <t>521-301-0503-0005</t>
  </si>
  <si>
    <t>Весы электронные. Диапазон взвешивания 0-200г, погрешность 0,1г, размер чашки весов 115мм</t>
  </si>
  <si>
    <t>Весы электронные. Диапазон взвешивания 0-200г, погрешность 0,1г, размер чашки весов 115мм. Питается от элемента питания напряжением 5В и от сети - 220V. Габаритные размеры: не менее 190х138х28мм</t>
  </si>
  <si>
    <t>521-301-0503-0006</t>
  </si>
  <si>
    <t>Весы технические. Диапазон измерений: 50-1000 г</t>
  </si>
  <si>
    <t>Цена деления шкалы и допустимая погрешность из-за неравноплечности: при 10% нагрузке 60 мг, при 100% нагрузке 100 мг. Допустимая погрешность: +25 мг. Размер 495х225х450 мм</t>
  </si>
  <si>
    <t>521-301-0503-0007</t>
  </si>
  <si>
    <t>Весы электронные до 1000 г (0,2г)</t>
  </si>
  <si>
    <t>Допустимая нагрузка 1000г. Точность взвешивания 0,2г.</t>
  </si>
  <si>
    <t>521-301-0506</t>
  </si>
  <si>
    <t>Гигрометр 0-25 градусов</t>
  </si>
  <si>
    <t>521-301-0507</t>
  </si>
  <si>
    <t>Гигрометр 15-40 градусов</t>
  </si>
  <si>
    <t>521-301-0508</t>
  </si>
  <si>
    <t>Динамометр</t>
  </si>
  <si>
    <t>521-301-0508-0001</t>
  </si>
  <si>
    <t>Динамометр демонстрационный</t>
  </si>
  <si>
    <t>521-301-0508-0002</t>
  </si>
  <si>
    <t>Комплект динамометров</t>
  </si>
  <si>
    <t>В состав комплекта входят:
5 динамометров. Диапазон измерения от 0 до 1 Н, от 0 до 2 Н, от 0 до 2.5 Н,
от 0 до 5Н, от 0 до 10 Н.</t>
  </si>
  <si>
    <t>521-301-0508-0003</t>
  </si>
  <si>
    <t>Динамометр демонстрационный.
Максимальная нагрузка 10 Н</t>
  </si>
  <si>
    <t>Динамометр изготовлен в виде круглого металлического кожуха, имеющего с одной стороны циферблат со стрелкой, а с другой –механизм. Стрелка и циферблат закрыты прозрачной крышкой. Шкала циферблата имеет влево и вправо от нуля 10 делений ценой один ньютон каждое. Максимальная нагрузка 10 Н.</t>
  </si>
  <si>
    <t>521-301-0509</t>
  </si>
  <si>
    <t>Зеркало выпуклое и вогнутое (комплект)</t>
  </si>
  <si>
    <t>521-301-0510</t>
  </si>
  <si>
    <t>Камертоны на резонансных ящиках (пара)</t>
  </si>
  <si>
    <t>Частота звуковых колебаний камертонов - 440 Гц. Внутренний объем резонирующего ящика - 409 куб.см. Каждый камертон представляет собой массивную стальную вилку на ножке. Вилка имеет строго определенную длину ветвей прямоугольного сечения. Камертоны тщательно настроены в унисон на частоту 440 Гц (тон "ля" первой октавы). Резонирующие ящики камертонов имеют одну открытую стенку и на верхней доске - втулку для установки камертона, а внизу - резиновые ножки. Комплектация: Камертон на ящике - 2 шт., молоточек - 1 шт.</t>
  </si>
  <si>
    <t>521-301-0511</t>
  </si>
  <si>
    <t>Комплект блоков демонстрационных</t>
  </si>
  <si>
    <t>Используется для проведения демонстрационных работ по механике в курсе физики. Комплектация: Блок одинарный – 2 шт., блок двойной – 2 шт., блок тройной – 2 шт.</t>
  </si>
  <si>
    <t>521-301-0512</t>
  </si>
  <si>
    <t>Магазин сопротивлений демонстрационный</t>
  </si>
  <si>
    <t>521-301-0512-0001</t>
  </si>
  <si>
    <t>Омметр лабораторный. Диапазон измерения до 120 MΩ. Скорость измерения от 0.9 мс с точностью от 0,006%</t>
  </si>
  <si>
    <t>Широкий диапазон измерения до 120 MΩ. Скорость измерения от 0.9 мс с точностью от 0,006%. Оборудован внешним вход/выходом, GP-IB и
RS-232C интерфейсами</t>
  </si>
  <si>
    <t>521-301-0513</t>
  </si>
  <si>
    <t>Магнит демонстрационный U-образный</t>
  </si>
  <si>
    <t>Магнит U-образный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Магнит изготовлен из полосовой стали. Каждая половина магнита должна окрашена в разный цвет.
Комплектность: Магнит U-образный 78*60*29 мм – 1 шт., Стальная пластина – 1 шт.</t>
  </si>
  <si>
    <t>521-301-0514</t>
  </si>
  <si>
    <t>Магнит демонстрационный полосовой</t>
  </si>
  <si>
    <t>Магниты должны быть изготовлены из ферромагнитного вещества.
Половины магнита должны обозначены красной и синей термоусадочной пленкой или краской.</t>
  </si>
  <si>
    <t>521-301-0515</t>
  </si>
  <si>
    <t>Манометр</t>
  </si>
  <si>
    <t>521-301-0515-0001</t>
  </si>
  <si>
    <t>Прибор с манометром для исследования газовых законов типа Experia PHE-014</t>
  </si>
  <si>
    <t>Комплектация:  кейс с крышкой - 1шт ,  лоток со вставкой - 1шт, пластиковый стакан – 1 шт., шприц 1 шт, встроенный в стакан – 1 шт., фиксатор металлический – 1 шт., зажим – 1 шт., манометр демонстрационный – 1 шт., тройник – 1 шт., трубки силиконовые (внутренний диаметр 4 мм, длина 13 см) – 2 шт., трубка силиконовая  – 1 шт., руководство по эксплуатации – 1 шт.</t>
  </si>
  <si>
    <t>521-301-0515-0002</t>
  </si>
  <si>
    <t>Манометр жидкостной демонстрационный</t>
  </si>
  <si>
    <t>Манометр открытый демонстрационный предназначен для измерения давления до 0,004 МПа, а также изменения давлений при различных демонстрационных опытах. Прибор представляет собой U-образную стеклянную трубку, укрепленную на стойке со шкалой с делениями через 5 мм и нулем по середине. Сзади стойки закреплен пластмассовый тройник и муфта с винтом для крепления манометра. К прибору прилагается резиновая трубка. Комплектация: Манометр на стойке - 1 шт., тройник - 1 шт., трубка резиновая - 1 шт.</t>
  </si>
  <si>
    <t>521-301-0516</t>
  </si>
  <si>
    <t>Генератор Вимшурста</t>
  </si>
  <si>
    <t>Прибор предназначен для проведения демонстрационных опытов по курсу "Электричество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т.д. Все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t>
  </si>
  <si>
    <t>521-301-0521</t>
  </si>
  <si>
    <t>Набор из 5 шаров маятников со штативом</t>
  </si>
  <si>
    <t>521-301-0521-0001</t>
  </si>
  <si>
    <t>Набор из 5 шаров</t>
  </si>
  <si>
    <t>Комплектность: шарик металлический диаметом 24 мм – 1 шт., шарики металлические диаметром 16 мм – 2 шт., шарик металлический диаметром 12 мм – 1 шт., шарик пластмассовый диаметром 20 мм – 1 шт., магнитные подвесы – 2 шт., руководство по эксплуатации – 1 шт.</t>
  </si>
  <si>
    <t>521-301-0521-0002</t>
  </si>
  <si>
    <t>Состоит из 3 металлических и 2 пластмассовых шариков разного диаметра. Каждый шарик имеет отверстие для закрепления нити. Моделирование маятников производится на штативе, состоящем из металлической подставки, металлической стойки, алюминиевой муфты и металлического
стержня</t>
  </si>
  <si>
    <t>521-301-0523</t>
  </si>
  <si>
    <t>Набор капилляров</t>
  </si>
  <si>
    <t>521-301-0523-0001</t>
  </si>
  <si>
    <t>Набор капилярных трубок лабораторных</t>
  </si>
  <si>
    <t>Предназначены для демонстрации капиллярных явлений в трубках разного диаметра. Прибор состоит из набора стеклянных сообщающихся сосудов разного диаметра, закрепленных на общей пластмассовой подставке. Длина капиллярных трубок 80мм</t>
  </si>
  <si>
    <t>521-301-0527</t>
  </si>
  <si>
    <t>Набор резисторов</t>
  </si>
  <si>
    <t>В наборе имеется три проволочных резистора сопротивлением 5 Ohm/1,5A, 10 Ohm/1A и 15 Оhm/0,6A.</t>
  </si>
  <si>
    <t>521-301-0529</t>
  </si>
  <si>
    <t>Прибор для измерения и демонстрации физических явлений</t>
  </si>
  <si>
    <t>521-301-0529-0001</t>
  </si>
  <si>
    <t>Прибор для определения точки росы</t>
  </si>
  <si>
    <t>Это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Когда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Температура в этот момент называется температурой точки росы.</t>
  </si>
  <si>
    <t>521-301-0529-0002</t>
  </si>
  <si>
    <t>Прибор для демонстрации возникновения электродвижущей силы в магнитном поле</t>
  </si>
  <si>
    <t>Комплектность и устройство комплект входят:  • рамка с медным проводом в сборе – 1 шт.,  • цилиндрические магниты редкоземельные – 2 шт.,  •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t>
  </si>
  <si>
    <t>521-301-0529-0003</t>
  </si>
  <si>
    <t>Султан электрический</t>
  </si>
  <si>
    <t>Прибор состоит из двух одинаковых султанов с бумажными полосками или шелковыми нитями разного цвета. Каждый султан изготовлен из металлического стержня, на одном конце которого ввинчены два металлических диска. Между дисками зажаты тонкие бумажные полоски.
Во время опытов другой конец стержня вставляется в отверстие изолирующего штатива. Для работы необходима эбонитовая палочка.</t>
  </si>
  <si>
    <t>521-301-0529-0004</t>
  </si>
  <si>
    <t>Прибор для демонстрации центробежной силы</t>
  </si>
  <si>
    <t>Прибор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Прибор позволяет продемонстрировать: виды движения, движение по инерции и действие сил,центростремительную силу,устойчивое равновесие,принцип минимума потенциальной энергии,превращения энергии,закон сохранения механической энергии.</t>
  </si>
  <si>
    <t>521-301-0529-0005</t>
  </si>
  <si>
    <t>Звонок электрический</t>
  </si>
  <si>
    <t>Прибор предназначен для демонстрации устройства и принципа действия электрического звонка. Звонок смонтирован на пластмассовой панели так, что хорошо видны все детали звонка. Для регулировки амплитуды колебания ударника звонка предусмотрен винт с контргайкой. Панель со звонком может быть установлена на экран оверхед-проектора или закреплена в прилагаемой подставке.</t>
  </si>
  <si>
    <t>521-301-0529-0006</t>
  </si>
  <si>
    <t>Прибор для демонстрации магнитного поля с земли</t>
  </si>
  <si>
    <t>Прибор закреплен на небольшой подставке, в его состав также входит резистор, компас и катушки с 6 витками проволоки D 0,21м.</t>
  </si>
  <si>
    <t>521-301-0529-0007</t>
  </si>
  <si>
    <t>Прибор для демонстрации взоимодействие паралельных токов</t>
  </si>
  <si>
    <t>Прибор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На пластины через разъемы-слоты и контакты подается постоянное высокое напряжение. Прибор  устанавливают на демонстрационном столе подключая его к источнику тока соединительными проводами с зажимами типа «крокодил». Комплектность: Платформа - 1 шт.,  пластины - 2 шт., стеклянные палочки со стопорными кольцами («рельсы») 2 шт. , шарик - 1 шт.</t>
  </si>
  <si>
    <t>521-301-0529-0008</t>
  </si>
  <si>
    <t>Прибор для демонстрации свободного падения тел</t>
  </si>
  <si>
    <t>Предназначен для демонстрации свободного движения тел в воздухе под действием силы тяжести. Высота прибора 1200 мм, диаметр стального шарика 18мм. Прибор используется с фотоэлементом, входящим в комплект компьютерных измерительных приборов по физике. Прибор состоит из катушки и магнитопровода. Катушка выполнена из медного провода, намотанного на стержень магнитопровода и двух изоляционных щечек. Магнитопровод состоит из стержня, пластины и наружного цилиндра.</t>
  </si>
  <si>
    <t>521-301-0529-0009</t>
  </si>
  <si>
    <t>Прибор для демонстрации вынужденных колебаний</t>
  </si>
  <si>
    <t>Прибор предназначен для демонстрации вынужденных колебаний и затухания свободных колебаний при изучении физики. Комплектность: планка с тремя магнитными подвесами разной длины – 1 шт., стержень металлический – 1 шт., шарики металлические – 3 шт., шарики пластмассовые – 3 шт., цилиндры поролоновые с боковыми прорезями – 3 шт., руководство по эксплуатации – 1 шт.</t>
  </si>
  <si>
    <t>521-301-0529-0010</t>
  </si>
  <si>
    <t>Прибор для демонстрации вращения рамки в магнитном поле</t>
  </si>
  <si>
    <t>Комплектность: рамка с медным проводом в сборе – 1 шт., цилиндрические магниты редкоземельные – 2 шт.,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
Для проведения демонстраций необходимы источник постоянного
напряжения до 6 В, гальванометр или микроамперметр, провода.</t>
  </si>
  <si>
    <t>521-301-0532</t>
  </si>
  <si>
    <t>Реостат ползунковый</t>
  </si>
  <si>
    <t>521-301-0532-0001</t>
  </si>
  <si>
    <t>Полное сопротивление реостата 100 Ом. Максимальный ток нагрузки (не более 10 мин), А.. 0,7. Прибор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t>
  </si>
  <si>
    <t>521-301-0532-0002</t>
  </si>
  <si>
    <t>Набор реостатов ползунковых с роликовыми контактами</t>
  </si>
  <si>
    <t>В состав набора входят 5 реостатов:  1. 0-5 Ом, сила тока 3 A. Габаритные размеры: не менее 175х45х65мм;  2. 0-10 Ом, сила тока: 2 A. Габаритные размеры: не менее 175х45х65мм;  3. 0-50 Ом, сила тока: 1,5 A. Габаритные размеры: не менее 225х70х100мм; 4. 0-200 Ом, сила тока 1,5 A. Габаритные размеры: не менее 280х90х150мм;  5. 0-1750 Ом, сила тока 1,5 A. Габаритные размеры: не менее 360х90х150мм</t>
  </si>
  <si>
    <t>521-301-0532-0003</t>
  </si>
  <si>
    <t>Реостат демонстрационный 50 Ом, 1,5А</t>
  </si>
  <si>
    <t>Реостат 50 Ом, 1,5А. Предназначен для плавной регулировки токовых режимов в электрических цепях. Реостат представляет собой керамическую трубу, на которую намотана константановая проволока. Труба установлена между пластмассовых щек и стянута с ними стяжной шпилькой.</t>
  </si>
  <si>
    <t>521-301-0533</t>
  </si>
  <si>
    <t>Сетка Кольбе</t>
  </si>
  <si>
    <t>На изолирующих подставках (от одной до трёх, в зависимости от модификации прибора) укреплена гибкая металлическая (первоначально — медная) широкая сетчатая лента, на которой с обеих сторон
подвешены диэлектрические листочки.</t>
  </si>
  <si>
    <t>521-301-0534</t>
  </si>
  <si>
    <t>Сосуды сообщающиеся</t>
  </si>
  <si>
    <t>521-301-0534-0001</t>
  </si>
  <si>
    <t>Представляет собой набор прозрачных трубок (сосудов) разной формы, смонтированных на общем основании (коллекторе) с подставкой.
Конструкция должна обеспечивать поворот всей системы сообщающихся сосудов в вертикальной плоскости. Высота всех вертикальных трубок не менее 50 мм, длина горизонтальной трубки не менее 150 мм. Размеры вертикальной панели, на которой должна крепиться прозрачная пластина с сообщающимися сосудами, не менее 20х20 см.</t>
  </si>
  <si>
    <t>521-301-0535</t>
  </si>
  <si>
    <t>Столик подъемный</t>
  </si>
  <si>
    <t>Рабочая поверхность столика: 150 х 150 мм. Максимальная высота подъема: 280мм.</t>
  </si>
  <si>
    <t>521-301-0537</t>
  </si>
  <si>
    <t>Термометр жидкостной</t>
  </si>
  <si>
    <t>521-301-0538</t>
  </si>
  <si>
    <t>Термометр спиртовой</t>
  </si>
  <si>
    <t>521-301-0538-0001</t>
  </si>
  <si>
    <t>Термометр спиртовой. Материал: пластик, стекло. Диапазон измерения: от -50 до +50
°C и от -60 до 120 °F</t>
  </si>
  <si>
    <t>521-301-0541</t>
  </si>
  <si>
    <t>Комплект цилиндров свинцовых со стругом</t>
  </si>
  <si>
    <t>521-301-0541-0001</t>
  </si>
  <si>
    <t>Цилиндры свинцовые со стругом. Прибор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Прибор состоит из двух одинаковых цилиндров. Каждый цилиндр имеет в верхней части отверстия, сквозь которые продета прочная нить для подвешивания прибора к штативу и грузов.</t>
  </si>
  <si>
    <t>521-301-0542</t>
  </si>
  <si>
    <t>Шар Паскаля</t>
  </si>
  <si>
    <t>Прибор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Шар соединяется с цилиндром посредством резьбы и может быть легко отделен от него.</t>
  </si>
  <si>
    <t>521-301-0543</t>
  </si>
  <si>
    <t>Шар с кольцом</t>
  </si>
  <si>
    <t>Прибор состоит из металлического шара диаметром до 30 мм. Шар свободно проходит через кольцо при их одинаковой температуре, а при нагревании шара он застревает в кольце. Для демонстрации необходима спиртовка или драгой нагреватель. Диаметр шара - 24 мм. Высота стойки - 300 мм. Внутренний диаметр кольца - 24,1 мм.</t>
  </si>
  <si>
    <t>521-301-0544</t>
  </si>
  <si>
    <t>Амперметр</t>
  </si>
  <si>
    <t>521-301-0544-0001</t>
  </si>
  <si>
    <t>Амперметр лабораторный 0,6А-3А</t>
  </si>
  <si>
    <t>Предназначен для измерения силы постоянного тока до 3 А. Представляет собой прибор магнитоэлектрической системы с равномерной шкалой от 0 до 3 А с ценой деления 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и находится под углом 45 градусов к горизонтальной плоскости. Шкала равномерная с двойной оцифровкой. Подстроечный винт корректировки.</t>
  </si>
  <si>
    <t>521-301-0544-0002</t>
  </si>
  <si>
    <t>Амперметр аналоговый лабораторный. Диапазон измерения: 0.6 А и 3 А</t>
  </si>
  <si>
    <t>Диапазон измерения: 0.6 А и 3 А. Цена деления шкалы на первом пределе –
0.02 А, на втором -0.1 А.</t>
  </si>
  <si>
    <t>521-301-0544-0003</t>
  </si>
  <si>
    <t>Ампервольтметр аналоговый с гальвонометром</t>
  </si>
  <si>
    <t>521-301-0544-0004</t>
  </si>
  <si>
    <t>Ампервольтметр аналоговый для постоянного и переменного тока демонстрационный</t>
  </si>
  <si>
    <t>521-301-0544-0005</t>
  </si>
  <si>
    <t>Амперметр лабораторный. Пределы измерения: 1А и 2А</t>
  </si>
  <si>
    <t>Амперметр лабораторный. Пределы измерения: 1А и 2А. Класс точности: 2,5.
Цена деления: на первом пределе - 0,05А, на втором пределе - 0,1А.</t>
  </si>
  <si>
    <t>521-301-0544-0006</t>
  </si>
  <si>
    <t>Амперметр лабораторный. Диапазон измерения: 0-100А</t>
  </si>
  <si>
    <t>Предназначен для измерения тока в цепях постоянного тока. Диапазон: 0-100А. Класс точности - 2,5. Тряскопрочный, виброустойчивый</t>
  </si>
  <si>
    <t>521-301-0544-0007</t>
  </si>
  <si>
    <t>Амперметр лабораторный. Диапазон измерения: от 0 до 3 А с ценой деления 0,1 А, от 0 до 0,6 А с ценой деления 0,02 А</t>
  </si>
  <si>
    <t>Предназначен для проведения измерений в цепях постоянного тока при проведении лабораторных работ.  Представляет собой прибор магнитоэлектрической системы с равномерной шкалой от 0 до 3 А с ценой деления 0,1 А и со шкалой от 0 до 0,6 А с ценой деления 0,02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Шкала равномерная с двойной оцифровкой.
Класс точности  2.5</t>
  </si>
  <si>
    <t>521-301-0545</t>
  </si>
  <si>
    <t>Вольтметр</t>
  </si>
  <si>
    <t>521-301-0545-0001</t>
  </si>
  <si>
    <t>Вольтметр лабораторный 0 до 15В</t>
  </si>
  <si>
    <t>521-301-0545-0002</t>
  </si>
  <si>
    <t>Вольтметр аналоговый лабораторный. Диапазон измерения: 3 В и 15 В</t>
  </si>
  <si>
    <t>Диапазон измерения: 3 В и 15 В. Цена деления шкалы напервом пределе –
0.1 В, на втором – 0.5 В.</t>
  </si>
  <si>
    <t>521-301-0546</t>
  </si>
  <si>
    <t>Выключатель однополюсный</t>
  </si>
  <si>
    <t>521-301-0546-0001</t>
  </si>
  <si>
    <t>Выключатель однополюсный двунаправленный</t>
  </si>
  <si>
    <t>Предназначен для замыкания, размыкания электрических цепей при выполнении лабораторных работ по электродинамике. Представляет собой пластмассовое основание, на котором установлены переключатель с рукояткой, упругие губки и универсальные зажимы. Максимальное напряжение 36 В, сила тока 6 А.</t>
  </si>
  <si>
    <t>521-301-0547</t>
  </si>
  <si>
    <t>Динамометр лабораторный 2,5 ньютон</t>
  </si>
  <si>
    <t>Прибор представляет собой тарированную пружину, заключенную в оцифрованный трубчатый пластмассовый корпус. Динамометр имеет устройство для установки указателя прибора на нулевое деление при отсутствии нагрузки. Диапазон измерения от 0 до 2,5Н. Цена деления  0,1Н. Имеется шкала для измерения массы от 0 до 250 гр с ценой деления 10 гр.
Изготовлен из пластика.</t>
  </si>
  <si>
    <t>521-301-0550</t>
  </si>
  <si>
    <t>Комплект блоков</t>
  </si>
  <si>
    <t>521-301-0550-0001</t>
  </si>
  <si>
    <t>Комплект блоков лабораторных</t>
  </si>
  <si>
    <t>521-301-0550-0002</t>
  </si>
  <si>
    <t>Комплект блоков с крючками</t>
  </si>
  <si>
    <t>Блоки снабжены крючками для сборки механизмов и установки на штативе.
Комплект позволяет демонстрировать свойства подвижного и неподвижного блоков, свойства системы из таких блоков.</t>
  </si>
  <si>
    <t>521-301-0551</t>
  </si>
  <si>
    <t>Комплект соединительных проводов</t>
  </si>
  <si>
    <t>521-301-0552</t>
  </si>
  <si>
    <t>Держатель миниатюрный ламповый</t>
  </si>
  <si>
    <t>В качестве осветителя  ламповый держатель используется лампочка накаливания напряжением до 30 V и силы тока до 3 А.</t>
  </si>
  <si>
    <t>521-301-0553</t>
  </si>
  <si>
    <t>Линза на подставке</t>
  </si>
  <si>
    <t>Линза изготовлена из стекла и имеет  вогнутую поверхность. Закреплена в пластмассовой оправе и установлена на подставке. Диаметр 50 мм.</t>
  </si>
  <si>
    <t>521-301-0554</t>
  </si>
  <si>
    <t>Магнит дугообразный</t>
  </si>
  <si>
    <t>Северный полюс каждого магнита окрашен в синий цвет, южный – в красный.
Магнит U-образной формы изготовлен из полосовой стали сечением 10*18 мм, размер просвета между полюсами 42+/-1 мм. Половины магнита окрашены в разные цвета. Разноименные полюса магнитов замкнуты пластиной из мягкой стали.</t>
  </si>
  <si>
    <t>521-301-0555</t>
  </si>
  <si>
    <t>Магнит полосовой</t>
  </si>
  <si>
    <t>Северный полюс каждого магнита окрашен в синий цвет, южный – в красный. Параметры магнитного потока: не более 0,05Т.</t>
  </si>
  <si>
    <t>521-301-0556</t>
  </si>
  <si>
    <t>Модель электродвигателя</t>
  </si>
  <si>
    <t>521-301-0556-0001</t>
  </si>
  <si>
    <t>Модель электродвигателя (разборная) лабораторная</t>
  </si>
  <si>
    <t>521-301-0556-0002</t>
  </si>
  <si>
    <t>Модель электродвигателя (разборная) лабораторная типа Cornelsen Experimenta 54835</t>
  </si>
  <si>
    <t>521-301-0556-0003</t>
  </si>
  <si>
    <t>Модель электродвигателя лабораторная</t>
  </si>
  <si>
    <t>521-301-0557</t>
  </si>
  <si>
    <t>Набор грузов</t>
  </si>
  <si>
    <t>521-301-0557-0001</t>
  </si>
  <si>
    <t>Набор грузов по механике (10х100гр)</t>
  </si>
  <si>
    <t>Набор грузов предназначен для использования при проведении фронтальных лабораторных работ по механике и другим разделам курса физики. Набор состоит из 10 грузов. Грузы металлические в форме цилиндров, вес 100 гр. Грузы снабжены крючками для подвешивания и соединения между собой.</t>
  </si>
  <si>
    <t>521-301-0557-0002</t>
  </si>
  <si>
    <t>Набор грузов с крючками и обозначением массы</t>
  </si>
  <si>
    <t>Набор из 9 грузов c крючками весом от 10 до 1000г, упакованные в пластмассовый футляр. Все грузы имеют по одному крючку, на каждом грузе нанесено обозначение его массы. Груз изготовлен из стали</t>
  </si>
  <si>
    <t>521-301-0558</t>
  </si>
  <si>
    <t>Набор калориметрических тел</t>
  </si>
  <si>
    <t>Набор калориметрических тел. Состоит из трех цилиндров одинакового размера, изготовленных из железа, латуни и алюминия. Каждый цилиндр сверху имеет небольшой крючок.</t>
  </si>
  <si>
    <t>521-301-0559</t>
  </si>
  <si>
    <t>Набор тел равного объема</t>
  </si>
  <si>
    <t>521-301-0559-0001</t>
  </si>
  <si>
    <t>Набор состоит из прямоугольных брусков из стали, алюминия и пластмассы одинакового размера.</t>
  </si>
  <si>
    <t>521-301-0559-0002</t>
  </si>
  <si>
    <t>Набор тел равного объема типа Cornelsen Experimenta 41231</t>
  </si>
  <si>
    <t>521-301-0560</t>
  </si>
  <si>
    <t>Набор тел равной массы</t>
  </si>
  <si>
    <t>521-301-0560-0001</t>
  </si>
  <si>
    <t>Набор состоит из прямоугольных брусков из стали, алюминия и пластмассы одинакового основания и массы 100 г.</t>
  </si>
  <si>
    <t>521-301-0560-0002</t>
  </si>
  <si>
    <t>Набор тел равной массы типа Cornelsen Experimenta 41235/44282</t>
  </si>
  <si>
    <t>521-301-0561</t>
  </si>
  <si>
    <t>Трибометр лабораторный</t>
  </si>
  <si>
    <t>521-301-0561-0001</t>
  </si>
  <si>
    <t>Трибометр лабораторный предназначен для проведения лабораторных опытов по механике. Прибор состоит из линейки и деревянного бруска с петлей на его торце и тремя гнездами для грузов. С помощью этого прибора можно измерить коэффициент трения покоя, коэффициент трения скольжения дерева по дереву, КПД наклонной плоскости, вычислить механическую работу, выяснить зависимость коэффициента трения от массы груза и площади поверхности.</t>
  </si>
  <si>
    <t>521-301-0561-0002</t>
  </si>
  <si>
    <t>Трибометр лабораторный по механике</t>
  </si>
  <si>
    <t>Комплектация: 1. деревянная линейка размером не менее 500х50х10 см – 1 шт 2. прямоугольный брусок с крючком в торце и тремя отверстиями для грузов – 1 шт 3. три груза массой по 50 г каждый – 3 шт 4. планшетный динамометр 10 Н – 1 шт 5. Руководство по эксплуатации  – 1 шт., упаковка</t>
  </si>
  <si>
    <t>521-301-0565</t>
  </si>
  <si>
    <t>Миллиамперметр</t>
  </si>
  <si>
    <t>521-301-0565-0001</t>
  </si>
  <si>
    <t>Миллиамперметр для измерения
переменного тока</t>
  </si>
  <si>
    <t>521-301-0565-0002</t>
  </si>
  <si>
    <t>Миллиамперметр. Диапазон измерения 0-100mА</t>
  </si>
  <si>
    <t>521-301-0565-0003</t>
  </si>
  <si>
    <t>Миллиамперметр лабораторный. Диапазон измерения: от -5 до +5mА и от -50 до +50mА</t>
  </si>
  <si>
    <t>521-301-0567</t>
  </si>
  <si>
    <t>Элемент питания</t>
  </si>
  <si>
    <t>521-301-0568</t>
  </si>
  <si>
    <t>Комплект для изучения физики Globisense Physics kit (электричество, волны, магнетизм и ньютоновская механика)</t>
  </si>
  <si>
    <t>Комплект для изучения электричества, волн, магнетизма и ньютоновской механики. В комплект входят:  1) Набор двух камертонов с деревянным резонансным корпусом, 2) Электрическая плата с: 0,47 мкФ, 100 мкФ, 1000
мкФ конденсаторами, 100 Ом, 1000 Ом, 10 000 Ом резисторами, диодом,
переключателем SPST 3) Набор черных кабелей Banana 6 x 10 см 4) Набор
красных кабелей Banana 6 x 10 см, 3 x держатель 1,5 В батареи типа D 5) Электрическая катушка с 1600 оборотами и максимальным током 100 мА. Оснащена 2 розетками Banana 6) Соленоид с воздушным сердечником, имеет внутренний диаметр &gt; 3 см и длину 15 см, оснащен 2 розетками Banana 7) Магнитный стержень длиной 100 мм 8) Набор из 3 металлических пружин с усилием от 4 Н/м до 14 Н/м, 10 x 1 N набор масс с прорезью 9) Шар для пинг-понга 10) Прямоугольная лабораторная подставка с алюминиевым стержнем диаметром 12 мм и длиной 500 мм 11) Алюминиевый стержень диаметром 12 мм и длиной 200 мм, прямоугольный держатель, 2 x 60 мл шприца с фиксатором Люэра</t>
  </si>
  <si>
    <t>521-301-0569</t>
  </si>
  <si>
    <t>Комплект электроснабжения</t>
  </si>
  <si>
    <t>Переменное напряжение  42V для лабораторных столов учащихся и напряжение 42V и 220V для демонстрационного стола учителя.
В комплект входит:
щит электрораспределительный – 1 шт, трехштырьковые розетки на 42V – 16 шт, двухштырьковые розетки на 220V – 2 шт,
провод монтажный медный двужильный сечением 1,5 mm – 120 m.
Питается от сети напряжением 220V, выходное напряжение 3 х 42V и 220V, потребляемая мощность не более 1600W. Щит электрораспределительный снабжен предохранителями, устройством защитного отключения и цифровым дисплеем входного напряжения.</t>
  </si>
  <si>
    <t>521-301-0570</t>
  </si>
  <si>
    <t>Комплект соединительных проводов лабораторных</t>
  </si>
  <si>
    <t>В комплекте имеется 10 гибких изолированных проводов разного цвета и длины с наконечниками.</t>
  </si>
  <si>
    <t>521-301-0571</t>
  </si>
  <si>
    <t>Желоб</t>
  </si>
  <si>
    <t>521-301-0571-0001</t>
  </si>
  <si>
    <t>Желоб Галилея</t>
  </si>
  <si>
    <t>Желоб лабораторный с шариком. Предназначен для лабораторных работ и физического практикума по механике.  В состав прибора входят:  Лоток дугообразный с металлической обоймой под струбцину.  Отвес.  Струбцина.
Комплект шариков.</t>
  </si>
  <si>
    <t>521-301-0572</t>
  </si>
  <si>
    <t>Рычаг-линейка</t>
  </si>
  <si>
    <t>Рычаг-линейка. Состоит из деревянной рейки длиной не менее 500 мм, двух уравнительных винтов с гайками, металлической оси и четырех сережек для подвешивания грузов.</t>
  </si>
  <si>
    <t>521-301-0573</t>
  </si>
  <si>
    <t>Калориметр</t>
  </si>
  <si>
    <t>521-301-0573-0001</t>
  </si>
  <si>
    <t>Калориметр. Вместимость внутреннего сосуда не менее 250 мл</t>
  </si>
  <si>
    <t>Прибор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t>
  </si>
  <si>
    <t>521-301-0574</t>
  </si>
  <si>
    <t>Электромагнит разборный с деталями</t>
  </si>
  <si>
    <t>Набор предназначен для выполнения лабораторных работ при изучении электромагнитных явлений. Комплектность: катушки с контактными зажимами (пружинами) – 3 шт., якорь с крюком для U-образного электромагнита – 1 шт., звонковая чашечка – 1 шт., якорь электромагнитного реле и контактная группа (закреплена на днище коробки-укладки) – 1 шт. С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t>
  </si>
  <si>
    <t>521-301-0575</t>
  </si>
  <si>
    <t>Катушка</t>
  </si>
  <si>
    <t>521-301-0575-0001</t>
  </si>
  <si>
    <t>Катушка дроссельная</t>
  </si>
  <si>
    <t>В комплект входят две катушки и сердечник. Катушки имеют цилиндрическую форму. На верхней панели имеются контакты для подключения прибора в электрическую цепь. Внешняя катушка имеет диаметр не менее 68 мм, внутренний диаметр – не менее 35 мм, высота катушки вместе с контактами не менее 100 мм. Стержень сделан из хромированного железа с ручкой из пластмассы длиной не менее 120 мм.
Размеры каркаса катушки согласованы с сечением сердечника.</t>
  </si>
  <si>
    <t>521-301-0575-0002</t>
  </si>
  <si>
    <t>Катушка Томсона</t>
  </si>
  <si>
    <t>Комплект дроссельных катушек (Катушка первичной обмотки лабораторная). Номинальное напряжение питания - 42 В. Потребляемая мощность - 60 ВА. Количество витков катушки Томсона - 750. Количество витков плоской катушки - 40. Комплектация: Катушка Томсона - 1 шт., плоская катушка на каркасе - 1 шт., сердечник из трансформаторной стали - 1 шт.</t>
  </si>
  <si>
    <t>521-301-0576</t>
  </si>
  <si>
    <t>Прибор для измерения деформации растяжения</t>
  </si>
  <si>
    <t>Прибор состоит из штатива, фиксатора, пружины сострелкой, шкалой с фиксатором, набора грузов по 100 и 50 г.</t>
  </si>
  <si>
    <t>521-301-0577</t>
  </si>
  <si>
    <t>Ваттметр лабораторный</t>
  </si>
  <si>
    <t>521-301-0577-0001</t>
  </si>
  <si>
    <t>Ваттметр аналоговый демонстрационный</t>
  </si>
  <si>
    <t>Имеет 4 диапазона. Применяется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Диапазон измерения силы тока:- 500mА-500mА, 0-10mА-100mА, 0-1А-5А Диапазон измерения напряжения постоянного тока 0-5В, 0-10В
Диапазон измерения силы тока переменного тока 0-10mА-100mА, 0-1А-5А Диапазон измерения напряжение переменного тока: 0-10В-50В, 0-250В</t>
  </si>
  <si>
    <t>521-301-0578</t>
  </si>
  <si>
    <t>Пресс гидравлический (модель)</t>
  </si>
  <si>
    <t>На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Поршень насоса приводится в движение с помощью съемной рукоядки в виде рычага. К модели прилагаются для демонстрации сильная пружина и приспособление для изгиба бруска (чугунный плитки с двумя и одной опорами). Плитка с одной опорой крепится винтом на верхней плите пресса, а плитка с двумя опорами устанавливается на плиту большого поршня. Внизу рабочего цилиндра установлен на резьбе спускной клапан, а в верхней части цилиндра - спускной воздушный клапан (вантуз).</t>
  </si>
  <si>
    <t>521-301-0579</t>
  </si>
  <si>
    <t>Прибор для измерения длины световой волны с набором дифракционных решеток</t>
  </si>
  <si>
    <t>Комплектация: 1 шт Кейс с крышкой  1 шт Лоток со вставкой  1 шт. Скамья с пазом длиной 35 см. 1 шт. Держатель для дифракционной решетки. 1 шт. Экран. 1 шт. Рамка с дифракционными решетками (300 и 600 штрих/мм). 1 шт. Полупроводниковый лазер. 1 шт. Руководство по эксплуатации</t>
  </si>
  <si>
    <t>521-301-0580</t>
  </si>
  <si>
    <t>Маятник</t>
  </si>
  <si>
    <t>521-301-0580-0001</t>
  </si>
  <si>
    <t>Маятник математический типа Phywe 12972-00</t>
  </si>
  <si>
    <t>521-301-0580-0002</t>
  </si>
  <si>
    <t>Маятник баллистический Phywe P2131200</t>
  </si>
  <si>
    <t>521-301-0580-0003</t>
  </si>
  <si>
    <t>Маятник электростатический</t>
  </si>
  <si>
    <t>Маятник электростатический предназначен для обнаружения электрических зарядов и демонстрации взаимодействия одноименных и разноименных зарядов. Состав прибора: гильзы с нитью – 2 шт., трубки ПВХ – 2 шт., стержни – 2 шт., пробирка стеклянная для хранения комплекта с пробкой – 1 шт. Демонстрация при изучении процесса электризации тел.</t>
  </si>
  <si>
    <t>521-301-0581</t>
  </si>
  <si>
    <t>Воздуходувка ВД-У</t>
  </si>
  <si>
    <t>Изделие предназначено для использования при проведении демонстрационных опытов по аэродинамике. Воздуходувка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Для установки прибора на горизонтальной поверхности предусмотрены ножки. Для направления потока воздуха изделие комплектуется воздуховодом. Источник сжатого воздуха шт 1.</t>
  </si>
  <si>
    <t>521-301-0582</t>
  </si>
  <si>
    <t>Батарея солнечная</t>
  </si>
  <si>
    <t>Состоит из кремниевых фотоэлементов, электрического двигателя соединенного с фотоэлементом.</t>
  </si>
  <si>
    <t>521-301-0583</t>
  </si>
  <si>
    <t>Лазер учебный</t>
  </si>
  <si>
    <t>Предназначен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t>
  </si>
  <si>
    <t>521-301-0584</t>
  </si>
  <si>
    <t>Авометр с гальванометром демонстрационный</t>
  </si>
  <si>
    <t>Предназначен для измерения силы тока, напряжения, сопротивления в цепях постоянного и переменного тока. Имеет 32 диапазона для измерений AC и DC напряжений, AC и DC силы тока, сопротивления. Диапазон измерения напряжения: 2,5/10/50/250/500/2500 V, силы тока постоянного тока: 50ұА/1/10/100/500 mА, 5 А. Диапазон измерения напряжения переменного тока 10/50/250/2500 V. Диапазон измерения сопротивления 2К/20К/200К/2М/20 Мohm. Батарея питания R14(1,5V)х16F22(9V)х1.</t>
  </si>
  <si>
    <t>521-301-0585</t>
  </si>
  <si>
    <t>Волновая машина</t>
  </si>
  <si>
    <t>Прибор предназначен для моделирования колебательного и волнового движения при изучении механических колебаний и волн на уроках физики.</t>
  </si>
  <si>
    <t>521-301-0586</t>
  </si>
  <si>
    <t>Электроскоп</t>
  </si>
  <si>
    <t>521-301-0586-0001</t>
  </si>
  <si>
    <t>Электроскоп пара</t>
  </si>
  <si>
    <t>В комплект входит два электроскопа, представляющие собой цилиндрические, застекленные с обеих сторон корпуса, поставленные ребром на подставку. Вверху корпуса укреплена изолирующая втулка, через которую проходит металлический стержень с помещенной на нем
стрелкой-указателем. На матовом стекле электроскопа нанесена шкала без оцифровки. Электроскопы комплектуются шаровыми металлическими кондукторами.</t>
  </si>
  <si>
    <t>521-301-0587</t>
  </si>
  <si>
    <t>Генератор звуковой школьный</t>
  </si>
  <si>
    <t>На панели генератора расположены безопасные гнезда для подключения сигнальных проводов со штекерами диаметром 4 мм. Имеется три гнезда для получения соответственно сигналов прямоугольной, пилообразной и синусоидальной формы. Четвертое гнездо служит для подключения отрицательной клеммы нагрузки. Частота выходного сигнала устанавливается вращением рукоятки "ЧАСТОТА" в диапазоне от 20 Гц до 20 кГц с шагом около 15% от заданной частоты. Амплитуда выходного сигнала регулируется в диапазоне от 0 до 5 В с помощью рукоятки "АМПЛИТУДА". Питание генератора от сети 220В / 50Гц. Прибор предназначен для использования только учителем.</t>
  </si>
  <si>
    <t>521-301-0588</t>
  </si>
  <si>
    <t>Осцилограф</t>
  </si>
  <si>
    <t>521-301-0588-0001</t>
  </si>
  <si>
    <t>Осцилограф демонстрационный цифровой двухканальный с 7-дюймовым цветным жидкокристаллическим дисплеем</t>
  </si>
  <si>
    <t>Двухканальное измерительное устройство оснащено 7-дюймовым цветным жидкокристаллическим дисплеем, обеспечивающим качественную визуализацию сигнала. Полоса пропуска 50МГц; Время нарастания 7нс; Частота сэмплирования 50Мвыб/с. Эквивалентная частота сэмплирования 50Гвыб/с; Вертикальное разрешение 1мВ:20В/под; Время горизонтальной развертки 5нс: 50с/под; Режим запуска развертки Edge, Pulse, Alternate; Автоматическое измерение форм сигналов – 28; Счетчик частоты – 6 единиц;Содержит функцию математической обработки сигнала: вычитание, сложение, деление, умножение и FFT; Потребление: 100/240В, 45-440Гц; Комплектация: Осциллограф – 1 шт; Измерительные щупы – 2 шт.; Кабель питания – 1 шт.; USB кабель – 1 шт.; ПО для соединения с компьютером – 1 шт.</t>
  </si>
  <si>
    <t>521-301-0588-0002</t>
  </si>
  <si>
    <t>Осцилограф лабораторный</t>
  </si>
  <si>
    <t>Комплектность: осциллограф – 1 шт.,адаптер – 1 шт.,кабель типа
«тюльпан»  для подключения к телевизору – 1 шт.</t>
  </si>
  <si>
    <t>521-301-0589</t>
  </si>
  <si>
    <t>Озонатор</t>
  </si>
  <si>
    <t>Прибор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Прибор можно использовать только с источником высокого напряжения, например с генератором высокого напряжения универсальным.</t>
  </si>
  <si>
    <t>521-301-0590</t>
  </si>
  <si>
    <t>Гальванометр</t>
  </si>
  <si>
    <t>521-301-0590-0001</t>
  </si>
  <si>
    <t>Гальванометр лабораторный</t>
  </si>
  <si>
    <t>Материал: пластик + электронный компонент. Чувствительный диапазон:
-30-0-30μA. Размер: 133x97x100мм. Точность: ≤ 5%</t>
  </si>
  <si>
    <t>521-301-0591</t>
  </si>
  <si>
    <t>Плата для сборки электрических цепей</t>
  </si>
  <si>
    <t>Предназначена для сборки электрических цепей при проведении демонстрационных и лабораторных работ по электричеству на уроках физики. В комплекте: коммутационная плата в сборе – 1 шт.</t>
  </si>
  <si>
    <t>521-301-0700</t>
  </si>
  <si>
    <t>Лаборатория в чемодане</t>
  </si>
  <si>
    <t>521-301-0701</t>
  </si>
  <si>
    <t>Демонстрационный набор "Тепловые явления"</t>
  </si>
  <si>
    <t>521-301-0701-0001</t>
  </si>
  <si>
    <t>Микролаборатория по изучению тепловых явлений</t>
  </si>
  <si>
    <t>521-301-0702</t>
  </si>
  <si>
    <t>Набор демонстрационный "Оптика"</t>
  </si>
  <si>
    <t>521-301-0702-0001</t>
  </si>
  <si>
    <t>Набор демонстрационный для изучения оптики</t>
  </si>
  <si>
    <t>В набор входят: 1. щит-экран 2. щелевая панель 3. источник света 4. набор линз, зеркал, призм, светофильтров</t>
  </si>
  <si>
    <t>521-301-0702-0002</t>
  </si>
  <si>
    <t>Скамья оптическая</t>
  </si>
  <si>
    <t>В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t>
  </si>
  <si>
    <t>521-301-0704</t>
  </si>
  <si>
    <t>Демонстрационный набор "Электричество"</t>
  </si>
  <si>
    <t>521-301-0704-0001</t>
  </si>
  <si>
    <t>Лабораторный набор "Электричество"</t>
  </si>
  <si>
    <t>В набор входит: укладки с контактными пружинами для батареек на 1,5 В – 2 шт., лампочки на подставках (1,5 В, 0,25 А) – 3 шт., кнопочные выключатели – 3 шт., подставка со специальными контактами для проверки проводимости веществ, представленных в виде тонких пластин – 1 шт., катушка со съемным железным сердечником (болтом) – 1 шт., пластины (жесть, бумага, алюминий, пластик, латунь) – 5 шт., соединительные провода – 9 шт., коробка-укладка – 1 шт.</t>
  </si>
  <si>
    <t>521-301-0705</t>
  </si>
  <si>
    <t>Демонстрационный набор "Механика"</t>
  </si>
  <si>
    <t>521-301-0705-0001</t>
  </si>
  <si>
    <t>Набор демонстрационный для изучения
механики типа Experia PHE-011</t>
  </si>
  <si>
    <t>Винтовой микрометр (1 шт.) Штангенциркуль (1 шт.)
Баланс (1 шт.)
Груз (1 шт.)</t>
  </si>
  <si>
    <t>521-301-0705-0002</t>
  </si>
  <si>
    <t>Набор демонстрационный для изучения механики типа Cornelsen Experimenta 43080/44259</t>
  </si>
  <si>
    <t>В набор входит:
рельсовый профиль с опорой и ползунком,  горизонтальное крепление стержней;
опора - 2 штуки, муфта,
стержень стальной длиной 500мм.- 2шт; чаша весов с подвесом,
динамометр цена деления 0.04Н,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Оборудование размещено в пластиковом чемодане, размер которого составляет (ШхГхТ) 540x450x150 мм</t>
  </si>
  <si>
    <t>521-301-0705-0004</t>
  </si>
  <si>
    <t>Набор "Простые механизмы" типа
Fischertechnik</t>
  </si>
  <si>
    <t>В набор входит: Веревка Канатные шкивы Шестерни Колеса Оси Нить</t>
  </si>
  <si>
    <t>521-301-0705-0005</t>
  </si>
  <si>
    <t>Набор демонстрационный для изучения
механики</t>
  </si>
  <si>
    <t>В набор входят: 1. скамья для изучения механического движения, 2. тележки на магнитной подвеске (2 шт.),  3.брусок,  4.пусковое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t>
  </si>
  <si>
    <t>521-301-0705-0006</t>
  </si>
  <si>
    <t>Микролаборатория по изучению механики</t>
  </si>
  <si>
    <t>521-301-0705-0007</t>
  </si>
  <si>
    <t>Комплект демонстрационный по механике</t>
  </si>
  <si>
    <t>Комплектация: Скамья - 1 шт.; Тележка на магнитной подвеске - 2 шт.; Брусок - 1 шт.; Ограничитель - 1 шт.; Платформа стартового устройства с кабелем - 1 шт.; Концентратор USB (4гнезда) - 1 шт.; Удлинитель USB - 1 шт.; Оптоэлектрический датчик - 2 шт.; Платформа с блоком - 1 шт.; Груз наборный - 2 шт.; Груз для тележки - 1 шт.; Шар стальной - 3 шт.; Транспортир - 1 шт.; Пластина стальная - 2 шт.; Пакет с принадлежностями
- 1 шт. ; Диск с программным обеспечением - 1 шт.; Методические указания
- 1 шт.; Паспорт набора - 1 шт.; Лоток с ложементом - 1 шт.</t>
  </si>
  <si>
    <t>521-301-0705-0008</t>
  </si>
  <si>
    <t>Тележка легкоподвижная с таймером</t>
  </si>
  <si>
    <t>Тележки легкоподвижные предназначены для проведения демонстрационных опытов по механике. Тележки представляют собой платформы на четырех колесах. Торцевые кромки платформ оснащены с одной стороны пластиковой пружиной и шурупом для связывания тележек нитью. На платформах имеются три гнезда для установки грузов.
Комплектность: тележки легкоподвижные – 2 шт., запасные пластиковые пружины – 2 шт., руководство по эксплуатации – 1 шт.</t>
  </si>
  <si>
    <t>521-301-0706</t>
  </si>
  <si>
    <t>Учебный комплект для научных исследований "Возобновляемая энергия"</t>
  </si>
  <si>
    <t>521-301-0707</t>
  </si>
  <si>
    <t>Лабораторный комплект по механике</t>
  </si>
  <si>
    <t>Комплект позволяет проводить не менее 25 экспериментов.
В комплект входит :
В комплект входит :
Коробка-укладка -1шт.
Стойка с шестью сквозными отверстиями разного диаметра, два из которых имеют резьбовые гнезда -1шт.
Рычаг-линейка -1шт.
Пять блоков разного диаметра для изучения равновесия на подвижном и неподвижном блоках, для сборки модели подъемного крана и полиспаста.
Один блок находится в обойме вместе с подъемным крюком.-1шт.
Две шестерни разного диаметра для изучения шестеренчатой передачи и лебедки-1шт.
Пять винтов разного диаметра и длины с фасонными головками.Ползун, шатун, втулка, ручка.-1шт.
Металлический каток с проволочной подвеской для определения силы трения качения и КПД наклонной плоскости-1шт.
Металлический стержень длиной 120 мм, диаметром 4 мм и с резьбой на одном конце. Стержень служит опорой при образований наклонной плоскости. Его вкручивают горизонтально в вертикальную стойку подставки. На стержень при образовании наклонной плоскости кладут крышку коробки-укладки, имеющую вырезы под стержень-1шт.
Длинная нить с крючками на концах. Она необходима при изучении условии равновесия сил на блоках и подъемном кране-1шт.
Коробка-укладка для размещения и хранения всех компонентов набора-1шт.</t>
  </si>
  <si>
    <t>521-301-0708</t>
  </si>
  <si>
    <t>Набор лабораторный "Магнетизм"</t>
  </si>
  <si>
    <t>521-301-0708-0001</t>
  </si>
  <si>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 1 шт., площадка для размещения полосовых магнитов – 1 шт.,  тележки с прозрачным кузовом – 2 шт.,  коробка-укладка – 1 шт.</t>
  </si>
  <si>
    <t>521-301-0708-0002</t>
  </si>
  <si>
    <t>Микролаборатория по изучению магнетизма</t>
  </si>
  <si>
    <t>521-301-0708-0003</t>
  </si>
  <si>
    <t>Набор "Магниты кольцевые на штативе"</t>
  </si>
  <si>
    <t>Набор предназначен для демонстрации отталкивания одноименных и притяжения разноименных полюсов двух магнитов. Комплектность: магнит кольцевой – 3 шт., стойка вертикальная – 1 шт., руководство по эксплуатации с методическими екомендациями – 1 шт. Прибор представляет собой стойку с надетыми на нее тремя постоянными кольцевыми магнитами. Полюса магнитов окрашены в разные цвета.</t>
  </si>
  <si>
    <t>521-301-0709</t>
  </si>
  <si>
    <t>Лабораторный набор "Оптика"</t>
  </si>
  <si>
    <t>Комплектность: лампочка в патроне – 1 шт., свеча парафиновая – 1 шт.,
линза короткофокусная – 1 шт., линза длиннофокусная – 1 шт.,
срез двояковыпуклой линзы – 1 шт., срез трехгранной призмы – 1 шт., зеркала плоские – 2 шт.,
экран черный с круглым отверстием – 1 шт., экран с одной щелью – 1 шт.,
экран с тремя щелями – 1 шт., экран белый пластмассовый – 1шт., экран полупрозрачный – 1 шт., подставка-держатель – 3 шт.,
подставки резиновые черные – 4 шт., держатель для лампочки – 1 шт., предмет-стойка – 1 шт.,
коробка-укладка – 1 шт., руководство по эксплуатации – 1 шт.</t>
  </si>
  <si>
    <t>521-301-0710</t>
  </si>
  <si>
    <t>Комплект лабораторный по оптике</t>
  </si>
  <si>
    <t>Состоит из 15 источников света, питания от батареи, экспериментальной платформы и набора оптических элементов для проведения опытов.
Источник света имеет встроенную PCX линзу и подвижный 3 V LED источник света, который позволяет варьировать интенсивность света и направлять лучи. Свет: 2,2V LED (красный) Лампа: R6 (AAM) 1.5 Vx2.
Oбъектив: PCX. Цилиндрическая линза 40wx20H.</t>
  </si>
  <si>
    <t>521-301-0711</t>
  </si>
  <si>
    <t>Комплект радиотехнический</t>
  </si>
  <si>
    <t>диоды – 6 шт;</t>
  </si>
  <si>
    <t>521-301-0712</t>
  </si>
  <si>
    <t>Набор "Альтернативные и возобновляемые
источники энергии"</t>
  </si>
  <si>
    <t>В состав набора входят:  Основа штатива, типа PHYWE 02001-00 - 1шт Леска, d=0,7 мм, l=5 м 02089-01 - 1шт  Фетр, листовой, 100x100 мм 04404-20 - 1шт Соединитель, угловой, модуль SB 05601-02 – 4шт
Соединительный, разомкнутый, модуль SB 05601-04 - 1шт Соединительный модуль SB 05601-10 – 4шт Патрон для лампы накаливания Е 10, модуль SB 05604-00 - 1шт Мотор, 5 В, модуль SB 05660-00 - 1шт Генератор с осью резьбы и гайками для крепления 05751-01 – 1шт Солнечный коллектор для ученических экспериментов 05760-00 – 1шт Теплогенератор для ученических экспериментов 05770-00 – 1шт Галогенная лампа с рефлектором, 12 В / 20 Вт 05780-00 – 1шт Держатель для галогенных ламп с рефлектором 05781-00 – 1шт Лабораторный химический стакан, светлый, алюминий 05903-01 – 1шт Лабораторный химический стакан, темный 05904-01 – 1шт Лампы накаливания, 1.5 В/ 0,15 A, E10, 10 шт. 06150-03 –
1шт Лампа накаливания 4 В/ 0,04 A, E 10 06154-00 – 1шт Солнечный элемент (3,3x6,5) см, со штепсельными вилками , 0,5 V, 330 mA 06752-09 – 1шт Держатель для солнечных элементов (3,3x6,5) см, со штепсельными вилками 06752-08 – 1шт Двойные гнезда, 1 пара, красные и черные
07264-00 – 1шт Соединительный проводник, 500 мм, красный 07360-01 – 2шт Соединительный проводник, 500 мм, синий 07360-04 – 2шт Соединительный проводник, 500 мм, красный 07361-01 – 2шт Соединительный проводник, 500 мм, синий 07361-04 – 1шт Скользящая опора для оптической скамьи 09822-00 – 1шт Рулетка, l=2 м 09936-00 – 1шт Секундомер, цифровой, 24 часа, 1/ 100 с &amp; 1 с 24025-00 – 1шт Лампа накаливания, 6 В/ 3 Вт, E10, 10 шт 35673-03 – 1шт Мензурка, низкая, 100 мл, пластмасса 36011-01 – 1шт Мензурка, низкая форма, 25 мл 46055-00 – 1шт Лабораторный термометр, -10..+110°C 38056-00 – 2шт Силиконовые трубки, внутренний d=3 мм 39296-00 – 1шт Расходомер для жидкостей или газов, стирол-акрилонитрил 46434-00 – 1шт Фильтровальная воронка, PP, d=60 мм 46895-00 – 1шт TESS-коробка, пластмасса 15200-00 – 1шт Крышка
для коробки, пластмасса – 15205-00 – 1шт</t>
  </si>
  <si>
    <t>521-301-0713</t>
  </si>
  <si>
    <t>Образовательный комплект для изучения
ветровой и гидроэнергии</t>
  </si>
  <si>
    <t>В набор входит: Ветряные турбины: Набор для сборки вертикальных и горизонтальных ветряных турбин с разными роторами. Мотор постоянного тока для демонстрации генерации электроэнергии. Гидротурбина: Компоненты для создания гидротурбины, включая лопасти и генератор.
Модель потока воды для проведения экспериментов. Солнечные батареи: Набор солнечных панелей разных размеров. Подставка и крепления для солнечных батарей.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Учебные пособия, включая инструкции и задания для изучения
физических принципов ветровой, солнечной и гидроэнергии.</t>
  </si>
  <si>
    <t>521-301-0714</t>
  </si>
  <si>
    <t>Набор демонстрационный для изучения
оптики в кейсе</t>
  </si>
  <si>
    <t>Комплектация: Кейс с крышкой - 1шт ,  Лоток со вставкой - 1шт, Источник света с пятью источниками света (1 шт.). Световой короб с встроенным источником света (1 шт.). Группа фильтров (1 шт.). Группа пленок управления светом (1 шт.). Черный световой экран (1 шт.). Стеклянный световой экран (1 шт.). Световой экран с одной/двумя щелями (1 шт.).
Световой экран с тремя/пятью щелями (1 шт.). Полукруглая линза (1 шт.).
Трапециевидная линза (1 шт.). Плосковогнутая призма (1 шт.).
Плосковыпуклая призма (1 шт.). Двухстороннее мягкое зеркало (1 шт.).
Источник питания постоянного тока для светового короба (1 шт.).
Оснащен: Циферблатом для измерения преломления (1 шт.).
Поликарбонатной черной бумагой (1 шт.). Полупрозрачной бумагой (1 шт.).
Цветной бумагой (1 шт.). Транспортиром (1 шт.). Компасом (1 шт.).
Алюминиевой фольгой (1 шт.). Прозрачной линейкой (1 шт.).</t>
  </si>
  <si>
    <t>521-301-0715</t>
  </si>
  <si>
    <t>Набор демонстрационный для изучения
электростатики</t>
  </si>
  <si>
    <t>521-301-0715-0001</t>
  </si>
  <si>
    <t>Набор демонстрационный для изучения
электростатики типа Experia PHE-013</t>
  </si>
  <si>
    <t>Комплектация:  кейс с крышкой - 1шт ,  лоток со вставкой - 1шт, изолирующие штативы – 2 шт;  экранирующая сетка – 1 шт; конусообразный и шаровые кондукторы – 1 шт;  разборный конденсатор – 1 шт;  стеклянная и эбонитовая палочки – 1 шт;  электрометры – 2 шт; палочка с шариком для переноса заряда – 1 шт;  электрические султаны – 2 шт;  электроскоп – 1 шт;  полые полуцилиндры – 2 шт;  шелковая и синтетическая ткань, оргстекло.</t>
  </si>
  <si>
    <t>521-301-0715-0002</t>
  </si>
  <si>
    <t>Набор демонстрационный для изучения электростатики в комплекте с источником напряжения высоковольтным типа Cornelsen Experimenta 50332/44280, 50315/44207</t>
  </si>
  <si>
    <t>521-301-0715-0003</t>
  </si>
  <si>
    <t>Набор демонстрационный для изучения электростатики</t>
  </si>
  <si>
    <t>В набор входят: • электрометры с шаровыми кондукторами  • электроскоп • кондуктор конусообразный • кондуктор цилиндрический • полый металлический шар • штатив изолирующий  • конденсаторный диск  • султаны шелковые  • клетка Фарадей • пластина из диэлектрика • пробный шар • палочка для переноса зарядов на изолирующей ручке • палочки из эбонита и стекла • шелковая ткань</t>
  </si>
  <si>
    <t>521-301-0715-0004</t>
  </si>
  <si>
    <t>Микролаборатория по изучению электростатики</t>
  </si>
  <si>
    <t>521-301-0716</t>
  </si>
  <si>
    <t>Демонстрационный набор "Статика"</t>
  </si>
  <si>
    <t>521-301-0716-0001</t>
  </si>
  <si>
    <t>Набор "Статика" типа Fischertechnik</t>
  </si>
  <si>
    <t>В набор входит: Статические компоненты Угловой кронштейн Распорки Пружинный балансир</t>
  </si>
  <si>
    <t>521-301-0716-0002</t>
  </si>
  <si>
    <t>Микролаборатория по изучению гидростатики</t>
  </si>
  <si>
    <t>521-301-0716-0003</t>
  </si>
  <si>
    <t>Штатив изолирующий (пара)</t>
  </si>
  <si>
    <t>Штатив изолирующий предназначен для опытов по электростатике и электродинамике, в которых используются токи и напряжения в режиме постоянного тока 15 кВ, 10 А, в режиме переменного тока 36 В, 0,3 А, при изучении курса физики. Комплектация: Стойка изолирующая с основанием-2шт, Подставка с винтами М3 и М62шт, Коробка-1шт, Этикетка-1экземпляр</t>
  </si>
  <si>
    <t>521-301-0717</t>
  </si>
  <si>
    <t>Демонстрационный набор "Электроника"</t>
  </si>
  <si>
    <t>521-301-0717-0001</t>
  </si>
  <si>
    <t>Набор "Электроника" типа Fischertechnik</t>
  </si>
  <si>
    <t>В набор входит: мотор XS; кнопочные переключатели – 2 шт.; диоды – 2 шт.; транзисторы – 2 шт.; резисторы – 3 шт.; конденсаторы – 2 шт.; контейнер для батарейки 9В типа «Крона»;</t>
  </si>
  <si>
    <t>521-301-0718</t>
  </si>
  <si>
    <t>Альтернативная энергетика</t>
  </si>
  <si>
    <t>Данный набор позволит изучить концепцию энергии, ее использование и и генерация (EcoPower Edu Kit) состоит из: Ветренные турбины (6 наборов): Вертикальные ветренные турбины (2 шт. в каждом наборе).
Горизонтальные ветренные турбины (2 шт. в каждом наборе). Солнечные батареи (6 наборов): Солнечные батареи (1 шт. в каждом наборе).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t>
  </si>
  <si>
    <t>521-301-0719</t>
  </si>
  <si>
    <t>Альтернативное образование - лаборатория ветра, солнца, воды и электричества</t>
  </si>
  <si>
    <t>Альтернативное образование - лаборатория ветра, солнца, воды и электричесТва (EcoPower Edu Kit) состоит из: Ветренные турбины: Вертикальная ветренная турбина: Модель вертикальной ветряной турбины.
Горизонтальная ветренная турбина: Модель горизонтальной ветряной турбины. Водная турбина: Водная турбина: Модель водной турбины для изучения принципов генерации энергии из потока воды. Солнечные батареи: Солнечная батарея: Модель солнечной батареи для преобразования солнечной энергии в электричество. Измерительные приборы (номиналы): Мультиметр с возможностью измерения напряжения (0-30 В), тока (0-5 А) и сопротивления (0-10 кОм).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Этот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С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t>
  </si>
  <si>
    <t>521-301-0720</t>
  </si>
  <si>
    <t>Образовательные лаборатории вертикальных ветряных турбин AC/DC</t>
  </si>
  <si>
    <t>Вертикальная ветренная турбина: Модель вертикальной ветряной турбины для изучения принципов работы и производства энергии из ветра.
Горизонтальная ветренная турбина: Модель горизонтальной ветряной турбины для сравнительных исследований и экспериментов. Вертикальная ветренная турбина с мотором постоянного тока: Модель вертикальной турбины, оснащенной мотором постоянного тока для генерации электроэнергии. Вертикальная турбина с набором магнитных полюсов: Модель вертикальной турбины с возможностью экспериментирования с магнитными полюсами и их влиянием на производство энергии.
Горизонтальная ветренная турбина с мотором постоянного тока: Модель горизонтальной турбины с мотором постоянного тока для изучения горизонтальных турбин и их эффективности. Горизонтальная турбина с набором магнитных полюсов: Модель горизонтальной турбины с возможностью настройки магнитных полюсов и изучения их влияния на энергопроизводство. Измерительные приборы мультиметры: Мультиметры для измерения электрических параметров и производительности турбин.
Электронные компоненты: В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t>
  </si>
  <si>
    <t>521-301-0721</t>
  </si>
  <si>
    <t>Гибридная система ветра и солнца</t>
  </si>
  <si>
    <t>EcoPower Edu Kit состоит из: Крылья турбины: Для сборки ветряной турбины. Крепление крылья: Для надежной фиксации крыльев. Стержень: Для установки ветряной турбины. Мотор постоянного тока: Двигатель, который преобразует энергию вращения турбины в электроэнергию.
Мультиметр: Инструмент для измерения электрических параметров и производительности системы. Зажимы бананы: Для соединения и проведения электрических измерений. Резисторы: Для регулирования тока и напряжения в системе. Конденсаторы: Для временного хранения и выпуска электрической энергии. Плата расширения: Для подключения и управления компонентами системы. Подшипники: Для обеспечения плавного вращения ветряной турбины. Солнечная батарея: Для преобразования солнечной энергии в электроэнергию. Блок управления солнечной батареи: Для контроля и регулирования производства энергии с
помощью солнечной батареи. Учебный материал</t>
  </si>
  <si>
    <t>521-301-0722</t>
  </si>
  <si>
    <t>Система слежения за Солнцем</t>
  </si>
  <si>
    <t>Моторы и механизмы: Встроенные двигатели и механизмы для автоматического поворота солнечных панелей. Сенсоры: Интегрированные сенсоры для определения положения солнца и его движения. Управляющая плата: Электронная плата для управления движением моторов и обработки данных от сенсоров. Крепления: Комплект крепежных элементов для надежной установки системы на опору или стойку. Инструкции: Подробные руководства по сборке, подключению и настройке системы слежения.
Дополнительные компоненты: Дополнительные элементы и кабели для подключения и работы системы. Программное обеспечение: ПО для
управления и настройки системы через компьютер или устройство.</t>
  </si>
  <si>
    <t>521-301-0723</t>
  </si>
  <si>
    <t>Основной комплект цифрового измерительного и лабораторного оборудования</t>
  </si>
  <si>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t>
  </si>
  <si>
    <t>521-301-0724</t>
  </si>
  <si>
    <t>Набор учебный "Электрические машины"</t>
  </si>
  <si>
    <t>Экспериментальная плата к курсам COM4LAB "Асинхронные машины", "Синхронные машины" и "Машины постоянного тока", который имеют следующие характеристики: Размеры: Печатная плата: 280 × 200 мм2 Рамка: 296,5 × 354 мм2 Напряжение питания +15 В постоянного тока, -15 В постоянного тока и +5 В постоянного тока от главного блока Защитные функци Комплект состоит из экспериментальной платы для курсов COM4LAB "Асинхронные машины", "Синхронные машины" и "Машины постоянного тока"</t>
  </si>
  <si>
    <t>521-301-0725</t>
  </si>
  <si>
    <t>Комплект учебный "Колебания и волны"</t>
  </si>
  <si>
    <t>521-301-0725-0001</t>
  </si>
  <si>
    <t>Комплект приборов для изучения
электромагнитных волн</t>
  </si>
  <si>
    <t>В состав комплекта входят: высокочастотный передатчик с частотой колебания не менее 11 GHz мощностью излучения не менее 10 mW, высокочастотный приемник,  треугольная призма, три экрана на подставке, неоновая лампа на подставке,  поглощающие тела.</t>
  </si>
  <si>
    <t>521-301-0725-0002</t>
  </si>
  <si>
    <t>Комплект для демонстрации волновых
явлений</t>
  </si>
  <si>
    <t>В комплект входят:  1. Волновая ванна с встроенным экраном  2.
Осветитель со стробоскопическим диском  3. Источник волн с комплектом насадок  4. Комплект препятствий  5. Методические указания Набор не требует дополнительного оборудования.</t>
  </si>
  <si>
    <t>521-301-0725-0003</t>
  </si>
  <si>
    <t>Набор механических колебаний и волн</t>
  </si>
  <si>
    <t>В набор входят: виброгенератор, стержень для крепления виброгенератора в штативе, пружину, три стальные пластины разной формы, резиновый жгут, груз 100 г – 1 шт., речной песок фракции 0.2/0.4, соединительные провода, зажим крокодил на резьбовом соединении.</t>
  </si>
  <si>
    <t>521-301-1100</t>
  </si>
  <si>
    <t>Приборы и принадлежности для кабинета
географии</t>
  </si>
  <si>
    <t>521-301-1101</t>
  </si>
  <si>
    <t>Анемометр</t>
  </si>
  <si>
    <t>521-301-1101-0001</t>
  </si>
  <si>
    <t>Анемометр типа ScienceCube, MDS-104. Диапазон измерения скорости ветра: 0,3-30 м/с.0...90 км/ч. Точность измерения скорости ветра: +/-5% с шагом 0,1 м/с. Диапазон измерения температуры: -10+45 °С</t>
  </si>
  <si>
    <t>521-301-1101-0002</t>
  </si>
  <si>
    <t>Анемометр типа Invicta 084059/42443</t>
  </si>
  <si>
    <t>521-301-1103</t>
  </si>
  <si>
    <t>Дождемер</t>
  </si>
  <si>
    <t>521-301-1103-0001</t>
  </si>
  <si>
    <t>Дождемер типа Invicta 084059/42443</t>
  </si>
  <si>
    <t>В комплекте: колба объемом 50 мл, со шкалой, цена деления которой 1мл; пластиковый штырь для установки в землю и пластиковая крышка.</t>
  </si>
  <si>
    <t>521-301-1122</t>
  </si>
  <si>
    <t>Дальномер электронный</t>
  </si>
  <si>
    <t>Дальномер электронный лазерный. Дисплей с подсветкой для считывания информации. Дальность измерения не менее 20 метров.</t>
  </si>
  <si>
    <t>521-301-1123</t>
  </si>
  <si>
    <t>Курвиметр</t>
  </si>
  <si>
    <t>521-301-1123-0001</t>
  </si>
  <si>
    <t>Прибор для измерения длины извилистых линий на топографических картах, планах и чертежах. Курвиметр состоит из зубчатого ролика известного диаметра на ручке и счётчика пройденного количества зубцов.</t>
  </si>
  <si>
    <t>521-301-1123-0002</t>
  </si>
  <si>
    <t>Курвиметр типа Invicta 050059/42411</t>
  </si>
  <si>
    <t>521-301-1124</t>
  </si>
  <si>
    <t>Флюгер</t>
  </si>
  <si>
    <t>521-301-1124-0001</t>
  </si>
  <si>
    <t>Флюгер типа Invicta 087559/42442</t>
  </si>
  <si>
    <t>521-301-1124-0002</t>
  </si>
  <si>
    <t>Флюгер (прибор д/определения направления и скорости ветра)</t>
  </si>
  <si>
    <t>521-301-1500</t>
  </si>
  <si>
    <t>Модели объемные, приборы и реактивы для кабинета биологии</t>
  </si>
  <si>
    <t>521-301-1549</t>
  </si>
  <si>
    <t>Скелет человека 170 см на роликовой подставке</t>
  </si>
  <si>
    <t>521-301-1550</t>
  </si>
  <si>
    <t>Лупа ручная</t>
  </si>
  <si>
    <t>521-301-1550-0001</t>
  </si>
  <si>
    <t>Лупа ручная d.60 мм</t>
  </si>
  <si>
    <t>Лупа ручная, диаметр не менее 60 мм, увеличение не менее 5-крат.</t>
  </si>
  <si>
    <t>521-301-1550-0002</t>
  </si>
  <si>
    <t>Лупа ручная d.50 мм</t>
  </si>
  <si>
    <t>Снабжена эргономичной ручкой изогнутой формы. Увеличение трехкратное. Диаметр линзы 50 мм.
Материал оправы - пластик. Материал линзы - стекло.</t>
  </si>
  <si>
    <t>521-301-1550-0003</t>
  </si>
  <si>
    <t>Лупа ручная d.80 мм</t>
  </si>
  <si>
    <t>521-301-1551</t>
  </si>
  <si>
    <t>Микроскоп преподавателя</t>
  </si>
  <si>
    <t>521-301-1551-0001</t>
  </si>
  <si>
    <t>Микроскоп преподавателя 1600х</t>
  </si>
  <si>
    <t>521-301-1552</t>
  </si>
  <si>
    <t>Микроскоп ученический</t>
  </si>
  <si>
    <t>521-301-1552-0001</t>
  </si>
  <si>
    <t>Микроскоп ученический 640х</t>
  </si>
  <si>
    <t>Микроскоп ученический. Классическая оптическая система. Рукоятки настройки резкости. Окуляры не менее 10х и 16х. Объективы не менее 4х/0,10; 10Х/0,25 и 40ХS/0,65. Монокулярная головка. Зеркало в качестве источника света. Револьверное устройство. Металлическое основание и стойка. Предметный столик. Клеммы для закрепления исследуемых объектов. Максимальное увеличение не менее 640 - кратное.</t>
  </si>
  <si>
    <t>521-301-1552-0002</t>
  </si>
  <si>
    <t>Микроскоп ученический с тремя объективами 4 х, 10 х, 40 х</t>
  </si>
  <si>
    <t>Имеет подвижный предметный столик, тубус с двумя сменными окулярами ( 10 х, 16 х), три объектива (4 х, 10 х, 40 х), расположенные на вращающейся револьверной головке. Увеличение 100 х - 640 х крат</t>
  </si>
  <si>
    <t>521-301-1552-0003</t>
  </si>
  <si>
    <t>Микроскоп монокулярный с электроподсветкой</t>
  </si>
  <si>
    <t>Степень увеличения микроскопа со сменным окуляром WF10Х: 40, 100, 400 крат. Степень увеличения микроскопа со сменным окуляром WF16Х: 64, 160, 640 крат. Способ наблюдения: монокулярный Строение оптической схемы: прямой. Тип осветителя: светодиодный.
Микроскоп укомплектован объективами 4Х, 10Х, 40Х, револьверным барабаном для быстрой смены объективов, нижней и верхней подсветкой. Поворотом барабана и сменой окуляров изменяется увеличение микроскопа (от 40 до 640 крат).
Комплектность: микроскоп – 1 шт.,
окуляры сменные WF10Х и WF16Х – 2 шт., подсветка (нижняя и верхняя) – 2 шт., руководство по эксплуатации – 1 шт.</t>
  </si>
  <si>
    <t>521-301-1552-0004</t>
  </si>
  <si>
    <t>Микроскоп цифровой типа Carson MM640</t>
  </si>
  <si>
    <t>521-301-1552-0005</t>
  </si>
  <si>
    <t>Микроскоп типа Foldscope, линза из боросиликатного стекла, увеличение 140-1000 крат/до 2мкм,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</si>
  <si>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140-1000 крат/до 2мкм; заднее фокусное расстояние 0,5мм; глубина резкости 0,1мм; размеры - 170х105х0,5мм,
Комплектация:
- Микроскоп в развернутом виде
- Руководство + инструкция
- Карта путеводитель
- 1 линза 140х
- 5 магнитных адаптера
- 6 многоразовых предметных слайдов
- 1 лист с круглыми стикерами для линзы
- 2 листа с прозрачными стикерами
- 1 LED подсветка
- 2 дополнительные батарейки класса AG10
- 1 ватный тампон
- 1 наклейка с уникальным ID
- 1 фирменная наклейка
- 1 нейлоновая сумка</t>
  </si>
  <si>
    <t>521-301-1552-0006</t>
  </si>
  <si>
    <t>Микроскоп типа Foldscope Mini, линза из боросиликатного стекла, увеличение 140крат,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</si>
  <si>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 крат; заднее фокусное расстояние 0,5мм; глубина резкости 0,1мм; размеры комплекта 140х99х31мм
Комплектация:
- Металлическая коробка
- Приветственное письмо
- Собранный микроскоп с линзой 140X
- 1 фирменная нашивка
- 1 пакет:
• 2 листа с прозрачными стикерами
• 2 пустые коллекционные карты
• 1 коллекционная карта с микропринтом
• 1 лист с тонкими круглыми стикерами
• 1 фирменная наклейка
• 1 ватный тампон
• 1 пипетка Пастера 0,2мл
• 1 пробирка Эппендорф 1,5мл</t>
  </si>
  <si>
    <t>521-301-1552-0007</t>
  </si>
  <si>
    <t>Микроскоп типа Foldscope, линза из боросиликатного стекла, увеличение
340-3500 крат;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</si>
  <si>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340-3500 крат; заднее фокусное расстояние 0,5мм; глубина резкости 0,1мм; размеры - 170х105х0,5мм Комплектация:  - Металлическая коробка - Приветственное письмо - Руководство пользователя - Собранный микроскоп - 1 фирменная нашивка - 3 линзы 50х, 140х и 340х (линзы нового поколения, линза 340х может увеличить объект свыше 3000 крат) - 1 LED подсветка, новый уникальный световой модуль, имеющий 2 режима: проходящий свет (светлый фон) и отражённый свет (темный фон)  - 1 футляр для предметных стекол на 3 шт. - 3 предметных стекла: • 1 подготовленный микропрепарат  • 2 пустых предметных стекла  - 1 пакет:  • 1 коллекционная карта с микропринтом • 2 пустые коллекционные карты • 2 листа с прозрачными стикерами • 1 лист с круглыми стикерами • 1 магнитный адаптер для телефона • 1 фирменная наклейка • 1 ватный тампон
- 1 пакет с инструментами: • 1 пинцет • 1 пипетка Пастера 0,2мл • 1
пробирка Эппендорф 1,5мл</t>
  </si>
  <si>
    <t>521-301-1600</t>
  </si>
  <si>
    <t>Лабораторная посуда, принадлежности, приборы для опытов, пособия и стенды для кабинета биологии</t>
  </si>
  <si>
    <t>521-301-1601</t>
  </si>
  <si>
    <t>Лабораторные принадлежности для опытов по биологии</t>
  </si>
  <si>
    <t>521-301-1602</t>
  </si>
  <si>
    <t>Гигрометр</t>
  </si>
  <si>
    <t>521-301-1602-0001</t>
  </si>
  <si>
    <t>Гигрометр типа ScienceCube, MDS-105. Диапазон:  +5°С+25°С</t>
  </si>
  <si>
    <t>521-301-1602-0002</t>
  </si>
  <si>
    <t>Гигрометр психрометрический</t>
  </si>
  <si>
    <t>Гигрометр психрометрический предназначен для измерения относительной влажности и температуры воздуха. Диапазон измерения относительной влажности от 10% до 100%. Диапазон измерения температуры от 0 до 50°С. Цена деления шкал термометра 1°С. Скорость аспирации от 0,5 до 1,0 м/сек.</t>
  </si>
  <si>
    <t>521-301-1605</t>
  </si>
  <si>
    <t>Биологическая лаборатория в чемодане</t>
  </si>
  <si>
    <t>521-301-1606</t>
  </si>
  <si>
    <t>Мини-лаборатория по гидропонике</t>
  </si>
  <si>
    <t>521-301-1606-0001</t>
  </si>
  <si>
    <t>Мини-лаборатория по гидропонике типа
HydroZen</t>
  </si>
  <si>
    <t>521-301-1606-0002</t>
  </si>
  <si>
    <t>Мини-лаборатория по гидропонике типа
ScienceCube, MDS-103</t>
  </si>
  <si>
    <t>521-301-1607</t>
  </si>
  <si>
    <t>Набор для исследований по естественным
наукам</t>
  </si>
  <si>
    <t>521-301-1607-0001</t>
  </si>
  <si>
    <t>Набор для исследований по естественным
наукам типа NaturePro Research Kit</t>
  </si>
  <si>
    <t>В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t>
  </si>
  <si>
    <t>521-301-1607-0002</t>
  </si>
  <si>
    <t>Набор для исследований по естественным наукам типа Experia ST-01 по темам сила и энергия, вода, электрический ток, магниты, воздух и звук, свет, тепло, растения</t>
  </si>
  <si>
    <t>Комплектация: 2 шт. Магнитный стержень AlNiCo, северный полюс помечен красным
1 шт. Кейс с крышкой 1 шт. Лоток со вставкой
1 шт. Свеча "теалайт" в металлическом контейнере 1 шт. Резиновая пробка с отверстием диаметром 6 мм
1 шт. Краситель (пищевой краситель), красный
1 шт. Выключатель ножной, однополюсный, однопозиционный 1 шт. Медный провод с изоляцией
1 шт. Нагревательный провод, обмотанный, диаметр 0,20 мм 1 шт. Огнезащитная сетка
1 шт. Спички
1 шт. Стойки для весов, пластиковые
1 шт. Весовая платформа, желтая
2 шт. Шкала для весов, желтая, с ободками
2 шт. Весы пружинные, вместимость около 75 г 2 шт. Гиря латунная, 10 г
1 шт. Колба, 500 мл, с двумя шкалами 1 шт. Фонарь
1 шт. Опора для иглы
1 шт. Шприц с насадкой, 30 мл 1 шт. Тренога
1 шт. Треугольные мосты 1 шт. Слуховая трубка
1 шт. Барабанчик
1 шт. Водяное колесо 1 шт. Рычаг
1 шт. Шкив, немонтированный, диаметр 58 мм 1 шт. Шкив с крючком
1 шт. Компасная карточка
1 шт. Гири с двойным крючком, медь, 50 г, 10 шт.
1 шт. Зеркало, плоское 1 шт. Линза f= +50 мм
1 шт. Пластиковая колба, 100 мл</t>
  </si>
  <si>
    <t>521-301-1608</t>
  </si>
  <si>
    <t>Набор химической посуды и принадлежностей для лабораторных работ по биологии</t>
  </si>
  <si>
    <t>В набор входят: воронка - 1 шт.,
колба коническая 100 мл - 2 шт., чашка Петри - 1 шт., капельница-банка - 1 шт., стакан PP 250 мл - 2 шт.,
флакон с пробкой 30 мл (темное стекло) - 6 шт., покровное стекло 18*18 мм - 20 шт., предметное стекло 20*75 мм - 6 шт.,
пробирка 14*120 - 10 шт., стеклянные палочки - 2 шт.,
спиртовка лабораторная литая - 1 шт., промывалка - 1 шт.,
ложка–шпатель - 1 шт., зажим пробирочный - 1 шт.,
пробка резиновая 12,5 мм - 2 шт., комплект трубок соединительных - 1 компл.,
штатив для пробирок на 10 гнезд - 1 шт., набор инструментов препаровальных - 1 шт., лоток для раздаточного материала - 1 шт.</t>
  </si>
  <si>
    <t>521-301-1609</t>
  </si>
  <si>
    <t>Набор химической посуды и принадлежностей по биологии для демонстрационных работ</t>
  </si>
  <si>
    <t>В набор входят:
Воронка d 56-80 , Зажим пробирочный,
Колба коническая 500 мл, Колба круглодонная 250 мл. Ложка для сжигания вещества, Ложка пластмассовая, Стеклянная палочка, Пробирка 14*120
Спиртовка лабораторная литая , Стакан химический с меткой 100 мл., Тигли №4
Штатив для пробирок на 20 гнезд , Штатив лабораторный комбинированный ШЛб
Чашка выпарительная №4 , Щипцы тигельные,
Цилиндр мерный 250 мл. с носиком Колба коническая 100 мл. ,
Флакон с пробкой 30 мл. (темное стекло) Предметное стекло 26*76, Покровное стекло 18*18,
Ерш для мытья колб, Чашка Петри,
Доска для сушки посуды, Лоток для раздаточного материала,
Столик подъемно-поворотный с 2-мя плоскостями, Набор инструментов препаровальных, Промывалка,
Пипетка химическая лабораторная</t>
  </si>
  <si>
    <t>521-301-1610</t>
  </si>
  <si>
    <t>Набор демонстрационный для изучения атмосферного давления</t>
  </si>
  <si>
    <t>521-301-1610-0001</t>
  </si>
  <si>
    <t>Набор демонстрационный для изучения атмосферного давления типа Experia PHE-010</t>
  </si>
  <si>
    <t>Комплектация: 1шт - кейс с крышкой
1шт -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Бойля-Мариотта, с диапазоном
-1000…+3000 гПа и четкой шкалой
1 шт. пластикового цилиндра с внутренним конусом для шприца 1 шт. вакуумной камеры объемом не менее 1000 мл с манометром</t>
  </si>
  <si>
    <t>521-301-1610-0002</t>
  </si>
  <si>
    <t>Набор демонстрационный для изучения атмосферного давления типа Cornelsen Experimenta 31710/44264</t>
  </si>
  <si>
    <t>Состав комплекта:
тележка на колесах, пластик, 99х63мм – 6 шт.; трубка полимерная, 200 мм – 12 шт.;
колба отсосная, конусообразной формы, диаметр 60/18 мм, 90 мл, со съемным дном, 2 отверстиями в верхней части, прозрачный пластик, серый пластик – 6 шт.;
шприц, 10 мл, градуированный, цена деления 0,5мл, пластик – 6 шт.; крючок на присоске – 6 шт.;
пластина 90х90 мм, пластик белый – 6 шт.;
стекло увеличительное трехлинзовое, увеличение 3х, 6х, 10х, оргстекло, форма треугольная со сторонами 100х100х50 мм – 6 шт.;
воронка, пластик, длина 50 мм, макс диаметр 60 мм – 6 шт.;
стакан пластиковый, прозрачный, высота 55, диаметр 60 мм, 100 мл – 6 шт.; емкость трапециевидной формы, 173(150)х132(110)х70 мм, пластик прозрачный – 6 шт.;
диск для воздушной подушки, диаметр 110мм, пластик – 6 шт.; лента измерительная 1 м, двусторонняя, цена деления 1мм/1см, поливинил,
1000х30мм – 6 шт.;
фигурка парашютиста пластмассовая 90 мм на парашюте, диаметр парашюта 500 мм, нейлон  – 2 шт.;
надувные шары – 48 шт.;
сухой спирт в таблетках, 20 шт. – 1 уп.; горелка для сухого топлива, никелированная – 1 шт.;
трубка теплопроводная, металл, длина 150мм, диаметр 50 мм – 1 шт.; насос для воздушных шаров пластиковый, длина 260 мм, ширина 65 мм, толщина 35 мм – 1 шт.;
насос воздушный с прозрачным цилиндром, длина 255 мм – 3 шт.; модель воздушного шара, полиэтилен – 1 шт.;
модель ракеты – 1 шт.;
в составе: направляющие стойки высотой 120 мм – 3 шт., шланг 1500мм с клапанами, держатель кольцевой с прорезями;
тарелка металлическая, высота 12мм, диаметр 145 мм – 1 шт.; шнур на катушке, нейлон – 1 шт.;
секундомер электронный – 1 шт.;</t>
  </si>
  <si>
    <t>521-301-1610-0003</t>
  </si>
  <si>
    <t>Прибор для демонстрации атмосферного давления (Магдебурские полушария)</t>
  </si>
  <si>
    <t>Прибор представляет собой два полушария с ручками и хорошо пришлифованными краями-рантами. На одном из полушарий установлен кран со штуцером для подсоединения его с помощью резинового шланга к воздушному или вакуумному насосу.</t>
  </si>
  <si>
    <t>521-301-1611</t>
  </si>
  <si>
    <t>Микролаборатория для проведения наблюдений, лабораторных и практических работ по биологии</t>
  </si>
  <si>
    <t>В комплект входят: 1.Короб-1шт,  2.Крышка-1шт (Установлена на коробе) , 3.Лоток-1шт (Установлен в коробе), 4.Укладка-1шт (Установлена в коробе),
5.Съемный ложемент-1шт (Установлена в коробе), 6.Лупа ручная-1шт, 7.Спиртовка лабораторная малая- 1шт, 8.Банка-капельница с
крышкой-капельницей-1шт,  9.Стакан лабораторный, вместимость 50 мл-2шт,  10.Стакан лабораторный, вместимость 100 мл-1шт,  11.Воронка
лабораторная В-56-1шт,  12.Чашка Петри-1шт,  13.Пробирка-6шт,
14.Стекло предметное-4шт,  15.Стекло покровное-10шт,  16.Флакон ФО, вместимость 10 мл-7шт,  17.Крышка-капельница К/Ф-1-7шт (установлена на флаконе),  18.Зажим пробирочный-1шт,  19.Ерш  пробирочный-1шт, 20.Пинцет-1шт,  21.Ножницы-1шт,  22.Скальпель брюшистый-1шт, 23.Препаровальная игла-2шт,  24.Фильтр бумажный-5шт,  25.Методические рекомендации-1шт,  26.Пособие для учителя CD-1шт,  27.Комплект ЗИП (стекло предметное 6шт., стекло покровное-40 шт.)-1шт,  28.Упаковочная тара-1шт</t>
  </si>
  <si>
    <t>521-301-1612</t>
  </si>
  <si>
    <t>Набор для препарирования</t>
  </si>
  <si>
    <t>В набор входит: 1.Игла препаровальная-2шт,  2.Лоток-1шт, 3.Лупа ручная-1шт, 4.Скальпель брюшистый-1шт, 5.Стекло предметное-10шт,
6.Стекло покровное (упак. 100 шт.)-1шт, 7.Палочка стеклянная-1шт, 8.Пинцет-1шт, 9.Флакон с крышкой-капельницей-2шт, 10.Фильтр бумажный (упак. 100 шт.)-1шт, 11.Чашка Петри-1шт</t>
  </si>
  <si>
    <t>521-301-1700</t>
  </si>
  <si>
    <t>Цифровая интерактивная лаборатория для экспериментов по биологии и химии</t>
  </si>
  <si>
    <t>521-301-1702</t>
  </si>
  <si>
    <t>Датчик газа О2</t>
  </si>
  <si>
    <t>521-301-1702-0001</t>
  </si>
  <si>
    <t>Датчик уровня кислорода беспроводной DataHarvest 1170. Диапазоны измерения О2: от 0 до 100 %. Температура: от -40 до 85°С. Давление: от 30 до 110 кПа. Влажность: от 0 до 100 % относительной влажности. USB соединительный провод. ПО сбора и обработки данных Easysense2 на трех языках: каз., рус., англ. языке.</t>
  </si>
  <si>
    <t>521-301-1702-0002</t>
  </si>
  <si>
    <t>Einstein™Датчик кислорода (DO) (температурная компенсация) ENOXT422A. Диапазон: от 0 до 14 мг/л. Точность: ±5 % по всему диапазону (после калибровки).
Разрешение (12 бит): 0,003 мг/л</t>
  </si>
  <si>
    <t>521-301-1702-0003</t>
  </si>
  <si>
    <t>Einstein™Датчик кислорода (DO+газ) ENOXY-A222. Диапазон: от 0 до 14 мг/л. Точность: ±5 % по всему диапазону (после калибровки). Разрешение (12 бит): 0,003 мг/л</t>
  </si>
  <si>
    <t>521-301-1702-0004</t>
  </si>
  <si>
    <t>Датчик уровня кислорода беспроводной типа Phywe Cobra SMARTsense Oxygen 12933-01. Диапазон: 0-20 мг/л. Разрешение: 0.01 мг/л.
Диапазон: 0-100 %. Разрешение: 0.1 %.
Частота: 10 Гц</t>
  </si>
  <si>
    <t>521-301-1702-0005</t>
  </si>
  <si>
    <t>Датчик уровня кислорода беспроводной типа ScienceCube, WL113O2 Wireless Oxygen Gas. Диапазон: 0-25%. Разрешение: 0,1 mV. Диапозон: +/-5 мТл</t>
  </si>
  <si>
    <t>521-301-1702-0006</t>
  </si>
  <si>
    <t>Датчик растворенного кислорода типа Sense disc S1005. Диапазон: 0-20 мг/л, 0-100%.
Точность: +/-0.5 мг/л, +/-2%. Разрешение:
0.1 мг/л, +/-2%</t>
  </si>
  <si>
    <t>521-301-1702-0007</t>
  </si>
  <si>
    <t>Датчик уровня кислорода типа MicroLab Mlab_o2. Диапазон измерения 0-25%.
Чувствительность 0,05-0,15 мА (в воздухе)</t>
  </si>
  <si>
    <t>521-301-1702-0008</t>
  </si>
  <si>
    <t>Датчик кислорода. Диапазон измерения: от 0 до 12,5 мг/л DO2. Точность: +/-2% во всем диапазоне</t>
  </si>
  <si>
    <t>521-301-1702-0009</t>
  </si>
  <si>
    <t>Датчик растворенного кислорода. Диапазон измерения: 0-20 мг/л или 0-200% насыщенность, уровень защиты IP68, диапазон рабочей температуры 0-50 °C, точность температуры +/- 0,2 °C</t>
  </si>
  <si>
    <t>521-301-1703</t>
  </si>
  <si>
    <t>Датчик газа СО2</t>
  </si>
  <si>
    <t>521-301-1703-0001</t>
  </si>
  <si>
    <t>Датчик уровня углекислого газа беспроводной DataHarvest 1180. Диапазоны измерения от 0 до 100 000 частей на миллион. Диапазон температур -40-85 градусов. Диапазон давления 30-110кПа.
Влажность 0-100. USB соединительный провод. ПО сбора и обработки данных
Easysense2 на трех языках: каз., рус., англ. языке.</t>
  </si>
  <si>
    <t>521-301-1703-0002</t>
  </si>
  <si>
    <t>Einstein™ Датчик углекислого газа ENCO2B040A. Диапазон: от 350 до 10 000 частей на миллион. Точность: ±50 частей на миллион,  ± 5% полной шкалы.</t>
  </si>
  <si>
    <t>521-301-1703-0003</t>
  </si>
  <si>
    <t>Внешний датчик углекислого газа Globisense. Диапазон:от 0 до 5000 частей на миллион, коммуникация:±50 частей на миллион</t>
  </si>
  <si>
    <t>521-301-1703-0004</t>
  </si>
  <si>
    <t>Датчик уровня углекислого газа беспроводной типа Phywe Cobra SMARTsense CO2 12932-01. Диапазон:
0-100000 ppm. Разрешение: 2 ppm. Частота:
1 Гц</t>
  </si>
  <si>
    <t>521-301-1703-0005</t>
  </si>
  <si>
    <t>Датчик уровня углекислого газа беспроводной типа ScienceCube, WL111CO2 Wireless CO2 Gas. Диапазон: 0-5,000 ч/млн. Разрешение: 1 ч/млн. Диапазон: +/-5 мТл</t>
  </si>
  <si>
    <t>521-301-1703-0006</t>
  </si>
  <si>
    <t>Датчик углекислого газа CO2 типа Sense disc S1007. Диапазон: 0-100000 ppm.
Разрешение: 2 ppm</t>
  </si>
  <si>
    <t>521-301-1703-0007</t>
  </si>
  <si>
    <t>Датчик уровня углекислого газа типа MicroLab Mlab_co2. Измерение диапазона 0-2000 частей на миллион (PPM).
Разрешение 1 PPM 0-2000 частей на миллион (PPM). Точность 200 частей на миллион</t>
  </si>
  <si>
    <t>521-301-1703-0008</t>
  </si>
  <si>
    <t>Датчик углекислого газа. Диапазон измерения: от 350 до 5000 мд (ppm). Точность: +/-20 %</t>
  </si>
  <si>
    <t>521-301-1704</t>
  </si>
  <si>
    <t>Датчик давления</t>
  </si>
  <si>
    <t>521-301-1704-0001</t>
  </si>
  <si>
    <t>Датчик давления газа беспроводной Go Direct GDX-GP. Диапазон: от 0 до 400 кПа. Цена деления: 0,03 кПа. Точность ± 3 кПа. Внутренний объем: 0,8 мл</t>
  </si>
  <si>
    <t>521-301-1704-0002</t>
  </si>
  <si>
    <t>Датчик абсолютного давления газа беспроводной DataHarvest 1150. Диапазоны измерения 400 кПа. Самая высокая скорость регистрации 40 000 выборок в секунду (25 мкс). USB соединительный провод. 100 мм силиконовой трубки. 2 штыревых и 1 гнездовой коннектор Люэра. ПО сбора и обработки данных Easysense2 на трех языках: каз., рус., англ. языке.</t>
  </si>
  <si>
    <t>521-301-1704-0003</t>
  </si>
  <si>
    <t>Датчик артериального давления беспроводной DataHarvest 1155. Диапазоны измерения от 0 до 300 мм рт.ст. Точность
±3% от показаний давления. Разрешение 0,1 мм рт.ст. USB соединительный провод, аналоговый манометр, универсальная манжета давления. ПО сбора и обработки данных Easysense2 на трех языках: каз., рус., англ. языке.</t>
  </si>
  <si>
    <t>521-301-1704-0004</t>
  </si>
  <si>
    <t>Датчик перепада давления газа беспроводной DataHarvest 1151. Диапазоны измерения +/- 25кПа. Самая высокая скорость регистрации 40 000 выборок в секунду [25 мкс]. USB соединительный провод, 2 силиконовых трубок на 100 мм, 4 штыревых и 2 гнездовых разъема Люэра. ПО сбора и обработки данных Easysense2 на трех языках: каз., рус., англ. языке.</t>
  </si>
  <si>
    <t>521-301-1704-0005</t>
  </si>
  <si>
    <t>Einstein™ Датчик давления газа (400 кПа) ENPRS015-4. Диапазон: 20-400 кПа.
Точность: ±1,5 % по всему диапазону. Разрешение (12 бит): 0,10 кПа</t>
  </si>
  <si>
    <t>521-301-1704-0006</t>
  </si>
  <si>
    <t>Einstein™ Датчик давления (барометрическое давление) ENPRS015. Диапазон: от 150 до 1150 мбар. Точность:
+/-1,5 % по всему диапазону. Разрешение (12 бит): 0,27 мбар</t>
  </si>
  <si>
    <t>521-301-1704-0007</t>
  </si>
  <si>
    <t>Датчик абсолютного давления беспроводной типа Phywe Cobra SMARTsense Absolute Pressure 12905-01. Диапазон: 20-400 кПа.
Разрешение: 0.1 кПа. Частота измерений: 500 Гц</t>
  </si>
  <si>
    <t>521-301-1704-0008</t>
  </si>
  <si>
    <t>Датчик для измерения артериального давления беспроводной типа Phywe Cobra SMARTsense Blood Pressure 12944-00.
Диапазон: 0 ... 375 мм рт. ст. Разрешение:
0.05 мм рт. ст. Частота: 500 Гц</t>
  </si>
  <si>
    <t>521-301-1704-0009</t>
  </si>
  <si>
    <t>Датчик давления газа беспроводной типа ScienceCube,WL103P.   Диапазон:
-1000~+3000 гПа.Точность: +/-1%. Разрешение: 0,244 гПа</t>
  </si>
  <si>
    <t>521-301-1704-0010</t>
  </si>
  <si>
    <t>Датчик атмосферного давления беспроводной типа WL116, ScienceCube. Диапазон: -650+650 ГПа. Разрешение: 0,355 ГПа</t>
  </si>
  <si>
    <t>521-301-1704-0011</t>
  </si>
  <si>
    <t>Датчик абсолютного давления типа Sense disc S0024. Диапазон: 0-400 кПа. Точность:
+/-6 кПа. Разрешение: 0.1 кПа</t>
  </si>
  <si>
    <t>521-301-1704-0012</t>
  </si>
  <si>
    <t>Датчик относительного давления типа Sense disc S0025. Диапазон: -20 кПа+20 кПа.
Точность: 0.01 кПа. Разрешение: +/-5%</t>
  </si>
  <si>
    <t>521-301-1704-0013</t>
  </si>
  <si>
    <t>Датчик давления газа типа MicroLab Mlab_gaspressure. Диапазон от 15 кПа до 700 кПа</t>
  </si>
  <si>
    <t>521-301-1704-0014</t>
  </si>
  <si>
    <t>Датчик атмосферного давления типа MicroLab Mlab_pressure. Диапазон измерения 300–1100 гПа (1 гПа = сто Па) с точностью +/-1,0 гПа</t>
  </si>
  <si>
    <t>521-301-1704-0015</t>
  </si>
  <si>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</si>
  <si>
    <t>521-301-1704-0016</t>
  </si>
  <si>
    <t>Датчик атмосферного давления. Диапазон измерения: 0- 2,068 гПа. Разрешение: 0,6 гПа</t>
  </si>
  <si>
    <t>521-301-1706</t>
  </si>
  <si>
    <t>Датчик температуры</t>
  </si>
  <si>
    <t>521-301-1706-0001</t>
  </si>
  <si>
    <t>Датчик температуры беспроводной Go Direct GDX-TMP. Диапазон: от -40 до 125 ° C. Норма для корпуса: 10 — 45 ° C. Цена деления: 0,07 ° C. Точность: ± 0,3 ° C</t>
  </si>
  <si>
    <t>521-301-1706-0002</t>
  </si>
  <si>
    <t>Датчик температуры быстродействующий беспроводной DataHarvest 1101. Диапазоны измерения от -40°C до 125°C. USB соединительный провод. ПО сбора и обработки данных Easysense2 на трех
языках: каз., рус., англ. языке.</t>
  </si>
  <si>
    <t>521-301-1706-0003</t>
  </si>
  <si>
    <t>Einstein™ Датчик солености + температуры ENSLT. Диапазон: 24 - 52 000 ppm.
Точность: +/-8 % по всему диапазону. Разрешение (12 бит): 12 стр./мин</t>
  </si>
  <si>
    <t>521-301-1706-0004</t>
  </si>
  <si>
    <t>Einstein™ Датчик температуры поверхности (-40 to 140 °C) ENTMP060. Диапазон: от -40 до 140°C. Диапазон: от -40 до 284°F. Точность: ±2% по всему диапазону.
Разрешение (12 бит): 0,03%</t>
  </si>
  <si>
    <t>521-301-1706-0005</t>
  </si>
  <si>
    <t>Einstein™ Датчик универсальный температуры (-40 to 140 °C) ENTMP029. Диапазон: от -40 до 140°C, от -40 до 284°F, от 233,15 до 413,15 К. Точность: ±2% по
всему диапазону. Разрешение (12 бит): 0,03
°C</t>
  </si>
  <si>
    <t>521-301-1706-0006</t>
  </si>
  <si>
    <t>Einstein™ Датчик температуры PT-100 (-200 to 400 °C) ENTMP027. Диапазон: от -200 до 400 °C, от -328 до 752 °F, 73.15 до 673.15
тыс. Точность: ±2% по всему диапазону. Разрешение (12 бит): 0,15 °C</t>
  </si>
  <si>
    <t>521-301-1706-0007</t>
  </si>
  <si>
    <t>Einstein™ Датчик температуры-термопара ENTMP025. Диапазон: от -40 до 140 °C, от
-40 до 284 °F, 233.15 до 413.15 тыс.
Точность: +/-2% по всему диапазону. Разрешение (12 бит): 0,03 °C</t>
  </si>
  <si>
    <t>521-301-1706-0008</t>
  </si>
  <si>
    <t>Внешний датчик температуры из нержавеющей стали Globisense. Диапазон: от
-25 до +125°С. Точность:+/-2 °С</t>
  </si>
  <si>
    <t>521-301-1706-0009</t>
  </si>
  <si>
    <t>Датчик температуры беспроводной типа Phywe Cobra SMARTsense Temperature 12903-00. Диапазон: -40+120 °C.
Разрешение: 0.01°. Частота измерений: 10 Гц</t>
  </si>
  <si>
    <t>521-301-1706-0010</t>
  </si>
  <si>
    <t>Датчик для измерения температуры высокочувствительный беспроводной типа Phywe Cobra SMARTsense Thermocouple 12938-01. Диапазон: -200°C+1200°C.
Разрешение: 0.4°C. Частота: 10 Гц</t>
  </si>
  <si>
    <t>521-301-1706-0011</t>
  </si>
  <si>
    <t>Датчик температуры беспроводной типа ScienceCube, WL100T. Диапазон: от -40°C до
+125°C. Точность измерения: +/-0.5°C. Разрешение: +/-0.625°C</t>
  </si>
  <si>
    <t>521-301-1706-0012</t>
  </si>
  <si>
    <t>Датчик инфракрасного термометра типа Sense disc S0010. Диапазон: -70℃+380℃. Разрешение: 0.1℃</t>
  </si>
  <si>
    <t>521-301-1706-0013</t>
  </si>
  <si>
    <t>Датчик температуры окружающей среды типа Sense disc S0012. Диапазон:
-30℃+150℃. Точность: +/-0.8℃ (0-100℃). Разрешение: 0.1℃</t>
  </si>
  <si>
    <t>521-301-1706-0014</t>
  </si>
  <si>
    <t>Датчик  термопара типа Sense disc S0013. Диапазон: -200℃+1200℃. Точность: +/-6℃. Разрешение: 0.25℃</t>
  </si>
  <si>
    <t>521-301-1706-0015</t>
  </si>
  <si>
    <t>Датчик температуры типа MicroLab Mlab_temp. Диапазон измерения: -50+600°С</t>
  </si>
  <si>
    <t>521-301-1706-0016</t>
  </si>
  <si>
    <t>Датчик термопары беспроводной типа DataHarvest 1102.Диапазон температур от
-200 до 1200°C с точностью до 0,1°C во всем диапазоне. ПО сбора и обработки данных Easysense2 на трех языках: каз., рус., англ.</t>
  </si>
  <si>
    <t>521-301-1706-0017</t>
  </si>
  <si>
    <t>Датчик термоэлектрический (термопара). Диапазон измерения: от 0°С до +1200°С. Разрешение: 0,3°С</t>
  </si>
  <si>
    <t>521-301-1707</t>
  </si>
  <si>
    <t>Датчик частоты сердечных сокращений</t>
  </si>
  <si>
    <t>521-301-1707-0001</t>
  </si>
  <si>
    <t>Einstein™ Датчик частоты сердечных сокращений (при физических нагрузках) ENEXRT298. Диапазон импульса: 0 – 250 уд/мин (ударов в минуту)</t>
  </si>
  <si>
    <t>521-301-1707-0002</t>
  </si>
  <si>
    <t>Датчик беспроводной для измерения частоты сердечных сокращений беспроводной типа Phywe Cobra SMARTsense Heart Rate 12935-01. Диапазон: 30-200 ударов в минуту</t>
  </si>
  <si>
    <t>521-301-1707-0003</t>
  </si>
  <si>
    <t>Датчик измерения частоты сердечных сокращений. Форма волн: 0 - 5 В. Импульсный: 0 - 200 ударов в минуту. Макс. частота дискретизации: 100 образцов/сек.
Радиус передатчика: 80 см</t>
  </si>
  <si>
    <t>521-301-1708</t>
  </si>
  <si>
    <t>Датчик электрокардиограммы</t>
  </si>
  <si>
    <t>521-301-1708-0001</t>
  </si>
  <si>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</si>
  <si>
    <t>521-301-1708-0002</t>
  </si>
  <si>
    <t>Датчик электрокардиограммы беспроводной DataHarvest 1158. Кривая ЭКГ, от 200 до 4000 мкВ. Разрешение ±1 мкВ. USB соединительный провод, одноразовые кожные электроды в упаковке. ПО сбора и обработки данных Easysense2 на трех языках: каз., рус., англ. языке.</t>
  </si>
  <si>
    <t>521-301-1708-0003</t>
  </si>
  <si>
    <t>Einstein™датчик ЭКГ ENEKG189. Диапазон: от 0 до 3 В. Разрешение (12 бит): 732 мкВ</t>
  </si>
  <si>
    <t>521-301-1708-0004</t>
  </si>
  <si>
    <t>Датчик электрокардиограммы беспроводной типа Phywe Cobra SMARTsense EKG
12934-01. Диапазон: 0-4,5 мВ. Разрешение:
4,5 мкВ. Частота измерений: 1000 Гц</t>
  </si>
  <si>
    <t>521-301-1708-0005</t>
  </si>
  <si>
    <t>Датчик электрокардиограммы беспроводной типа ScienceCube, WL121EKG  Wireless EKG (ECG). Диапазон: 0-5 мВ. Разрешение: 5uV</t>
  </si>
  <si>
    <t>521-301-1708-0006</t>
  </si>
  <si>
    <t>Датчик ЭКГ типа Sense disc S1011. Диапазон: -1 мВ+5 мВ</t>
  </si>
  <si>
    <t>521-301-1708-0007</t>
  </si>
  <si>
    <t>Датчик электрокардиограммы типа MicroLab Mlab_ecg. Диапазаон измерений 1.5В - 3.3В. В комплекте одноразовые кожные электроды</t>
  </si>
  <si>
    <t>521-301-1709</t>
  </si>
  <si>
    <t>Датчик электропроводности</t>
  </si>
  <si>
    <t>521-301-1709-0001</t>
  </si>
  <si>
    <t>Датчик электропроводности беспроводной Go Direct GDX-CON. Диапазон: от 0 до 20 000 мкСм / см (от 0 до 10000 мг / л TDS). Температурная компенсация: Автоматическая 5 — 35 ° C, может быть отключена. Диапазон температур (регулируется): 0-80 ° C. Статическая ячейки: 1,0 см-1</t>
  </si>
  <si>
    <t>521-301-1709-0002</t>
  </si>
  <si>
    <t>Датчик проводимости беспроводной DataHarvest 1112. Диапазоны проводимости: 100 000 мкс, разрешение 0,1 мкс. 20 000 мкс,
разрешение 0,01 мкс. 1000 мкс, разрешение 0,001 мкс. Интеллектуальный беспроводной адаптер проводимости, электрод проводимости, USB соединительный провод. ПО сбора и обработки данных Easysense2 на трех языках: каз., рус., англ. языке.</t>
  </si>
  <si>
    <t>521-301-1709-0003</t>
  </si>
  <si>
    <t>Einstein™ Датчик проводимости температуры ENCNT435A. Диапазон: 0,05–80 мс. Точность: ±8 % по всему диапазону. Разрешение (12 бит): 5 мкс</t>
  </si>
  <si>
    <t>521-301-1709-0004</t>
  </si>
  <si>
    <t>Датчик электропроводности беспроводной типа Phywe Cobra SMARTsense - Conductivity 12922-01. Диапазон: 0 ... 20.000 мкСм/см. Разрешение: 0,1 мкСм/см.
Диапазон: 0 ... 60 °C. Разрешение: 0,1 °C.
Скорость: 10 Гц</t>
  </si>
  <si>
    <t>521-301-1709-0005</t>
  </si>
  <si>
    <t>Датчик проводимости беспроводной типа ScienceCube, WL107EC. Диапазон: 0-20000 мкСм, Разрешение 0,3 мкСм/см</t>
  </si>
  <si>
    <t>521-301-1709-0006</t>
  </si>
  <si>
    <t>Датчик проводимости типа Sense disc S1003. Точность: +/-4%. Диапазон: 0-20000 мкСм/см. Разрешение: 6 мкСм/см</t>
  </si>
  <si>
    <t>521-301-1709-0007</t>
  </si>
  <si>
    <t>Датчик проводимости типа MicroLab Mlab_conductivity. Рабочее напряжение 3,3В/5В. Диапазон 0–2000 мкс/см.
Разрешение +/-5% (STP). Рабочая температура 5–80℃</t>
  </si>
  <si>
    <t>521-301-1709-0008</t>
  </si>
  <si>
    <t>Датчик измерения электропроводности. Минимальный диапазон: от 0 до 200мС/см; средний диапазон: от 0 до 2000мС/см; максимальный диапазон: от 0 до 20000мС/см. Чувствительность: минимального диапазона: 0.1мС/см; среднего диапазона: 1мС/см; максимального диапазона: 10мС/см</t>
  </si>
  <si>
    <t>521-301-1710</t>
  </si>
  <si>
    <t>Колориметр</t>
  </si>
  <si>
    <t>521-301-1710-0001</t>
  </si>
  <si>
    <t>Колориметр беспроводной Go Direct GDX-COL. Диапазон: 0 — 3 (абсорбция).
Полезный диапазон: 0,05-1,0. Коэффициент пропускания от 90% до 10% (% T). Длины волн: 430 нм, 470 нм, 565 нм, 635 нм</t>
  </si>
  <si>
    <t>521-301-1710-0002</t>
  </si>
  <si>
    <t>Датчик колориметр беспроводной DataHarvest 1220. 5 длин волн колориметра:
470 нм, 520 нм, 573 нм, 625 нм, 660 нм, 850 нм ИК для мутности. Упаковка из 3 адаптеров. ПО сбора и обработки данных Easysense2 на трех языках: каз., рус., англ. языке.</t>
  </si>
  <si>
    <t>521-301-1710-0003</t>
  </si>
  <si>
    <t>Датчик колориметр беспроводной типа Phywe Cobra SMARTsense Colorimeter 12924-01. Диапазон измерения: 0 ... 400 NTU. Разрешение: 0.1 NTU</t>
  </si>
  <si>
    <t>521-301-1710-0004</t>
  </si>
  <si>
    <t>Датчик колориметр беспроводной типа ScienceCube, WL128CT. Диапазоны длин волн: красный 635 нм или 6350 Å, зеленый 565 нм или 5650 Å, синий 470 нм или 4700 Å, фиолетовый 430 нм или 4300 Å.
Разрешение: 0.035 %T</t>
  </si>
  <si>
    <t>521-301-1710-0005</t>
  </si>
  <si>
    <t>Датчик колориметр типа MicroLab Mlab_colorimeter. Коэффициент пропускания: 20–90 %. Точность +/-10 %. Разрешение (12 бит): 0,03 %</t>
  </si>
  <si>
    <t>521-301-1710-0006</t>
  </si>
  <si>
    <t>Датчик колориметр типа Einstein
ENCOL-A185. Коэффициент пропускания: 20-90%. Точность +/-10. Разрешение (12
бит): 0,03%. Объем ячейки: 3,5 куб.см. Ширина ячейки: 1 см</t>
  </si>
  <si>
    <t>521-301-1711</t>
  </si>
  <si>
    <t>Микроскоп цифровой портативный USB</t>
  </si>
  <si>
    <t>521-301-1712</t>
  </si>
  <si>
    <t>Спирометр</t>
  </si>
  <si>
    <t>521-301-1712-0001</t>
  </si>
  <si>
    <t>Внешний датчик дыхания Globisense. Диапазон:+/-200 л/мин</t>
  </si>
  <si>
    <t>521-301-1712-0002</t>
  </si>
  <si>
    <t>Датчик для измерения дыхательного объема беспроводной типа Phywe Cobra SMARTsense Spirometer 12936-01. Скорость потока: Диапазон: +/-10 л/с. Разрешение: 0,01л/с. Объем: Диапазон: +/-15 л.
Разрешение: 0,01л</t>
  </si>
  <si>
    <t>521-301-1712-0003</t>
  </si>
  <si>
    <t>Датчик спирометр типа Sense disc S1012. Диапазон: -10 л/с+10 л/с. Точность: +/-3%. Разрешение: 0.01 л/с</t>
  </si>
  <si>
    <t>521-301-1713</t>
  </si>
  <si>
    <t>Датчик рН</t>
  </si>
  <si>
    <t>521-301-1713-0001</t>
  </si>
  <si>
    <t>Датчик измерений качества воды (pH) беспроводной DataHarvest 1110PK. Диапазон 1: pH, от 0,00 до 14,00 pH. Диапазон 2:
±1000 мВ. Диапазон 3: Пользовательский
pH, от 0,00 до 14,00 pH. Разрешение 0,01 рН/1 мВ. Беспроводной адаптер pH,
pH-электрод, мини-USB-кабель. ПО сбора и обработки данных Easysense2 на трех языках: каз., рус., англ. языке.</t>
  </si>
  <si>
    <t>521-301-1713-0002</t>
  </si>
  <si>
    <t>Einstein™ Датчик PH с обычным электродом ENPH-A016. Диапазон: от 0 до 14 pH. Точность: ±2 % по всему диапазону после температурной компенсации. Разрешение (12 бит): 0,004 pH</t>
  </si>
  <si>
    <t>521-301-1713-0003</t>
  </si>
  <si>
    <t>Датчик измерений качества воды беспроводной pH типа Phywe Cobra SMARTsense pH 12921-00. Диапазон: 0-14.
Разрешение: 0.01. Частота измерений: 100 Гц</t>
  </si>
  <si>
    <t>521-301-1713-0004</t>
  </si>
  <si>
    <t>Датчик измерений качества воды беспроводной (pH) типа ScienceCube, WL104PH. Диапазон: от 0 до 14. Точность:
+/-0.1 pH. Разрешение: 0.01 pH</t>
  </si>
  <si>
    <t>521-301-1713-0005</t>
  </si>
  <si>
    <t>Датчик pH типа Sense disc S1002. Диапазон:
0-14. Точность: +/-0.2pH. Разрешение: 0.01</t>
  </si>
  <si>
    <t>521-301-1713-0006</t>
  </si>
  <si>
    <t>Датчик измерений качества воды (pH) типа MicroLab Mlab_ph. Рабочее напряжение 3,3 В/5 В. Диапазон 0-14PH. Разрешение
+/-0,15PH (STP)</t>
  </si>
  <si>
    <t>521-301-1713-0007</t>
  </si>
  <si>
    <t>Датчик рН. Диапазон измерения: от 0 до 14 рН. Точность: +/- 2%. Разрешение: 0,004 рН</t>
  </si>
  <si>
    <t>521-301-1714</t>
  </si>
  <si>
    <t>Датчик пульса</t>
  </si>
  <si>
    <t>521-301-1714-0001</t>
  </si>
  <si>
    <t>Датчик пульса беспроводной DataHarvest 1156. Диапазоны измерения 0-200 ударов в минуту и ±2000 мВ. Разрешение 1 удар в минуту и 1 мВ. USB соединительный провод. ПО сбора и обработки данных Easysense2 на трех языках: каз., рус., англ. языке.</t>
  </si>
  <si>
    <t>521-301-1714-0002</t>
  </si>
  <si>
    <t>Датчик пульса беспроводной типа Phywe Cobra SMARTsense Heart Rate 12935-01. Диапазон: 30-200 ударов в минуту.
Разрешение: 1  ударов в минуту. Частота измерений: 10 Гц</t>
  </si>
  <si>
    <t>521-301-1714-0003</t>
  </si>
  <si>
    <t>Датчик пульса типа Sense disc S1024. Диапазон: 0-200 уд/мин. Точность: +/-2 уд/мин. Разрешение: 1 уд/мин</t>
  </si>
  <si>
    <t>521-301-1714-0004</t>
  </si>
  <si>
    <t>Датчик пульса типа MicroLab Mlab_pulse. Рабочая температура: -20+60 ℃. Входящая частота 6.8MГц. Частота измерений (fps) до 3000. Диапазон измерений 30-210 ударов в минуту</t>
  </si>
  <si>
    <t>521-301-1714-0005</t>
  </si>
  <si>
    <t>Датчик пульса. Диапазон измерения частоты пульса от 40 до 200 ударов\мин. Диапазон рабочих температур от 10 до 35 градусов</t>
  </si>
  <si>
    <t>521-301-1715</t>
  </si>
  <si>
    <t>Датчик влажности</t>
  </si>
  <si>
    <t>521-301-1715-0001</t>
  </si>
  <si>
    <t>Датчик влажности беспроводной DataHarvest 1210. Относительная влажность: от 0 до 100
% относительной влажности. USB соединительный провод. ПО сбора и обработки данных Easysense2 на трех языках: каз., рус., англ. языке.</t>
  </si>
  <si>
    <t>521-301-1715-0002</t>
  </si>
  <si>
    <t>Einstein™ Датчик влажности ENHMD014. Диапазон: от 0 до 100 % относительной влажности. Точность: ±3 % (от 10 до 90 % относительной влажности</t>
  </si>
  <si>
    <t>521-301-1715-0003</t>
  </si>
  <si>
    <t>Einstein™ Датчик влажности + температуры ENHMT041. Диапазон: от 0 до 100 % относительной влажности. Точность: ±3 % (от 10 до 90 % относительной влажности</t>
  </si>
  <si>
    <t>521-301-1715-0004</t>
  </si>
  <si>
    <t>Einstein™ Датчик влажности почвы
ENSOI-A171. Диапазон: от 0 до 200 кбар, от 0 до 200 кПа. Точность: +/-2 % по всему диапазону. Разрешение (12 бит): 0,05 cbar</t>
  </si>
  <si>
    <t>521-301-1715-0005</t>
  </si>
  <si>
    <t>Датчик влажности почвы беспроводной типа Phywe Cobra SMARTsense Relative Humidity 12931-01. 0-100 %. Разрешение: 0.1 %.
Частота измерений: 10</t>
  </si>
  <si>
    <t>521-301-1715-0006</t>
  </si>
  <si>
    <t>Датчик влажности почвы беспроводной типа ScienceCube, WL117H. Диапазон: от 0% до 100% относительной влажности.
Разрешение: 2%</t>
  </si>
  <si>
    <t>521-301-1715-0007</t>
  </si>
  <si>
    <t>Датчик влажности типа Sense disc S1008. Диапазон: 0-100%. Точность: +/-4%.
Разрешение: 0.1%</t>
  </si>
  <si>
    <t>521-301-1715-0008</t>
  </si>
  <si>
    <t>Датчик влажности почвы типа MicroLab Mlab_moisture. Точность: +/-2 % по всему диапазону. Разрешение (12 бит): 0,05 сбар. Частота дискретизации по умолчанию: 10 выборок в секунду</t>
  </si>
  <si>
    <t>521-301-1715-0009</t>
  </si>
  <si>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</si>
  <si>
    <t>521-301-1716</t>
  </si>
  <si>
    <t>Цифровая лаборатория по естественным наукам</t>
  </si>
  <si>
    <t>521-301-1716-0001</t>
  </si>
  <si>
    <t>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</si>
  <si>
    <t>1 х беспроводной датчик напряжения и тока 5 В. (1131) 1 х беспроводной датчик движения. (1190)
1 х умный беспроводной датчик уровня звука. (1145)
1 х интеллектуальный беспроводной датчик магнитного поля. (1140) 1 X беспроводной датчик света и цвета. (1160)
1 х интеллектуальный беспроводной датчик силы и ускорения. (1120) 6 х USB соединительный провод.
Программное обеспечение сбора и обработки данных Easysense2 на трех языках: каз., рус., англ. языке. Методические пособия.</t>
  </si>
  <si>
    <t>521-301-1716-0002</t>
  </si>
  <si>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</si>
  <si>
    <t>В комплект входят:
Беспроводной цифровой датчик температуры типа PHYWE (Диапазон: -40
... 120 °C; Разрешение: 0.01°),
Беспроводной цифровой датчик силы, ускорения и наклона типа PHYWE (Диапазон: ±50 Н; Разрешение: 30 мН),
Беспроводной цифровой датчик света типа PHYWE (Диапазон: 0 ... 200 кЛк; Разрешение: 1 Лк),
Беспроводной цифровой датчик движения типа PHYWE (Диапазон: 0.2 ... 2 м; Разрешение: 1 мм),
Датчик звука беспроводной типа PHYWE (Диапазон: 55 ... 110 дБ(А); Разрешение: 0,1 дБ(А)),
Адаптер USB-Bluetooth 4.0.
Аксессуары:
Зарядное устройство с кабелем mini-USB USB Адаптер Bluetooth 4.1
Краткое руководство по эксплуатации цифровой лаборатории Программное обеспечение
Методические пособие</t>
  </si>
  <si>
    <t>521-301-1716-0003</t>
  </si>
  <si>
    <t>Лаборатория цифровая мобильная по естественным наукам с методическими материалами типа ScienceCube Pro в комплекте с датчиками</t>
  </si>
  <si>
    <t>Комплектация набора:
Pro Interface Pro Interface KDM-1002 - 1 шт Датчик температуры KDS-1001 - 1 шт Датчик давления газа KDS-1034 - 1 шт Датчик влажности KDS-1008 - 1 шт Датчик мутности KDS-1017 - 1 шт
Датчик света KDS-1033 - 1 шт Датчик кислорода - 1 шт Датчик рН KDS-1005 - 1 шт
Датчик электропроводности KDS-1038 - 1 шт</t>
  </si>
  <si>
    <t>521-301-1717</t>
  </si>
  <si>
    <t>521-301-1717-0001</t>
  </si>
  <si>
    <t>Einstein™ Анемометр ENANM012A. Скорость ветра. Запас хода: от 1 до 322 км/ч; от 1 до 174 миль в час. Разрешение: 0,1 км/ч. Точность: ± 5%</t>
  </si>
  <si>
    <t>521-301-1718</t>
  </si>
  <si>
    <t>Датчик сердечного ритма</t>
  </si>
  <si>
    <t>521-301-1718-0001</t>
  </si>
  <si>
    <t>Einstein™ Датчик сердечного ритма (пульс) ENHRT-A155. Импульс диапазона: 0 – 250 ударов в минуту.  Форма сигнала диапазона: 0 – 3 В</t>
  </si>
  <si>
    <t>521-301-1718-0002</t>
  </si>
  <si>
    <t>Внешний датчик сердечного ритма Globisense. Диапазон: от 0 до 5В. Точность:+/-2 %</t>
  </si>
  <si>
    <t>521-301-1718-0003</t>
  </si>
  <si>
    <t>Датчик сердечного ритма типа ScienceCube, KDS-1070 Heart Rate Monitor. Диапазон:
0-250 уд/мин. Разрешение: 1 уд/мин</t>
  </si>
  <si>
    <t>521-301-1719</t>
  </si>
  <si>
    <t>Датчик мутности</t>
  </si>
  <si>
    <t>521-301-1719-0001</t>
  </si>
  <si>
    <t>Einstein™ Датчик мутности ENTRB-A095. Диапазон: от 0 до 200 NTU. Точность: 20% по всему диапазону. Разрешение (12 бит): 0,25 NTU</t>
  </si>
  <si>
    <t>521-301-1719-0002</t>
  </si>
  <si>
    <t>Датчик мутности растворов типа ScienceCube, WL128ST Turbidity Sensor. Диапазон: 0 до 200 НТУ. Разрешение: 0,25 НТУ. Точность: +/-2 НТУ</t>
  </si>
  <si>
    <t>521-301-1719-0003</t>
  </si>
  <si>
    <t>Датчик мутности растворов типа MicroLab Mlab_turbidity. Диапазон измерений 0–4500 NTU</t>
  </si>
  <si>
    <t>521-301-1720</t>
  </si>
  <si>
    <t>Цифровая лаборатория по естествознанию Globisense Labdisc GENSCI - K-12 general science со встроенными датчиками</t>
  </si>
  <si>
    <t>521-301-1721</t>
  </si>
  <si>
    <t>Цифровая лаборатория по биологии/химии Globisense, Labdisc , BIO-CHEM - 9-12 Chemistry со встроенными датчиками</t>
  </si>
  <si>
    <t>521-301-1722</t>
  </si>
  <si>
    <t>Лаборатория цифровая по экологии</t>
  </si>
  <si>
    <t>521-301-1722-0001</t>
  </si>
  <si>
    <t>Лаборатория цифровая по науке об окружающей среде типа Globisense Labdisc ENVIRO - K-12 Environmental science со встроенными датчиками</t>
  </si>
  <si>
    <t>521-301-1722-0002</t>
  </si>
  <si>
    <t>Лаборатория цифровая по экологии с 10 встроенными датчиками: нитрат-ионов, хлорид-ионов, электрод сравнения, рН, влажность, освещенность, температура, электропроводимость, температура окружающей среды,  оптическая плотность и мутность типа Архимед</t>
  </si>
  <si>
    <t>521-301-1723</t>
  </si>
  <si>
    <t>Погодная станция</t>
  </si>
  <si>
    <t>521-301-1723-0001</t>
  </si>
  <si>
    <t>Погодная станция беспроводная типа Phywe Cobra SMARTsense Weatherstation 12946-00</t>
  </si>
  <si>
    <t>521-301-1723-0002</t>
  </si>
  <si>
    <t>Погодная станция типа MicroLab Mlab_weather. Диапазон измерения 300–1100 гПа (1 гПа = сто Па) с точностью +/-1,0 гПа. Диапазон измерения датчика температуры
-40+85 ℃, с точностью +/- 1,0 ° C. Датчик влажности 0%-100% относительной влажности, с точностью +/-3%</t>
  </si>
  <si>
    <t>521-301-1724</t>
  </si>
  <si>
    <t>Лаборатория цифровая по химии</t>
  </si>
  <si>
    <t>521-301-1724-0001</t>
  </si>
  <si>
    <t>Лаборатория цифровая по химии с 6 встроенными датчиками: рН,  температура, электропроводимость, датчик температуры платиновый,  датчик температуры окружающей среды,  оптическая плотность типа Архимед</t>
  </si>
  <si>
    <t>521-301-1725</t>
  </si>
  <si>
    <t>Лаборатория цифровая по биологии</t>
  </si>
  <si>
    <t>521-301-1725-0001</t>
  </si>
  <si>
    <t>Лаборатория цифровая по биологии с 6 встроенными датчиками: влажность, освещение, рН, акселерометр, температура окружающей среды, температура типа Архимед</t>
  </si>
  <si>
    <t>521-301-1725-0002</t>
  </si>
  <si>
    <t>Лаборатория цифровая по физиологии с 7 встроенными датчиками: артериальное давление,  температура тела, рН, освещенность, акселерометр, пульс, частота дыхания типа Архимед</t>
  </si>
  <si>
    <t>521-301-1726</t>
  </si>
  <si>
    <t>Датчик счетчика капель</t>
  </si>
  <si>
    <t>521-301-1726-0001</t>
  </si>
  <si>
    <t>Датчик капель и пузырьков беспроводной типа DataHarvest 1240. Датчик оснащен инфракрасным излучателем и приемником, разделенными воздушным зазором в 83 мм. ПО сбора и обработки данных Easysense2 на трех языках: каз., рус., англ.</t>
  </si>
  <si>
    <t>521-301-1800</t>
  </si>
  <si>
    <t>Кабинет химии и лаборантская</t>
  </si>
  <si>
    <t>521-301-1801</t>
  </si>
  <si>
    <t>Шкаф вытяжной демонстрационный</t>
  </si>
  <si>
    <t>521-301-1801-0001</t>
  </si>
  <si>
    <t>Шкаф вытяжной демонстрационный с защитным экраном, раковиной и смесителем 1200х690х2200мм</t>
  </si>
  <si>
    <t>Шкаф вытяжной демонстрационный с защитным экраном, раковиной и смесителем. Размеры 1200х690х2200мм. Цельнометаллическая сварная конструкция с полимерно-порошковым покрытием. Подъемный экран выполнен из оконного стекла для усиления механической прочности помещен в металлическую рамку.  Подъемный экран уравновешивается противовесами, благодаря которым экран может быть зафиксирован в любом положении. К верхнему горизонту крепится патрубок для подключения к системе общей вентиляции. Нижняя часть – металлическая тумба с панелью для оборудования электропитания. Тумба оснащена 3-мя дверьми.  За металлической дверью имеется несъемная полка. Каждая дверь закрывается на врезной замок. Комплектация: смеситель для воды с гибкой подводкой; сливная раковина d150мм из полипропилена со сливом.
Установлена люминесцентная лампа. Спереди шкафа имеются: –
электрические розетки, прикрываемые пластиковой крышкой</t>
  </si>
  <si>
    <t>521-301-1801-0002</t>
  </si>
  <si>
    <t>Шкаф вытяжной демонстрационный с защитным экраном, раковиной и смесителем 900х640х2087мм</t>
  </si>
  <si>
    <t>Шкаф вытяжной  900*640*2087 на металлическом основании, каркас которого нижняя часть изготовлен из лдсп, а ноги из квадратной трубы 30х30 толщина стенки не менее 1,5 мм. Верхняя часть шкафа выполнена из трубы прямоугольного сечения по задней части 60*30мм и 60*60мм по передней части, дополнительно из профиля F2 в которое вставляется оргстекло. Шкаф оборудован вытяжкой и предназначен для проведения опытов с более летучими веществами. Имеется 2 розетки и раковина 300*150мм</t>
  </si>
  <si>
    <t>521-301-1801-0003</t>
  </si>
  <si>
    <t>Шкаф вытяжной демонстрационный с защитным экраном, раковиной и смесителем 1200х700х2200мм</t>
  </si>
  <si>
    <t>Каркас шкафа изготовлен из стали с покрытием. Рабочая зона со столешницей выполнена из керамогранита. Она снабжена двухуровневой вытяжкой, подъемным экраном из триплекса, светодиодным светильником. Установлена на опорную тумбу с дверцами и вытяжкой. Стеклянный экран фиксируется в любом положении от «полностью закрыт» до «полностью открыт». В столешницу допускается встраивание раковины с кранами.
Наружная и внутренняя поверхности шкафа окрашены порошковой, эпоксиполиэфирной краской. Подъемный защитный экран покрыт противоударной пленкой и фиксируется на любой высоте. Комплектация: Светильник размещен вне зоны воздействия агрессивных сред.
Электророзетки 16А 250В (3шт); Выключатель освещения 10А, 250В;
Дифференциальный автомат, двухполюсный 16А 250В; Патрубок для подключения к системе вентиляции Ø250мм; Тумбы в нижней части шкафа (полки, двери).
Кран для подачи воды в рабочей зоне; Сливная полипропиленовая чаша не менее 120*100мм</t>
  </si>
  <si>
    <t>521-301-1801-0004</t>
  </si>
  <si>
    <t>Шкаф вытяжной демонстрационный с защитным экраном, раковиной и смесителем 1200х600х2200мм</t>
  </si>
  <si>
    <t>Шкаф вытяжной демонстрационный с системой вентиляции, размеры: 1200х600х2000мм. Корпус металлический, шкаф двухсекционный.
Фасадная часть с дверцей открываются вертикально и фиксируются в трех положениях с помощью кнопочных фиксаторов. Потолок и нижний отсек изготовлены из ЛДСП толщиной 16мм и имеет вытяжной вентилятор.
Столешница толщиной 22 мм с химически термоустойчивым пластиковым покрытием толщиной 0,6мм, цвет белый. Кромка столешницы изготовлена из ПВХ толщиной 2мм.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смеситель лабораторный – 1 шт, полипропиленовая раковина лабораторная – 1 шт, сифон канализационный бытовой – 1 шт, вентилятор вытяжной электрический – 1 шт, розетка  IP56 с защитной шторкой - 2шт</t>
  </si>
  <si>
    <t>521-301-1801-0005</t>
  </si>
  <si>
    <t>Шкаф вытяжной демонстрационный с защитным экраном, раковиной и смесителем 1200х600х2000мм</t>
  </si>
  <si>
    <t>Несущая часть состоит из ЛДСП 16мм. Фасадная часть со стеклом открываются горизонтально и фиксируются в двух положениях с помощью кнопочных фиксаторов. Потолок и нижний отсек изготовлены из ЛДСП белого цвета толщиной 16 мм и имеет вытяжной вентилятор. Столешница толщиной 22 мм из химически-термоустойчивого пластикового покрытия толщиной 0,6 мм, цвет белый. Кромка столешницы изготовлена из ПВХ толщиной 2 мм. На краю столешницы вмонтированы раковина и кран.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кран излива – 1 шт, раковина лабораторная – 1 шт, сифон канализационный бытовой – 1шт, вентилятор
вытяжной электрический – 1 шт. Розетка двойная 220в</t>
  </si>
  <si>
    <t>521-301-1801-0006</t>
  </si>
  <si>
    <t>Шкаф вытяжной демонстрационный с защитным экраном и раковиной, размер 1100х600х2400мм</t>
  </si>
  <si>
    <t>Материал: ЛДСП 16 мм, столешница постформинг 25 мм. В верхней части за остеклением столешница с мойкой (диаметром 14 см, глубиной до сливного отверстия 12 см)  и лабораторным краном. В нижней части - вставная полка за двумя глухими дверями. Кромки деталей облицованы полимерным кромочным материалом (ПВХ), толщиной 1,5 мм. Имеется раковина и лабораторный кран. Фурнитура: стяжка типа BLUM, навес типа BLUM, ручки</t>
  </si>
  <si>
    <t>521-301-1801-0007</t>
  </si>
  <si>
    <t>Шкаф вытяжной металлический демонстрационный с защитным экраном, раковиной и смесителем 1500х850х2350мм</t>
  </si>
  <si>
    <t>Лабораторный шкаф имеет разборную конструкцию, состоящую из верхней части - вытяжной камеры и нижней части - шкафа с двумя отделениями. Шкаф: основой изделия является сборно-разборный металлический каркас, окрашенный порошковой краской RAL-7035. Вытяжка воздуха осуществляется из верхней и средней части камеры, чтобы удалить из рабочей зоны газ и пары. Внутренний каркас изготовлен из кислостойкого HPL. Столешница выполнена из монолитного химически стойкого материала (HPL), устойчивого к сильным ударам, кислотам и щелочам.
Имеется встроенная шести зонная вентиляция в рабочем пространстве шкафа. За циркуляцию воздуха отвечает осевой вентилятор мощностью 40 Вт, диаметром 160 мм, напряжением 220 В, скоростью вращения 1450 об/мин и уровнем шума 30 дБ. Брызгозащищенные электророзетки (2 шт.) с заземлением. Также имеется автоматическое устройство аварийного отключения питания. Светодиодный светильник 30 Вт размещен на верхней панели вытяжной камеры над рабочей зоной. Экран изготовлен из закаленного стекла толщиной 5 мм и алюминиевой рамы. Механизм подъема расположен вне рабочей зоны. При полностью открытом рабочем пространстве экраны не выходят за габариты вытяжного шкафа.
Подъемный механизм обеспечивает легкое перемещение и надежное фиксирование экрана на любой заданной высоте. В комплектацию входят мойка, стойкая к кислотам, из PP материала (1 шт.) и лабораторный медный
кран (1 шт.).</t>
  </si>
  <si>
    <t>521-301-1802</t>
  </si>
  <si>
    <t>Тележка пластиковая с 4 лотками</t>
  </si>
  <si>
    <t>Тележка пластиковая с 4 лотками изготовлена из пластика. Передвижная, оснащена 4 колесиками.  Размеры 430х354х645 мм. В комплекте 4 пластиковых лотка яркого цвета разной высоты: размер лотка 312 х 427 х 75 мм - 2 штуки, размер лотка 312 х 427 х 150 мм – 2 штуки. Лотки должны быть изготовлены из прочного полипропилена.</t>
  </si>
  <si>
    <t>521-301-1803</t>
  </si>
  <si>
    <t>Шкаф металлический для реактивов</t>
  </si>
  <si>
    <t>521-301-1803-0001</t>
  </si>
  <si>
    <t>Шкаф для химических реактивов 800*500*1800</t>
  </si>
  <si>
    <t>Шкаф металлический окрашен полимерной краской. Полки не съемные. Дверцы двустворчатые.  Правые двери(верхние и нижние) оборудованы замком, без ручек. Левые двери – шпингалетом. Размеры: 800х500х1800 мм. К верхнему горизонту крепится патрубок, высота патрубка 100мм.</t>
  </si>
  <si>
    <t>521-301-1803-0002</t>
  </si>
  <si>
    <t>Шкаф для химических реактивов 900х420х1920</t>
  </si>
  <si>
    <t>Конструкция изготовленная из листовой стали. Шкаф оборудован внизу – двумя металлическими дверями, регулируемой полкой внутри; вверху – двумя металлическими дверями, двумя регулируемыми полками внутри; вверху – химически стойким патрубком диаметром 100 мм для подключения к центральной вытяжной системе. Четыре распашные двери оборудованы замками.  Размеры 900х420х1970мм. Замок+ключ</t>
  </si>
  <si>
    <t>521-301-1803-0003</t>
  </si>
  <si>
    <t>Шкаф для химических реактивов пожарозащищенный 500х500х900</t>
  </si>
  <si>
    <t>Шкаф для хранения реактивов (пожарозащищенный). Размеры 500х500х900мм. Огнестойкость не менее 60 минут, патрубок для ЦВС. Разделен на два закрытых отдела. В верхнем имеется перегородка, с каждой стороны по 2 полки. В нижнем имеется перегородка, с каждой стороны по 1 полке. По середине этих отделов имеются 2 выдвижные полки.</t>
  </si>
  <si>
    <t>521-301-1803-0004</t>
  </si>
  <si>
    <t>Шкаф для химических реактивов 800х400х1750мм</t>
  </si>
  <si>
    <t>Шкаф изготовлен из стали, толщина корпуса 0,6мм, толщина двери 0,7мм, комплектуются ключевыми замками, замок устанавливается на верхнюю и на нижнюю дверь. Ручка пластиковая. Максимальная нагрузка на металлическую полку – 30 кг. Общее количество полок-5шт. Полки имеют перфорацию для вентилирования. Сверху крепиться патрубок
диаметром-100 мм (металлический). Нижняя часть задней стенки оснащена вентиляционными отверстиями. Ножки Н100мм.</t>
  </si>
  <si>
    <t>521-301-1805</t>
  </si>
  <si>
    <t>Стол демонстрационный с раковиной</t>
  </si>
  <si>
    <t>521-301-1805-0001</t>
  </si>
  <si>
    <t>Стол демонстрационный с раковиной
(составной из двух столов) 2400*750*750мм</t>
  </si>
  <si>
    <t>Стол демонстрационный состоит из двух частей с бортом, однотумбовый в каждой части. Каркас цельносварная рамочная конструкция, окрашеная стойкой порошковой краской. Столешница изготовлена из ДСП с декоративно-пластиковым покрытием,тумбы и стенки – надстройки изготовлены из ЛДСП 16мм. Под крышкой на лицевой панели закреплена электрическая розетка на 220V, и 42V. В комплекте стола имеются раковина лабораторная с краном, сифон канализационный. Размеры: 2400х750х750мм</t>
  </si>
  <si>
    <t>521-301-1805-0002</t>
  </si>
  <si>
    <t>Стол демонстрационный с раковиной
2800*600*900мм столешница-постформинг</t>
  </si>
  <si>
    <t>Стол демонстрационный имеет электрические розетки на 220V, и 42V. Стол-тумба с моечной раковиной. Каркас цельносварная рамочную конструкцию, окрашеная стойкой к химическим и механическим воздействиям порошковой краской. Столешница выполнена из постформинга28мм, ящики и стенки – надстройки – изготовлены из ламинированной ДСП 16мм . В комплекте имеются лабораторная раковина с краном, сифон канализационный. Размеры: 2800х600х900мм</t>
  </si>
  <si>
    <t>521-301-1805-0003</t>
  </si>
  <si>
    <t>Стол демонстрационный с раковиной
2800*700*900мм столешница-керамо-плитка</t>
  </si>
  <si>
    <t>Стол демонстрационный состоит из трех частей с бортом, тумбой. Столешница- шлифованное ДСП 16мм, с керамической плиткой. На лицевой панели закреплена электрическая розетка на 220V, и 42V. Тумба с моечной раковиной. Каркас цельносварная рамочную конструкцию, окрашеная стойкой к химическим и механическим воздействиям порошковой краской. Ящики и стенки – надстройки – изготовлены из ЛДСП 16мм . В комплекте имеются раковина с краном, сифон канализационный. Размеры: 2800х700х900мм</t>
  </si>
  <si>
    <t>521-301-1805-0004</t>
  </si>
  <si>
    <t>Стол 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</si>
  <si>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t>Рабочая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В рабочую поверхность стола вмонтирована раковина. На сервисной панели стола расположены автомат отключения питания УЗО 16 А и 4 электророзетки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RAL 7040. Инженерные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RAL 7040. Размеры 2000 мм
х 750 мм.</t>
  </si>
  <si>
    <t>521-301-1805-0005</t>
  </si>
  <si>
    <t>Стол демонстрационный лабораторный с раковиной и  встроенными тумбами.
Столешница из химического стойкого пластика 16мм, основание металлокаркас, размер 1800х750х900мм.</t>
  </si>
  <si>
    <t>Наличие крана и раковины, без розеток. Стол на 2-х боковых опорах, соединенных между собой царгой. Стол на 2-х боковых опорах, соединенных между собой царгой.  Раковина из полипропилена, размером 300х150мм. Столешница из химического стойкого пластика 16мм, должна быть устойчива к различным воздействиям (нагрев, кислоты, растворители и пр.). Торцы закатаны кромочным материалом ПВХ не менее 1,0 мм.
Корпус состоит из металокаркаса, окрашенного в полимерно-порошковую краску. Столешница должна быть антивандальной и устойчивой к
царапинам и повреждениями.</t>
  </si>
  <si>
    <t>521-301-1805-0006</t>
  </si>
  <si>
    <t>Стол 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</si>
  <si>
    <t>Каркас металлический. Размер 1800х750х900мм. Столешница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Кромка ПВХ 2мм. Боковые опоры: глухая, передняя панель изготовлена из квадратного перфорационного листа, толщиной 1,2мм, ящики и дверцы изготовлены из ЛДСП. Торцы закатаны кромкой ПВХ 2мм,  к столу подведены все коммуникации, розетки IP56 с защитной шторкой, с краном и раковиной.</t>
  </si>
  <si>
    <t>521-301-1805-0007</t>
  </si>
  <si>
    <t>Стол демонстрационный с раковиной, розетками, размер 2000*750*900мм</t>
  </si>
  <si>
    <t>Основание металлический каркас, выполнен из трубы квадратного сечения. Ножки с регулировкой высоты. На лицевой панели расположены розетки ip56 с защитой в количестве 6 штук.
Мойка из полипропилена, квадратная. Кран металический. Габариты 2000*750*900мм. Стол имеет 3 выдвижные полки, 2 встроенные тумбы размером 656х639мм с двумя ящиками под формуляры. Стол выполнен из ЛДСП 16 мм, торцы обрамлены кантом ПВХ 1мм. Столешница из ЛДСП 16мм.</t>
  </si>
  <si>
    <t>521-301-1805-0008</t>
  </si>
  <si>
    <t>Стол демонстрационный с раковиной и письменным столом в комплекте, столешница постформинг 25мм, размер 2400х600х900(750) мм</t>
  </si>
  <si>
    <t>Стол состоит из двух частей, ЛДСП толщиной 16 мм, столешница выполнена из химически стойкой плиты постформинг 25 мм. В левой части стола оборудована тумба стационарная, за глухим фасадом - 1 вставная полка. С левой стороны лабораторный кран с раковиной. Раковина из химически стойкого пластика, диаметром 140мм, глубиной (до сливного отверстия) 120мм. В правой части стола оборудована стационарная тумба с четырьмя выдвижными ящиками. Фурнитура: конфирматы, стяжка BLUM, полкодержатель металлический (без пластиковых элементов), роликовые направляющие, ручки, навес мебельный BLUM.</t>
  </si>
  <si>
    <t>521-301-1805-0010</t>
  </si>
  <si>
    <t>Стол демонстрационный с раковиной, размеры 1600х750х900 мм. Столешница из ЛДСП 22 мм, покрытая пластиком, кромка
ПВХ, раковина полипропиленовая размером 300х300мм</t>
  </si>
  <si>
    <t>Материал столешницы должен быть ЛДСП толщиной не менее 22 мм, покрытая пластиком толщиной не менее 0,5 мм. Кромка должна быть из ПВХ не менее 2 мм. На столешнице должен располагаться вырез для установки мойки полипропиленовой с левой стороны, размером 300х300.
Стол состоит из двух боковых опор, глухой передней панели, крышки и дна. Внутренние полки должны быть изготовлены из ЛДСП толщиной не менее 16мм. Дверцы должны быть изготовлены из цветного ЛДСП толщиной не менее 16мм. Внутри стола должна быть полка и вертикальная перегородки на всю высоту. Внутреннее пространство стола должно быть поделено на 2 отдела, один из которых закрыт глухой дверью для скрытия коммуникаций.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</si>
  <si>
    <t>521-301-1806</t>
  </si>
  <si>
    <t>Шкаф лабораторный для хранения методических материалов, наборов и посуды</t>
  </si>
  <si>
    <t>521-301-1806-0001</t>
  </si>
  <si>
    <t>Шкаф для хранения методических материалов. Размеры 900*600*1970мм. Верхний топ из ЛДСП 22 мм, боковые и фасадные из ЛДСП 18мм, полки съёмные из листового металла. Основание металлический каркас. Снизу глухие двери с замком и ключом, сверху стеклянные двери в алюминиевом профиле, стекло бесцветное</t>
  </si>
  <si>
    <t>Шкаф для хранения методических материалов. Размеры 900*600*1970мм. Верхний топ из ЛДСП 22 мм. Боковые и фасадные части из ЛДСП 18 мм, полки съёмные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стеклянные двери в алюминиевом профиле, стекло бесцветное, 2 полками внутри.</t>
  </si>
  <si>
    <t>521-301-1806-0002</t>
  </si>
  <si>
    <t>Шкаф для хранения наборов, лабораторной посуды. Размеры 900*600*1970мм. 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Все двери имеют замок+ключ</t>
  </si>
  <si>
    <t>Шкаф для хранения наборов, лабораторной посуды. Размеры 900*600*1970мм. Верхний топ из ЛДСП 22 мм. Боковые и фасадные части из ЛДСП 18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t>
  </si>
  <si>
    <t>521-301-1806-0003</t>
  </si>
  <si>
    <t>Шкаф для 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</si>
  <si>
    <t>Верхний топ из ЛДСП 16 мм. Боковые и фасадные части из ЛДСП 16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 Размеры 900х600х1970мм.</t>
  </si>
  <si>
    <t>521-301-1806-0004</t>
  </si>
  <si>
    <t>Система для хранения лотков мобильная, 19 лотков для хранения из АБС-пластика, размерами 312x427х75 мм, столешница ЛДСП 22 мм, кромка ПВХ 2 мм, размеры 1190х580х850 мм</t>
  </si>
  <si>
    <t>Габаритные размеры столешницы должны быть, не менее 1190х580 мм. Высота верхнего края столешницы над уровнем пола должна быть 850 мм.
Материал столешницы ЛДСП должен быть толщиной не менее 22мм.
Кромка должна быть из ПВХ не менее 2мм. Каркас стола должен состоять из двух боковых опор, изготовленных из труб квадратного сечения 40х40, толщиной не менее 1,2 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В средней секции находится выдвижной ящик, высотой 156 мм, с эргономичным вырезом вместо ручки.</t>
  </si>
  <si>
    <t>521-301-1900</t>
  </si>
  <si>
    <t>Коллекции и модели демонстрационные для кабинета химии</t>
  </si>
  <si>
    <t>521-301-1922</t>
  </si>
  <si>
    <t>Набор моделей масштабных молекул</t>
  </si>
  <si>
    <t>521-301-1923</t>
  </si>
  <si>
    <t>Набор моделей молекул по органике и неорганике для учащегося</t>
  </si>
  <si>
    <t>521-301-1923-0001</t>
  </si>
  <si>
    <t>521-301-1923-0002</t>
  </si>
  <si>
    <t>Набор моделей молекул по органике и неорганике для учащихся типа Cornelsen Experimenta 36685/44237</t>
  </si>
  <si>
    <t>521-301-1924</t>
  </si>
  <si>
    <t>Набор моделей молекул по органике и неорганике для учителя</t>
  </si>
  <si>
    <t>521-301-1924-0001</t>
  </si>
  <si>
    <t>521-301-1925</t>
  </si>
  <si>
    <t>Набор моделей образования p и s связей</t>
  </si>
  <si>
    <t>521-301-1925-0001</t>
  </si>
  <si>
    <t>521-301-1925-0002</t>
  </si>
  <si>
    <t>Набор моделей образования p и s связей типа SHANGYU SEEWELL TEACHING COMPANY XMM-303, XMM-304, XMM-301</t>
  </si>
  <si>
    <t>521-301-1926</t>
  </si>
  <si>
    <t>Набор моделей р и d облаков и шаростержневых молекул</t>
  </si>
  <si>
    <t>521-301-1926-0001</t>
  </si>
  <si>
    <t>521-301-1926-0002</t>
  </si>
  <si>
    <t>Набор моделей р и d облаков и шаростержневых молекул типа SHANGYU SEEWELL TEACHING COMPANY
XMM-301</t>
  </si>
  <si>
    <t>521-301-1927</t>
  </si>
  <si>
    <t>Набор моделей электронных облаков и химических связей</t>
  </si>
  <si>
    <t>521-301-1927-0001</t>
  </si>
  <si>
    <t>521-301-1927-0002</t>
  </si>
  <si>
    <t>Набор моделей электронных облаков и химических связей типа SHANGYU SEEWELL TEACHING COMPANY XMM-304</t>
  </si>
  <si>
    <t>521-301-2000</t>
  </si>
  <si>
    <t>Наборы химических реактивов</t>
  </si>
  <si>
    <t>521-301-2001</t>
  </si>
  <si>
    <t>Набор "Кислоты"</t>
  </si>
  <si>
    <t>521-301-2002</t>
  </si>
  <si>
    <t>Набор "Гидроксиды"</t>
  </si>
  <si>
    <t>521-301-2003</t>
  </si>
  <si>
    <t>Набор "Оксиды металлов"</t>
  </si>
  <si>
    <t>521-301-2004</t>
  </si>
  <si>
    <t>Набор "Металлы"</t>
  </si>
  <si>
    <t>521-301-2004-0001</t>
  </si>
  <si>
    <t>Набор "Металлы", малый</t>
  </si>
  <si>
    <t>521-301-2005</t>
  </si>
  <si>
    <t>Набор "Минеральные удобрения"</t>
  </si>
  <si>
    <t>521-301-2006</t>
  </si>
  <si>
    <t>Набор "Иониты"</t>
  </si>
  <si>
    <t>521-301-2007</t>
  </si>
  <si>
    <t>Набор "Образцы неорганических веществ"</t>
  </si>
  <si>
    <t>521-301-2008</t>
  </si>
  <si>
    <t>Набор "Галогениды"</t>
  </si>
  <si>
    <t>521-301-2009</t>
  </si>
  <si>
    <t>Набор "Сульфаты, сульфиды, сульфиты"</t>
  </si>
  <si>
    <t>521-301-2010</t>
  </si>
  <si>
    <t>Набор "Соли для демонстрационных опытов"</t>
  </si>
  <si>
    <t>521-301-2011</t>
  </si>
  <si>
    <t>Набор "Фосфаты, силикаты"</t>
  </si>
  <si>
    <t>521-301-2012</t>
  </si>
  <si>
    <t>Набор "Соединения марганца"</t>
  </si>
  <si>
    <t>521-301-2013</t>
  </si>
  <si>
    <t>Набор "Нитраты"</t>
  </si>
  <si>
    <t>521-301-2014</t>
  </si>
  <si>
    <t>Набор "Индикаторы"</t>
  </si>
  <si>
    <t>521-301-2015</t>
  </si>
  <si>
    <t>Набор "Соединения хрома"</t>
  </si>
  <si>
    <t>521-301-2016</t>
  </si>
  <si>
    <t>Набор "Материалы"</t>
  </si>
  <si>
    <t>521-301-2018</t>
  </si>
  <si>
    <t>Набор для экспериментов "Электрохимия"</t>
  </si>
  <si>
    <t>521-301-2018-0001</t>
  </si>
  <si>
    <t>Набор для экспериментов по электрохимии типа Cornelsen Experimenta 51901</t>
  </si>
  <si>
    <t>521-301-2100</t>
  </si>
  <si>
    <t>Посуда лабораторная и принадлежности для кабинета химии</t>
  </si>
  <si>
    <t>521-301-2101</t>
  </si>
  <si>
    <t>Набор посуды и принадлежностей для химических опытов</t>
  </si>
  <si>
    <t>521-301-2101-0001</t>
  </si>
  <si>
    <t>Набор химической посуды и принадлежностей для лабораторных работ</t>
  </si>
  <si>
    <t>В набор входят: Колба круглодонная, 50 мл
Колба плоскодонная, 50 мл Колба коническая, 50 мл Колба коническая, 100 мл
Стакан высокий с носиком и шкалой, 50 мл Стакан высокий со шкалой, 100 мл
Мензурка коническая, 50 мл
Цилиндр мерный с носиком на подставке,100 мл Ступка с пестиком, фарфор, d- 60 мм  Тигли низкие c крышкой, фарфор, 50 м
Чашка выпарительная с носиком, фарфор, 50 мл Воронка 56-80
Пробирка 12*100 Пробирка 15*150
Трубка стеклянная, d- 5 мм, L-5 см Пробка резиновые с отверстием 14,5 м Спиртовка лабораторная, 150 мл
Трубка У-образная
Лоток для раздаточного материала Промывала, 250 мл
Штатив для пробирок на 10 гнезд, d- 18 мм Зажим пробирочный
Щипцы тигельные
Пластины для капельного анализа, фарфор, 12 гнёзд Ложка-шпатель
Палочка стеклянная, d- 6 мм, L-30 см Трубка резиновая  1 м Пипетка пластиковая 6</t>
  </si>
  <si>
    <t>521-301-2101-0002</t>
  </si>
  <si>
    <t>Набор химической посуды и принадлежностей для кабинета физики</t>
  </si>
  <si>
    <t>Комплектность: 1 Воронка d 75-110 2 шт.,2 Колба коническая 250мл 2 шт.,3
Колба плоскодонная 250 мл 2 шт.,4 Колба плоскодонная 500 мл 1 шт.,5 Стакан с меткой 50 мл 15 шт.,6 Стакан с делением 600 мл 2 шт.,7 Стакан с делением 250мл 15 шт.,8 Цилиндр измерительный, 250 мл 2 шт.,9 Цилиндр 50 мл 5 шт.,10 Чаша кристаллизационная 180 мм (термостойкое стекло) 1 шт.,11 Набор трубок (15-20 см, 5 шт.) 1шт.,12 Зажим винтовой 5 шт.,13 Зажим пружинный 2 шт.</t>
  </si>
  <si>
    <t>521-301-2102</t>
  </si>
  <si>
    <t>Аппарат для проведения химических реакций</t>
  </si>
  <si>
    <t>521-301-2102-0001</t>
  </si>
  <si>
    <t>521-301-2102-0002</t>
  </si>
  <si>
    <t>Аппарат для проведения химических реакций. Емкость колбы реактора 500 мл</t>
  </si>
  <si>
    <t>Емкость колбы реактора 500 мл.</t>
  </si>
  <si>
    <t>521-301-2103</t>
  </si>
  <si>
    <t>Аппарат Киппа. Обьем - 250мл</t>
  </si>
  <si>
    <t>521-301-2104</t>
  </si>
  <si>
    <t>Колбонагреватель</t>
  </si>
  <si>
    <t>Представляет собой устройство, предназначенное для нагрева различных растворов, смесей, проб и образцов в колбах в лабораторных условиях.
Объем нагревательной колбы 250-1000 мл.</t>
  </si>
  <si>
    <t>521-301-2105</t>
  </si>
  <si>
    <t>Набор ареометров (19 шт)</t>
  </si>
  <si>
    <t>Предназначены для изучения устройства ареометра и измерения плотности жидкостей. Диапазон от 700 до 1840 кг/м3. В наборе 19 штук</t>
  </si>
  <si>
    <t>521-301-2106</t>
  </si>
  <si>
    <t>Нагреватель пробирок</t>
  </si>
  <si>
    <t>521-301-2106-0001</t>
  </si>
  <si>
    <t>Нагреватель пробирок универсальный</t>
  </si>
  <si>
    <t>Нагреватель пробирок. Должен обеспечивать нагрев не менее 5 см3 воды в пробирке от температуры 20 °С ± 5 °С до кипения.</t>
  </si>
  <si>
    <t>521-301-2106-0002</t>
  </si>
  <si>
    <t>Нагреватель пробирок электрический</t>
  </si>
  <si>
    <t>Предназначен для нагревания различных веществ в пробирках 14*120 (кроме горючих и легко воспламеняющихся жидкостей). Источник напряжения 42V.
Изделие состоит из пластмассовых основания и кольца, скрепленных между собой тремя стяжками. В круговой прорези основания и кольца вставлен защитный экран, выполненный в виде металлического цилиндра. Защитный экран предотвращает от случайного прикосновения к нагретым поверхностям изделия. На основании установлен нагреватель.</t>
  </si>
  <si>
    <t>521-301-2107</t>
  </si>
  <si>
    <t>Прибор для сбора газов</t>
  </si>
  <si>
    <t>Прибор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t>
  </si>
  <si>
    <t>521-301-2109</t>
  </si>
  <si>
    <t>Штатив лабораторный химический</t>
  </si>
  <si>
    <t>521-301-2111</t>
  </si>
  <si>
    <t>Дистиллятор</t>
  </si>
  <si>
    <t>521-301-2111-0001</t>
  </si>
  <si>
    <t>Аппарат для дистилляции воды</t>
  </si>
  <si>
    <t>Аппарат для дистилляции воды. Производства дистиллированной воды 5 л/ч, выход воды 5 л, потребляемая мощность 4,5 кВт, входная мощность 220 В</t>
  </si>
  <si>
    <t>521-301-2111-0002</t>
  </si>
  <si>
    <t>Дистиллятор воды типа ScienceCube, MDS-102. Производительность: 1 л/ч.
Водосборник: пластик, объём 3,6 л. Ёмкость: нержавеющая сталь. Потребляемая мощность: 750 Вт</t>
  </si>
  <si>
    <t>521-301-2112</t>
  </si>
  <si>
    <t>Сушильный шкаф</t>
  </si>
  <si>
    <t>521-301-2112-0001</t>
  </si>
  <si>
    <t>Нагрев не выше 200 градусов. Представляет собой термокамеру с электрообогревом, в которой установлены полки для материалов и принадлежностей. Корпус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Установлена дверь в электрическую рубку управления, приборы, электроприборы, электрическая схема. Студийный нижний обогреватель. Габаритные размеры рабочей камеры: 250*260*250мм, внешний размер 530*480*420мм, мощность 450Вт. Объем рабочей камеры 16л. Источник питания- переменный ток 220В/50Гц.
Аппарат снабжен системой защиты от перегрева, имеет цифровой дисплей
и настройку.</t>
  </si>
  <si>
    <t>521-301-2113</t>
  </si>
  <si>
    <t>Горелка</t>
  </si>
  <si>
    <t>521-301-2113-0001</t>
  </si>
  <si>
    <t>Горелка универсальная</t>
  </si>
  <si>
    <t>Горелка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На верхней части внутренней трубки через резиновый патрубок закреплен отрезок кварцевой термостойкой трубки.</t>
  </si>
  <si>
    <t>521-301-2114</t>
  </si>
  <si>
    <t>Прибор для получения растворимых веществ
в твердом виде</t>
  </si>
  <si>
    <t>Объем колбы-реактора 500 мл.
Комплектность:
колба - 1 шт.,
сосуд для жидких веществ - 2 шт., воронка делительная - 1 шт., воронка капельная - 1 шт., колпачок - 2 шт.,
колонка реакционная - 1 шт., сосуд для твердых веществ - 1 шт.
Принцип работы прибора основан на образовании твердых растворимых веществ в результате химических реакций.</t>
  </si>
  <si>
    <t>521-301-2115</t>
  </si>
  <si>
    <t>Эвдиометр</t>
  </si>
  <si>
    <t>Прибор состоит из стеклянной трубки - корпуса с двумя отводами, в которые через резиновые пробки вставлены электроды. Верхняя и нижняя части корпуса закрыты резиновыми пробками со стеклянными трубками. На корпус нанесены метки, которые делят его объем на 7 равных частей.
Комплектность:
стеклянная трубка-корпус с двумя отводами – 1 шт., резиновые пробки со стеклянными трубками – 2 шт., резиновые пробки с электродами – 2 шт.,
Прибор состоит из стеклянной трубки-корпуса с двумя отводами, в которые через резиновые пробки вставлены электроды. Верхняя и нижняя части трубки закрыты резиновыми пробками со стеклянными трубками. На корпус нанесены метки, делящие его объем на несколько частей.</t>
  </si>
  <si>
    <t>521-301-2116</t>
  </si>
  <si>
    <t>Аппарат для электролиза</t>
  </si>
  <si>
    <t>Предназначен для демонстрации опытов по исследованию электропроводности и электролизу различных веществ. U-образная стеклянная трубка , двумя газоотводами 1 шт.</t>
  </si>
  <si>
    <t>521-301-2117</t>
  </si>
  <si>
    <t>Колонка адсорбционная</t>
  </si>
  <si>
    <t>Представляет собой тонкостенный сосуд из стекла стубулусами и небольшой перетяжкой в средней его части.
Прибор представляет собой тонкостенный сосуд с тремя впаянными патрубками (один - в верхней части и два - в нижней), и кольцевым перехватом на расстоянии 40 мм от основания.</t>
  </si>
  <si>
    <t>521-301-2118</t>
  </si>
  <si>
    <t>Прибор для иллюстрации сохранения массы
веществ</t>
  </si>
  <si>
    <t>Прибор состоит из двух колб с принадлежностями, одна изкоторых используется для проведения реакций без выделения газа, другая - с выделением газа.
Комплектность:
колба плоскодонная 50 мл – 2 шт.,
пипетка химическая лабораторная на пробке резиновой – 2 шт., воронка – 1 шт.,
шарик надувной резиновый – 1шт., нитка швейная (L = 40 см) – 1шт., руководство по эксплуатации – 1 шт.</t>
  </si>
  <si>
    <t>521-301-2119</t>
  </si>
  <si>
    <t>Прибор для опытов с электрическим током</t>
  </si>
  <si>
    <t>Комплектность: пластмассовый сосуд – 1 шт.,
крышка с тремя клеммами, двумя зажимами и индикатором – 1 шт., электроды из графита – 2 шт.,
контактор – 1 шт., руководство по эксплуатации – 1 шт.
Один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t>
  </si>
  <si>
    <t>521-301-2120</t>
  </si>
  <si>
    <t>Станция для промывки глаз</t>
  </si>
  <si>
    <t>Используется при попадании в глаза инородных тел (металлической или древесной стружки, пыли, грязи). Флаконы содержат стерильный раствор хлорида натрия (0,9%).
В комплект входит пиктограмма (инструкция по применению) на внешней стороне крышки и зеркало на внутренней.
Флакон pH Neutra 200 мл содержит стерильный буферный раствор фосфата концентрацией 4,9%.
Флакон Plum Eye Wash 500 мл содержит 0,9% стерильный раствор хлорида натрия.
Все флаконы имеют колпачок эргономичной формы, пылезащитную крышку и подробную инструкцию на этикетке.
Продукты предназначены для оказания первой помощи.</t>
  </si>
  <si>
    <t>521-301-2121</t>
  </si>
  <si>
    <t>РН-тестер кондуктивный со встроенным
электродом</t>
  </si>
  <si>
    <t>521-301-2122</t>
  </si>
  <si>
    <t>Мешалка магнитная</t>
  </si>
  <si>
    <t>521-301-2122-0001</t>
  </si>
  <si>
    <t>Мешалка магнитная типа ScienceCube, MDS-101. Мощность: 5 Вт. Скорость: 200-2000 об/мин. Размер рабочей платформы: 135 мм</t>
  </si>
  <si>
    <t>521-301-2122-0002</t>
  </si>
  <si>
    <t>Магнитная мешалка. Мощность: 10Вт.
Скорость: 100-600 оборотов/мин</t>
  </si>
  <si>
    <t>Напряжение питающей сети переменного тока частотой 50 Гц, В 220.
Потребляемая мощность не более 10Вт. Скорость вращения, оборотов/мин 100.  600. Режим работы непрерывный. Комплектация: мешалка магнитная -
1 шт.; стержни перемешивающие - 3 шт.; вставка плавкая ВП1-0,25А 1 шт.</t>
  </si>
  <si>
    <t>521-301-2122-0003</t>
  </si>
  <si>
    <t>Магнитная мешалка с подогревом. Скорость:
от 120 до 1500 об/мин</t>
  </si>
  <si>
    <t>Предназначена для перемешивания жидкостей с помощью вращающегося в магнитном поле якоря. Максимальный перемешиваемый объем 1000 ml. Электропитание от сети переменного тока напряжением 220В. Диапазон вращения якоря от 120 до 1500 об/мин</t>
  </si>
  <si>
    <t>521-301-2123</t>
  </si>
  <si>
    <t>Плитка электрическая лабораторная</t>
  </si>
  <si>
    <t>Плитка электрическая малогабаритная. Рабочее напряжение: 220 В. Мощность: 1000 Вт. Диаметр конфорки 14 см. Дисковый нагревательный элемент из высококачественного чугуна. Плавная регулировка температуры. Защита от перегрева. Световой индикатор работы</t>
  </si>
  <si>
    <t>521-301-2124</t>
  </si>
  <si>
    <t>Центрифуга термальная</t>
  </si>
  <si>
    <t>521-301-2124-0001</t>
  </si>
  <si>
    <t>Центрифуга электрическая. Максимальный объем: 60 мл. 6 пробирок по 20 мл. Частота вращения ротора: 1000-4000 об/мин</t>
  </si>
  <si>
    <t>Максимальный объем центрифугата: 60 мл. Количество пробирок: 6 пробирок по 20 мл. Частота вращения ротора: 1000-4000 об/мин.
Максимальное время непрерывной работы: 180 минут. Состоит из: корпуса, привода, пульта управления, ротора, крышки</t>
  </si>
  <si>
    <t>521-301-2124-0002</t>
  </si>
  <si>
    <t>Центрифуга демонстрационная. Максимальная вместимость 4×15 мл. Максимальная скорость вращения 3000 об/мин</t>
  </si>
  <si>
    <t>Прибор состоит из крестообразной пластины с вилками на концах. К вилкам подвешены на осях кольца с пластмассовыми полыми цилиндрами для вкладывания в них стеклянных пробирок.</t>
  </si>
  <si>
    <t>521-301-2300</t>
  </si>
  <si>
    <t>Кабинет музыки</t>
  </si>
  <si>
    <t>521-301-2302</t>
  </si>
  <si>
    <t>Музыкальный центр с беспроводными технологиями</t>
  </si>
  <si>
    <t>521-301-2302-0001</t>
  </si>
  <si>
    <t>Музыкальный центр типа LG CJ44, полная выходная мощность 480Вт, диапазон воспроизводимых частот 100-20000Гц, беспроводная связь Bluetooth, возможность подключения к мобильному устройству</t>
  </si>
  <si>
    <t>521-301-2306</t>
  </si>
  <si>
    <t>Пюпитр</t>
  </si>
  <si>
    <t>Пюпитр. Регулируемая высота 940 - 1420 мм; Держатель для нот 475 х 345 мм; Металлические узлы; Материал: сталь; Цвет: черный.</t>
  </si>
  <si>
    <t>521-301-2600</t>
  </si>
  <si>
    <t>Кабинет самопознания</t>
  </si>
  <si>
    <t>521-301-2602</t>
  </si>
  <si>
    <t>Стул полумягкий с пюпитром</t>
  </si>
  <si>
    <t>521-301-2602-0001</t>
  </si>
  <si>
    <t>Стул "Визитер" с пюпитром</t>
  </si>
  <si>
    <t>Каркас стула выполнен из металлической плоскоовальной трубы, окрашенной полимерной порошковой краской. Сидение и спинка стула и мебельной ткани – гобелен, винилискожа. Пюпитр из ЛДСП 16мм закреплен к каркасу стула.</t>
  </si>
  <si>
    <t>521-301-2602-0002</t>
  </si>
  <si>
    <t>Стул "ИЗО" с пюпитром</t>
  </si>
  <si>
    <t>Каркас стула выполнен из металлической плоскоовальной трубы. Обивка сиденья и спинки стула по согласованию. Пюпитр закреплен к каркасу стула. Размеры: Длина: 435мм, Ширина: 440мм, Высота: 840мм. Каркас металлический цветной</t>
  </si>
  <si>
    <t>521-301-2700</t>
  </si>
  <si>
    <t>Кабинет изобразительного искусства и черчения</t>
  </si>
  <si>
    <t>521-301-2701</t>
  </si>
  <si>
    <t>Тумбочка</t>
  </si>
  <si>
    <t>521-301-2701-0001</t>
  </si>
  <si>
    <t>Тумба, размеры не менее 416х416х625мм</t>
  </si>
  <si>
    <t>Размеры не менее 416х416х625 мм. Материал ЛДСП, толщиной не менее 16 мм. Имеет выдвижные и секционные ящики.</t>
  </si>
  <si>
    <t>521-301-2702</t>
  </si>
  <si>
    <t>Рейсшина</t>
  </si>
  <si>
    <t>521-301-2704</t>
  </si>
  <si>
    <t>Мольберт в комплекте с доской и чехлом</t>
  </si>
  <si>
    <t>521-301-2710</t>
  </si>
  <si>
    <t>Набор изделий декоративно-прикладного искусства и народных промыслов</t>
  </si>
  <si>
    <t>521-301-2711</t>
  </si>
  <si>
    <t>Набор драпировки</t>
  </si>
  <si>
    <t>521-301-2900</t>
  </si>
  <si>
    <t>Технология обработки древесины, металла и художественной обработки материалов</t>
  </si>
  <si>
    <t>521-301-2901</t>
  </si>
  <si>
    <t>Верстак универсальный ученический</t>
  </si>
  <si>
    <t>521-301-2901-0001</t>
  </si>
  <si>
    <t>Стол верстак однотумбовый (дверь+полки) без надстройки 1500*700*950</t>
  </si>
  <si>
    <t>521-301-2901-0002</t>
  </si>
  <si>
    <t>Стол верстак однотумбовый (дверь+полки) с надстройкой 1500*700*950/1610</t>
  </si>
  <si>
    <t>521-301-2901-0003</t>
  </si>
  <si>
    <t>Стол верстак однотумбовый (ящики) без надстройки 1500*700*950</t>
  </si>
  <si>
    <t>521-301-2901-0004</t>
  </si>
  <si>
    <t>Верстак инструментальный ITP-1-T. Размер 1200х600х860мм.</t>
  </si>
  <si>
    <t>521-301-2901-0005</t>
  </si>
  <si>
    <t>Верстак инструментальный ITP-1-T-S. Тумба с дверцей и перфопанель. Размер 1200х600х1310мм.</t>
  </si>
  <si>
    <t>Верстак инструментальный ITP-1-T-S. Тумба с дверцей и перфопанель.
Размер 1200х600х1310мм.</t>
  </si>
  <si>
    <t>521-301-2901-0006</t>
  </si>
  <si>
    <t>Верстак Profi (№201) WT120.WD1/F1.000</t>
  </si>
  <si>
    <t>Верстак Profi (№201) WT120.WD1/F1.000. Тумба и полка. Размер 866х1200х700мм.</t>
  </si>
  <si>
    <t>521-301-2901-0007</t>
  </si>
  <si>
    <t>Верстак Profi (№108) WT100.F1/F1.000</t>
  </si>
  <si>
    <t>521-301-2901-0008</t>
  </si>
  <si>
    <t>Верстак бестумбовый с подвесными ящиками ВПЭ</t>
  </si>
  <si>
    <t>521-301-2901-0009</t>
  </si>
  <si>
    <t>Верстак ВП-1</t>
  </si>
  <si>
    <t>521-301-2901-0010</t>
  </si>
  <si>
    <t>Верстак однотумбовый, тумба с дверцей ВП-2. Размер 1200х685х860мм.</t>
  </si>
  <si>
    <t>521-301-2901-0011</t>
  </si>
  <si>
    <t>Верстак однотумбовый, тумба с ящиками ВП-3. Размер 1200х685х860мм.</t>
  </si>
  <si>
    <t>521-301-2901-0012</t>
  </si>
  <si>
    <t>Верстак двухтумбовый, тумба с дверцей и тумба с 5 ящиками ВП-4. Размер 1600х685х860мм.</t>
  </si>
  <si>
    <t>521-301-2901-0013</t>
  </si>
  <si>
    <t>Верстак двухтумбовый, две тумбы с дверцами ВП-5. Размер 1600х685х860мм.</t>
  </si>
  <si>
    <t>521-301-2901-0014</t>
  </si>
  <si>
    <t>Верстак двухтумбовый, две тумбы с ящиками ВП-6/1,6. Размер 1600х685х860мм.</t>
  </si>
  <si>
    <t>521-301-2901-0015</t>
  </si>
  <si>
    <t>Верстак Стол ВС-1</t>
  </si>
  <si>
    <t>521-301-2901-0016</t>
  </si>
  <si>
    <t>Верстак с драйвером ВД-1.2</t>
  </si>
  <si>
    <t>521-301-2901-0017</t>
  </si>
  <si>
    <t>Верстак с тумбой ВТ-1.2</t>
  </si>
  <si>
    <t>521-301-2901-0018</t>
  </si>
  <si>
    <t>Верстак с драйвером и тумбой ВДТ-1.6</t>
  </si>
  <si>
    <t>521-301-2901-0019</t>
  </si>
  <si>
    <t>Верстак с двумя Тумбами ВТ2-1.6</t>
  </si>
  <si>
    <t>521-301-2901-0020</t>
  </si>
  <si>
    <t>Верстак с двумя драйверами ВД2-1.6</t>
  </si>
  <si>
    <t>521-301-2901-0021</t>
  </si>
  <si>
    <t>Верстак инструментальный ITP-1-D. Тумба с ящиками. Размер 1200х600х860мм.</t>
  </si>
  <si>
    <t>521-301-2901-0022</t>
  </si>
  <si>
    <t>Верстак инструментальный ITP-1-TT. Размер 1200х600х860мм.</t>
  </si>
  <si>
    <t>521-301-2901-0023</t>
  </si>
  <si>
    <t>Верстак инструментальный ITP-1-TD. Тумба с дверцей и тумба с ящиками. Размер 1200х600х860мм.</t>
  </si>
  <si>
    <t>Верстак инструментальный ITP-1-TD. Тумба с дверцей и тумба с ящиками.
Размер 1200х600х860мм.</t>
  </si>
  <si>
    <t>521-301-2901-0024</t>
  </si>
  <si>
    <t>Верстак инструментальный ITP-1-D-S. Перфопанель и тумба с ящиками. Размер 1200х600х1310мм.</t>
  </si>
  <si>
    <t>Верстак инструментальный ITP-1-D-S. Перфопанель и тумба с ящиками.
Размер 1200х600х1310мм.</t>
  </si>
  <si>
    <t>521-301-2901-0025</t>
  </si>
  <si>
    <t>Верстак инструментальный ITP-1-TD-S. Тумба с дверцей и тумба с ящиками, перфопанель. Размер 1200х600х1310мм.</t>
  </si>
  <si>
    <t>521-301-2901-0026</t>
  </si>
  <si>
    <t>Верстак инструментальный ITP-1-TT-S. 2 тумбы и перфопанель. Размер 1200х600х1310мм.</t>
  </si>
  <si>
    <t>521-301-2901-0027</t>
  </si>
  <si>
    <t>Верстак инструментальный ITP-2-TT-S. 2 тумбы и перфопанель. Размер 1600х600х1310мм.</t>
  </si>
  <si>
    <t>521-301-2901-0028</t>
  </si>
  <si>
    <t>Верстак инструментальный ITP-2-TD-S. Тумба с дверцей и тумба с ящиками, перфопанель. Размер 1600х600х1310мм.</t>
  </si>
  <si>
    <t>521-301-2901-0029</t>
  </si>
  <si>
    <t>Верстак со столешницей без накладки Master (№102)</t>
  </si>
  <si>
    <t>521-301-2901-0030</t>
  </si>
  <si>
    <t>Верстак со столешницей с накладкой Master (№101)</t>
  </si>
  <si>
    <t>521-301-2901-0031</t>
  </si>
  <si>
    <t>Верстак с ящиком Master (№103)</t>
  </si>
  <si>
    <t>521-301-2901-0032</t>
  </si>
  <si>
    <t>Верстак слесарный с подвесной тумбой металлический (CraftLab). Размер 1000х860х685</t>
  </si>
  <si>
    <t>Верстак состоит из отдельных модулей.Столешница из МДФ покрыта оцинкованным листовым металлом. В комплект верстака входят две металлические верстачные опоры. Верстак также оснащен одним подвесным ящиком, который выдерживает нагрузку до 23 кг.</t>
  </si>
  <si>
    <t>521-301-2901-0033</t>
  </si>
  <si>
    <t>Верстак бестумбовый со столешницей из деревяного бруса (CraftLab). Размер 2500х1200х1050</t>
  </si>
  <si>
    <t>Верстак установлен на 6 ножках, имеет 2 столешницы: нижнюю и верхнюю. Верхняя столешница имеет борты, высота которых 105 мм, выполненных из деревянного бруса. Верстак установлен на промышленных колесах, имеющих диаметр 45 мм и ширину колес 30 мм. Конструкция является полностью разборной.</t>
  </si>
  <si>
    <t>521-301-2901-0034</t>
  </si>
  <si>
    <t>Верстак на металлическом каркасе со столешницей из деревянного бруса (CraftLab), размер 1200мм х 600мм х 750мм шт.</t>
  </si>
  <si>
    <t>Каркас верстака выполнен из металлической профильной трубы, сечением 40х40 мм, при толщине стенки 1,5 мм. Столешница выполнена из клеенного деревянного бруса, толщиной 45 мм, покрыта защитным слоем из бесцветного лака. Конструкция установлена на 4х колесах, диаметром 45 мм, при этом 2 из них оснащены системы блокировки.</t>
  </si>
  <si>
    <t>521-301-2901-0035</t>
  </si>
  <si>
    <t>Верстак 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</si>
  <si>
    <t>Верстак универсальный ученический с защитным экраном. Столешница ДСП 32 мм, облицованный металлическим листом толщиной не более 1,2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</si>
  <si>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521-301-2901-0036</t>
  </si>
  <si>
    <t>Верстак универсальный ученический с защитным экраном и полкой, столешница из фанеры 30 мм, каркас из стального профиля, размер 1000х500х860мм</t>
  </si>
  <si>
    <t>Верстак универсальный ученический с защитным экраном. 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</si>
  <si>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521-301-2901-0037</t>
  </si>
  <si>
    <t>Верстак бестумбовый с полкой, столешница из фанеры 30 мм, каркас из стального профиля, размер 1000х680х860мм</t>
  </si>
  <si>
    <t>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</si>
  <si>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521-301-2902</t>
  </si>
  <si>
    <t>Шкаф инструментальный</t>
  </si>
  <si>
    <t>521-301-2902-0001</t>
  </si>
  <si>
    <t>Шкаф инструментальный в комплекте с инструментами по дереву (CraftLab), размер 1000мм х 550мм х 1800мм</t>
  </si>
  <si>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</si>
  <si>
    <t>521-301-2902-0002</t>
  </si>
  <si>
    <t>Шкаф инструментальный в комплекте с инструментами по металлу (CraftLab), размер 1000мм х 550мм х 1800мм</t>
  </si>
  <si>
    <t>521-301-2902-0003</t>
  </si>
  <si>
    <t>Шкаф инструментальный в комплекте с электроинструментами (CraftLab), размер 1000мм х 550мм х 1800мм</t>
  </si>
  <si>
    <t>Шкаф выполнен из ЛДСП, толщиной 16 мм, кромка ПВХ. Каждый инструмент установлен в специализированное под инструмент место, выполненное из фанеры, окрашенной в бесцветный лак. На каждый инструмент установлена табличка с названием инструмента на казахском языке(латиница), также имеется иконка с иллюстрацией инструмента.</t>
  </si>
  <si>
    <t>521-301-2903</t>
  </si>
  <si>
    <t>Станок сверлильный по металлу</t>
  </si>
  <si>
    <t>Напряжение не менее 220 В.  Потребляемая мощность: не менее 0,35 кВт. Частота вращения шпинделя: не менее 220-2450 об/мин. Максимальный диаметр зажима для сверления: не менее 13 мм. Ход шпинделя: не менее 60 мм. Максимальное расстояние от шпинделя до стола: не менее 340 мм.</t>
  </si>
  <si>
    <t>521-301-2904</t>
  </si>
  <si>
    <t>Подставка под сверлильный станок</t>
  </si>
  <si>
    <t>521-301-2904-0001</t>
  </si>
  <si>
    <t>Подставка под сверлильный станок
600х500х800мм</t>
  </si>
  <si>
    <t>Подставка под сверлильный станок . Основа конструкции – металлический каркас из профильной трубы сечением 40 х 40 мм. Для дополнительного укрепления ножки должны быть соединены между собой профильной трубой сечением 40 х 20 мм. Размер подставки должен быть не менее 600 х 500 х 800 мм. Размер подставки должен соответствовать размерам сверлильного станка. Внизу должна быть предусмотрена полка.
Столешница должна быть изготовлена из фанеры толщиной не менее 15 мм и покрыта матовым лаком.</t>
  </si>
  <si>
    <t>521-301-2904-0002</t>
  </si>
  <si>
    <t>Подставка под сверлильный станок
(CraftLab), размер 500мм х 500мм х 700мм</t>
  </si>
  <si>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</si>
  <si>
    <t>521-301-2904-0003</t>
  </si>
  <si>
    <t>Стол со столешницей из ЛДСП 32мм и каркасом из стального профиля, размер 700х700х750мм</t>
  </si>
  <si>
    <t>Каркас изготовлен из стального профиля 40х40 мм (толщина 1,2 мм), покраска полимерно-порошковая. Столешница  ЛДСП 32 мм, торцы закатаны кромочным материалом ПВХ 1,5 мм.</t>
  </si>
  <si>
    <t>521-301-2905</t>
  </si>
  <si>
    <t>Станок токарный по металлу</t>
  </si>
  <si>
    <t>521-301-2905-0001</t>
  </si>
  <si>
    <t>Станок токарный. Должен быть предназначен для обработки изделий из стали, древесины, пластика. Технические характеристики: напряжение не менее 220 В,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100-1200 об/мин., диаметр проходного отверстия шпинделя не менее 10 мм, размер резца не менее 8х8 мм, ход поперечного суппорта не менее 50 мм. В комплекте должно быть не менее: 3-х кулачковый патрон, невращающийся центр, защитный экран патрона, защитная задняя стенка, резиновые опоры для установки станка.</t>
  </si>
  <si>
    <t>521-301-2905-0002</t>
  </si>
  <si>
    <t>Станок токарный по металлу типа MetalCraft Pro 591488</t>
  </si>
  <si>
    <t>Оснащен бесщеточным двигателем мощностью не менее 700 Вт, напряжение 220 В. Расстояние между центрами не менее 400 мм, диаметр вращения не более 210 мм, малый ход перевозки не менее 40 мм. Конус шпинделя - MT5, диаметр главного вала через отверстие не более 40 мм, диаметр патрона не менее 100 мм. Переключение передач осуществляется бесступенчато, а диапазон скорости шпинделя варьируется не менее от 100 до 2000 об/мин. Конус хвостовика - MT2.</t>
  </si>
  <si>
    <t>521-301-2906</t>
  </si>
  <si>
    <t>Подставка под токарный станок</t>
  </si>
  <si>
    <t>521-301-2906-0001</t>
  </si>
  <si>
    <t>Подставка под токарный станок 600х500х800мм</t>
  </si>
  <si>
    <t>521-301-2906-0002</t>
  </si>
  <si>
    <t>Подставка под токарный станок (CraftLab), размер 1100мм х 550мм х 600мм</t>
  </si>
  <si>
    <t>521-301-2907</t>
  </si>
  <si>
    <t>Станок комбинированный деревообрабатывающий</t>
  </si>
  <si>
    <t>521-301-2907-0001</t>
  </si>
  <si>
    <t>Станок деревообрабатывающий комбинированный: Оснащен 3 ножами для обработки древесины, работает при номинальном напряжении 220 В и частоте 50 Гц. Максимальная глубина строгания, или фугования, составляет не менее 3 мм, а максимальная ширина строгания не более 270 мм. Станок обладает максимальной мощностью не менее 1200 Вт и оснащен асинхронным электродвигателем. Функции пиления: продольное, поперечное, под углом. Эти характеристики обеспечивают высокую производительность и точность.</t>
  </si>
  <si>
    <t>521-301-2907-0002</t>
  </si>
  <si>
    <t>Станок деревообрабатывающий комбинированный типа WoodMaster Combo 145182</t>
  </si>
  <si>
    <t>Оснащен 3 ножами для обработки древесины. Номинальное напряжение 220 В, частота 50 Гц. Максимальная глубина строгания или фугования, составляет не менее 3 мм, а максимальная ширина строгания не менее 80 мм. Станок обладает максимальной мощностью не менее 800 Вт и оснащен асинхронным электродвигателем. Функции пиления: продольное, поперечное, под углом.</t>
  </si>
  <si>
    <t>521-301-2907-0003</t>
  </si>
  <si>
    <t>Комбо станок - дробилка экструдер типа ShredXpress DuoTech</t>
  </si>
  <si>
    <t>Дробилка для пластиковых отходов с разнообразными режимами измельчения
Экструдер для обработки пластиковой массы и создания пластиковой пасты или гранул
Набор сменных насадок и инструментов для различных видов обработки пластика
Руководство по установке, настройке и использованию комбо ShredXpress DuoTech
Безопасные механизмы и защитные элементы для работы с оборудованием Лицензионное программное обеспечение для контроля и управления процессами дробления и экструзии
Тип дробилки: Мощное оборудование для измельчения пластиковых отходов.
Режимы измельчения: Несколько режимов измельчения для получения различных степеней крошки.
Производительность: Высокая производительность обработки пластика на мелкую крошку.
Материалы: Способность обрабатывать разнообразные типы пластиков. Размер входных отходов: Допустимые размеры входных пластиковых изделий.
Безопасность: Встроенные механизмы безопасности для предотвращения аварийных ситуаций.</t>
  </si>
  <si>
    <t>521-301-2908</t>
  </si>
  <si>
    <t>Подставка под комбинированный, деревообрабатывающий  станок</t>
  </si>
  <si>
    <t>521-301-2908-0001</t>
  </si>
  <si>
    <t>Подставка под деревообрабатывающий станок (CraftLab), размер 600мм х 500мм х 400мм</t>
  </si>
  <si>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 Конструкция установлена на регулируемых пластиковых ножках.</t>
  </si>
  <si>
    <t>521-301-2908-0002</t>
  </si>
  <si>
    <t>Подставка под мини-станки (CraftLab), размер 1200мм х 600мм х 1200мм</t>
  </si>
  <si>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t>
  </si>
  <si>
    <t>521-301-2908-0003</t>
  </si>
  <si>
    <t>Стол для обработки материала типа Craft Lab</t>
  </si>
  <si>
    <t>Дополнительные модули или плоскости для разных видов работы (по выбору)
Встроенные полки и ящики для удобного хранения материалов и инструментов
Инструкция по сборке и использованию стола Возможные комплектующие для регулировки высоты или крепления
аксессуаров
Столешница клееный брус, толщинй 45 мм, корпус металлическая труба 40х40 мм, габариты 1200 х 600 х 750 мм</t>
  </si>
  <si>
    <t>521-301-2908-0004</t>
  </si>
  <si>
    <t>Craftlab типті станоктарға арналған арнайы үстел</t>
  </si>
  <si>
    <t>Специализированный стол для станков, размером не менее 600*1200*1050мм (ГxШxВ). Материал: каркас – металл, столешница – клееный брус сосны толщиной не менее 45мм.</t>
  </si>
  <si>
    <t>521-301-2909</t>
  </si>
  <si>
    <t>Электроточило с подставкой</t>
  </si>
  <si>
    <t>521-301-2910</t>
  </si>
  <si>
    <t>Лобзик электрический</t>
  </si>
  <si>
    <t>Электроинструмент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t>
  </si>
  <si>
    <t>521-301-2911</t>
  </si>
  <si>
    <t>Дрель-шуруповерт аккумуляторная</t>
  </si>
  <si>
    <t>Дрель-шуруповерт аккумуляторная: компактный и легкий дизайн, идеальна для сверления и закручивания в различных материалах.</t>
  </si>
  <si>
    <t>521-301-2912</t>
  </si>
  <si>
    <t>Машина угловая шлифовальная</t>
  </si>
  <si>
    <t>Шлифовальная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t>
  </si>
  <si>
    <t>521-301-2914</t>
  </si>
  <si>
    <t>Прибор для выжигания</t>
  </si>
  <si>
    <t>Прибор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t>
  </si>
  <si>
    <t>521-301-2918</t>
  </si>
  <si>
    <t>Доска перфорированная</t>
  </si>
  <si>
    <t>521-301-2918-0001</t>
  </si>
  <si>
    <t>Перфорированная доска для подвешивания инструментов Pegboard для хранения и переноса инструментов типа CraftLab</t>
  </si>
  <si>
    <t>521-301-2918-0002</t>
  </si>
  <si>
    <t>Панель перфорированная 2100х300х1200мм</t>
  </si>
  <si>
    <t>Металлический каркас изготовлен из квадратного профиля 30х30х2 мм, а перфорированные панели чисто и ровно нарезаны из листового металла толщиной 2 мм. Изделия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t>
  </si>
  <si>
    <t>521-301-2954</t>
  </si>
  <si>
    <t>Штангенциркуль</t>
  </si>
  <si>
    <t>Штангенциркуль: измерительный инструмент с точностью до 0,02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t>
  </si>
  <si>
    <t>521-301-2959</t>
  </si>
  <si>
    <t>Мультиметр цифровой</t>
  </si>
  <si>
    <t>Функционально мультиметр заменяет несколько измерительных устройств: вольтметр, амперметр, омметр. Прибор оснащен дисплеем, отображающим результат измерений. Комплектуется щупами с проводами.</t>
  </si>
  <si>
    <t>521-301-2963</t>
  </si>
  <si>
    <t>Станок модульный</t>
  </si>
  <si>
    <t>521-301-2963-0001</t>
  </si>
  <si>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</si>
  <si>
    <t>521-301-2963-0002</t>
  </si>
  <si>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</si>
  <si>
    <t>521-301-2964</t>
  </si>
  <si>
    <t>Станок для резки пенопласта</t>
  </si>
  <si>
    <t>521-301-2964-0001</t>
  </si>
  <si>
    <t>Станок с ЧПУ для фигурной резки пенопласта с расходниками типа Form Carve CNC</t>
  </si>
  <si>
    <t>Размер рабочего поля - 0,7*0,7*0,7 м. Длина режущих струн - 0,7.
Количество нитей - 1. Мощность потребления - 300 Вт. Файловый формат - PLT, DXF, STL</t>
  </si>
  <si>
    <t>521-301-2966</t>
  </si>
  <si>
    <t>Пылесос индустриальный</t>
  </si>
  <si>
    <t>521-301-2966-0001</t>
  </si>
  <si>
    <t>Источник питания: Шнуровой  Потребляемая мощность: не менее 900 Вт. Объем пылесборника: не менее 10 л. Длина шланга: не менее 1м. Длина шнура питания: не менее 5м. Насадки и принадлежности: В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t>
  </si>
  <si>
    <t>521-301-2967</t>
  </si>
  <si>
    <t>Станок фрезерно-гравировальный</t>
  </si>
  <si>
    <t>521-301-2967-0001</t>
  </si>
  <si>
    <t>Станок фрезерно-гравировальный с ЧПУ для дизайна и технологий типа TechGenius Pro 370891</t>
  </si>
  <si>
    <t>Оснащен мощным двигателем не менее 1000 оборотов в минуту скорость вращения, имеет регулируемые направляющие, охлаждающую систему. Максимальная толщина заготовки не более 1мм и размер заготовки не более 20мм. Возможность регулировки скорости вращения и глубины фрезеровки. ЧПУ станок в комплекте с фрезами для шпинделя и блоком управления</t>
  </si>
  <si>
    <t>521-301-2967-0002</t>
  </si>
  <si>
    <t>Система безопасности с фрезерным станком типа Craft Mill</t>
  </si>
  <si>
    <t>Система безопасности с фрезерным станком. Портал - конструкционный алюминиевый профиль, стальные пластины. Стол - конструкционный алюминиевый профиль, лист МДФ. Привод - шаговые двигатели. Передачи
- ременная передача по осям X и Y, винтовая передача по оси Z. Скорость перемещения - по осям X и Y 12000 мм/мин, по оси Z 600 мм/мин.
Электрическая часть - буксируемые гибкие кабель-каналы, сигнальный кабель. Подключение - USB порт. Питание - 220 В/50 Гц. Точность позиционирования +/- 0.2 мм. Формат совместимых файлов - G-код, nc, ncc, ngc, tap, txt. Станок оснащен функциональной стол-системой безопасности с
открывающейся вверх дверцей.</t>
  </si>
  <si>
    <t>521-301-2967-0003</t>
  </si>
  <si>
    <t>Станок с ЧПУ с возможностями лазерной гравировки, фрезеровки и 3D-печати типа CNC MasterLab 3-in-1 Laser Nova</t>
  </si>
  <si>
    <t>Лазерная головка для гравировки.
Фрезерный модуль. 3D-печатная головка.
Программное обеспечение для управления и дизайна.
Инструкция по эксплуатации.
Тип устройства: Станок с ЧПУ (числовым программным управлением) для образовательных целей.
Функциональность: Объединяет возможности лазерной гравировки, фрезеровки и 3D-печати в одном устройстве.
Рабочая область: Размер области, в которой выполняются операции лазерной гравировки, фрезеровки и 3D-печати.
Материалы: Поддерживаемые материалы для лазерной гравировки, фрезеровки и 3D-печати.
Управление: ЧПУ с программным обеспечением для создания и выполнения операций.
Точность: Высокая точность выполнения операций для обеспечения качественных результатов.
Дополнительные функции: Возможность создания и редактирования дизайнов, настройка параметров работы и т.д.
Подключение: Возможность подключения к компьютеру для загрузки файлов и управления.
Рабочая область: не менее 200 x200 мм.
Максимальная скорость: 100 мм/с. Точность позиционирования: 0,01 мм.
Максимальная высота слоя для 3D-печати: не менее 200 мм.
Мощность лазера для гравировки: не более 5 Вт.</t>
  </si>
  <si>
    <t>521-301-2967-0004</t>
  </si>
  <si>
    <t>Станок гравировальный типа СNС Wegstr</t>
  </si>
  <si>
    <t>Основное устройство: Фрезерный станок с трехосевым управлением и интегрированной системой ЧПУ.
Рабочая платформа: Поверхность для размещения и обработки материалов. Двигатели и оси: Встроенные двигатели и оси для точного перемещения и обработки по осям X, Y, Z.
Электронная система ЧПУ: Управляющая плата и программное обеспечение для управления станком.
Интерфейс: Поддержка подключения к компьютеру или устройству для управления через программное обеспечение ЧПУ.
Инструменты: Комплект фрез и инструментов для обработки различных материалов.
Крепежные элементы: Комплект крепежных элементов и зажимов для фиксации обрабатываемых деталей.
Дополнительные аксессуары: Дополнительные компоненты для оптимизации работы станка.
Максимальное число оборотов 11 000 оборотов. Мощность 50Вт</t>
  </si>
  <si>
    <t>521-301-2968</t>
  </si>
  <si>
    <t>Станок гравировальный лазерный</t>
  </si>
  <si>
    <t>521-301-2968-0001</t>
  </si>
  <si>
    <t>Станок гравировальный лазерный в комплекте с чиллером и стабилизатором типа LaserPro 958452</t>
  </si>
  <si>
    <t>Станок оснащен чиллером для охлаждения и стабилизатором для поддержки постоянной мощности лазера. Размер рабочего поля 200х70 мм, мощность лазера 30 Вт, частота работы 0-50 кГц, тип лазера CO2, рабочий стол алюминиевый с Т-образными пазами, система управления контроллер, охлаждение воздушное охлаждение</t>
  </si>
  <si>
    <t>521-301-2968-0002</t>
  </si>
  <si>
    <t>Станок лазерный с ЧПУ типа Laser Nova</t>
  </si>
  <si>
    <t>ЧПУ лазерный станок работает с напряжением переменного тока 110-220В
± 10% и частотой 50-60ГЦ. Скорость гравировки может варьироваться от 0 до 500 мм/мин, а толщина гравировки может быть от 0 до 20 мм. Рабочая температура станка составляет от 8 до 45°С, а рабочая влажность - от 5 до 95%. Станок обеспечивает повторную точность позиционирования в пределах ±0.01 мм с разрешением 2500DPI. Он совместим с программным обеспечением, таким как CorelDRAW, Автокад, Фотошоп, лазерный САПР и другими. Станок поддерживает графические форматы, такие как А. и., BMP, DST, DWG, DXF и другие. Он может обрабатывать различные материалы, включая акрил, стекло, кожу, MDF, металл, бумагу, пластик, оргстекло, фанеру, резину, дерево и другие. Станок оснащен помпой для режима охлаждения и имеет дополнительные устройства, такие как вытяжка-улитка и комплект гофр. Управление станком осуществляется с помощью программного обеспечения DSP, а для подключения используется порт USB 2.0. Мощность 60Вт.</t>
  </si>
  <si>
    <t>521-301-2969</t>
  </si>
  <si>
    <t>Пила торцовочная</t>
  </si>
  <si>
    <t>521-301-2969-0001</t>
  </si>
  <si>
    <t>Пила торцовочная электрическая типа Umachine 447591. Мощность 1,4 Квт, диаметр 30 мм, макс. глубина пропила под углом 90° 70мм</t>
  </si>
  <si>
    <t>521-301-2970</t>
  </si>
  <si>
    <t>Распылитель</t>
  </si>
  <si>
    <t>521-301-2970-0001</t>
  </si>
  <si>
    <t>Пистолет краскораспылитель</t>
  </si>
  <si>
    <t>Профессиональный аэрограф для покраски моделей
Набор разнообразных сопел для настройки ширины линии и плотности распыла
Бачок для краски с различными емкостями для адаптации к разным проектам
Дополнительные иглы и элементы для регулировки и настройки аэрографа Ключи и инструменты для разборки и обслуживания аэрографа Руководство пользователя с подробными инструкциями по использованию и уходу за аэрографом
Тип аэрографа: Профессиональный аэрограф, предназначенный для точной и качественной покраски моделей.
Тип питания: Работает на сжатом воздухе или компрессоре.
Тип сопла: Разнообразные сопла для настройки ширины линии и плотности распыла.
Регулировка: Возможность регулировки давления и расхода краски для точного контроля покрытия.
Материал корпуса: Прочный и легкий материал, обеспечивающий долгий срок службы.
Удобство использования: Эргономичный дизайн для комфортной работы в течение длительного времени.</t>
  </si>
  <si>
    <t>521-301-3000</t>
  </si>
  <si>
    <t>Технология приготовления пищи</t>
  </si>
  <si>
    <t>521-301-3001</t>
  </si>
  <si>
    <t>Стол-тумба кухонный</t>
  </si>
  <si>
    <t>521-301-3001-0001</t>
  </si>
  <si>
    <t>Стол-тумба купе СРО-К-8/6СНК (800*600*850-870 мм)</t>
  </si>
  <si>
    <t>521-301-3001-0002</t>
  </si>
  <si>
    <t>Стол-тумба купе СРО-К-8/7СНК (800*700*850-870 мм)</t>
  </si>
  <si>
    <t>521-301-3001-0003</t>
  </si>
  <si>
    <t>Стол-тумба купе СРО-К-10/6СНК (1000*600*850-870 мм)</t>
  </si>
  <si>
    <t>521-301-3001-0004</t>
  </si>
  <si>
    <t>Стол-тумба купе СТКО-6-2 островной (1000*600*900(860) мм)</t>
  </si>
  <si>
    <t>521-301-3001-0005</t>
  </si>
  <si>
    <t>Стол пристенный НБМСЗК-9/7Б купе (900*700*850мм, с бортом)</t>
  </si>
  <si>
    <t>521-301-3001-0006</t>
  </si>
  <si>
    <t>Стол-тумба купе СТКП-6-2 пристенный с бортом (1000*600*900(860) мм)</t>
  </si>
  <si>
    <t>521-301-3001-0007</t>
  </si>
  <si>
    <t>Стол-тумба купе СТКО-7-2 островной (1000*700*900(860) мм)</t>
  </si>
  <si>
    <t>521-301-3001-0008</t>
  </si>
  <si>
    <t>Стол-тумба купе СТКП-7-2 пристенный с бортом (1000*700*900(860) мм)</t>
  </si>
  <si>
    <t>521-301-3001-0009</t>
  </si>
  <si>
    <t>Стол-тумба купе СТКО-6-3 островной (1200*600*900(860) мм)</t>
  </si>
  <si>
    <t>521-301-3001-0010</t>
  </si>
  <si>
    <t>Стол-тумба купе СРО-К-12/6СНК (1200*600*850-870 мм)</t>
  </si>
  <si>
    <t>521-301-3001-0011</t>
  </si>
  <si>
    <t>Стол-тумба купе СТКП-6-3 пристенный с бортом (1200*600*900(860)мм)</t>
  </si>
  <si>
    <t>521-301-3001-0012</t>
  </si>
  <si>
    <t>Стол-тумба купе СРО-К-12/7СНК (1200*700*850-870 мм)</t>
  </si>
  <si>
    <t>521-301-3001-0013</t>
  </si>
  <si>
    <t>Стол-тумба купе СТКО-7-3 островной (1200*700*900(860) мм)</t>
  </si>
  <si>
    <t>521-301-3001-0014</t>
  </si>
  <si>
    <t>Стол-тумба купе СТКП-7-3 пристенный с бортом (1200*700*900(860) мм)</t>
  </si>
  <si>
    <t>521-301-3001-0015</t>
  </si>
  <si>
    <t>Стол-тумба купе СРО-К-15/6СНК (1500*600*850-870 мм)</t>
  </si>
  <si>
    <t>521-301-3001-0016</t>
  </si>
  <si>
    <t>Стол-тумба купе СРО-К-15/7СНК (1500*700*850-870 мм)</t>
  </si>
  <si>
    <t>521-301-3001-0017</t>
  </si>
  <si>
    <t>Стол-тумба купе СТК-2Д корпус-нерж.</t>
  </si>
  <si>
    <t>521-301-3003</t>
  </si>
  <si>
    <t>Стол-мойка</t>
  </si>
  <si>
    <t>521-301-3003-0001</t>
  </si>
  <si>
    <t>Стол мойка со смесителем 500х500х850 мм</t>
  </si>
  <si>
    <t>Стол-мойка производственный со смесителем. Размеры 500х500х850мм</t>
  </si>
  <si>
    <t>521-301-3004</t>
  </si>
  <si>
    <t>Стол кухонный рабочий</t>
  </si>
  <si>
    <t>521-301-3004-0001</t>
  </si>
  <si>
    <t>Стол разделочный ЭКОНОМ ЦК
СРО-6/6ЭЦК 600*600 мм, полка-решетка</t>
  </si>
  <si>
    <t>521-301-3004-0002</t>
  </si>
  <si>
    <t>Стол разделочный ЭКОНОМ ЦК с бортом СРОб-6/6ЭЦК  600*600*915(935) мм,
полка-решетка</t>
  </si>
  <si>
    <t>521-301-3004-0003</t>
  </si>
  <si>
    <t>Стол разделочный СТАНДАРТ ЦК с бортом СРОб-6/6СЦК 600*600*915(935) мм,
полка-решетка</t>
  </si>
  <si>
    <t>521-301-3004-0004</t>
  </si>
  <si>
    <t>Стол разделочный ЭКОНОМ ЦК
СРО-8/6ЭЦК 800*600 мм, полка-решетка</t>
  </si>
  <si>
    <t>521-301-3004-0005</t>
  </si>
  <si>
    <t>Стол разделочный ЭКОНОМ ЦК с бортом СРОб-8/6ЭЦК 800*600 мм, полка-решетка</t>
  </si>
  <si>
    <t>521-301-3004-0006</t>
  </si>
  <si>
    <t>Стол разделочный ЭКОНОМ ЦК
СРО-10/6ЭЦК 1000*600 мм, полка-решетка</t>
  </si>
  <si>
    <t>521-301-3004-0007</t>
  </si>
  <si>
    <t>Стол разделочный ЭКОНОМ ЦК с бортом СРОб-10/6ЭЦК 1000*600 мм, полка-решетка</t>
  </si>
  <si>
    <t>521-301-3004-0008</t>
  </si>
  <si>
    <t>Стол разделочный СТАНДАРТ ЦК с бортом СРОб-10/6СЦК  1000*600*915(935) мм,
полка-решетка</t>
  </si>
  <si>
    <t>521-301-3004-0009</t>
  </si>
  <si>
    <t>Стол разделочный ЭКОНОМ ЦК СРО-12/6ЭЦК 1200*600*870(890) мм,
полка-решетка</t>
  </si>
  <si>
    <t>521-301-3004-0010</t>
  </si>
  <si>
    <t>Стол разделочный ЭКОНОМ ЦК с бортом СРОб-12/6ЭЦК 1200*600*915(935) мм,
полка-решетка</t>
  </si>
  <si>
    <t>521-301-3004-0011</t>
  </si>
  <si>
    <t>Стол разделочный СТАНДАРТ ЦК СРО-12/6СЦК 1200*600*870(890) мм,
полка-решетка</t>
  </si>
  <si>
    <t>521-301-3004-0012</t>
  </si>
  <si>
    <t>Стол разделочный СТАНДАРТ ЦК с бортом СРОб-12/6СЦК 1200*600*915(935) мм,
полка-решетка</t>
  </si>
  <si>
    <t>521-301-3004-0013</t>
  </si>
  <si>
    <t>Стол разделочный ЭКОНОМ ЦК СРО-15/6ЭЦК 1500*600*870(890) мм,
полка-решетка</t>
  </si>
  <si>
    <t>521-301-3004-0014</t>
  </si>
  <si>
    <t>Стол разделочный ЭКОНОМ ЦК с бортом СРОб-15/6ЭЦК 1500*600*915(935) мм,
полка-решетка</t>
  </si>
  <si>
    <t>521-301-3004-0015</t>
  </si>
  <si>
    <t>Стол разделочный ЭКОНОМ ЦК
СРО-12/7ЭЦК 1200*700 мм, полка-решетка</t>
  </si>
  <si>
    <t>521-301-3004-0016</t>
  </si>
  <si>
    <t>Стол разделочный ЭКОНОМ ЦК с бортом СРОб-12/7ЭЦК 1200*700 мм, полка-решетка</t>
  </si>
  <si>
    <t>521-301-3004-0017</t>
  </si>
  <si>
    <t>Стол разделочный ЭКОНОМ ЦК СРО-18/6ЭЦК 1800*600*870(890) мм,
полка-решетка</t>
  </si>
  <si>
    <t>521-301-3004-0018</t>
  </si>
  <si>
    <t>Стол разделочный ЭКОНОМ ЦК с бортом СРОб-18/6ЭЦК 1800*600*915(935) мм,
полка-решетка</t>
  </si>
  <si>
    <t>521-301-3004-0019</t>
  </si>
  <si>
    <t>Стол разделочный ЭКОНОМ ЦК СРО-18/7ЭЦК 1800*700*870(890) мм,
полка-решетка</t>
  </si>
  <si>
    <t>521-301-3004-0020</t>
  </si>
  <si>
    <t>Стол разделочный ЭКОНОМ ЦК с бортом СРОб-15/7ЭЦК 1500*700*915(935) мм,
полка-решетка</t>
  </si>
  <si>
    <t>521-301-3005</t>
  </si>
  <si>
    <t>Табурет</t>
  </si>
  <si>
    <t>521-301-3005-0001</t>
  </si>
  <si>
    <t>Табурет. Основание металлокаркас, сиденье из ЛДСП 16мм, размеры 300х300х420мм</t>
  </si>
  <si>
    <t>521-301-3005-0003</t>
  </si>
  <si>
    <t>Табурет, каркас из квадратной профильной трубы, сиденье из ЛДСП 16 мм, размеры 350х350х450 мм</t>
  </si>
  <si>
    <t>Каркас выполнен из квадратной профильной трубы 25х25 мм толщиной не менее 1,2 мм, окрашенной полимерной краской, сидушка 350х350 мм, ЛДСП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t>
  </si>
  <si>
    <t>521-301-3006</t>
  </si>
  <si>
    <t>Весы бытовые настольные</t>
  </si>
  <si>
    <t>521-301-3007</t>
  </si>
  <si>
    <t>Кофеварка</t>
  </si>
  <si>
    <t>521-301-3007-0001</t>
  </si>
  <si>
    <t>Кофеварка электрическая Ф1КФЭ (кофе на
песке) (305*280*190 мм)</t>
  </si>
  <si>
    <t>521-301-3007-0002</t>
  </si>
  <si>
    <t>Кофеварка HURAKAN HKN-ME709
(415*315*355 мм)</t>
  </si>
  <si>
    <t>521-301-3008</t>
  </si>
  <si>
    <t>Кофемолка</t>
  </si>
  <si>
    <t>521-301-3008-0001</t>
  </si>
  <si>
    <t>Кофемолка AIRHOT SCG-3000 (220*120*360 мм)</t>
  </si>
  <si>
    <t>521-301-3008-0002</t>
  </si>
  <si>
    <t>Кофемолка AIRHOT MCG-1800 (230*140*430 мм)</t>
  </si>
  <si>
    <t>521-301-3008-0003</t>
  </si>
  <si>
    <t>Кофемолка Macap MC6 (черная/серебро, 230x370x600 мм)</t>
  </si>
  <si>
    <t>521-301-3008-0004</t>
  </si>
  <si>
    <t>Кофемолка Macap MX (черная/серебро, 230x370x600 мм)</t>
  </si>
  <si>
    <t>521-301-3008-0005</t>
  </si>
  <si>
    <t>Кофемолка Sirman MC (230*360*700 мм)</t>
  </si>
  <si>
    <t>521-301-3008-0006</t>
  </si>
  <si>
    <t>Кофемолка-дозатор Nuova Simonelli MDX on DEMAND(190*360*590 мм)</t>
  </si>
  <si>
    <t>521-301-3008-0007</t>
  </si>
  <si>
    <t>Кофемолка Fiorenzato F64 E черная (230*270*615 мм)</t>
  </si>
  <si>
    <t>521-301-3008-0008</t>
  </si>
  <si>
    <t>Кофемолка-дозатор Nuova Simonelli MDXS on DEMAND (212*290*585 мм)</t>
  </si>
  <si>
    <t>521-301-3009</t>
  </si>
  <si>
    <t>Микроволновая печь</t>
  </si>
  <si>
    <t>521-301-3009-0001</t>
  </si>
  <si>
    <t>Микроволновая печь. Мощность 700Вт, внутренний объем не менее 20л, тип управления механическое</t>
  </si>
  <si>
    <t>521-301-3010</t>
  </si>
  <si>
    <t>Чайник электрический</t>
  </si>
  <si>
    <t>Чайник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t>
  </si>
  <si>
    <t>521-301-3011</t>
  </si>
  <si>
    <t>Тостер</t>
  </si>
  <si>
    <t>521-301-3011-0001</t>
  </si>
  <si>
    <t>Тостер BOSCH TAT 3P424, мощностью 970 Вт</t>
  </si>
  <si>
    <t>521-301-3011-0002</t>
  </si>
  <si>
    <t>Тостер PHILIPS HD 2635/90, мощностью 240 Вт</t>
  </si>
  <si>
    <t>521-301-3011-0003</t>
  </si>
  <si>
    <t>Тостер ELECTROLUX E3T1-3ST,
мощностью 800 Вт</t>
  </si>
  <si>
    <t>521-301-3011-0004</t>
  </si>
  <si>
    <t>Тостер BORK T702, мощностью 1000 Вт</t>
  </si>
  <si>
    <t>521-301-3011-0005</t>
  </si>
  <si>
    <t>Тостер KITCHEN AID 5KMT221EAC,
мощностью 1100 Вт</t>
  </si>
  <si>
    <t>521-301-3012</t>
  </si>
  <si>
    <t>Кухонный комбайн</t>
  </si>
  <si>
    <t>Электрическое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t>
  </si>
  <si>
    <t>521-301-3013</t>
  </si>
  <si>
    <t>Миксер</t>
  </si>
  <si>
    <t>521-301-3014</t>
  </si>
  <si>
    <t>Мясорубка электрическая</t>
  </si>
  <si>
    <t>521-301-3014-0001</t>
  </si>
  <si>
    <t>Мясорубка SXC-12 (385*220*430 мм)</t>
  </si>
  <si>
    <t>521-301-3014-0002</t>
  </si>
  <si>
    <t>Мясорубка SXC-22 (440*220*450 мм)</t>
  </si>
  <si>
    <t>521-301-3014-0003</t>
  </si>
  <si>
    <t>Мясорубка настольная ТМ-12М (500*460*350 мм)</t>
  </si>
  <si>
    <t>521-301-3014-0005</t>
  </si>
  <si>
    <t>Мясорубка настольная ТМ-32 (560*460*430 мм)</t>
  </si>
  <si>
    <t>521-301-3014-0006</t>
  </si>
  <si>
    <t>Мясорубка настольная ТМ-32М (560*460*430 мм)</t>
  </si>
  <si>
    <t>521-301-3014-0007</t>
  </si>
  <si>
    <t>Мясорубка настольная МИМ-300М (560*460*420 мм)</t>
  </si>
  <si>
    <t>521-301-3015</t>
  </si>
  <si>
    <t>Плита электрическая</t>
  </si>
  <si>
    <t>521-301-3015-0001</t>
  </si>
  <si>
    <t>Электрическая плита ДАРИНА 1B EM 341 406 W, материал рабочей поверхности эмалированная сталь, тип управления механическое, 4 электрических конфорок,
объем духовки 50 л, тип духовки электрическая</t>
  </si>
  <si>
    <t>521-301-3015-0002</t>
  </si>
  <si>
    <t>Комбинированная плита ДАРИНА F KM341 323 W с и/розж.,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t>
  </si>
  <si>
    <t>521-301-3015-0003</t>
  </si>
  <si>
    <t>Электрическая плита GORENJE GE5A21WH, материал рабочей поверхности эмалированная сталь, тип управления механическое, 4 электрических конфорок, объем духовки 68 л, тип духовки электрическая</t>
  </si>
  <si>
    <t>521-301-3015-0004</t>
  </si>
  <si>
    <t>Электрическая плита HANSA FCCW 53000, материал рабочей поверхности стеклокерамика, тип управления механическое, 4 электрических конфорок, объем духовки 67 л, тип духовки электрическая</t>
  </si>
  <si>
    <t>521-301-3015-0005</t>
  </si>
  <si>
    <t>Электрическая плита HANSA FCEW 66069, материал рабочей поверхности эмалированная сталь, тип управления механическое, 4 электрических конфорок, объем духовки 62 л, тип духовки
электрическая</t>
  </si>
  <si>
    <t>521-301-3016</t>
  </si>
  <si>
    <t>Вытяжка над плитой</t>
  </si>
  <si>
    <t>521-301-3016-0001</t>
  </si>
  <si>
    <t>Зонт вытяжной FINES вентилируемый HTB-HV (980*1040*340 мм)</t>
  </si>
  <si>
    <t>521-301-3016-0002</t>
  </si>
  <si>
    <t>Зонт вытяжной FINES конденсируемый FBM-K60 (930*840*220 мм)</t>
  </si>
  <si>
    <t>521-301-3016-0003</t>
  </si>
  <si>
    <t>Зонт вытяжной FINES конденсируемый FBM-K40 (730*840*220 мм)</t>
  </si>
  <si>
    <t>521-301-3016-0004</t>
  </si>
  <si>
    <t>Зонт вытяжной FINES вентилируемый HV-86 (1165*1080*340 мм)</t>
  </si>
  <si>
    <t>521-301-3016-0005</t>
  </si>
  <si>
    <t>Зонт вытяжной FINES конденсируемый HTB-HK (980*880*340 мм)</t>
  </si>
  <si>
    <t>521-301-3016-0006</t>
  </si>
  <si>
    <t>Зонт вытяжной FINES конденсируемый HK-86 (1165*880*340 мм)</t>
  </si>
  <si>
    <t>521-301-3016-0007</t>
  </si>
  <si>
    <t>Зонт вытяжной пристенный с жироулавливающим лабиринтным фильтром ЗВ-П08/08 (800*800*350 мм)</t>
  </si>
  <si>
    <t>521-301-3016-0008</t>
  </si>
  <si>
    <t>Зонт вытяжной пристенный с жироулавливающим лабиринтным фильтром ЗВ-П09/09 (900*900*350 мм)</t>
  </si>
  <si>
    <t>521-301-3016-0009</t>
  </si>
  <si>
    <t>Зонт вытяжной пристенный с жироулавливающим лабиринтным фильтром ЗВ-П12/09 (1200*900*350 мм)</t>
  </si>
  <si>
    <t>521-301-3016-0010</t>
  </si>
  <si>
    <t>Вытяжка над плитой MAUNFELD MPA 60, производительностью 420 м3/ч</t>
  </si>
  <si>
    <t>521-301-3016-0011</t>
  </si>
  <si>
    <t>Вытяжка над плитой DAUSCHER
DCH-1560BL, производительностью 500 м3/ч</t>
  </si>
  <si>
    <t>521-301-3016-0012</t>
  </si>
  <si>
    <t>Вытяжка над плитой MBS PILEA 160 BLACK, производительностью 100-399 м3/ч</t>
  </si>
  <si>
    <t>521-301-3016-0013</t>
  </si>
  <si>
    <t>Вытяжка над плитой MAUNFELD CORK 60 БЕЛЫЙ, производительностью 620 м3/ч</t>
  </si>
  <si>
    <t>521-301-3016-0014</t>
  </si>
  <si>
    <t>Вытяжка над плитой HANSA OTP 6233 IH, производительностью 350 м3/ч</t>
  </si>
  <si>
    <t>521-301-3016-0015</t>
  </si>
  <si>
    <t>Вытяжка над плитой MBS VALLOTA 160 BLACK, производительностью 650 м3/ч</t>
  </si>
  <si>
    <t>521-301-3016-0016</t>
  </si>
  <si>
    <t>Вытяжка над плитой BOSCH DHU 632 HQ, производительностью 210 м3/ч</t>
  </si>
  <si>
    <t>521-301-3016-0017</t>
  </si>
  <si>
    <t>Вытяжка над плитой MBS PRIMULA 160 BLACK, производительностью 500 м3/ч</t>
  </si>
  <si>
    <t>521-301-3016-0018</t>
  </si>
  <si>
    <t>Вытяжка над плитой BEKO HNU 51311 SH, производительностью 381 м3/ч</t>
  </si>
  <si>
    <t>521-301-3016-0019</t>
  </si>
  <si>
    <t>Вытяжка над плитой MBS GERBERA 160 BLACK, производительностью 100-399 м3/ч</t>
  </si>
  <si>
    <t>521-301-3016-0020</t>
  </si>
  <si>
    <t>Вытяжка над плитой ELECTROLUX EFV 516 K, производительностью 530 м3/ч</t>
  </si>
  <si>
    <t>521-301-3016-0021</t>
  </si>
  <si>
    <t>Вытяжка над плитой BOSCH DWK 67CM60, производительностью 700 м3/ч</t>
  </si>
  <si>
    <t>521-301-3016-0022</t>
  </si>
  <si>
    <t>Вытяжка над плитой MBS LILIA 135 INOX, производительностью 1030 м3/ч</t>
  </si>
  <si>
    <t>521-301-3016-0023</t>
  </si>
  <si>
    <t>Вытяжка над плитой BEKO CWB 6410 CR, производительностью 400-699 м3/ч</t>
  </si>
  <si>
    <t>521-301-3016-0024</t>
  </si>
  <si>
    <t>Вытяжка над плитой LG HCEZ 2415 S, производительностью 800 м3/ч</t>
  </si>
  <si>
    <t>521-301-3017</t>
  </si>
  <si>
    <t>Холодильник</t>
  </si>
  <si>
    <t>521-301-3017-0007</t>
  </si>
  <si>
    <t>Холодильник, общий объем не менее 94л,
однокамерный</t>
  </si>
  <si>
    <t>Тип холодильника: однокамерный. Общий объем не менее 94л. Класс энергопотребления А+</t>
  </si>
  <si>
    <t>521-301-3018</t>
  </si>
  <si>
    <t>Кухонный гарнитур</t>
  </si>
  <si>
    <t>521-301-3018-0001</t>
  </si>
  <si>
    <t>Шкаф для посуды (кухонный гарнитур) 1200х500х1800мм</t>
  </si>
  <si>
    <t>Навесной шкаф состоит из двух частей (длиной 800 мм и 400 мм) в каждой из которых предусмотрено по одной вставной полке, фасады глухие. В нижней части предусмотрена столешница из постформинга, толщиной 25 мм. Нижняя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Фурнитура: конфирматы, стяжка BLUM, полкодержатель металл.(без пластиковых элементов, ручка 128мм без острых улов, навес мебельный BLUM.</t>
  </si>
  <si>
    <t>521-301-3100</t>
  </si>
  <si>
    <t>Технология обработки тканей и художественной обработки материалов</t>
  </si>
  <si>
    <t>521-301-3101</t>
  </si>
  <si>
    <t>Стол для труда под швейную машину</t>
  </si>
  <si>
    <t>521-301-3101-0001</t>
  </si>
  <si>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</si>
  <si>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</si>
  <si>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t>521-301-3101-0002</t>
  </si>
  <si>
    <t>Стол под швейную машину. Столешница состоит из двух рабочих частей: одна размером 700х500 мм и вторая - откидная размером 500х500 мм, столешница МДФ 16 мм, корпус ЛДСП 16мм.</t>
  </si>
  <si>
    <t>Рабочий стол для швейной машины. Столешница состоит из двух рабочих частей: одна размером 700х500 мм и вторая откидная размером 500х500 мм, материал -  столешница ламинированый МДФ 16 мм, корпус ЛДСП - 16 мм, кромка ПВХ с исполькозованием высокотемпературного клея. В столе имеется 3 выдвижных ящика. Ящики собраны на роликовых направляющих с колесиками. направляющие окрашены порошковой электростатической краской. На ящиках имеются ручки. в соединении дверей корпусной части имеются 2 петли и 1 ручка.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t>
  </si>
  <si>
    <t>521-301-3101-0003</t>
  </si>
  <si>
    <t>Стол под швейную машину 500х800х800 мм. Столешница из ЛДСП 16мм, тумба с выдвижными ящиками, основание металлическое</t>
  </si>
  <si>
    <t>Размер 500х800х800мм. Материал корпуса, выдвижных ящиков, столешница из ЛДСП 16 мм, на столещнице присутствует кабельная заглушка.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Для предотвращения воздействия воды и влаги боковые стенки имеют полимерные не регулируемые подпятники.
Металлические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</si>
  <si>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521-301-3101-0005</t>
  </si>
  <si>
    <t>Стол под швейную машину, столешница из 2-х частей, одна - 700х500 мм, вторая - 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</si>
  <si>
    <t>Столешница состоит из 2-х частей, одна рабочая размером 700х500 и вторая откидная 500х500 мм. Высота верхнего края столешницы над полом не менее 760 мм. Столешница должна быть из ЛДСП толщиной не менее 22 мм, кромка ПВХ не менее 2 мм. Опоры стола должна быть из ЛДСП толщиной не менее 16мм, кромка ПВХ не менее 0,4 мм. В левой части стола должна быть расположена тумба с 1-ой распашной дверцей, ниже которой располагается выдвижной ящик. Размеры тумбы должны быть, не менее 500х450х730 мм. Задняя стенка из ЛДСП не менее 16 мм. Справа от тумбы расположено рабочие место шириной не менее 680 мм. В верхней части рабочего места под столешницей находится выдвижной ящик для принадлежностей. Размер фасада ящика должен быть не менее 120х700 мм.
В качестве фурнитуры для ящиков должны использоваться направляющие полного выдвижения с доводчиком длиной не менее 400 мм. Рабочее место должно быть закрыто с фасадной части двумя царгами шириной 180мм. В качестве фурнитуры крепления должны использоваться конфирматы 6,4х50 мм, стяжка эксцентриковая, шкант буковый 8х30 мм. Фурнитура для открывания крышки стола должна быть с использованием механического
подъёмника, с механизмом предотвращающим инертный сход фасада.</t>
  </si>
  <si>
    <t>521-301-3101-0006</t>
  </si>
  <si>
    <t>Стол для раскроя ткани на колесах, размеры столешницы 1600х1200 мм, толщина ЛДСП 22 мм</t>
  </si>
  <si>
    <t>Высота верхнего края столешницы над уровнем пола должна быть не менее 800 мм. Материал столешницы должен быть ЛДСП, толщиной не менее 22 мм. Кромка из ПВХ не менее 2 мм. Стол изготовлен из ЛДСП толщиной не менее 16 мм. Внутреннее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В центральной части должен быть сквозной проем для удобства хранения и использования ткани и принадлежностей. По ширине стола с 2 сторон должны быть ниши, разделенные горизонтально на 2 одинаковые части. Основание стола должно быть изготовлено из трубы квадратного сечения не менее 25х25 мм, толщиной не менее 1,2 мм, и оснащено не менее 6 колесными опорами для свободного перемещения стола.</t>
  </si>
  <si>
    <t>521-301-3102</t>
  </si>
  <si>
    <t>Стол для раскроя ткани. Столешница 32мм,
опоры ЛДСП 16мм. Размеры 1000х800мм.</t>
  </si>
  <si>
    <t>Стол для раскроя ткани. Столешница ЛДСП 32мм, опоры ЛДСП 16мм.
Размеры 1000х800мм.</t>
  </si>
  <si>
    <t>521-301-3103</t>
  </si>
  <si>
    <t>Оверлок</t>
  </si>
  <si>
    <t>521-301-3103-0001</t>
  </si>
  <si>
    <t>Оверлок швейный  TOYOTA SLR 4D, потребляемая мощность 90Вт, количество швейных операций - 7, максимальная скорость шитья 1200 ст/мин</t>
  </si>
  <si>
    <t>521-301-3103-0002</t>
  </si>
  <si>
    <t>Оверлок швейный CHAYKA ЧАЙКА 649, потребляемая мощность 100 Вт, количество швейных операций - 12, максимальная скорость шитья 1300 ст/мин</t>
  </si>
  <si>
    <t>521-301-3103-0003</t>
  </si>
  <si>
    <t>Оверлок швейный TRIO Dreamlock 777, потребляемая мощность 135 Вт, количество швейных операций - 8, максимальная скорость шитья 1200 ст/мин</t>
  </si>
  <si>
    <t>521-301-3103-0004</t>
  </si>
  <si>
    <t>Оверлок швейный JANOME ARTSTYLE 4057, потребляемая мощность 105 Вт, количество швейных операций - 8, максимальная скорость шитья 1300 ст/мин</t>
  </si>
  <si>
    <t>521-301-3103-0005</t>
  </si>
  <si>
    <t>Оверлок швейный JANOME MYLOCK 4952, потребляемая мощность 120 Вт, количество швейных операций - 4, максимальная скорость шитья 1300 ст/мин</t>
  </si>
  <si>
    <t>521-301-3103-0006</t>
  </si>
  <si>
    <t>Оверлок швейный ELNA 664 Pro, потребляемая мощность 120 Вт, количество швейных операций - 12, максимальная скорость шитья 1300 ст/мин</t>
  </si>
  <si>
    <t>521-301-3103-0007</t>
  </si>
  <si>
    <t>Оверлок швейный BERNETTE B44, потребляемая мощность 90 Вт, количество швейных операций - 15, максимальная скорость шитья 1300 ст/мин</t>
  </si>
  <si>
    <t>521-301-3103-0008</t>
  </si>
  <si>
    <t>Оверлок JANOME MYLOCK 944 D,
потребляемая мощность 105 Вт, количество швейных операций - 11, максимальная скорость шитья 1300 ст/мин</t>
  </si>
  <si>
    <t>521-301-3103-0009</t>
  </si>
  <si>
    <t>Оверлок (UniCraft RK-95), размер 470мм х 330мм х 490мм</t>
  </si>
  <si>
    <t>Максимальная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t>
  </si>
  <si>
    <t>521-301-3103-0010</t>
  </si>
  <si>
    <t>Оверлок швейный типа bernette FUNLOCK 44, потребляемая мощность 90Вт, количество швейных операций - 15, максимальная скорость шитья 1300 ст/мин</t>
  </si>
  <si>
    <t>521-301-3104</t>
  </si>
  <si>
    <t>Доска гладильная напольная</t>
  </si>
  <si>
    <t>521-301-3105</t>
  </si>
  <si>
    <t>Манекен женский</t>
  </si>
  <si>
    <t>521-301-3106</t>
  </si>
  <si>
    <t>Манекен мужской</t>
  </si>
  <si>
    <t>521-301-3109</t>
  </si>
  <si>
    <t>Станок ткацкий</t>
  </si>
  <si>
    <t>521-301-3109-0001</t>
  </si>
  <si>
    <t>Станок ткацкий ручной (UniCraft RT -95), размер 385мм х270мм х320мм</t>
  </si>
  <si>
    <t>Материал-дерево, с разборным корпусом,оснащен регулируемыми натяжителями нитей, различными режимами настройки.</t>
  </si>
  <si>
    <t>521-301-3112</t>
  </si>
  <si>
    <t>Машина вышивальная</t>
  </si>
  <si>
    <t>521-301-3112-0001</t>
  </si>
  <si>
    <t>Машина вышивальная JANOME Memory Craft 550E, количество вышивальных дизайнов - 180, потребляемая мощность 55 Вт, максимальная скорость шитья 860 ст/мин</t>
  </si>
  <si>
    <t>521-301-3112-0002</t>
  </si>
  <si>
    <t>Машина вышивальная (UniCraft Memory Craft), размер 450мм х 350мм х480мм</t>
  </si>
  <si>
    <t>Площадь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USB для импорта дополнительных дизайнов вышивки</t>
  </si>
  <si>
    <t>521-301-3113</t>
  </si>
  <si>
    <t>Машина швейная</t>
  </si>
  <si>
    <t>521-301-3113-0001</t>
  </si>
  <si>
    <t>Машина швейная компьютеризированная электронная BERNETTE B37, количество швейных операций - 50, потребляемая мощность 42 Вт, максимальная скорость шитья 700 ст/мин</t>
  </si>
  <si>
    <t>521-301-3113-0002</t>
  </si>
  <si>
    <t>Машина швейная электронная BERNETTE B38 с прикладным столиком, количество швейных операций - 394, потребляемая мощность 42 Вт, максимальная скорость шитья 820 ст/мин</t>
  </si>
  <si>
    <t>521-301-3113-0003</t>
  </si>
  <si>
    <t>Машина швейная электромеханическая VERITAS Janis, количество швейных операций - 9, потребляемая мощность 70 Вт, максимальная скорость шитья 750 ст/мин</t>
  </si>
  <si>
    <t>521-301-3113-0004</t>
  </si>
  <si>
    <t>Машина швейная  JAGUAR PS 650, количество швейных операций - 80, потребляемая мощность 85 Вт, максимальная скорость шитья 750 ст/мин</t>
  </si>
  <si>
    <t>521-301-3113-0005</t>
  </si>
  <si>
    <t>Машина швейная электромеханическая TOYOTA SUPER J 34, количество швейных операций - 34, потребляемая мощность 65 Вт, максимальная скорость шитья 700 ст/мин</t>
  </si>
  <si>
    <t>521-301-3113-0006</t>
  </si>
  <si>
    <t>Машина швейная электромеханическая JANOME Cherry 20, количество швейных операций - 20, потребляемая мощность 60 Вт, максимальная скорость шитья 600 ст/мин</t>
  </si>
  <si>
    <t>521-301-3113-0007</t>
  </si>
  <si>
    <t>Машина швейная электромеханическая JANOME HighStyle 1818, количество швейных операций - 19, потребляемая мощность 65 Вт, максимальная скорость шитья 400 ст/мин</t>
  </si>
  <si>
    <t>521-301-3113-0008</t>
  </si>
  <si>
    <t>Машина швейная электромеханическая BERNETTE Sublime Milan 3, количество швейных операций - 21, потребляемая мощность 80 Вт, максимальная скорость шитья 800 ст/мин</t>
  </si>
  <si>
    <t>521-301-3113-0009</t>
  </si>
  <si>
    <t>Машина швейная электромеханическая JANOME 1225s, количество швейных операций - 25, потребляемая мощность 85 Вт, максимальная скорость шитья 700 ст/мин</t>
  </si>
  <si>
    <t>521-301-3113-0010</t>
  </si>
  <si>
    <t>Машина швейная электромеханическая BERNETTE Sublime Milan 5, количество швейных операций - 28, потребляемая мощность 85 Вт, максимальная скорость шитья 800 ст/мин</t>
  </si>
  <si>
    <t>521-301-3113-0011</t>
  </si>
  <si>
    <t>Машина швейная электромеханическая BERNETTE B35, количество швейных операций - 23, потребляемая мощность 85 Вт, максимальная скорость шитья 860 ст/мин</t>
  </si>
  <si>
    <t>521-301-3113-0012</t>
  </si>
  <si>
    <t>Машина швейная электромеханическая JANOME 7515, количество швейных операций - 15, потребляемая мощность 85 Вт, максимальная скорость шитья 860 ст/мин</t>
  </si>
  <si>
    <t>521-301-3113-0013</t>
  </si>
  <si>
    <t>Машина швейная электронная CHAYKA ЧАЙКА NEW WAVE 877, количество швейных операций - 100, потребляемая мощность 51 Вт, максимальная скорость шитья 1000 ст/мин</t>
  </si>
  <si>
    <t>521-301-3113-0014</t>
  </si>
  <si>
    <t>Машина швейная электромеханическая BERNETTE 05 Academy, количество швейных операций - 30, потребляемая мощность 60 Вт, максимальная скорость шитья 1100 ст/мин</t>
  </si>
  <si>
    <t>521-301-3113-0015</t>
  </si>
  <si>
    <t>Машина швейная компьютеризированная (UniCraft RC 4300), размер 510мм х380мм х380мм</t>
  </si>
  <si>
    <t>Максимальная скорость шитья: не менее 570 стежков в минуту, с ЖК-дисплеем для выбора строчек и настройки параметров</t>
  </si>
  <si>
    <t>521-301-3113-0016</t>
  </si>
  <si>
    <t>Машина швейная электрическая (UniCraft SK-95), размер 580мм х 250мм х 540мм</t>
  </si>
  <si>
    <t>Максимальная скорость шитья: не менее 4 100 стежков в минуту</t>
  </si>
  <si>
    <t>521-301-3113-0017</t>
  </si>
  <si>
    <t>Машина швейная типа bernette Sew and Go 5, электромеханическая, количество швейных операций - 23, потребляемая мощность 70 Вт</t>
  </si>
  <si>
    <t>521-301-3113-0018</t>
  </si>
  <si>
    <t>Машина швейная типа bernette Sew and Go 8, компьютерная, количество швейных операций - 197, потребляемая мощность 70 Вт</t>
  </si>
  <si>
    <t>521-301-3113-0019</t>
  </si>
  <si>
    <t>Машина швейная типа bernette b70 DECO, электронная, количество швейных операций
- 208, потребляемая мощность 90 Вт</t>
  </si>
  <si>
    <t>521-301-3119</t>
  </si>
  <si>
    <t>Кабина примерочная</t>
  </si>
  <si>
    <t>521-301-3119-0001</t>
  </si>
  <si>
    <t>Кабина примерочная прямоугольная с занавесом</t>
  </si>
  <si>
    <t>Кабина примерочная со шторкой, ЛДСП 16 мм, размеры не менее 1500*1500*1800мм</t>
  </si>
  <si>
    <t>521-301-3120</t>
  </si>
  <si>
    <t>Шкаф для швейных инструментов</t>
  </si>
  <si>
    <t>521-301-3120-0001</t>
  </si>
  <si>
    <t>Шкаф в комплекте со швейными инструментами и расходниками (CraftLab). Размер 1200х550х1800</t>
  </si>
  <si>
    <t>Шкаф выполнен из ЛДСП, толщиной 16 мм, кромка ПВХ.Каждый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</si>
  <si>
    <t>521-301-3400</t>
  </si>
  <si>
    <t>Помещение для хранения оружия и военно-технического имущества</t>
  </si>
  <si>
    <t>521-301-3401</t>
  </si>
  <si>
    <t>Стеллаж металлический для хранения противогазов и военно-технического имущества. Размеры 700х300х1800мм.</t>
  </si>
  <si>
    <t>Стеллаж металлический для хранения противогазов и военно-технического имущества. Размеры 700х300х1800мм. Изготовлен из высококачественной стали.</t>
  </si>
  <si>
    <t>521-301-3402</t>
  </si>
  <si>
    <t>Шкаф (пирамида) для хранения оружия</t>
  </si>
  <si>
    <t>521-301-3402-0001</t>
  </si>
  <si>
    <t>Пирамида 1054*530*360/1822 (из 3мм) 20 единиц оружия</t>
  </si>
  <si>
    <t>521-301-3402-0002</t>
  </si>
  <si>
    <t>Пирамида 1190*450*1920 (из 3мм) 14 единиц оружия</t>
  </si>
  <si>
    <t>521-301-3402-0003</t>
  </si>
  <si>
    <t>Шкаф для хранения оружия, ЛДСП 16мм, 10 единиц оружия, размер 1000х500х2000мм</t>
  </si>
  <si>
    <t>Шкаф для хранения оружия на 10 единиц. Рекомендуемые размеры не менее 1000х500х2000 мм. Шкаф имеет вставные полки за двумя глухими фасадами. В производстве используется материал ЛДСП не менее 16 мм., торцы закатаны кромочным материалом ПВХ не менее 1,0 мм.</t>
  </si>
  <si>
    <t>521-301-3402-0004</t>
  </si>
  <si>
    <t>Стол для чистки и смазки стрелкового оружия, размеры 1200х750х890 мм.
Подставка из фанеры толщиной 15 мм, основание металлический каркас из профильной трубы</t>
  </si>
  <si>
    <t>Каркас изготовлен из профильной трубы 50х25 мм толщиной не менее 1,2 мм и 40х25 мм толщиной не менее 1,2 мм и окрашен
полимерно-порошковым покрытием. Основа конструкции – металлический каркас из профильной трубы. Для дополнительного укрепления опоры должны быть соединены между собой профильной трубой. Размер подставки для оружия должен быть не менее 1200х750х120 мм. Подставка должна быть изготовлены из фанеры толщиной не менее 15 мм, и покрыта матовым лаком.  Металлический каркас окрашен эпоксидно-полиэфирной порошковой краской.  На основании каркаса имеются подпятники, предотвращающие порчу полового покрытия.</t>
  </si>
  <si>
    <t>521-301-3404</t>
  </si>
  <si>
    <t>Массогабаритный макет автомата
Калашникова</t>
  </si>
  <si>
    <t>521-301-3406</t>
  </si>
  <si>
    <t>Общевойсковой защитный комплект</t>
  </si>
  <si>
    <t>Предназначен для защиты кожных покровов пользователя и снижения заражения одежды, снаряжения и обуви. В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t>
  </si>
  <si>
    <t>521-301-3407</t>
  </si>
  <si>
    <t>Противогаз общевойсковой фильтрующий</t>
  </si>
  <si>
    <t>Противогаз фильтрующий предназначен для очистки загрязнённого воздуха от аэрозольных частиц высокотоксичных веществ, содержащихся в пыли, дыме или тумане. Корпус фильтра изготовлен из специальной пластмассы и снаряжён противоаэрозольным фильтром из фильтрующего материала и поглощающим слоем (шихтой) из сорбента.</t>
  </si>
  <si>
    <t>521-301-3408</t>
  </si>
  <si>
    <t>Противогаз гражданский</t>
  </si>
  <si>
    <t>Противогаз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t>
  </si>
  <si>
    <t>521-301-3409</t>
  </si>
  <si>
    <t>Респиратор</t>
  </si>
  <si>
    <t>521-301-3410</t>
  </si>
  <si>
    <t>Войсковой прибор химической разведки</t>
  </si>
  <si>
    <t>Прибор химической разведки войсковой ВПХР предназначен для обнаружения и оценки степени опасности заражения отравляющими веществами вероятного противника (ОB ВП) воздуха, местности, военной техники при помощи индикаторных трубок (ИТ).</t>
  </si>
  <si>
    <t>521-301-3412</t>
  </si>
  <si>
    <t>Комплект индивидуальных дозиметров</t>
  </si>
  <si>
    <t>Прибор предназначен для измерения поглощенных доз гамма-нейтронного излучения в интервале температур от -50ᵒС до +50ᵒС при относительной влажности воздуха до 98%. В комплект входят не менее 10 индивидуальных дозиметров и зарядное устройство на пьезоэлементе.</t>
  </si>
  <si>
    <t>521-301-3415</t>
  </si>
  <si>
    <t>Малая пехотная лопата</t>
  </si>
  <si>
    <t>521-301-3418</t>
  </si>
  <si>
    <t>Компас армейский</t>
  </si>
  <si>
    <t>521-301-3420</t>
  </si>
  <si>
    <t>Индивидуальный перевязочный пакет</t>
  </si>
  <si>
    <t>521-301-3422</t>
  </si>
  <si>
    <t>Сумка санитарная со спецукладкой в комплекте</t>
  </si>
  <si>
    <t>521-301-3900</t>
  </si>
  <si>
    <t>Тир</t>
  </si>
  <si>
    <t>521-301-3906</t>
  </si>
  <si>
    <t>Стойка – подставка для стрельбы стоя</t>
  </si>
  <si>
    <t>521-301-3906-0001</t>
  </si>
  <si>
    <t>Стойка для хранения лука для стрельбы. Габариты: 1300х250х1300 мм</t>
  </si>
  <si>
    <t>Основание каркаса металл. Порошковая краска. Материал изготовления: металл покрытый порошковой краской.</t>
  </si>
  <si>
    <t>521-301-3907</t>
  </si>
  <si>
    <t>Стол для чистки и смазки стрелкового оружия</t>
  </si>
  <si>
    <t>521-301-4000</t>
  </si>
  <si>
    <t>Наборы и принадлежности для кабинета биотехнологий</t>
  </si>
  <si>
    <t>521-301-4001</t>
  </si>
  <si>
    <t>Набор оборудования для проведения экспериментов электрофореза агароза</t>
  </si>
  <si>
    <t>521-301-4001-0001</t>
  </si>
  <si>
    <t>Набор оборудования для проведения экспериментов электрофореза агароза типа Experia BN-15</t>
  </si>
  <si>
    <t>Комплектация: кейс с крышкой - 1 шт , лоток со вставкой - 1шт, флакон объемом 500 мл с 5-кратным буферным концентратом TBE - 1 шт, 5 г сверхчистой агарозы - 1шт, флакон 60 мл ДНК-красителя - 1 шт, 5 мл красителя с 10-кратной загрузкой и поддон для окрашивания - 1 шт, стандарт массы ДНК  - 1 шт, пробирка объемом 50 мл - 1 шт, микропипетка с возможностью набора 1-20 мкл - 1 шт, пипетка градуированная 10 мл, - 1 шт.</t>
  </si>
  <si>
    <t>521-301-4001-0002</t>
  </si>
  <si>
    <t>Набор оборудования для проведения экспериментов электрофореза агароза типа Wards Science 4701</t>
  </si>
  <si>
    <t>В комплект входят: гелевый пластиковый лоток для смесей подключения проводов 4 шт.,   электрический источник питания постоянный выход 100 В или 200 В, 200 мА, 2 шт.  многоразовый дозатор-пипеток с фиксированным объемом (10 мкл μL) 8 шт. стойка наконечников для пипетки 4 шт., комплект с красителями 6 агароз геля (Bromophenol синий, фиолетовый кристалл, оранжевый G, метиловый зеленый, ксилол cyanol, неизвестный "uncknown" краситель) 2 шт.</t>
  </si>
  <si>
    <t>521-301-4002</t>
  </si>
  <si>
    <t>Лабораторный практикум "Анализ отпечатков пальцев"</t>
  </si>
  <si>
    <t>521-301-4002-0001</t>
  </si>
  <si>
    <t>Лабораторный практикум "Анализ отпечатков пальцев" типа Experia BN-16</t>
  </si>
  <si>
    <t>Комплектация: Кейс с крышкой - 1 шт , Лоток со вставкой - 1шт, Руководство для инструктора - 1шт ; Дактилоскопический порошок 50 г - 1 шт ; Нингидрин 25 мл- 1 шт ; Ацетон 50 мл - 1 шт; Йод Люголя  25 мл- 1 шт; Кисти для снятия отпечатков пальцев - 1 шт; Увеличительные стекла - 1 шт; Облигационная бумага - 2шт; Перчатки - 3 пары; Пипетки - 3 шт; Суперклей 15 мл - 1 шт; Чернильные подушечки - 1 шт; Дактилоскопическая скотч-лента - 1 шт; Инструкции по способу работы - 1 шт.</t>
  </si>
  <si>
    <t>521-301-4002-0002</t>
  </si>
  <si>
    <t>Лабораторный практикум "Анализ отпечатков пальцев" типа Wards Science 4702</t>
  </si>
  <si>
    <t>Набор содержит необходимые реагенты некоторые из них требуют определенный температурный режим. Образцы подозреваемых (A-F DNA suspect Enzyme) темп режим,  ультраспек агароза,   50X концентрированный электрофорезный раствор,  гелевый раствор,  синька (DNA stain flash blue), insta stain blue card,  1 мл пипетка,  трансферные пипетки.</t>
  </si>
  <si>
    <t>521-301-4003</t>
  </si>
  <si>
    <t>Экспериментальный набор "Электрофорез"</t>
  </si>
  <si>
    <t>521-301-4003-0001</t>
  </si>
  <si>
    <t>Экспериментальный набор "Электрофорез" типа Experia BN-17</t>
  </si>
  <si>
    <t>521-301-4003-0002</t>
  </si>
  <si>
    <t>Экспериментальный набор "Электрофорез" типа Wards Science 4703</t>
  </si>
  <si>
    <t>521-301-4004</t>
  </si>
  <si>
    <t>Экспериментальный набор "Строение ДНК"</t>
  </si>
  <si>
    <t>521-301-4004-0001</t>
  </si>
  <si>
    <t>Экспериментальный набор "Строение ДНК" типа Experia BN-19</t>
  </si>
  <si>
    <t>521-301-4004-0002</t>
  </si>
  <si>
    <t>Экспериментальный набор "Строение ДНК" типа Wards Science 4705</t>
  </si>
  <si>
    <t>521-301-4005</t>
  </si>
  <si>
    <t>Практикум "Электрофорез ДНК часть 1"</t>
  </si>
  <si>
    <t>521-301-4005-0001</t>
  </si>
  <si>
    <t>Практикум "Электрофорез ДНК часть 1" типа Experia BN-20</t>
  </si>
  <si>
    <t>Комплектация: кейс с крышкой - 1 шт , лоток со вставкой - 1шт, двойные камеры - 6 шт , источник питания - 3 шт , стационарные микропипетки по 10 мкл - 6 шт, подставки с наконечниками - 2шт, наборы "Введение в электрофорез" - 2 шт, руководство по электрофорезу - 1 шт
,трансиллюминатор белого света - 1 шт и DVD-диск для электрофореза в агарозе -  1 шт, агарозные таблетки 3 таблетки - 1 упаковка, электрофорезный буфер TBE, 1 л - 1 шт, одноразовые наконечники для микропипеток - 50 шт, колба для растворения агарозы - 3 шт, контроллер цепи - 3 шт, светодиодная полоса - 3 шт,проволока для электродов - 6 шт, кабель для электродов - 6 шт, пара электродных дамов (одна черная, одна красная) - 3 пары, держатели для гребня- 2 шт, гребень 6 шт,  электродные
зажимы  - 3 шт.</t>
  </si>
  <si>
    <t>521-301-4005-0002</t>
  </si>
  <si>
    <t>Практикум "Электрофорез ДНК часть 1" типа Wards Science 4706</t>
  </si>
  <si>
    <t>В каждый комплект входит источник тока мощностью от 15Вт до 140Вт. Набор должен содержать весь необходимый инструментарий, а также методическое руководство для преподавателя и учащихся.  Практикум содержит: Источник тока с цифровым индикатором, переменного напряжения универсальная микропипетка (Fixed Volume 10«M,50[mu lower case]»),  96 одноразовых головок для универсальной микропипетки, контейнер для электрофореза (gel box/TANK),  6 агароз геля (Bromophenol синий, фиолетовый кристалл, оранжевый G, метиловым зеленым, ксилол cyanol, неизвестно смесь краситель),  30 микротрубок 1.5ml,  1 готовый агароз гель,  2.0%, 200ml,  1 Реактивы для электрофореза агароза
(Tris-Borate-Edta) 5x  500mL.</t>
  </si>
  <si>
    <t>521-301-4006</t>
  </si>
  <si>
    <t>Практикум "Электрофорез ДНК часть 2"</t>
  </si>
  <si>
    <t>521-301-4006-0001</t>
  </si>
  <si>
    <t>Практикум "Электрофорез ДНК часть 2" типа Experia BN-21</t>
  </si>
  <si>
    <t>Комплектация: кейс с крышкой - 1 шт , лоток со вставкой - 1шт, гель-бокс с лотками гребешками и силовыми кабелями - 4 шт; источник питания - 2 шт; микропипетки (2-20 мкл) - 8 шт;микропипетка (20-200 мкл) - 1 шт; сухая ванна для микроцентрифужных трубок объемом 1,5 мл с блоком - 1 шт ; термометр - 1 шт; стойки для микроцентрифужных трубок - 4 шт; микроцентрифуга - 1 шт; коробки с наконечниками для микропипеток - 4 шт; пакет микроцентрифужных трубок объемом 1,5 мл (30 трубок) - 2 шт; коническая пробирка с агарозой (10 г) - 1 шт; флакон с беговым буфером TBE, 800 мл - 1 шт; запасной предохранитель для источников питания - 1 шт; темный считыватель - 1 шт.</t>
  </si>
  <si>
    <t>521-301-4006-0002</t>
  </si>
  <si>
    <t>Практикум "Электрофорез ДНК часть 2" типа Wards Science 4707</t>
  </si>
  <si>
    <t>Набор должен содержать весь необходимый инструментарий. В комплект входит:  источник тока мощностью от 15Вт до 140Вт, 2 универсальная микропипетка (Fixed Volume 10«M,50[mu lower case]»),  96 одноразовых головок для универсальной микропипетки,  2 контейнера для электрофореза (gel box/TANK), 6 агароз геля (Bromophenol синий, фиолетовый кристалл, оранжевый G, метиловым зеленым, ксилол cyanol, неизвестно смесь краситель),  30 микрофуговые трубки 1.5ml,  1 готовый агароз гель,  2.0%, 200ml,  1 Реактивы для электрофореза агароза (Tris-Borate-Edta) 5x  500mL.</t>
  </si>
  <si>
    <t>521-301-4007</t>
  </si>
  <si>
    <t>Учебный практикум "Экстракция ДНК из фруктов и овощей"</t>
  </si>
  <si>
    <t>521-301-4007-0001</t>
  </si>
  <si>
    <t>Учебный практикум "Экстракция ДНК из фруктов и овощей" типа Experia BN-22</t>
  </si>
  <si>
    <t>Комплектация: кейс с крышкой - 1 шт , лоток со вставкой - 1шт, ДНК-экстракционный буфер, 250 мл - 1 шт; Градуированные пипетки Пастера - 10 шт ; Деревянные палочки - 8 шт; Пробирки - 10 шт; Изопропиловый спирт, 250 мл - 1 шт.</t>
  </si>
  <si>
    <t>521-301-4007-0002</t>
  </si>
  <si>
    <t>Учебный практикум "Экстракция ДНК из фруктов и овощей" типа Wards Science 4708</t>
  </si>
  <si>
    <t>В комплект входит: • Буфер экстракции ДНК  • калибровочные пипетки  • деревянная палочка  • большие тест трубки  •  маленькие тест трубки</t>
  </si>
  <si>
    <t>521-301-4008</t>
  </si>
  <si>
    <t>Набор для лабораторных работ по исследованию ДНК бактерий</t>
  </si>
  <si>
    <t>521-301-4008-0001</t>
  </si>
  <si>
    <t>Набор для лабораторных работ по исследованию ДНК бактерий типа Experia BN-23</t>
  </si>
  <si>
    <t>Комплектация: Кейс с крышкой - 1 шт;  Лоток со вставкой - 1шт; Бактериальная культура - 5 шт; Лизирующий раствор, 50 - 1 шт; Изопропанол и этиловый спирт, 100 мл - 1 шт; Буфер для ресуспензии ДНК, 50 мл - 1 шт; Агарозный гель - 5 шт; Аппарат для электрофореза в геле - 1 шт; Этидий бромид (EtBr), 5 мл - 1 шт; Микропипетки - 1 шт ; Насадки для микропипеток - 10 шт; Микроцентрифужные пробирки - 4 шт,; Химическая колба конусовидная градуированная - 1 шт.
"</t>
  </si>
  <si>
    <t>521-301-4008-0002</t>
  </si>
  <si>
    <t>Набор для лабораторных работ по исследованию ДНК бактерий типа Wards Science 4709</t>
  </si>
  <si>
    <t>В набор входит весь необходимый материал, включая реагенты и лабораторные принадлежности. Методическая инструкция. • культуры галобактерии  (иммитация живых бактерий halobacterium salinarum cultures, температурный режим) •  трубоки для экстрации (пробирки) • ДНК виндер • ватные палочки  • этиловый спирт • дистилированная вода (пробирки) • стерильные пипетки  • макро молекулярные растворы в баночках (macromolecular solution) • мешок для биологически опасных веществ.</t>
  </si>
  <si>
    <t>521-301-4009</t>
  </si>
  <si>
    <t>Практикум "Регулирование экспрессии гена: эксперимент по метилированию ДНК"</t>
  </si>
  <si>
    <t>521-301-4009-0001</t>
  </si>
  <si>
    <t>Практикум "Регулирование экспрессии гена: эксперимент по метилированию ДНК" типа Experia BN-24</t>
  </si>
  <si>
    <t>Комплектация: Кейс с крышкой - 1 шт; Лоток со вставкой - 1шт; Образцы ДНК: 2 мл (без метилирования и с метилированием) - 1 шт; Ферменты рестрикции, 500 мкл. - 1 шт; 10X буфер для фермента рестрикции 5 мл, - 1 шт.; Агароза,5 г.; 1X TAE буфер, 500 мл. - 1 шт; Краситель для ДНК,500 мкл, этидиумбромид - 1 шт ; Гель-бокс с блоком для агарозного геля - 1 шт; Микропипетки 1 -20 мкл - 1 шт; Насадки для микропипеток - 10 шт; Микроцентрифужные пробирки- 10 шт; Инструкция по эксперименту: 1 брошюра; Химическая колба конусовидная градуированная - 1 шт;</t>
  </si>
  <si>
    <t>521-301-4009-0002</t>
  </si>
  <si>
    <t>Практикум "Регулирование экспрессии гена: эксперимент по метилированию ДНК" типа Wards Science 47010</t>
  </si>
  <si>
    <t>Набор содержит: • Компоненты для метилирования ДНК (Lambda DNA, Hind, Ecor, S-adenosyl..) (темп. режим) • Растворэкспресиигена 0,5 мл (1 Bottle of loadin Regulation of Gene Expressiong solution, 0.5 ml ) • 1 бутылекразбавленногоагароза 0.8%, 200 мл (1 Bottle of pre-cooked agarose
0.8%, 200 ml)  • 1 бутылек трисборатбуфер10x, 250мл (1 Bottle of TBE running buffer 10x, 250 ml)  • 1 бутылек красителя ДНК 60 мл (1 Bottle of DNA Stain concentrate, 60ml)  •  реакционные микротрубки • 1 лотокдлягеля
• 1 мешалка</t>
  </si>
  <si>
    <t>521-301-4010</t>
  </si>
  <si>
    <t>Практикум "Расщепление молекул: Система анализа белка и ДНК"</t>
  </si>
  <si>
    <t>521-301-4010-0001</t>
  </si>
  <si>
    <t>Практикум "Расщепление молекул: Система анализа белка и ДНК" типа Experia BN-25</t>
  </si>
  <si>
    <t>Комплектация: Кейс с крышкой - 1 шт; Лоток со вставкой - 1шт; Культура
E. coli. - 1 пачка; Жидкая питательная среда (например, LB-бульон)100 мл  - 1 шт; Пробирки - 5 шт; Пипетки - 9 шт ; Пластиковые мерные ложки - 1 шт;
0,1 М раствор NaOH 20 мл - 1 шт; 1,5 М раствор NaCl 20 мл - 1 шт; Фильтровальная бумага - 1 упаковка; Агароза, 1 г - 1 шт; 1X TAE буфер (Tris-acetate-EDTA), 250 мл - 1 шт; Гель-бокс с блоком для агарозного геля - 1 шт;Электрофорезный бак - 1 шт; Источник питания для электрофореза - 1 шт; Питательная среда для культивирования бактерий с соответствующими антибиотиками, 200 мл  - 1 шт; Ферменты рестрикции, 20 мкл - 1 шт; Белковый гель  - 1 шт; Раствор Coomassie Blue, 20 мл  - 1 шт; Раствор этидиумбромида ДНК, 10 мл - 1 шт; SDS -PAGE загрузочный буфер, 20 мл - 1 шт;</t>
  </si>
  <si>
    <t>521-301-4010-0002</t>
  </si>
  <si>
    <t>Практикум "Расщепление молекул: Система анализа белка и ДНК" типа Wards Science 47011</t>
  </si>
  <si>
    <t>В комплект входит: • рыбный компонент желтый окунь (строго в холодильнике, живые протеиновые молекулы) • рыбный компонент судак (строго в холодильнике, живые протеиновые молекулы) • рыбный компонент Лосось (строго в холодильнике, живые протеиновые молекулы)
• высоко-молекулярный протеиновый маркер • 1 порошкообразный СДС буферный концетрат (1 Packet SDS running Concestrate ) • 1 бутылек с протеиновым с агарозовым раствором 500 мл (Agarose Protein mix) • 1
лоток  • 1 мешалка для раствора •  пластиковые пипетики  • 30 микротрубок для центрифуги • Лоток вертикальный для пластин (Vertical dual-PAGE chamber)  • источник питания для проведения электрофореза (постоянный выход 100 В или 200 В, 200 м) • Трисглицин СДС %  гелиевые пластины для электрофореза ( % gradient tris-glycine gels) (температурный режим) • Микропипетки универсальные10 μL • Миллиметровка (бумага)</t>
  </si>
  <si>
    <t>521-301-4011</t>
  </si>
  <si>
    <t>Лабораторный практикум "Открытие ДНК"</t>
  </si>
  <si>
    <t>521-301-4011-0002</t>
  </si>
  <si>
    <t>Лабораторный практикум "Открытие ДНК"
типа Wards Science 47012</t>
  </si>
  <si>
    <t>Набор содержит:  Методическую пошаговую литературу для учащихся. • ДНК хромосомы в буфере • Инстаблукарта (InstaStain methylene blue card) • палочкидлямешания • пластиковые калибровочные пипетки</t>
  </si>
  <si>
    <t>521-301-4012</t>
  </si>
  <si>
    <t>Лабораторный практикум "Карта ДНК
семьи"</t>
  </si>
  <si>
    <t>521-301-4012-0001</t>
  </si>
  <si>
    <t>Лабораторный практикум "Карта ДНК
семьи" типа Experia BN-27</t>
  </si>
  <si>
    <t>Комплектация:  Кейс с крышкой - 1 шт; Лоток со вставкой - 1шт; Раствор для лизиса, 10 мл - 1 шт; Ватные тампоны - 1 шт; NaCI (хлорид натрия), 5 г
- 1 шт;  Протеаза, 20 мл - 1 шт; Краситель метиленовый синий, 5 мл - 1 шт; Калиброванные переносные пипетки - 2 шт; Микропипетки - 1 шт; Наконечники для микропипеток - 5 шт; Пробирки  - 3 шт; Семейная идентификационная карта - 1 шт.</t>
  </si>
  <si>
    <t>521-301-4012-0002</t>
  </si>
  <si>
    <t>Лабораторный практикум "Карта ДНК
семьи" типа Wards Science 47013</t>
  </si>
  <si>
    <t>Набор должен содержать весь необходимый инструментарий, а также методическое руководство для преподавателя и учащихся. • Лисис буфер • Ватные палочки • Натрий хлор • Энзим (Protease enzyme) • Метелинблу (Methylene blue plus stain) • Калибровочные пипетки • Микропипетки  • Тестовые пробирки • Семейная ДНК карта</t>
  </si>
  <si>
    <t>521-301-4013</t>
  </si>
  <si>
    <t>Практикум "Воссоздание
кариотипирования"</t>
  </si>
  <si>
    <t>521-301-4013-0001</t>
  </si>
  <si>
    <t>Практикум "Воссоздание
кариотипирования" типа Experia BN-28</t>
  </si>
  <si>
    <t>Комплектация: кейс с крышкой - 1 шт , лоток со вставкой - 1шт, подготовленные образцы метафазных хромосом - 20 шт. Фиксирующий раствор, 500 мл - 1 бутылка Раствор Гимзы, 100 мл - 1 бутылка, Компьютерная с программа для анализа изображений и составления кариограмм - 1 шт. Буфер для промывки (фосфатный буферный раствор, PBS), 500 мл - 1 бутылка;  пипетки разного объема - 10 шт;наконечники дл пипеток - 100 шт; Микроцентрифужные пробирки, 1,5 мл - 100 пробирок; Ванна для окрашивания слайдов - 1 шт; Инструкции и учебные пособия по кариотипированию - 20 комплектов; Резиновые перчатки - 50 пар; Искусственные модели хромосом  - 1 набор; хромосом (для каждого студента) - 23 шт; Коллажные материалы для создания кариограммы - 10 листов; Копмлект цветных карандашов - 10 шт; Лупы - 10 шт.Иллюстративные материалы о различных генетических расстройствах, связанных с хромосомами - 20 шт; Печатные инструкции для учеников - 20 шт; Интерактивные демонстрационные материалы - 5 шт; Видеоматериалы с демонстрацией процесса кариотипирования - 1 шт; Микроскопические слайды с изображениями реальных кариограмм - 1 шт.</t>
  </si>
  <si>
    <t>521-301-4013-0002</t>
  </si>
  <si>
    <t>Практикум "Воссоздание кариотипирования" типа Wards Science 47014</t>
  </si>
  <si>
    <t>В набор входит пошаговая инструкция. • 6 пластин кариотипирования (6 karyotype trays ) • 6 пластин №1 (6 chromosome plate #1) • 6 пластин №2 (6
chromosome plate #2) • 6 пластин №3 (6 chromosome plate #3) • 6 пластиковых пакетов</t>
  </si>
  <si>
    <t>521-301-4014</t>
  </si>
  <si>
    <t>Лабораторный практикум "Рекомбинант
ДНК, демонстрация моделей"</t>
  </si>
  <si>
    <t>521-301-4014-0001</t>
  </si>
  <si>
    <t>Лабораторный практикум "Рекомбинант ДНК, демонстрация моделей" типа Experia BN-29</t>
  </si>
  <si>
    <t>Комплектация: Кейс с крышкой - 1 шт , Лоток со вставкой - 1шт, Белые бусины - 570 шт; Красные бусины - 570 шт; Оранжевые бусины - 140 шт; Зеленые бусины -140 шт; Синие бусины -140 шт; Желтые бусины -140 шт; Фиолетовые бусины -140 шт; Розовые бусины -140 шт; Прозрачные соединители -300 шт; Руководства для студентов -10 шт; Учебное руководство и руководство для студентов -1 шт;</t>
  </si>
  <si>
    <t>521-301-4014-0002</t>
  </si>
  <si>
    <t>Лабораторный практикум "Рекомбинант ДНК, демонстрация моделей" типа Wards Science 47016</t>
  </si>
  <si>
    <t>Набор содержит:  • 1 Фрагмент «Циркулярнаяплазмида» (KAN 1875BP) T1 (Circularplasmid)  • 1 Фрагмент «Циркулярнаяплазмида» (KAN 2332BP) T2 (Circularplasmid) • 1 Фрагмент «Циркулярнаяплазмида» (AMP 3755BP) T3 (Circularplasmid) • 1 Фрагмент «Циркулярнаяплазмида» (KAN 784BP) T4 (Circularplasmid) • 1 Рестрикционныйфермент (BamHI) T5 (Restrictionenzyme) • 1 Рестрикционныйфермент (HindIII) T6 (Restrictionenzyme) • 2 Линейныйфрагмент (Lg.KAN 1875BP) T7 (Linearfrag.) • 2 Линейныйфрагмент (Lg.KAN2332BP) T8 (Linearfrag.) • 2 Линейныйфрагмент (Lg.AMP 3755BP) T9 (Linearfrag.) • 2 Линейныйфрагмент (Lg.AMP 784BP) T10 (Linearfrag.) • 1 Гельэлектрофорезнаядоска (Lg.) T11 (Gel Electrophoresis board) • Инструкция T12 (Instructional manual) • 12 Линейныйфрагмент (Sm.KAN 1875BP) S1 (Linear frag.) • 12 Линейныйфрагмент (Sm.KAN2332BP) S2 (Linear frag.) • 12 Линейныйфрагмент (Sm.AMP 3755BP) S3 (Linear frag.) • 12 Линейныйфрагмент (Sm.AMP784BP) S4 (Linear frag.) • 15 Гельэлектрофорезнаядоска S5 (Gel Electrophoresis board) • 6 магнитов (magnets)</t>
  </si>
  <si>
    <t>521-301-4015</t>
  </si>
  <si>
    <t>Набор для определения уровня антител</t>
  </si>
  <si>
    <t>521-301-4015-0001</t>
  </si>
  <si>
    <t>Набор для определения уровня антител типа Experia BN-30</t>
  </si>
  <si>
    <t>Комплектация: Кейс с крышкой - 1 шт , лоток со вставкой - 1шт, микропланшеты с прокаллиброванными ячейками для ELISA - 6 шт; эталонные образцы антител с различными известными концентрациями, 100 мкл - 8 шт; образцы крови пациентов с неизвестными концентрациями антител, 100 мкл - 8 шт; раствор антигенов для образцов крови, 50 мл - 1 шт.; фосфатный буферный раствор, 100 мл - 1 шт; растворы стандартных антител, 1 мл - 2 шт; ферментный конъюгат , 10 мл - 1 шт, пероксидаза, 10 мл - 1 шт, алкалическая фосфатаза, 10 мл - 1 шт; раствор субстрата для ферментного действия, 10 мл - 1шт; реакционные емкости для ELISA
(96-луночные микротитровые планшеты) - 6 шт; пипетки - 30 шт; наконечники для пипеток - 60 шт; субстрат для ферментов - 1 шт; калибровочные образцы с известными уровнями антител  - 2 шт;
химические колбы конусовидные - 5 шт; пробирки - 16 шт.</t>
  </si>
  <si>
    <t>521-301-4015-0002</t>
  </si>
  <si>
    <t>Набор для определения уровня антител типа Wards Science 47017</t>
  </si>
  <si>
    <t>В набор входит: • компонент A (A Antigen 1) (темп. режим)  • компонент B (B Antigen 2) (темп. режим)  • компонент C (C Diluition buffer)  (темп. режим) • компонент D (D Primary Antibody A) (темп. режим) • компонент E (E Primery Antibody B) (темп. режим) • компонент F (F 10x Wash buffer) (темп. режим) • компонент G (G Secondary antibody)  (темп. режим) • компонент H (H ABTS) (темп. режим) • компонент I (I Stop solution)  (темп. режим) • микропластина планшет с углублениями  • пластиковые пипетки и трубки</t>
  </si>
  <si>
    <t>521-301-4016</t>
  </si>
  <si>
    <t>Учебный набор "Определение диагноза"</t>
  </si>
  <si>
    <t>521-301-4016-0001</t>
  </si>
  <si>
    <t>Учебный набор "Определение диагноза"
типа Experia BN-31</t>
  </si>
  <si>
    <t>Комплектация: кейс с крышкой - 1 шт , лоток со вставкой - 1шт,  10X раствор для промывки ELISA, 20 мл - 1 шт; Раствор для разведения ELISA, 15 мл - 1 шт; Антиген (замороженный сублимат), 10 мл - 1 шт; Первичные антитела (замороженный сублимат), 10 мл - 1 шт; Вторичные антитела (замороженный сублимат), 10 мл - 1 шт; ABTS (замороженный сублимат), 10 мл - 1 шт; ABTS буфер для реакции, 20 мл - 1 шт; Микротитровая плита из 72 ячеек - 1 шт; Пипетки для переноса жидкостей, 3 мл - 7 шт; Микроцентрифужные трубки с запирающимися крышками - 10 шт; Конические пробирки объемом 15 мл - 2 шт.; Градуированные пипетки Пастер - 11 шт</t>
  </si>
  <si>
    <t>521-301-4016-0002</t>
  </si>
  <si>
    <t>Учебный набор "Определение диагноза"
типа Wards Science 47018</t>
  </si>
  <si>
    <t>Набор содержит:  • компонентантиген A (A HIV Antigens simulated) (темп. режим) • компонент B (B Positive control) (темп. режим) • компонент C (C Donor 1 Serum simulated) (темп. режим) • компонент D (D Donor 2 Serum simulated) (темп. режим) • компонент E (E Donor 3 Serum simulated) (темп. режим) • компонент F (F Donor 4 Serum  simulated) (темп. режим) • компонент G (G Anti-IgG peroxidase conjugate) (темп. режим) • компонент H (H Hydrogen peroxide stabilized) (темп. режим) • компонент I (I Peroxide
co-substrate) (темп. режим) • компонент J (J Phosphate buffered saline concentrate) (темп. режим) • микропластина с углублениями  • пластиковые
пипетки  • микротрубки с колпачками</t>
  </si>
  <si>
    <t>521-301-4017</t>
  </si>
  <si>
    <t>Комплект оборудования для ферментации</t>
  </si>
  <si>
    <t>521-301-4017-0001</t>
  </si>
  <si>
    <t>Комплект оборудования для ферментации типа Experia BN-32</t>
  </si>
  <si>
    <t>Комплектация: Кейс с крышкой - 1 шт; Лоток со вставкой - 1шт; Шпатель ложка – 6 шт.; Пробирка 18смх1,8см – 6 шт.; Крышка с отверстиями - 6 шт. д:1.8 см; Фильтрованная бумага – 1 упаковка.; Стеклянные банки – 250 мл, - 18 шт.; Мерный стакан 250 мл – 6 шт.; Воздушный шарик 18 шт.;Клейкая лента 1 шт.; Saccharomyces cerevisiae (пекарские дрожжи)2-3 гр.- 6 упаковка; Сахар 50 гр. - 6 упаковка; Лабораторные весы(200 гр.) – 1 шт.; Термометр - 3 шт.</t>
  </si>
  <si>
    <t>521-301-4017-0002</t>
  </si>
  <si>
    <t>Комплект оборудования для ферментации типа Wards Science 47019</t>
  </si>
  <si>
    <t>В комплект входят: 1. Магнитная мешалка с подогревом.  2. рН-метр.  3. Термометр.  4. Вакуумный насос.  5. Авторская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t>
  </si>
  <si>
    <t>521-301-4018</t>
  </si>
  <si>
    <t>Учебный набор "Тестирование продуктов ферментации"</t>
  </si>
  <si>
    <t>521-301-4018-0001</t>
  </si>
  <si>
    <t>Учебный набор "Тестирование продуктов ферментации" типа Experia BN-34</t>
  </si>
  <si>
    <t>Комплектация: Кейс с крышкой - 1 шт; Лоток со вставкой - 1шт; Микроорганизмы для ферментации 1 мл -  5 ампул;Питательная среда для культивирования микроорганизмов, 100 мл - 5 бутылок; Пробирки для культивирования микроорганизмов, 15 мл -  20 шт;  Раствор для остановки ферментации, 250 мл - 1 бутылка; Комплект для определения содержания алкоголя - 1 шт; pH-тест-полоски (100 полосок) - комплект; Пипетки , 3 мл - 10 шт; Градуированые пипетки Пастера - 20 т; Микроцентрифужные пробирки, 2 мл - 50 шт</t>
  </si>
  <si>
    <t>521-301-4018-0002</t>
  </si>
  <si>
    <t>Учебный набор "Тестирование продуктов ферментации" типа Wards Science 47021</t>
  </si>
  <si>
    <t>Набор содержит:  • 1 Колба Эрленмейера 1 л  • 1 резиновая пробка 3
затычки  • 1 зажимкомпрес • 1 бутылекмедиум NYSM 100 мл  (1 bottleofsterile NYSM InoculumMedium, 100 mlwithmagneticstirbar)  • 1 бутылек NYSM стерилныймедиум 500 мл (1 bottle of sterile NYSM fermentation medium, 500 ml)  •  чаши петри с агаром NYSM (agarplatesNYSM) (темп. режим) • 2 стерильные трубки  (2 sterile saline tubes, 5 ml)  • 1 изогнутый стержень из нержавеющей стали (1 bent stainless steel plating rod)  • 2 стерильные мешалки (2 sterile inoculating loops) • 1 бутылексафранина 0,25% (1 bottle of aqueous safranin 0.25% 1 oz.) • 1 бутылекспор-окрашивающийраствор 10% (1 bottle of spore-staining solution 10%, 1 oz.)  • 1 агарный раствор Bacillus licheniformis  (темп. режим) • 1 агарный раствор Bacillusthuringiensis var. israelensis  (темп. режим) полоски ph, прищепоки, пакет для биологически опасных веществ, виниловаят рубка, шприц,стерильных фильтров, слайды для микроскопа</t>
  </si>
  <si>
    <t>521-301-4018-0003</t>
  </si>
  <si>
    <t>Учебный набор "Тестирование продуктов ферментации" типа Wards Science 47060</t>
  </si>
  <si>
    <t>В комплект входит: 50 г глюкозы 50 г сахарозы 50 г лактозы 50 г фруктозы 10 г дрожжей</t>
  </si>
  <si>
    <t>521-301-4019</t>
  </si>
  <si>
    <t>Экспериментальный набор "Изучение свойств энзимов на практике"</t>
  </si>
  <si>
    <t>521-301-4019-0001</t>
  </si>
  <si>
    <t>Экспериментальный набор "Изучение свойств энзимов на практике" типа Experia BN-35</t>
  </si>
  <si>
    <t>521-301-4019-0002</t>
  </si>
  <si>
    <t>Экспериментальный набор "Изучение свойств энзимов на практике" типа Wards Science 47024</t>
  </si>
  <si>
    <t>521-301-4020</t>
  </si>
  <si>
    <t>Лабораторный практикум "Пища, как инструмент научной деятельности лаборатории"</t>
  </si>
  <si>
    <t>521-301-4020-0001</t>
  </si>
  <si>
    <t>Лабораторный практикум "Пища, как инструмент научной деятельности лаборатории" типа Experia BN-36</t>
  </si>
  <si>
    <t>Комплектация: кейс с крышкой - 1 шт , лоток со вставкой - 1шт, сухие дрожжи 7 гр - 1 пакетик, крахмал 50 гр - 1 пакетик, сахар 50 гр - 1 пакетик, раствор йода 100 мл - 1 шт, лист фильтровальной бумаги на 36 полосок - 1 шт, лакмусовая бумага - 12 шт, большие пробирки, маленькие пробирки,градуированные пипетки Пастера - 2 шт, деревянные аппликаторные палочки - 2 шт, маленькие ложки - 2 шт.</t>
  </si>
  <si>
    <t>521-301-4020-0002</t>
  </si>
  <si>
    <t>Лабораторный практикум "Пища, как инструмент научной деятельности лаборатории" типа Wards Science 47026</t>
  </si>
  <si>
    <t>Должен включать в себя следующее: • дрожжи бутылек  •  крахмал • сахар • иодин раствор • фильтр бумага  • латмусовая бумага  • большие тест трубки
• малые тест трубки  • калибровочные пипетки • аппликаторные деревянные палочки • маленькие ложки</t>
  </si>
  <si>
    <t>521-301-4021</t>
  </si>
  <si>
    <t>Лабораторный практикум "Геномодифицированные продукты: полиразмерная идентификация"</t>
  </si>
  <si>
    <t>521-301-4021-0001</t>
  </si>
  <si>
    <t>Лабораторный практикум "Геномодифицированные продукты: полиразмерная идентификация" типа Experia BN-37</t>
  </si>
  <si>
    <t>Комплектация: кейс с крышкой - 1 шт , лоток со вставкой - 1шт, сертифицированный негенетически модифицированный продукт 5 шт; InstaGene, 10 мл - 1 шт; позитивный контроль ДНК ГМО, 500 мкл - 1 шт; смесь для ПЦР (Taq ДНК-полимераза, dNTP, буферы), 5 мл - 1шт; праймеры для ГМО (красные), 500 мкл - 1 шт; праймеры для гена PSll растений (зеленые), 500 мкл - 1 шт; молекулярный вес маркер для ПЦР, 1000 мкл - 1 шт; оранжевый краситель для загрузки образцов, 5 мл - 1 шт: Градуированная пипетка, 1 мл – 5 шт; Микропипетка, 10 – больше мкл, - 5 шт.; Насадки для микропипеток – 60 шт; пробирок с винтовой крышкой, 1,5 мл - 50 шт; ПЦР пробирки 1,5 мл, - 30 шт; Адаптер для пробирок без крышки – 5 шт; Держатель для ПЦР пробирок из пенопласта – 5 шт.</t>
  </si>
  <si>
    <t>521-301-4021-0002</t>
  </si>
  <si>
    <t>Лабораторный практикум "Геномодифицированные продукты: полиразмерная идентификация" типа Wards Science 47027</t>
  </si>
  <si>
    <t>Набор содержит: • A компонент (Universal DNA Buffer) (темп. режим)  • B компонент TE Buffer  (темп. режим)  • C LyphoPrimer Mix (темп. режим)  • D GMO Positive LyphoControl (темп. режим)  • E NaCl Solution компонент (темп. режим)  • F DNA Extraction Buffer (темп. режим)  • G 100 base pair ladder (темп. режим)  • ультраспекагарозы, (Ultraspec-agarose) • буфер электрофореза 50x ( TBE electrophoresis Buffer) • микротрубки цнтрифужные  • трубки для ПЦР  • калибровочние пипетки</t>
  </si>
  <si>
    <t>521-301-4022</t>
  </si>
  <si>
    <t>Набор микропрепаратов "Ткани" (растений, грибов, животных)</t>
  </si>
  <si>
    <t>521-301-4022-0001</t>
  </si>
  <si>
    <t>Набор микропрепаратов "Ткани" (растений, грибов, животных) типа Experia BN-38</t>
  </si>
  <si>
    <t>Комплектация:  Морская звезда (образование полярного тела) - 1 шт; Морская звезда (раннее/позднее клеваж) - 1 шт; Морская звезда (поздний клеваж) - 1 шт; Морская звезда (бластула) - 1 шт; Морская звезда (гаструла)
- 1 шт; Морская звезда (бипиннария личинка) - 1 шт; Эмбрион лягушки (поперечное срез) - 1 шт; Эмбрион курицы - 48 часов - 1 шт; Эмбрион курицы - 56 часов (поперечное срез) - 1 шт; Митоз животных (продольный срез) - 1 шт. Кейс с крышкой - 1 шт; Лоток со вставкой - 1шт;</t>
  </si>
  <si>
    <t>521-301-4022-0002</t>
  </si>
  <si>
    <t>Набор микропрепаратов "Ткани" (растений, грибов, животных) типа Wards Science 47028</t>
  </si>
  <si>
    <t>Набор содержит следующие образцы:  Эмбрион цыпленка:  1) 12-16 час,  2) 18 час,  3) 21 час,  4)24 часа,  5)28 часов,  6) 33 часа,  7) 40 часов,  8) 43
часа,  9)48 часов,  10) 56 часов,  11) 72 часа,  12) 96 часов. Внимание: часы могут отличаться ± в зависимости созревания плода эмбриона.</t>
  </si>
  <si>
    <t>521-301-4023</t>
  </si>
  <si>
    <t>Набор "Ткани животных"</t>
  </si>
  <si>
    <t>521-301-4023-0001</t>
  </si>
  <si>
    <t>Набор "Ткани животных" типа Experia
BN-39</t>
  </si>
  <si>
    <t>Комплектация: эпителиальная ткань - 1 шт , эпидермис кожи - 1 шт; соединительная ткань - 1 шт, костная ткань - 1 шт, хрящевая ткань - 1 шт, жировая ткань - 1 шт;  Мышечная ткань - 1 шт, скелетная мышца - 1 шт, сердечная мышца - 1 шт, гладкая мышца - 1 шт;  Нервная ткань - 1 шт, срез спинного мозга или нервные волокная - 1 шт;  Набор для окрашивания тканей- 1 шт; Пинцеты - 5 шт.  Кейс с крышкой - 1 шт , лоток со вставкой - 1шт.</t>
  </si>
  <si>
    <t>521-301-4023-0002</t>
  </si>
  <si>
    <t>Набор "Ткани животных" типа Wards Science
47029</t>
  </si>
  <si>
    <t>Набор содержит: Гистоклир по 2 бутылки 30 мл в упаковке (температурный режим) 1 метанол, 30 мл 1 Eosin / Phloxine рабочего раствора 1
гематоксилин, 1 спирт, 99%  1 пиколит II, 15 мл 1 бутылек сбалансированного солевого раствора Хенкс 100 мл (температурный режим)</t>
  </si>
  <si>
    <t>521-301-4024</t>
  </si>
  <si>
    <t>Набор для исследования по выращивания
клеток живой ткани</t>
  </si>
  <si>
    <t>521-301-4024-0001</t>
  </si>
  <si>
    <t>Набор для исследования по выращивания
клеток живой ткани типа Experia BN-40</t>
  </si>
  <si>
    <t>Комплектация: Кейс с крышкой - 1 шт; Лоток со вставкой - 1шт; Тканевые клетки(образцы) - 1 порция; Среда для выращивания клеток, 500 мл3 - 1 шт; Пипетки  - 20 шт.; Штатив для пипеток - 1 шт.; Культура клеток - 1 порция; Стандартная среда 500 мл, - 1 шт; Среда с повышенным содержанием глюкозы, 500 мл - 1 шт; Среда с пониженным содержанием аминокислот, 500 мл - 1 шт; Среда без добавления витаминов, 500 мл - 1 шт, Среда с добавлением антибиотиков, 500 мл - 1шт.
"</t>
  </si>
  <si>
    <t>521-301-4024-0002</t>
  </si>
  <si>
    <t>Набор для исследования по выращивания клеток живой ткани типа Wards Science 47030</t>
  </si>
  <si>
    <t>Набор содержит: 1 трубка для культур,  1 чаша петри,  пробироки для культур,  трубки Версена 10 мл, (темп. режим)  трубки медиум 10 мл, (темп. режим)  стерильные салфетки, палочка для перемешивания, пипетки</t>
  </si>
  <si>
    <t>521-301-4025</t>
  </si>
  <si>
    <t>Комплект "Растительные ткани"</t>
  </si>
  <si>
    <t>521-301-4025-0001</t>
  </si>
  <si>
    <t>Комплект "Растительные ткани" типа Experia BN-41</t>
  </si>
  <si>
    <t>Комплектация: Кейс с крышкой - 1 шт; Лоток со вставкой - 1шт;Миропрепараты: Allium (лук) - 1 шт;  эпидермис (wm) - 1 шт; Lillium (лилия)- 1 шт, молодой бутон цветка (cs)- 1 шт; Zea (кукуруза)- 1 шт, верхушка корня (ls)- 1 шт; Zea, стебель (cs)- 1 шт; Zea, лист (cs)- 1 шт; Zea, ядро и зародыш (ls)- 1 шт; Capsella (пастушья сумка)- 1 шт, зрелые зародыши (ls)- 1 шт; Ligustrum (бирючина)- 1 шт, лист (cs)- 1 шт; Ranunculus (лютик)- 1 шт, зрелый корень (cs)- 1 шт; Tilia (липа)- 1 шт,
3-годовой стебель (cs)- 1 шт.</t>
  </si>
  <si>
    <t>521-301-4025-0002</t>
  </si>
  <si>
    <t>Комплект "Растительные ткани" типа Wards Science 47031</t>
  </si>
  <si>
    <t>Набор содержит следующие образцы:  1. Смешанная пыльца,   2. Лук эпидерма,  3. Лилия, молодой цветочный зародыш,  4. Зерно, наконечник корня,  5. Основа,  6. Лист,  7. Ядро и эмбрион,  8. Зрелые эмбрионы,  9. Бирючина, лист,   10. Лютик, зрелый корень,  11. Липа американская,
3-летняя основа,  12. Кукуруза, кончик корня.</t>
  </si>
  <si>
    <t>521-301-4026</t>
  </si>
  <si>
    <t>Лабораторный набор "Патология растений"</t>
  </si>
  <si>
    <t>521-301-4026-0001</t>
  </si>
  <si>
    <t>Лабораторный набор "Патология растений" типа Experia BN-42</t>
  </si>
  <si>
    <t>Комплектация: Кейс с крышкой - 1 шт; Лоток со вставкой - 1шт; микропрепараты: Кочанный корень капусты - 1 шт; Белая ржавчина- 4 слайда; Ложная мучнистая роса - 2 слайда; Черная бородавка - 1 шт; Спорынья ржаная - 1 шт; Мучнистая роса - 4 слайда; Синяя цитрусовая плесень - 1 шт; Кленовое звездное пятно - 1 шт; Яблочная парша - 2 горки; Желчь из кедрового яблока - 2 горки; Зерновая ржавчина - 1 шт; Кукурузная головня - 1 шт; Грибок древесной гнили - 1 шт.</t>
  </si>
  <si>
    <t>521-301-4026-0002</t>
  </si>
  <si>
    <t>Лабораторный набор "Патология растений" типа Wards Science 47032</t>
  </si>
  <si>
    <t>Набор содержит 21 образец, включая:  1. Корень капусты,  2. Белая ржавчина (4 слайда),  3. Плесень (2 слайда),  4. Черная бородавка,  5.
Порошкообразная плесень (4 слайда),  6. Синяя почва цитрусовых,  7.
Пятно смолы клена,  8. Струпья яблока (2 слайда),  9. Злоба яблока кедра (2 слайда),  10. Зерновая ржавчина,  11. Грязь зерна,  12. Деревянный гриб гнили.</t>
  </si>
  <si>
    <t>521-301-4027</t>
  </si>
  <si>
    <t>ДНК набор: Вирусы и бактерии</t>
  </si>
  <si>
    <t>521-301-4027-0001</t>
  </si>
  <si>
    <t>ДНК набор: Вирусы и бактерии типа Experia BN-43</t>
  </si>
  <si>
    <t>Комплектация: Кейс с крышкой - 1 шт; Лоток со вставкой - 1шт; Бактерии род. Bacillus - 1 пачка; Сухие Дрожжи 7 гр - 1 пачка; Кристалловый фиолетовый грам-окраска, 10мл - 1 шт; Питательный агар 20 мл - 1 шт; Стерильные пипетки, 3 мл - 30 шт; Нутритивная среда,100 мл - 1 шт; Йодный раствор 100 мл - 1 шт; Пробирки ,16смх1,5 см - 12 шт; Крышки для пробирок с отверстиями - 12 шт.</t>
  </si>
  <si>
    <t>521-301-4027-0002</t>
  </si>
  <si>
    <t>ДНК набор: Вирусы и бактерии типа Wards Science 47033</t>
  </si>
  <si>
    <t>Комплектация: Микроорганизмы температурный режим:  Aquaspirillum serpens (спириллы),  Bacillus cereus (бациллы)  Staphylococcus epidermidis (кокки) • Crystal violet gram stain • methylene blue stain • микроскобные слайды (Microscope slides) • carbol fuchsin • ватные палочки (Cotton swabs)</t>
  </si>
  <si>
    <t>521-301-4028</t>
  </si>
  <si>
    <t>Набор слайдов по бактериологии</t>
  </si>
  <si>
    <t>521-301-4028-0001</t>
  </si>
  <si>
    <t>Набор слайдов по бактериологии типа Experia BN-44</t>
  </si>
  <si>
    <t>Комплектация:кейс с крышкой - 1 шт , лоток со вставкой - 1шт, слайд бактерии - 2 шт., слайд волосы/волокно - 4 шт, слайды обычные вещи - 7 шт, слайд печати - 1 шт , слайд протисты - 4 шт, слайды ячеек - 2  шт, слайды растительные ткани - 3 шт, слайды животные ткани - 2 шт.</t>
  </si>
  <si>
    <t>521-301-4028-0002</t>
  </si>
  <si>
    <t>Набор слайдов по бактериологии типа Wards Science 47034</t>
  </si>
  <si>
    <t>Компоненты:  Azotobacter chroococcum; Agrobacterium tumefaciens; Bacillus anthracis; Bacillus subtilis; Lactococcus lactis; Mycobacterium sp.; Proteus hauseri; Rhodospirillum rubrum; Streptococcus pyogenes</t>
  </si>
  <si>
    <t>521-301-4029</t>
  </si>
  <si>
    <t>Лабораторный практикум "Морфология цианобактерий"</t>
  </si>
  <si>
    <t>521-301-4029-0001</t>
  </si>
  <si>
    <t>Лабораторный практикум "Морфология цианобактерий" типа Experia BN-45</t>
  </si>
  <si>
    <t>Комплектация:  Кейс с крышкой - 1 шт; Лоток со вставкой - 1шт; Бактериальная культура оциллятория - 1 шт; Бактериальная культура носток
- 1 шт; Бактериальная культура глеокапса - 1 шт; Бактериальная культура глеотрихия - 1 шт; KNO₃ (нитрат калия), 4 г - 1 шт; MgSO₄·7H₂O (сульфат магния), 2 г - 1 шт;   CaCl₂·2H₂O (хлорид кальция), 2 г - 1 шт; NaCl (хлорид натрия), 2 г - 1 шт; KH₂PO₄ (дигидрофосфат калия),1 г - 1 шт; FeSO₄·7H₂O (сульфат железа(II)), 1 г - 1 шт; НаHCO₃ (гидрокарбонат натрия) - 1 г - 1 шт;  Микроэлементный раствор, 4 мл - 1 шт; Стеклянные колбы для культивирования - 4 шт; Стерильные пипетки - 10 шт; Стерильные шпатели
-5 шт; Стеклянные палочки для перемешивания - 5 шт; Стерильные
пластиковые пробирки - 20 шт.</t>
  </si>
  <si>
    <t>521-301-4029-0002</t>
  </si>
  <si>
    <t>Лабораторный практикум "Морфология цианобактерий" типа Wards Science 47035</t>
  </si>
  <si>
    <t>Набор содержит:  1. Образец цианобактерий – Oscillatoria, Nostoc (filamentous); Gloeocapsa (colonial globular); and Gloeotrichia (colonial filamentous) (разновидность цианобактерий держать в холодильнике)  2.
Одноразовые пипетки – 4 шт. (темп. режим)</t>
  </si>
  <si>
    <t>521-301-4030</t>
  </si>
  <si>
    <t>Набор микропрепаратов "Основы бактериологии"</t>
  </si>
  <si>
    <t>521-301-4030-0001</t>
  </si>
  <si>
    <t>Набор микропрепаратов "Основы бактериологии" типа  Experia BN-46</t>
  </si>
  <si>
    <t>Комплектация: Кейс с крышкой - 1 шт; Лоток со вставкой - 1шт; колбы Эрленмейера 250 мл - 8 шт; стеклянная палочка - 1 шт; пипетки Пастера 5 мл - 15 шт; Чашки Петри - 4 шт; Бактериологическая петля - 1 шт.; герметичные крышки для колб - 6 шт, крышка 3 отверстиями для колб - 1 шт; крышка с узким отверстием - 1 шт; Аэробные / микроаэробные подвижные Bacillus subtilis - 1 шт;  Escherichia coli K-12 - 1 шт; палочки E. coli - 1 шт;  Micrococcus luteus - 1 шт; Corynebacterium glutamicum - 1 шт; LB (Luria-Bertani) среда 500 мл - 1 шт; Питательный агар, 500 - 1 шт; BHI (Brain Heart Infusion) агар, 500 мл - 1 шт.</t>
  </si>
  <si>
    <t>521-301-4030-0002</t>
  </si>
  <si>
    <t>Набор микропрепаратов "Основы бактериологии" типа Wards Science 47036</t>
  </si>
  <si>
    <t>Набор содержит 16 образцов, включая:  1. Спирохета  2. Аэробный  3.
Микроаэробный 4. Аэробная палочка 5. Аэробный кок 6. Анаэробный клей
7. Анаэробный кок  8. Кок  9. Образующий эндоспоры 10. Неспорообразующие палочки  11. Микобактерия</t>
  </si>
  <si>
    <t>521-301-4031</t>
  </si>
  <si>
    <t>Набор микропрепаратов "Структура бактерий"</t>
  </si>
  <si>
    <t>521-301-4031-0001</t>
  </si>
  <si>
    <t>Набор микропрепаратов "Структура бактерий" типа Experia BN-47</t>
  </si>
  <si>
    <t>Комплектация: Кейс с крышкой - 1 шт , Лоток со вставкой - 1шт; Чашки Петри - 20 шт; градуированные пипетки пастера - 50 шт; Бактериологическая петля - 5 шт;Краситель для капсул (красный конго) 50мл - 1шт;Медный сульфат (20% раствор) 50 мл- 1шт; Маневаль буфер 50 мл - 1шт; Химический фиксатор 50 мл - 1шт; Малахитовый зеленый раствор 50 мл - 1шт; Краситель Сафранин 50 мл- 1шт; Толуидиновый синий 25 мл - 1шт; Глицерин  50 мл - 1 шт; Этиловый спирт по 50 мл каждого ; Йод 50 мл - 1шт; Кристаллический фиолет 50 мл - 1шт; Культуры бактерий
- 3 колонии; Краситель Судан Черный 50 мл - 1шт; 70% этиловый спирт 100 мл - 1шт; 96% этиловый спирт 100 мл - 1шт; Краситель кристаллический фиолетовый для Грамовой окраски 50мл - 1шт; Йодный раствор для Грамовой окраски 50 мл - 1шт; Краситель фуксин для окраски по
Циль-Нильсену 50 мл - 1шт; Краситель метиленовый синий для окраски по
Циль-Нильсену 50 мл - 1шт.</t>
  </si>
  <si>
    <t>521-301-4031-0002</t>
  </si>
  <si>
    <t>Набор микропрепаратов "Структура бактерий" типа Wards Science 47037</t>
  </si>
  <si>
    <t>Набор содержит 6 образцов: • стенка клетки • Жировое тело • Метахроматические гранулы  • Споравбактерии • Оболочкабактерии • обычная бактерия</t>
  </si>
  <si>
    <t>521-301-4032</t>
  </si>
  <si>
    <t>Лабораторный практикум "Введение в гистологию"</t>
  </si>
  <si>
    <t>521-301-4032-0001</t>
  </si>
  <si>
    <t>Лабораторный практикум "Введение в гистологию"  типа Experia BN-48</t>
  </si>
  <si>
    <t>Комплектация: Кейс с крышкой - 1 шт; Лоток со вставкой - 1шт; Эпителий простого плоского типа (срез) - 1 шт; эпителий простого кубического типа (срез) - 1 шт; эпителий многослойного плоского типа (срез) - 1 шт; гладкая мышца (поперечный/продольный срез) - 1 шт; сердечная мышца (поперечный/продольный срез) - 1 шт; скелетная мышца (поперечный/продольный срез) - 1 шт; орган: гипофиз (срез) - 1 шт; спинной мозг (поперечный срез) - 1 шт; тимус (срез) - 1 шт; щитовидная и околощитовидная железы (срез) - 1 шт; артерия, вена и нерв (срез) - 1 шт; легкое (срез) - 1 шт; желудок (продольный срез) - 1 шт; истина (срез) - 1 шт; ободочная кишка (поперечный срез) - 1 шт; печень (срез) - 1 шт; поджелудочная железа (срез) - 1 шт; почка (срез) - 1 шт; яичник, сперматогенез (срез) - 1 шт; и яичник, фолликул (срез) - 1 шт.</t>
  </si>
  <si>
    <t>521-301-4032-0002</t>
  </si>
  <si>
    <t>Лабораторный практикум "Введение в гистологию" типа Wards Science 47038</t>
  </si>
  <si>
    <t>Набор содержит следующие образцы:  1. Чешуйчатый эпителий  2.
Ареолярный   3. Хрящ 4. Оссификация в соединительнотканной мембране
5. Развитие кости  6. Гигантские многополюсные нейроны  7. Пирамидальные клетки и их процессы   8. Органы 9. Мышцы 10. мышцы
11. мышцы  12. Миелинизированные нервы 13. Спинной мозг,
млекопитающее 14. Артерия, вена 15. Нерв 16. Щитовидная железа 17.
Подверхнечелюстная железа  18. Пищевод 19. Тонкая кишка 20. Толстая
кишка 21. Печень  22. Почка 23. Мочевой пузырь 24. Яичко,
сперматогенезиз 25. Яичник</t>
  </si>
  <si>
    <t>521-301-4033</t>
  </si>
  <si>
    <t>Лабораторный практикум "Биоремедиация на нефть. Деятельность бактерий"</t>
  </si>
  <si>
    <t>521-301-4033-0001</t>
  </si>
  <si>
    <t>Лабораторный практикум "Биоремедиация на нефть. Деятельность бактерий"  типа Experia BN-49</t>
  </si>
  <si>
    <t>Комплектация: Кейс с крышкой - 1 шт; Лоток со вставкой - 1шт; Мерные колбы химические конусовидные, 250 мл – 4 шт.; Герметичные крышки для колб – 4 шт.; Пробирки, 18смх1,8см – 9 шт; Герметичные крышки для пробирок – 6 шт.; Крышки для пробирок с отверстиями – 3 шт.;Термометр – 1 шт.; Индикатор pH – 1 шт.; Микробы OEM – 7 гр.; NaOH  50 мл– 1 банка; HCl 50 мл  – 1 банка.</t>
  </si>
  <si>
    <t>521-301-4033-0002</t>
  </si>
  <si>
    <t>Лабораторный практикум "Биоремедиация на нефть. Деятельность бактерий" типа Wards Science 47040</t>
  </si>
  <si>
    <t>В набор входят: 1. Споры:      A)Penicillium sp.  (темп. режим, живые) B)Pseudomonas sp. (темп. режим, живые)  2. Трансферные пипетки, 3.
Ватные палочки.</t>
  </si>
  <si>
    <t>521-301-4034</t>
  </si>
  <si>
    <t>Практикум "Бактерии в питьевой воде"</t>
  </si>
  <si>
    <t>521-301-4034-0001</t>
  </si>
  <si>
    <t>Практикум "Бактерии в питьевой воде" типа
Experia BN-50</t>
  </si>
  <si>
    <t>Комплектация: Кейс с крышкой - 1 шт; Лоток со вставкой - 1шт; Колиформный бульон, 10 мл - 1 шт; стерильная вода 10 мл, - 1 шт; культура кишечной палочки на склоне - 1 шт; микроинъекционные пробирки объемом 2 мл с винтовыми крышками - 6 шт; градуированные пипетки Пастера, 1 мл - 7 шт ; стерильные ватные тампоны - 1 шт; пластиковые стерильные пробирки объемом 15 мл с крышками, Контрольный раствор колиформных бактерий 10 мл - 1 шт, Палочка тампон - 1 шт,</t>
  </si>
  <si>
    <t>521-301-4034-0002</t>
  </si>
  <si>
    <t>Практикум "Бактерии в питьевой воде" типа
Wards Science 47041</t>
  </si>
  <si>
    <t>Набор включает в себя: - бутылек среда агара  (темп. режим , живые)  - бутылек среда агара  (темп. режим , живые)  -транферные пипетки
-теструбки  -чаши петри</t>
  </si>
  <si>
    <t>521-301-4035</t>
  </si>
  <si>
    <t>Экспериментальный набор: Эпидемия</t>
  </si>
  <si>
    <t>521-301-4035-0001</t>
  </si>
  <si>
    <t>Экспериментальный набор: Эпидемия типа Experia BN-51</t>
  </si>
  <si>
    <t>521-301-4035-0002</t>
  </si>
  <si>
    <t>Экспериментальный набор: Эпидемия типа Wards Science 47042</t>
  </si>
  <si>
    <t>521-301-4036</t>
  </si>
  <si>
    <t>Лабораторный практикум "Аллергия"</t>
  </si>
  <si>
    <t>521-301-4036-0001</t>
  </si>
  <si>
    <t>Лабораторный практикум "Аллергия"  типа Experia BN-52</t>
  </si>
  <si>
    <t>Комплектация: кейс с крышкой - 1 шт , лоток со вставкой - 1шт, антитело к арахису 80 мл - 1 шт, Отрицательный контроль 80 мл, 1 шт, Положительный контроль 80 мл, - 1 шт, Симулированный экстракт пищи 1 , 100 мл - 1 шт, Симулированный экстракт пищи 2, 100 мл, - 1 шт, Вторичное антитело 100 мл, - 1 шт, Субстрат, 100 мл, - 1 шт Полоски для микротитровых ячеек -3 шт, Пипетки для переноса жидкости- 12 шт.</t>
  </si>
  <si>
    <t>521-301-4036-0002</t>
  </si>
  <si>
    <t>Лабораторный практикум "Аллергия" типа Wards Science 47043</t>
  </si>
  <si>
    <t>Набор содержит:  • ореховое антитело компонент А (A Peanut Antibody)  • Негатив контроль компонент B (B Negative Control)  • Положительный контроль компонент С (C Positive Control)  • симуляция экстракта еды 1 компонент D (D Simulated Food Extract 1) • симуляция экстракта еды 2 компонент E (E SimulatedFoodExtract2)  • второстепенное антитело компонент F ( F Secondary Antibody)  • субстрат компонент G (G Substrate)  • микропластина с углублениями • пипетки</t>
  </si>
  <si>
    <t>521-301-4037</t>
  </si>
  <si>
    <t>Лабораторный практикум "Фотосинтез и клеточное дыхание"</t>
  </si>
  <si>
    <t>521-301-4037-0001</t>
  </si>
  <si>
    <t>Лабораторный практикум "Фотосинтез и клеточное дыхание"  типа Experia BN-53</t>
  </si>
  <si>
    <t>Комплектация:  кейс с крышкой - 1 шт , лоток со вставкой - 1шт, пробирки
- 14 шт, пробки - 14 шт, одноразовые пипетки - 14 шт, сахароза 100 гр - 1 шт, бромтимоловый синий 50 мл - 1 шт, гидроксид натрия 50 гр, - 1 шт, соляная кислота -  10 мл - 1 шт.</t>
  </si>
  <si>
    <t>521-301-4037-0002</t>
  </si>
  <si>
    <t>Лабораторный практикум "Фотосинтез и клеточное дыхание" типа Wards Science 47044</t>
  </si>
  <si>
    <t>Набор содержит:  • 50 тест трубки  (test tubes) • 40 пробки (corks)  • 30 plastic pipets (пипетки) • 100g Sucrose (сахароза) • 0.5g Bromothymol blue (бромитил) • 15 ml Sodium hydroxide 2% (содиумгидрооксид) • 15 ml Hydrochloric acid 0.1% (гидрохлоридоксид) 1 упаковка дрожжей</t>
  </si>
  <si>
    <t>521-301-4038</t>
  </si>
  <si>
    <t>Лабораторный практикум "Основы микробиологической деятельности"</t>
  </si>
  <si>
    <t>521-301-4038-0001</t>
  </si>
  <si>
    <t>Лабораторный практикум "Основы микробиологической деятельности" типа Experia  BN-54</t>
  </si>
  <si>
    <t>Комплектация:  кейс с крышкой - 1 шт , лоток со вставкой - 1шт, питательные среда 180 мл - 1 шт, красители, 90 мл - 1 шт, фиксативы,90 мл
- 1 шт, антибиотики - 18 дисков, биохимические реактивы - 6 шт, буферные растворы, 180 мл - 1 шт, ферменты 90 мл - 1 шт, материалы для микробиологических анализов, стерильные петельки - 6шт, стерильные пипетки - 25 шт, стерильные пробирки - 20 шт.</t>
  </si>
  <si>
    <t>521-301-4038-0002</t>
  </si>
  <si>
    <t>Лабораторный практикум  «Основы микробиологии» типа Wards Science 47045</t>
  </si>
  <si>
    <t>Набор содержит:  • 1 упаковка микроскопных слайдов • 1 упаковка чашек петри  •  триптический соевый агар  • триптический соевыйбульон  • петля для мешания • метелинблу  • сафранин 0.1%  • сафранин 0.25% ( safranin 0.25% ) • раствор для спор ( spore staining solution) • иодин раствор ( iodine solution) • марганцовка (crystal violet) •  этиловый спирт ( ethyl alcohol, 95%)
• прищепки (clothspins ) • био защитный пакет ( biohazard bag)</t>
  </si>
  <si>
    <t>521-301-4039</t>
  </si>
  <si>
    <t>Лабораторный набор "Диффузия и размер клетки"</t>
  </si>
  <si>
    <t>521-301-4039-0001</t>
  </si>
  <si>
    <t>Лабораторный набор "Диффузия и размер клетки" типа Experia BN-55</t>
  </si>
  <si>
    <t>Комплектация: Кейс с крышкой - 1 шт; Лоток со вставкой - 1шт; Подготовленные агаровые кубики (размером 1 см, 2 см, 3 см) - 15 шт; Пластиковые ножи - 5 шт; стеклянные колбы - 5 шт; Дистиллированный уксус, 2 л - 1 шт; Линейки - 5 шт.</t>
  </si>
  <si>
    <t>521-301-4039-0002</t>
  </si>
  <si>
    <t>Лабораторный набор "Диффузия и размер клетки" типа Wards Science 47046</t>
  </si>
  <si>
    <t>Набор содержит:  • 1 порошок фенофталеин агар (Package of phenolphthalein agar powder) • 1 уксус (diffusion medium vinegar) •  пластиковые ножи • пластиковые ложки •  пластиковые кружки •  поддон (rectangular trays) • 15 мл NaOH содиум гидрооксид раствор 2% (sodium hydroxide solution 2% ) • метрические линейки • 1 коробка одноразовых перчаток (1 box of  gloves)</t>
  </si>
  <si>
    <t>521-301-4040</t>
  </si>
  <si>
    <t>Лабораторный практикум "Гены в пробирке"</t>
  </si>
  <si>
    <t>521-301-4040-0001</t>
  </si>
  <si>
    <t>Лабораторный практикум "Гены в пробирке"
типа Experia BN-56</t>
  </si>
  <si>
    <t>Комплектация: Кейс с крышкой - 1 шт; Лоток со вставкой - 1шт; Раствор лизиса, 15 мл - 1 шт, Протеаза 30 мл - 1 шт, Трис-буфер - 15 мл - 1 шт, Раствор Flash Bluе 15 мл - 1 шт, Пакеты соли - 1 пакет, Прозрачные пробирки для изоляции ДНК - 3 шт, Микроцентрифужные пробирки с крышками - 3 шт, Одноразовые градуированные пипетки Пастера - 12 шт, Нить для ожерельев - 3 шт, Одноразовые пластиковые стаканчики - 3 шт.</t>
  </si>
  <si>
    <t>521-301-4040-0002</t>
  </si>
  <si>
    <t>Лабораторный практикум "Гены в пробирке"
типа Wards Science 47047</t>
  </si>
  <si>
    <t>Набор содержит необходимый инструментарий, в том числе Общая информация инструкция по применению. • лисис буфер  • ватные палочки  • энзим протеаза  • метелин блу (flash blue) • калибровочные трансферные пипетки  • тесттрубки • мешалка/струнка</t>
  </si>
  <si>
    <t>521-301-4041</t>
  </si>
  <si>
    <t>Лабораторный практикум "Принцип
Менделя"</t>
  </si>
  <si>
    <t>521-301-4041-0001</t>
  </si>
  <si>
    <t>Лабораторный практикум "Принцип
Менделя" типа Experia BN-57</t>
  </si>
  <si>
    <t>Комплектация: кейс с крышкой - 1 шт , лоток со вставкой - 1шт,  шейкер для чашек - 15 шт, 4-сторонние игральных кости - 60 шт, По 15 прозрачных пластиковых дисков каждого цвета (желтый, зеленый, красный, синий) прозрачный желтый диск - 15 шт, прозрачный зелёный диск - 15 шт, прозрачный красный диск - 15 шт , прозрачы синий диск - 15 шт, красные аллельные дисков - 150 шт, двусторонни пластиковые монеты  - 30 шт, синие восковые маркировочные ручки  - 8 шт.</t>
  </si>
  <si>
    <t>521-301-4041-0002</t>
  </si>
  <si>
    <t>Лабораторный практикум "Принцип
Менделя" типа Wards Science 47048</t>
  </si>
  <si>
    <t>Техническая характеристика: • 15 стаканчиков • 4-х сторонние кубики • диски пластиковые (зеленые, желтые, красные, голубые) • красные диски • пластиковые монеты •  восковые маркеры</t>
  </si>
  <si>
    <t>521-301-4042</t>
  </si>
  <si>
    <t>Лабораторный практикум "Введение в
определение наличия антител"</t>
  </si>
  <si>
    <t>521-301-4042-0001</t>
  </si>
  <si>
    <t>Лабораторный практикум "Введение в определение наличия антител" типа Experia BN-58</t>
  </si>
  <si>
    <t>Комплектация:  кейс с крышкой - 1 шт; лоток со вставкой - 1шт; имитация крови - 6 шт; антиген - 6 шт; антитела - 6 шт;  Пипетки - 12 шт ; Микротитровая планшета - 6 шт; Раствор для промывки,1 л - 1 бутылка; Реактивы для развития цвета - 1 комплект.</t>
  </si>
  <si>
    <t>521-301-4042-0002</t>
  </si>
  <si>
    <t>Лабораторный практикум "Введение в определение наличия антител" типа Wards Science 47051</t>
  </si>
  <si>
    <t>Набор содержит:  • компонент A (A Antigens) (темп. режим)  • компонент B (B whey antigen (liophilized ) (темп. режим)  • компонент C (C 10xPBST ) (темп. режим)  • компонент D (D Primary antibody) (темп. режим)  • компонент E (E Secondary Antybody) (темп. режим)  • компонент F (F Abts substrate) (темп. режим)  • компонент G (G Aminosalicylic Acid) (темп. режим)  • компонент H (H Hydrogen peroxide) (темп. режим)  • микропластина с углублениями  • пластиковые пипетки • микротрубки с колпочками  • пластиковые трубки 15 мл</t>
  </si>
  <si>
    <t>521-301-4043</t>
  </si>
  <si>
    <t>Лабораторный практикум "Наркотест"</t>
  </si>
  <si>
    <t>521-301-4043-0001</t>
  </si>
  <si>
    <t>Лабораторный практикум "Наркотест" типа Wards Science 47015</t>
  </si>
  <si>
    <t>Набор содержит:  Образцы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t>
  </si>
  <si>
    <t>521-301-4044</t>
  </si>
  <si>
    <t>Учебный практикум "Полиразмерный цепной анализ"</t>
  </si>
  <si>
    <t>521-301-4044-0001</t>
  </si>
  <si>
    <t>Учебный практикум "Полиразмерный цепной анализ" типа Wards Science 47022</t>
  </si>
  <si>
    <t>Набор содержит:  • компонент A (А Universal DNA Buffer) • компонент B (B-1 MitochondrialLyphoprimer)  • компонент B-2 (B-2 PV92 primer) • компонент B-3 (B-3 VNTR LyphoPrimerD1S80 )  • компонент C (DNA Ladder)  • компонент D (D-1 Mitochondrial LyphoControl)  • компонент D-2 (D-2 Alu LyphoControl PV92) • компонент D-3 (VNTR LyphoControl (D1S80)
• компонент E (E TE Buffer) компоненты А - Е (темп. режим) • ультраспек агарозы (UltraSpec-Agarose) • буфер эл. форез (Electrophoresis Buffer 50x)  • микрофуговыетрубки (microcentrifuge tubes) • набор трубок и пр. пластика.</t>
  </si>
  <si>
    <t>521-301-4045</t>
  </si>
  <si>
    <t>Комплект для полиразмерной реакции магнезия хлорида</t>
  </si>
  <si>
    <t>521-301-4045-0001</t>
  </si>
  <si>
    <t>Комплект для полиразмерной реакции магнезия хлорида типа Wards Science 47023</t>
  </si>
  <si>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</si>
  <si>
    <t>521-301-4046</t>
  </si>
  <si>
    <t>Комплект для полиразмерной реакции энзимов</t>
  </si>
  <si>
    <t>521-301-4046-0001</t>
  </si>
  <si>
    <t>Комплект для полиразмерной реакции энзимов типа Wards Science 47025</t>
  </si>
  <si>
    <t>521-301-4047</t>
  </si>
  <si>
    <t>Набор учебный "Генетика"</t>
  </si>
  <si>
    <t>521-301-4047-0001</t>
  </si>
  <si>
    <t>Набор учебный по курсу "Генетика" типа Wards Science 47049</t>
  </si>
  <si>
    <t>В состав набора входит:  1. Агарный раствор для спаривания,  2. чашки Петри,  3. предметные стекла,  4. покровные стекла,  5. стерильные скальпели,  6. одноразовые пипетки,  7. одноразовые петли.</t>
  </si>
  <si>
    <t>521-301-4048</t>
  </si>
  <si>
    <t>Набор учебный "Визуализация клеточных процессов"</t>
  </si>
  <si>
    <t>521-301-4048-0001</t>
  </si>
  <si>
    <t>Набор учебный по курсу "Визуализация клеточных процессов" типа Wards Science 470450</t>
  </si>
  <si>
    <t>В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Пленка, •1 спирт Этанол 95% (Ethanol). •4 круглых контейнера, •4 квадратных контейнера,</t>
  </si>
  <si>
    <t>521-301-4049</t>
  </si>
  <si>
    <t>Лабораторный эксперимент: "Осмос и диффузия"</t>
  </si>
  <si>
    <t>521-301-4049-0001</t>
  </si>
  <si>
    <t>Лабораторный эксперимент: "Осмос и диффузия" типа Wards Science 47061</t>
  </si>
  <si>
    <t>Эксперимент должен демонстрировать полупроницаемость, осмос и молекулярную диффузию при изменениях. Наблюдаемых в цветных растворах. В состав входят: • 4 диализные трубки, • 1 бутылек глюкозы, 250 мл, • 1 бутылек содиум хлорид, 30 мл, • 4 красители, • 20 чаша петри, • пластик ножи, • пластик ложки, • 100 покрывные стекла, • 1 бутылек уксуса,
• 1 бутылек альбумин, • 1 шт пластиковые линейки • 1 сахар (5 пачек разный грамаж)</t>
  </si>
  <si>
    <t>521-301-4050</t>
  </si>
  <si>
    <t>Учебный практикум «Изучение растений и митоза животных»</t>
  </si>
  <si>
    <t>521-301-4050-0001</t>
  </si>
  <si>
    <t>Учебный практикум «Изучение растений и митоза животных» типа Wards Science 47062</t>
  </si>
  <si>
    <t>• 1 корень растения (1 vival of specially grown root tips) (темп. режим) • 1 коробка слайдов (1 box of mircoscope slides) • 1 коробка с пластинами
пластиковыми (1 box of cover slips) • деревянные палочки ( wooden stics) • 1 щипцы (1 tissue forceps) • 1 Ацето-орцеин бутылек 30 мл (Dropping Bottle of Aceto-orcein Stain 30 ml) • 1 бутылек 1N HCL 6 мл (1 droping bottle 1N HCL 6ml) • стирильные салфетки • 4 бутылька для жидкостей (4 droppingbottles 3 ml) • 1 лоток • 1 бутылек пиколита II 15 мл  (1 dropping bottle of Mounting Media (Piccolyte ) 15 ml) • 1 слайд клетки растения (1 Plant cell Mitosis referance slide)</t>
  </si>
  <si>
    <t>521-301-4051</t>
  </si>
  <si>
    <t>УФ-Трансиллюминатор</t>
  </si>
  <si>
    <t>521-301-4051-0001</t>
  </si>
  <si>
    <t>УФ-Трансиллюминатор типа Wards Science</t>
  </si>
  <si>
    <t>521-301-4100</t>
  </si>
  <si>
    <t>Наборы и принадлежности для кабинета
нанотехнологий</t>
  </si>
  <si>
    <t>521-301-4101</t>
  </si>
  <si>
    <t>Набор "Зеленая нанохимия: синтез
наночастиц серебра"</t>
  </si>
  <si>
    <t>521-301-4101-0001</t>
  </si>
  <si>
    <t>Набор "Зеленая нанохимия: синтез
наночастиц серебра" типа Experia BN-61</t>
  </si>
  <si>
    <t>Комплектация: кейс с крышкой - 1 шт; лоток со вставкой - 1шт; 50 мл нитрата серебра - 1 шт; 10 г декстрозы - 1 шт; 30 г растворимого крахмала - 1 шт; 150 мл гидроксида натрия - 1 шт, пробирки - 5 шт, пипетки - 6 шт, цилиндр градуированный 250 мл - 1 шт.</t>
  </si>
  <si>
    <t>521-301-4101-0002</t>
  </si>
  <si>
    <t>Набор "Зеленая нанохимия: синтез наночастиц серебра" типа Wards Science 47053</t>
  </si>
  <si>
    <t>В набор входит:  1 бутылка Нитрат серебра, 0,1 - 1 мл, Декстроза/Глюкоза 5 мл, Растворимый крахмал, Гидроксид натрия 0,1 - 5 мл, пластиковые пипетки.</t>
  </si>
  <si>
    <t>521-301-4102</t>
  </si>
  <si>
    <t>Учебный набор: Скрытые отпечатки пальцев</t>
  </si>
  <si>
    <t>521-301-4102-0001</t>
  </si>
  <si>
    <t>Учебный набор: Скрытые отпечатки пальцев типа Experia BN-62</t>
  </si>
  <si>
    <t>Комплектация: кейс с крышкой - 1 шт , лоток со вставкой - 1шт, порошок для отпечатков пальцев -25 гр, кисти для отпечатков пальцев - 15 шт, увеличительные стекла - 5 шт, ацетатные листы - 15 шт, чернильная подушечка - 3 шт, Руководство для инструктора - 1шт ; Дактилоскопический порошок - 1 шт ; Нингидрин - 1 шт ; Ацетон - 1 шт; Йод Люголя - 1 шт; Перчатки - 3 пары; Пипетки - 3 шт; Дактилоскопическая скотч-лента - 1 шт; Инструкции по способу работы - 1 шт.</t>
  </si>
  <si>
    <t>521-301-4102-0002</t>
  </si>
  <si>
    <t>Учебный набор: Скрытые отпечатки пальцев типа Wards Science 47054</t>
  </si>
  <si>
    <t>Комплектность: 1. магнитный порошок, 1 гр. 2. моток ленты,  3. магнитный аппликатор 4. Дактилокарта 5. кейс, черный пластик 6. диск с инструкцией по использованию</t>
  </si>
  <si>
    <t>521-301-4103</t>
  </si>
  <si>
    <t>Лабораторный практикум по курсу "Спектроскопия"</t>
  </si>
  <si>
    <t>521-301-4103-0001</t>
  </si>
  <si>
    <t>Лабораторный практикум по курсу "Спектроскопия" типа Experia BN-63</t>
  </si>
  <si>
    <t>Комплектация:  кейс с крышкой - 1 шт , лоток со вставкой - 1шт, синяя краска № 1,Scienceade, 50 мл - 1 шт, инструкции - 1 шт, пипетки 5 мл - 6 шт, пробирки - 10 шт, градуированные цилиндры 100 мл - 6 шт, клейкая лента
-1 шт, спектроскоп ручной - 6 шт</t>
  </si>
  <si>
    <t>521-301-4103-0002</t>
  </si>
  <si>
    <t>Лабораторный практикум по курсу "Спектроскопия": Идентификация металлов типа Wards Science 47055</t>
  </si>
  <si>
    <t>Набор содержит: 1 Спектроскоп учебный.  2 шт. Цветные зажигательные свечи (Color flame candles) 2 Микроконфорки (Micro-burners) 5 мл минерально-солевой спиртовой раствор ( Mineral salt alcohol solution) 15 Дифракционные решетки (Diffraction grating slides) 24 лотка для свечей (Candle holding trays)</t>
  </si>
  <si>
    <t>521-301-4104</t>
  </si>
  <si>
    <t>Набор для лабораторных экспериментов по спектральному анализу и анализу окраски пламени</t>
  </si>
  <si>
    <t>521-301-4104-0001</t>
  </si>
  <si>
    <t>Набор для лабораторных экспериментов по спектральному анализу и анализу окраски пламени типа Experia BN-64</t>
  </si>
  <si>
    <t>Комплектация:  кейс с крышкой - 1 шт , лоток со вставкой - 1шт,  соль Лития (LiCl) 100 гр - 1 шт, соль Стронция (SrCl2)100 гр - 1 шт, соль Бария (BaCl2)100 гр - 1 шт, соль Калия (KCl)100 гр - 1 шт, тестовые петли из нихромовой проволоки - 4 шт, ручные спектроскопы - 4 шт, руководство для учителя - 1 шт , учебные пособия для студентов - 30 шт.</t>
  </si>
  <si>
    <t>521-301-4104-0002</t>
  </si>
  <si>
    <t>Набор для лабораторных экспериментов по спектральному анализу и анализу окраски пламени типа Wards Science 47058</t>
  </si>
  <si>
    <t>Набор содержит • 4 соли: содиум хлорид, кальциум хлорид, стронциум хлорид, потассум хлорид, • 4 петли проволочные, • 6 спектроскопов, • пособие</t>
  </si>
  <si>
    <t>521-301-4105</t>
  </si>
  <si>
    <t>Экспериментальный набор в чемодане для школьных опытов по нанотехнологиям</t>
  </si>
  <si>
    <t>521-301-4105-0001</t>
  </si>
  <si>
    <t>Экспериментальный набор в чемодане для школьных опытов по нанотехнологиям типа Experia BN-59</t>
  </si>
  <si>
    <t>521-301-4105-0002</t>
  </si>
  <si>
    <t>Экспериментальный набор в чемодане для школьных опытов по нанотехнологиям типа Wards Science 47052</t>
  </si>
  <si>
    <t>521-301-4106</t>
  </si>
  <si>
    <t>Набор "Нанотехнологии" для экспериментов базового уровня</t>
  </si>
  <si>
    <t>521-301-4106-0001</t>
  </si>
  <si>
    <t>Набор "Нанотехнологии" для экспериментов базового уровня типа Experia BN-60</t>
  </si>
  <si>
    <t>Комплектация:   Кейс с крышкой - 1 шт , Лоток со вставкой - 1шт, Хлорид железа (FeCl3) 50 гр - 1 шт, Хлорид железа (FeCl3) 150 гр, - 1 шт  Соляная кислота (HCl) 150 мл - 12 шт, Гидроксид аммония (NH4OH) 150 мл - 1 шт, Гидроксид тетраметиламмония (TMAOH) - 150 мл - 1 шт, Пипетки - 35 шт, Чашки Петри - 1 шт , Стеклянный стакан 250 мл - 5 шт, Фильтрующая бумага - 1 пачка.</t>
  </si>
  <si>
    <t>521-301-4106-0002</t>
  </si>
  <si>
    <t>Набор "Нанотехнологии" для экспериментов базового уровня типа Wards Science 47059</t>
  </si>
  <si>
    <t>В набор входит: 1  хлорид  (ferrous chloride) 1  хлорида железа (ferric chloride) 1 соляной кислоты, 10 н. 2 гидроксида аммония 1  гидроксида
тетраметиламмония 15 пипеток 15 чашек Петри</t>
  </si>
  <si>
    <t>521-301-4107</t>
  </si>
  <si>
    <t>Набор экспериментальный в чемодане для школьных опытов по нанотехнологиям (15 экспериментов)</t>
  </si>
  <si>
    <t>Набор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Оборудование укомплектовано в пластиковый контейнер</t>
  </si>
  <si>
    <t>521-301-4108</t>
  </si>
  <si>
    <t>Спектроскоп</t>
  </si>
  <si>
    <t>521-301-4108-0001</t>
  </si>
  <si>
    <t>Спектроскоп учебный типа Wards Science
47056</t>
  </si>
  <si>
    <t>Материал: пластик. Масштаб измерения: 37 мм. Диапазон длины волны: от 4 000 до 7 000 Åс точностью до ±50 Å.Альтернатива стационарного спектрофотометра. Инструкция по применению прилагается.</t>
  </si>
  <si>
    <t>521-301-4200</t>
  </si>
  <si>
    <t>Кабинет "Гончарное дело"</t>
  </si>
  <si>
    <t>521-301-4201</t>
  </si>
  <si>
    <t>Оборудование для гончарного дела</t>
  </si>
  <si>
    <t>521-301-4201-0001</t>
  </si>
  <si>
    <t>Отстойник для глины типа PotteryMagic</t>
  </si>
  <si>
    <t>Сеператор для глины. Специализированное оборудование для очистки глины от примесей и получения однородной массы. Материал корпуса и разделителей - влагоустойчивый пластик.</t>
  </si>
  <si>
    <t>521-301-4201-0002</t>
  </si>
  <si>
    <t>Раскатчик мини для глиняных пластов типа PotteryMagic</t>
  </si>
  <si>
    <t>Мини-раскатчик предназначен для работы с глиняными пластами. Он обладает компактным размером и предназначен для раскатывания глины в плоские пласти различной толщины. Корпус выполнен из прочного, влагоустойчивого металла.</t>
  </si>
  <si>
    <t>521-301-4201-0003</t>
  </si>
  <si>
    <t>Экструдер для глины настенный механический типа PotteryMagic</t>
  </si>
  <si>
    <t>ЕХ -115 Frеmа
Экструдер для глины является ручным и механическим устройством, включающим в себя 12 фильер. Изготовлен из нержавеющей стали, цилиндр экструдера имеет диаметр 115 мм.</t>
  </si>
  <si>
    <t>521-301-4201-0004</t>
  </si>
  <si>
    <t>Турнетка типа PotteryMagic</t>
  </si>
  <si>
    <t>Материал: покрытый алюминий + пластиковая сталь. Основные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Диаметр: 300 мм. Это указывает на размер поворотного стола турнетки, который составляет 300 мм, высотой 50 мм.
Поворотный стол: 360 градусов. Турнетка имеет возможность поворачивать стол на 360 градусов, что позволяет удобно и точно поворачивать предметы в любое положение.</t>
  </si>
  <si>
    <t>521-301-4201-0005</t>
  </si>
  <si>
    <t>Гончарный круг настольный типа PotteryMagic</t>
  </si>
  <si>
    <t>Гончарный круг с возможностью работы на напряжении 220 В и мощностью не менее 350 Вт. Мощность 350 Вт.  Гончарный круг работает на электрической энергии, что облегчает и ускоряет процесс работы с глиной. Он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t>
  </si>
  <si>
    <t>521-301-4201-0006</t>
  </si>
  <si>
    <t>Печь для обжига с вертикальной загрузкой типа PotteryMagic</t>
  </si>
  <si>
    <t>Печь для обжига с вертикальной загрузкой. Мощность: не менее 8 кВт.
Объем: не более 60 литров.Материал: нержавеющая сталь. Печь изготовлена из нержавеющей стали, что обеспечивает прочность и устойчивость к высоким температурам. Режим управления: Микрокомпьютерный ПИД-регулятор температуры. ПИД-регулятор обеспечивает точное и стабильное поддержание заданной температуры во время обжига, что важно для качественного процесса обжига.
Максимальная температура 1300 градусов.</t>
  </si>
  <si>
    <t>521-301-4202</t>
  </si>
  <si>
    <t>Мебель для гончарного дела</t>
  </si>
  <si>
    <t>521-301-4202-0001</t>
  </si>
  <si>
    <t>Стол для гончарного круга типа CraftLab</t>
  </si>
  <si>
    <t>Столешница ЛДСП, толщиной 32 мм. Ножки из профильной трубы, сечением 30х30 мм, окрашенной в порошковую краску. На колесиках с функцией блокировки. Габариты: 500х500х350 мм</t>
  </si>
  <si>
    <t>521-301-4202-0002</t>
  </si>
  <si>
    <t>Стеллаж для сушки и хранения готовых изделий 900 х 450 х 1900 мм типа (PotteryMagic)</t>
  </si>
  <si>
    <t>Стеллаж изготовлен из металла и предназначен для хранения керамических изделий в гончарной мастерской. Он имеет прочную конструкцию с регулируемыми полками, а также колесики для легкого перемещения.
Габариты 900 х 450 х 1900мм</t>
  </si>
  <si>
    <t>521-301-4300</t>
  </si>
  <si>
    <t>Кабинет ракетостроения и космических технологий</t>
  </si>
  <si>
    <t>521-301-4301</t>
  </si>
  <si>
    <t>Набор ракетостроения</t>
  </si>
  <si>
    <t>521-301-4301-0001</t>
  </si>
  <si>
    <t>Набор ракетостроения для начального и среднего уровней, с прогнозируемой высотой не менее 150-300 м типа RocketRise Explorer Set</t>
  </si>
  <si>
    <t>Набор ракетостроения для начального и среднего уровней представляет собой комплект, позволяющий достичь высоты до 150-300 метров. 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В наборе также присутствует система спасения ракеты с несколькими парашютами разного диаметра (от 60 до 100 см). Двигатели, входящие в комплект, имеют разные диаметры и высоты, зависимости от типа конструкции и мощности. В наборе  представлены только базовые двигатели для начальных запусков. Для каждого типа ракеты предусмотрены крепления, соответствующие различным двигателям. В наборе имеется следующие крепление для двигателей: B4-2, B6-2, C5-3,
A8-3, B4-4, B6-4, C6-7.</t>
  </si>
  <si>
    <t>521-301-4301-0002</t>
  </si>
  <si>
    <t>Набор ракетостроения с прогнозируемой высотой не менее 450 м типа RocketRise Explorer Set</t>
  </si>
  <si>
    <t>Набор ракетостроения "Летающая модель" 12 шт. Набор включает 12 моделей ракет, спроектированных для достижения высоты полета не менее 450 метров. Уровень масштаба: Средний. Каждая модель ракеты предоставляет опыт работы с более сложными конструкциями и позволяет развивать базовые навыки в создании и запуске ракет. Рекомендуемые двигатели: В комплект не входят рекомендуемые двигатели, включая A8-3, B4-4, B6-4, C6-5 и C6-7, предоставляя множество вариантов для разнообразных запусков. Проектируемая максимальная высота: С использованием двигателя C6-7, максимальная высота полета составляет 478 метров. Ориентировочное время сборки: Предполагается, что каждая модель ракеты может быть собрана за 1 час (время высыхания клея не включено). Система запуска: Комплект совместим со стартовой площадкой и электронно-лучевым пусковым контроллером, а также с любой системой запуска, поддерживающей пусковой стержень диаметром 1/8 дюйма.
Возрастные ограничения: Рекомендуется для мальчиков и девочек старше
10 лет под присмотром взрослых, а также для ракетчиков всех возрастов.</t>
  </si>
  <si>
    <t>521-301-4301-0003</t>
  </si>
  <si>
    <t>Набор ракетостроения с прогнозируемой высотой не менее 150 м типа RocketRise Explorer Set</t>
  </si>
  <si>
    <t>Набор ракетостроения "3 бандита" для начинающих.
В комплект входит 3 мини-ракеты, каждая с предварительно раскрашенными деталями, что делает сборку удивительно простой и увлекательной. Прогнозируемая высота полета не менее 150 метров обеспечивает захватывающие моменты на летном поле. Ориентировочное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Рекомендуемые двигатели включают  A3-4T, A10-3 T, предоставляя возможность выбора подходящего двигателя для различных результатов.
Этот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t>
  </si>
  <si>
    <t>521-301-4301-0004</t>
  </si>
  <si>
    <t>Набор для сборки летающей модели с высотой полета не менее 60м, не менее 10 парашютов типа RocketRise Explorer Set</t>
  </si>
  <si>
    <t>Набор для сборки летающей модели "Меркурий редстоун".
Уникальная летающая модель: Этот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Рекомендуемые двигатели: Для оптимальных результатов рекомендуется использовать двигатели C6-4 или C5-5, обеспечивающие стабильность и высоту полета.
Система восстановления: Система восстановления включает парашюты длиной 40 см, которые обеспечивают безопасное и надежное возвращение модели на землю.
Прочные материалы: Ребра модели изготовлены из лазерно резанного бальзового дерева, что гарантирует прочность и стабильность в полете. Впечатляющий диаметр: Диаметр модели составляет 50 мм, делая ее визуально впечатляющей и привлекательной.</t>
  </si>
  <si>
    <t>521-301-4301-0005</t>
  </si>
  <si>
    <t>Образовательный набор для сборки ракеты с содержанием более 90 элементов типа RocketRise Explorer Set</t>
  </si>
  <si>
    <t>521-301-4301-0006</t>
  </si>
  <si>
    <t>Наполнение ракеты для спасательной системы типа RocketRise Explorer Set</t>
  </si>
  <si>
    <t>Система параплана для медленного и безопасного спуска ракеты после запуска
Электроника для активации спасательной системы в нужный момент Подробное руководство по установке и активации спасательной системы Тип наполнения: Специальные элементы и материалы, предназначенные для создания эффективной спасательной системы в ракете.
Материалы: Высококачественные и огнеустойчивые материалы, обеспечивающие надежность и безопасность системы.
Вместимость: Рассчитано на оптимальное количество материалов, необходимых для функционирования спасательной системы.</t>
  </si>
  <si>
    <t>521-301-4302</t>
  </si>
  <si>
    <t>Набор твердотопливных двигателей</t>
  </si>
  <si>
    <t>521-301-4302-0001</t>
  </si>
  <si>
    <t>Набор твердотопливных двигателей типа RocketRise Explorer Set</t>
  </si>
  <si>
    <t>Разнообразные твердотопливные двигатели (включая 50N, 100N и 200N) Зажигательные системы для активации двигателей
Разъемные стойки и крепежные элементы для сборки ракетных конструкций
Подробное руководство по сборке, запуску и безопасности Комплект защитных средств для безопасного использования Набор запасных запчастей и необходимых инструментов
Максимальная мощность твердотопливных двигателей: Варьируется от 50N до 200N тяги
Диаметр корпуса двигателей: Различные диаметры от 18 мм до 29 мм Продолжительность работы двигателей: От 2 до 5 секунд, в зависимости от модели</t>
  </si>
  <si>
    <t>521-301-4302-0002</t>
  </si>
  <si>
    <t>Набор креплений твердотопливных двигателей типа RocketRise Explorer Set</t>
  </si>
  <si>
    <t>Крепления для твердотопливных двигателей различных размеров Вариативные стойки и подставки для настройки угла наклона Разнообразные соединительные элементы и фиксаторы Дополнительные элементы для крепления стабилизаторов и аэродинамических деталей
Инструменты для монтажа и настройки креплений Подробное руководство по сборке и настройке креплений
Информация о безопасном использовании и эксплуатацииТип креплений: Разнообразные крепления для твердотопливных двигателей Максимальная нагрузка: Рассчитано на удержание двигателей с тягой до 200N
Материал: Прочные и огнеустойчивые материалы для безопасной работы Максимальная нагрузка: Рассчитано на удержание двигателей с тягой до
200N</t>
  </si>
  <si>
    <t>521-301-4303</t>
  </si>
  <si>
    <t>Модель ракеты сборочная модель</t>
  </si>
  <si>
    <t>521-301-4303-0001</t>
  </si>
  <si>
    <t>Модель ракеты сборочная для учеников среднего класса Тип 1 RocketRise Explorer Set</t>
  </si>
  <si>
    <t>1/2A6-2, A8-3, A8-5, B4-4, B6-6, C6-5, C6-7
Прогнозируемая максимальная высота 1600 футов (488 м). Система
восстановления
Серебристый майларовый стример диаметром 24 дюйма (61 см) Длина 16,8 дюйма (42,7 см) Диаметр 0,74 дюйма (19 мм).
Расчетное время сборки 1 час (время покраски и высыхания клея не включено)
Материалы для плавника картон. Тип декали самоклеящаяся Система запуска Porta-Pad II и электронно-лучевой пусковой контроллер
Размер пусковой штанги 1/8 дюйм</t>
  </si>
  <si>
    <t>521-301-4303-0002</t>
  </si>
  <si>
    <t>Модель ракеты сборочная для учеников среднего класса Тип 2 RocketRise Explorer Set</t>
  </si>
  <si>
    <t>1/2A6-2, A8-3, A8-5, B4-4, B6-6, C6-5, C6-7
Прогнозируемая максимальная высота-1600 футов (488 м)
Система восстановления-Серебристый майларовый стример диаметром 24 дюйма (61 см)
Длина-16,8 дюйма (42,7 см) Диаметр-0,74 дюйма (19 мм)
Расчетное время сборки-1 час (время покраски и высыхания клея не включено)
Материалы для плавника-Картон Тип декали-Самоклеящаяся
Система запуска-Porta-Pad II и электронно-лучевой пусковой контроллер Размер пусковой штанги-1/8 дюйм</t>
  </si>
  <si>
    <t>521-301-4303-0003</t>
  </si>
  <si>
    <t>Модель ракеты сборочная для учеников среднего класса Тип 3 RocketRise Explorer Set</t>
  </si>
  <si>
    <t>1/2A6-2, A8-3
Прогнозируемая максимальная высота
500 футов (152 м)
Система восстановления-Featherweight Длина-5,9 дюйма (15 см)
Диаметр-0,74 дюйма (19 мм)
Расчетное время сборки-1 час (время покраски и высыхания клея не включено)
Материалы плавника-Лазерная резка дерева Тип деколи-Водорастворимая
Система запуска-Стартовая площадка Porta-Pad II и электронно-лучевой пусковой контроллер
Размер пусковой штанги-1/8 дюйм</t>
  </si>
  <si>
    <t>521-301-4303-0004</t>
  </si>
  <si>
    <t>Модель ракеты сборочная для учеников среднего класса Тип 4 RocketRise Explorer Set</t>
  </si>
  <si>
    <t>D12-5, E12-6
Прогнозируемая максимальная высота-900 футов (274 м) Система восстановления
Парашют длиной 18 дюймов (45,7 см) Длина-45,2 дюйма (114,8 см) Диаметр-1,64 дюйма (42 мм)
Расчетное время сборки-2-3 часа (время покраски и высыхания клея не включено)
Материалы плавника-Лазерная резка дерева Тип деколи-Водорастворимая
Система запуска Контроллер запуска Porta-Pad E и E Размер пусковой штанги-3/16 дюйм</t>
  </si>
  <si>
    <t>521-301-4303-0005</t>
  </si>
  <si>
    <t>Модель ракеты сборочная для учеников среднего класса Тип 5 RocketRise Explorer Set</t>
  </si>
  <si>
    <t>1/2A6-2, A8-3, A8-5, B4-4, B6-4, B6-6, C6-5, C6-7
с адаптером двигателя (продается отдельно) - A10-3T Проектируемая максимальная высота-1600 футов (488 м) Система восстановления-18 дюймов (45,7 см) Стример Длина-12 дюймов (30,5 см)
Диаметр-0,74 дюйма (19 мм)
Расчетное время сборки-1 час (время покраски и высыхания клея не включено)
Материалы плавника-Лазерная резка дерева Тип декали-Самоклеящаяся
Система запуска-Porta-Pad II и электронно-лучевой пусковой контроллер Размер пусковой штанги-1/8 дюйм</t>
  </si>
  <si>
    <t>521-301-4303-0006</t>
  </si>
  <si>
    <t>Модель ракеты сборочная для учеников среднего класса Тип 6 RocketRise Explorer Set</t>
  </si>
  <si>
    <t>B4-2, B6-4
Прогнозируемая максимальная высота
700 футов (213 м) Система восстановления
2x 36 дюймов (91,4 см) майларовых стримеров Длина-21,1 дюйма (53,6 см)
Диаметр-1,8 дюйма (46 мм)
Расчетное время сборки-3 часа (время на покраску и сушку клея не включено)
Материалы плавника Лазерная резка дерева
Тип деколи-Водорастворимая
Система запуска-Пусковая площадка Porta-Pad II и пусковой контроллер Pro Series II
Размер пусковой штанги-1/8 дюйм</t>
  </si>
  <si>
    <t>521-301-4303-0007</t>
  </si>
  <si>
    <t>Модель ракеты сборочная для учеников среднего класса Тип 7 RocketRise Explorer Set</t>
  </si>
  <si>
    <t>B6-4, B6-6, C6-5, C6-7
Две ступени: Ракета: B6-4, B6-6, C6-5, C6-7 Бустер: B6-0, C6-0
Прогнозируемая максимальная высота
1200 футов (366 м) Система восстановления
Парашют 12 дюймов (30,5 см); скольжение; кувыркание Длина-25 дюймов (63,5 см)
Диаметр-0,98 дюйма (25 мм)
Расчетное время сборки-4 часа (время на сушку клея и покраску не включено)
Материалы плавника-Лазерная резка дерева Тип деколи-Водорастворимая
Система запуска-Porta Pad II и электронно-лучевой пусковой контроллер Размер пусковой штанги-1/8 дюйм</t>
  </si>
  <si>
    <t>521-301-4303-0008</t>
  </si>
  <si>
    <t>Модель ракеты сборочная для учеников среднего класса Тип 8 RocketRise Explorer Set</t>
  </si>
  <si>
    <t>C11-3, D12-3, E12-4, E12-6
Прогнозируемая максимальная высота-1000 футов (305 м) Система восстановления-1x 15 дюймов (38,1 см) парашют 1x 18 дюймов (45,7 см) парашют
Длина-26,8 дюйма (68,1 см) Диаметр-2,62 дюйма (67 мм)
Расчетное время сборки-10 часов (время покраски и высыхания клея не включено)
Материалы плавника-Пластик, отлитый под давлением Тип декали-Водорастворимая
Система запуска-E Launch Pad и контроллер запуска Pro Series II Размер пусковой штанги-3/16" Maxi Rod (продается отдельно)</t>
  </si>
  <si>
    <t>521-301-4303-0009</t>
  </si>
  <si>
    <t>Модель ракеты сборочная для учеников среднего класса Тип 9 RocketRise Explorer Set</t>
  </si>
  <si>
    <t>Две ступени: Ракета: D12-5, D12-7, E12-8
Бустер: D12-0, E12-0
Прогнозируемая максимальная высота
2300 футов (701 м) Система восстановления Парашют 18 дюймов (45,7 см)
Длина-31,5 дюйма (80 см) Диаметр-1,64 дюйма (42 мм)
Расчетное время сборки-6 часов (время на покраску и сушку клея не включено)
Материалы плавника-Лазерная резка дерева Тип деколи-Водорастворимая
Система запуска-Контроллер запуска Porta-Pad II или Porta-Pad E и E Размер пусковой штанги-3/16" Maxi Rod (продается отдельно)</t>
  </si>
  <si>
    <t>521-301-4304</t>
  </si>
  <si>
    <t>Стартер</t>
  </si>
  <si>
    <t>521-301-4304-0001</t>
  </si>
  <si>
    <t>Стартер зажигания двигателя сборочной
ракеты типа RocketRise Explorer Set</t>
  </si>
  <si>
    <t>Набор нихромовых стартеров различных сопротивлений Дополнительные провода для соединения стартеров с источником питания
Подробное руководство по использованию и безопасности.
Тип стартера: Нихромовые стартеры, специально разработанные для активации двигателей сборочных ракет.
Материал: Нихромовая проволока, известная своей высокой температурной стойкостью и способностью к созданию надежных зажигательных искр.
Сопротивление: Разнообразные нихромовые стартеры с разным сопротивлением для подбора оптимальных характеристик зажигания. Подключение: Каждый стартер оснащен удобными клеммами или проводами для простого подключения.</t>
  </si>
  <si>
    <t>521-301-4304-0002</t>
  </si>
  <si>
    <t>Крепление стартера типа RocketRise Explorer
Set</t>
  </si>
  <si>
    <t>Набор креплений для фиксации стартеров зажигания Подробное руководство по применению и безопасности
Тип крепления: Специальные крепления, предназначенные для удержания и фиксации стартеров зажигания.
Материал: Прочный и огнеустойчивый материал, обеспечивающий надежную поддержку и безопасность.</t>
  </si>
  <si>
    <t>521-301-4305</t>
  </si>
  <si>
    <t>Парашют</t>
  </si>
  <si>
    <t>521-301-4305-0001</t>
  </si>
  <si>
    <t>Парашют 24 дюйма типа RocketRise Explorer Set</t>
  </si>
  <si>
    <t>Размер парашюта: 24 дюйма (приблизительно 61 см)
Специальные крепежные элементы для надежной фиксации парашюта к ракете
Подробное руководство по установке и использованию парашюта Материал: Легкий и прочный материал, обеспечивающий надежное и плавное развертывание парашюта.
Назначение: Используется для обеспечения медленного и контролируемого спуска ракеты после достижения максимальной высоты полета.
Вес ракеты: Рассчитан на спасательное использование для ракет определенного веса и размера.</t>
  </si>
  <si>
    <t>521-301-4305-0002</t>
  </si>
  <si>
    <t>Парашют 16 дюйма типа RocketRise Explorer Set</t>
  </si>
  <si>
    <t>Размер парашюта: 16 дюймов (приблизительно 41 см).
Специальные карабины и нити для надежной фиксации парашюта к ракете Инструкция по установке и активации парашюта
Материал: Высокопрочный нейлон, обеспечивающий надежное развертывание и долговечность парашюта.
Нагрузочная способность: Рассчитан на снижение скорости спуска ракеты массой до 500 грамм.
Способ развертывания: Двойное кольцо для надежного и плавного развертывания при достижении определенной высоты.
Вес парашюта: Легкий вес парашюта, что позволяет максимизировать эффективность и безопасность спуска.</t>
  </si>
  <si>
    <t>521-301-4305-0003</t>
  </si>
  <si>
    <t>Парашют 6 дюйма типа RocketRise Explorer Set</t>
  </si>
  <si>
    <t>Размер парашюта: 6 дюймов (приблизительно 15 см).
Мелкие карабины и нити для надежной фиксации парашюта к ракете Инструкция по установке и активации парашюта
Материал: Легкий и прочный нейлон, специально подобранный для обеспечения надежного развертывания парашюта при небольших размерах. Нагрузочная способность: Рассчитан на снижение скорости спуска ракеты массой до 250 грамм.
Способ развертывания: Одиночное кольцо для быстрого и эффективного развертывания.
Вес парашюта: Минимальный вес парашюта, что позволяет использовать его с небольшими ракетами и сохранять стабильность полета.</t>
  </si>
  <si>
    <t>521-301-4306</t>
  </si>
  <si>
    <t>Станция и контроллер запуска</t>
  </si>
  <si>
    <t>521-301-4306-0001</t>
  </si>
  <si>
    <t>Станция запуска для средних моделей ракет типа RocketRise Explorer Set</t>
  </si>
  <si>
    <t>Портативная станция сборки и запуска Система удержания для надежной фиксации ракеты
Дополнительные элементы для безопасной и стабильной работы станции Подробное руководство по сборке, настройке и использованию станции Тип станции: Портативная станция, предназначенная для запуска средних моделей ракет.
Материал: Прочный и устойчивый к воздействию погодных условий материал.
Размер: Оптимальный размер, обеспечивающий устойчивость и безопасность при запуске.
Максимальная высота запуска: Рассчитана на запуск ракет на высоту до 500 метров.
Регулируемая наклонная площадка: Позволяет настраивать угол наклона ракеты для оптимальных полетных характеристик.
Система удержания: Оборудована надежными устройствами для фиксации ракеты во время запуска.
Максимальная высота: До 1,5 метра Максимальный диаметр ракеты: До 10 см Максимальный угол наклона: До 45 градусов Время сборки: Около 15 минут</t>
  </si>
  <si>
    <t>521-301-4306-0002</t>
  </si>
  <si>
    <t>Станция запуска для высоких моделей ракет типа RocketRise Explorer Set</t>
  </si>
  <si>
    <t>Профессиональная станция сборки и запуска высоких моделей ракет Регулируемая наклонная площадка с точной системой настройки угла наклона
Продвинутая система удержания для безопасной и стабильной работы станции
Дополнительные элементы для максимальной эффективности запуска Подробное руководство по сборке, настройке и использованию станции Тип станции: Профессиональная станция, разработанная для запуска высоких моделей ракет.
Материал: Высокопрочный и устойчивый к воздействию экстремальных условий материал.
Размер: Большие размеры, обеспечивающие стабильность и надежность во время запусков.
Максимальная высота запуска: Рассчитана на запуск ракет на высоту до 1000 метров и выше.
Регулируемая наклонная площадка: Позволяет точно настроить угол наклона ракеты для оптимальных результатов.
Профессиональная система удержания: Оснащена продвинутыми механизмами для надежной фиксации ракеты во время запуска.
Максимальная высота: До 3 метров Максимальный диаметр ракеты: До 20 см Максимальный угол наклона: До 60 градусов Время сборки: Около 30 минут</t>
  </si>
  <si>
    <t>521-301-4306-0003</t>
  </si>
  <si>
    <t>Контроллер запуска двигателя ракеты для средних моделей ракет типа RocketRise Explorer Set</t>
  </si>
  <si>
    <t>Электронный контроллер для запуска двигателя ракеты Интерфейсный кабель для подключения к источнику питания Подробное руководство по настройке и использованию контроллера
Тип контроллера: Электронный контроллер, разработанный специально для управления запуском двигателя средних моделей ракет.
Интерфейс: Простой и интуитивный интерфейс для удобной настройки параметров и активации запуска.
Напряжение питания: 12 В постоянного тока, обеспечивает стабильное и надежное питание контроллера.
Защита: Встроенные механизмы защиты от неправильной активации и короткого замыкания.
Возможности программирования: Позволяет настраивать задержку перед активацией двигателя и другие параметры. Максимальная нагрузка: До 5 А Задержка перед запуском: От 0 до 10 секунд (настраиваемо)
Входное напряжение: 12 В постоянного тока</t>
  </si>
  <si>
    <t>521-301-4306-0004</t>
  </si>
  <si>
    <t>Контроллер запуска двигателя ракеты для высоких моделей ракет типа RocketRise Explorer Set</t>
  </si>
  <si>
    <t>Профессиональный электронный контроллер для запуска двигателя ракеты Интерфейсный кабель и разъемы для подключения к источнику питания и двигателю
Подробное руководство по настройке, программированию и использованию контроллера
Тип контроллера: Профессиональный электронный контроллер, специально разработанный для управления запуском двигателя высоких моделей ракет. Интерфейс: Продвинутый интерфейс с возможностью программирования и настройки различных параметров запуска.
Напряжение питания: 24 В постоянного тока, обеспечивает стабильное и надежное питание контроллера.
Защита: Встроенные механизмы защиты от перегрузки, короткого замыкания и неправильной активации.
Программируемые параметры: Возможность установки задержки перед активацией, контроля температуры и других параметров.
Максимальная нагрузка: До 10 А
Задержка перед запуском: От 0 до 30 секунд (программируемо) Входное напряжение: 24 В постоянного тока</t>
  </si>
  <si>
    <t>521-301-4307</t>
  </si>
  <si>
    <t>Устройство отслеживания высоты</t>
  </si>
  <si>
    <t>Датчик высоты: Устройство с интегрированными сенсорами для измерения высоты полета. Дисплей или индикатор: Возможность отображения текущей высоты в реальном времени. Запись данных: Встроенная память или возможность подключения для записи данных о высоте. Сенсоры: Интегрированные сенсоры для измерения атмосферного давления и других параметров. Интеграция: Возможность интеграции с другими компонентами RocketRise Explorer Set для полноценного отслеживания полета ракеты. Тип устройства: Устройство отслеживания высоты Измеряемые параметры: Высота полета, ускорение, температура и др.
Диапазон измерений: Например, высота: от 0 до 5000 метров, ускорение: от
-10g до +10g Точность измерений: Например, высота: ±1 метр, ускорение:
±0.1g Частота обновления данных: Например, 1 измерение в секунду Система передачи данных: Беспроводная телеметрия Источник питания: Встроенный аккумулятор или батареи Интерфейс связи: USB, Bluetooth, Wi-Fi, или другой Размеры и вес: Например, 10 x 5 x 2 см, 100 грамм Совместимость с платформами: Windows, iOS, Android и т.д.</t>
  </si>
  <si>
    <t>521-301-4308</t>
  </si>
  <si>
    <t>Форма для приклеивания ребер к корпусу ракеты</t>
  </si>
  <si>
    <t>Специализированная форма для приклеивания ребер к корпусу ракеты Дополнительные элементы для обеспечения стабильности и точности при сборке Подробное руководство по использованию формы Тип формы: Специализированная форма, разработанная для точного и удобного приклеивания ребер к корпусу ракеты. Материал: Прочный и гибкий материал, обеспечивающий прочное приклеивание и легкость извлечения ребер после склеивания. Конструкция: Оптимальная конструкция с удерживающими элементами для стабильной фиксации ребер. Количество отверстий: Рассчитана на приклеивание нескольких ребер одновременно, что ускоряет процесс сборки. Маркировка: Индикаторы для точного позиционирования ребер и обеспечения одинакового расстояния между ними. Вместимость: До 4 ребер одновременно Размер формы: Приблизительно 20x20 см Количество отверстий: 8 отверстий для ребер</t>
  </si>
  <si>
    <t>521-301-4309</t>
  </si>
  <si>
    <t>Инструмент для разметки линии ребер</t>
  </si>
  <si>
    <t>Специализированный инструмент для разметки линии ребер на корпусе ракеты Дополнительные маркеры для более точной разметки Подробное руководство по использованию инструмента Тип инструмента: Специальный инструмент, разработанный для точной разметки линии ребер на корпусе ракеты. Материал: Прочный и негибкий материал, обеспечивающий точность и устойчивость инструмента. Конструкция: Удобная и эргономичная конструкция для комфортной работы и точной разметки. Маркировка: Система маркировки на инструменте для определения точной позиции ребер. Длина инструмента: Приблизительно 15 см Толщина инструмента: Приблизительно 1 см</t>
  </si>
  <si>
    <t>521-301-4310</t>
  </si>
  <si>
    <t>Подставка для моделей ракет</t>
  </si>
  <si>
    <t>Специализированная подставка для моделей ракет Дополнительные элементы для стабильного и надежного размещения ракеты Подробное руководство по использованию подставки  Тип подставки: Специальная подставка, предназначенная для удобного и стабильного размещения моделей ракет. Материал: Прочный и устойчивый к воздействию внешних факторов материал, обеспечивающий надежную поддержку ракеты. Размер: Оптимальные размеры, обеспечивающие устойчивость и визуальное привлекательность подставки. Дизайн: Эргономичный и стильный дизайн, подчеркивающий важность и значимость модели ракеты. Масштаб: Размер подставки соответствует масштабу модели ракеты. Размер подставки: Приблизительно 20x20 см</t>
  </si>
  <si>
    <t>521-301-4400</t>
  </si>
  <si>
    <t>Кабинет по изучению основ микроэлектроники, радиотехники и телекоммуникации</t>
  </si>
  <si>
    <t>521-301-4401</t>
  </si>
  <si>
    <t>Набор радиотехнический</t>
  </si>
  <si>
    <t>521-301-4401-0001</t>
  </si>
  <si>
    <t>Набор радиотехнический для участия в международных соревнованиях типа ARDFinder Kit</t>
  </si>
  <si>
    <t>Комплектация:
Радиочастотный передатчик с возможностью регулировки частоты Высокочастотный приемник
Наушники
Антенны для приема и передачи</t>
  </si>
  <si>
    <t>521-301-4402</t>
  </si>
  <si>
    <t>Конструктор малых космических апаратов</t>
  </si>
  <si>
    <t>Модули для сборки структуры аппарата с соответствующими размерами Солнечные панели для энергоснабжения. Антенны для связи и обмена данными. Энергетические батареи и системы управления энергопотреблением. Управляющие системы и сенсоры для ориентации и навигации. Подробные учебные материалы по сборке, программированию и тестированию аппарата.</t>
  </si>
  <si>
    <t>521-301-4403</t>
  </si>
  <si>
    <t>Модуль беспроводной NRF приемников и
передатчиков</t>
  </si>
  <si>
    <t>Контроллер Arduino (например, Arduino Uno или подобный). Беспроводные модули NRF приемников и передатчиков. Разнообразные датчики (например, температурные, световые, движения и другие). Сервоприводы для управления механизмами. Дополнительные компоненты (резисторы, LED, кнопки и т. д.). Учебные материалы с примерами проектов и инструкциями.</t>
  </si>
  <si>
    <t>521-301-4404</t>
  </si>
  <si>
    <t>Комплект базовый цифрового лабораторного оборудования (мультиметры, генератор, осциллограф, анализатор)</t>
  </si>
  <si>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Размеры  295 x 154 × 30 мм3  Встроенные измерительные приборы  Два цифровых мультиметра: Напряжение: DC/AC - 2 V | 20 V Ток: DC/AC - 20 мА | 200 мА | 2 A Сопротивление: 2 кΩ | 20 кΩ | 200 кΩ | 2 MΩ Автоматическое изменение для всех диапазонов измерений Цифровой функциональный генератор: цифровая генерация синусоидальных, треугольных, квадратных волн, а также сигналов постоянного тока Диапазон частот: 0,5 Гц - 100 кГц, также постоянный ток Выход SYNC: TTL тактовая частота 0,5 Гц - 100 кГц Выходное напряжение: макс. ±10 В, (0 - 20 В) Выходной ток: макс. ±250 мА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Триггер CH1 - CH4 и EXT (с привязкой к земле), с шагом 4095, нарастающий/спадающий фронт Цифровой анализатор: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Напряжение питания: 15 В/3 А USB-C Интерфейсы: WLAN Ethernet 100 МБит RJ45 USB Расширения: Слот расширения Интерфейс USB (тип A) NFC  Световая полоса и светодиоды для отображения состояния Замок безопасности для крепления экспериментальных плат Защита от кражи (порт для замка Kensington)</t>
  </si>
  <si>
    <t>521-301-4405</t>
  </si>
  <si>
    <t>Телекоммуникационные технологии</t>
  </si>
  <si>
    <t>521-301-4405-0001</t>
  </si>
  <si>
    <t>COM3LAB курс: Технология передачи TX433 LD DIDACTIC</t>
  </si>
  <si>
    <t>Курс COM3LAB: Технология передачи данных TX433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В данном курсе рассматриваются принципы и законы работы цифровой техники. Содержание курса, инструкции по проведению экспериментов и задачи преподаются с помощью программного обеспечения, предназначенного для данного курса."</t>
  </si>
  <si>
    <t>521-301-4405-0003</t>
  </si>
  <si>
    <t>COM3LAB курс: Телекоммуникационные линии типа LD DIDACTIC</t>
  </si>
  <si>
    <t>Имеет виртуальные лабораторные оборудования: Осциллограф Функциональный генератор Мультиметр (x2) Цифровой анализатор БПФ-анализатор спектра Счетчик частоты Боде-модуль Дополнительные функции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Эксперименты подключаются с помощью 2 мм защитных кабелей. Содержание курса, инструкции к экспериментам и задачи преподаются с помощью программного обеспечения для конкретного курса.
Охват учебной программы
Частотные характеристики двухпроводных линий Определение характеристического волнового сопротивления Измерение перекрестных помех на ближнем и дальнем концах Импульсное поведение коаксиальных линий
Рассогласование Гибридные и фантомные цепи
Дуплексная передача и дистанционное питание Характеристические кривые светодиодов в оптической технике связи
Затухание в волоконно-оптических линиях Измерение оптической мощности
Потери в муфте Потери на изгиб
Виртуальная лаборатория Осциллограф Функциональный генератор Мультиметр (x2)
Цифровой анализатор БПФ-анализатор спектра Счетчик частоты
Боде-модуль Дополнительные функции</t>
  </si>
  <si>
    <t>521-301-4405-0004</t>
  </si>
  <si>
    <t>COM3LAB курс: Цифровые коммуникационные технологии типа LD DIDACTIC</t>
  </si>
  <si>
    <t>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 Передискретизация / недодискретизация Сглаживание Теорема Шеннона Импульсно-кодовая модуляция (PCM) Квантование линейное и нелинейное Сжатие / расширение Кодовые ошибки Мультиплексирование с временным разделением каналов (TDM) Синхронизация Шум квантования Разностная импульсно-кодовая модуляция (DPCM) Передача оптических сигналов Передача сигнала по проводам (коаксиальная линия - двухпроводная линия) Симплексная / дуплексная связь
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t>
  </si>
  <si>
    <t>521-301-4405-0005</t>
  </si>
  <si>
    <t>COM3LAB: Принадлежности для телекоммуникационных линий типа LD DIDACTIC</t>
  </si>
  <si>
    <t>Набор включает следующие принадлежности для обучения курса "телекоммуникационных линий":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 для оптических кабелей. Коммутаторы и маршрутизаторы: Эти устройства играют важнейшую роль в направлении и управлении трафиком данных в телекоммуникационных сетях. Модемы: Модемы необходимы для подключения к Интернету и могут быть частью телекоммуникационной системы. Антенны: В беспроводных телекоммуникациях антенны играют важную роль в передаче и приеме сигналов. 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Оборудование для тестирования и мониторинга: Различные инструменты и оборудование используются для тестирования и мониторинга работы телекоммуникационных линий. Монтажное оборудование: К ним относятся кронштейны, стойки и шкафы, используемые для крепления и организации оборудования. 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Программное обеспечение и микропрограммы: Аксессуары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t>
  </si>
  <si>
    <t>521-301-4405-0006</t>
  </si>
  <si>
    <t>COM3LAB курс: Технология модема типа LD DIDACTIC</t>
  </si>
  <si>
    <t>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 Оценка полосы пропускания Скорость модуляции / скорость передачи данных SNR и полоса пропускания Аппаратные средства модуляторов Аппаратные средства демодуляторов Восстановление несущей и синхронизация демодуляторов Коррекция ошибок Обнаружение ошибок Режимы работы, симплекс, полудуплекс, полный дуплекс Линейный код NRZ Моделирование неисправностей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t>
  </si>
  <si>
    <t>521-301-4405-0007</t>
  </si>
  <si>
    <t>Система обучения RFID типа LD DIDACTIC</t>
  </si>
  <si>
    <t>Контроллер Arduino (например, Arduino Uno или подобный).
RFID модули и метки разных типов и частот.
Разнообразные дополнительные компоненты для создания проектов (резисторы, LED, кнопки и т. д.).
Учебные материалы, включая инструкции по подключению, программированию и примеры проектов.
Программное обеспечение для программирования и тестирования RFID.</t>
  </si>
  <si>
    <t>521-301-4405-0008</t>
  </si>
  <si>
    <t>Система обучения Телекоммуникационное оборудование типа LD DIDACTIC</t>
  </si>
  <si>
    <t>Радио передатчики и приемники разных типов и частот. Антенны и устройства для настройки и анализа сигналов.
Учебные материалы, включая теоретические основы и практические задачи. Программное обеспечение для моделирования и анализа радиосигналов.</t>
  </si>
  <si>
    <t>521-301-4405-0009</t>
  </si>
  <si>
    <t>Наладочная станция подогреватель печатных плат типа Crafttronics Lab</t>
  </si>
  <si>
    <t>Электронная станция с подогревателем для печатных плат Различные насадки и держатели для размещения и фиксации платы Подробное руководство по использованию станции</t>
  </si>
  <si>
    <t>521-301-4405-0010</t>
  </si>
  <si>
    <t>Набор  pcb  электронных компонентов типа Crafttronics Lab</t>
  </si>
  <si>
    <t>Разнообразные электронные компоненты, включая резисторы, конденсаторы, диоды, транзисторы и многое другое.
Печатные платы (PCB) разных размеров и типов для создания собственных проектов.
Подробное руководство по использованию компонентов, созданию электронных схем и монтажу на PCB.</t>
  </si>
  <si>
    <t>521-301-4500</t>
  </si>
  <si>
    <t>Кабинет авиамоделирования</t>
  </si>
  <si>
    <t>521-301-4501</t>
  </si>
  <si>
    <t>Наборы по авиамоделированию</t>
  </si>
  <si>
    <t>521-301-4501-0001</t>
  </si>
  <si>
    <t>Набор авиамодели для быстрой сборки тип 1 типа AviaCraft Explore Kit</t>
  </si>
  <si>
    <t>Ручной планер с электрическим приводом.
Длина: 420 мм Размах крыльев: 500 мм.
В комплект входят: Быстрый электродвигатель, перезаряжаемая батарея, зарядное устройство постоянного тока. В комплект входят 4 батарейки типа C Cell.</t>
  </si>
  <si>
    <t>521-301-4501-0002</t>
  </si>
  <si>
    <t>Набор авиамодели для быстрой сборки тип 2 типа AviaCraft Explore Kit</t>
  </si>
  <si>
    <t>Размах крыла: 550 мм
В комплект входят: Зарядное устройство постоянного тока (требуются батареи), быстрый электродвигатель и перезаряжаемая батарея</t>
  </si>
  <si>
    <t>521-301-4501-0003</t>
  </si>
  <si>
    <t>Набор авиамодели для быстрой сборки тип 3 типа AviaCraft Explore Kit</t>
  </si>
  <si>
    <t>Аэроплан с электрическим приводом.
Длина: 460 мм Размах крыльев: 530 мм.
В комплект входят: быстрый электродвигатель, перезаряжаемая батарея, зарядное устройство постоянного тока, 4 батарейки типа C Cell.</t>
  </si>
  <si>
    <t>521-301-4502</t>
  </si>
  <si>
    <t>Сборочные модели, детали, аппараты по авиамоделированию</t>
  </si>
  <si>
    <t>521-301-4502-0001</t>
  </si>
  <si>
    <t>Сборочная модель самолета из бальзового дерева типа AviaCraft Explore Kit</t>
  </si>
  <si>
    <t>Размах крыла: 1800 мм (70 дюйм)
Длина фюзеляжа: 1150 мм (45 дюйм)
Полетный вес: 2,8 кг приблизительно (зависит от выбранного силового агрегата)
Двигатель: 3520~4250 (500-600 ватт) бесщеточный внешний двигатель или газовый/нитро эквивалент
ЭСК: 60~80A подходит для батареи 6S Lipo
Пропеллер: 11дюйм или больше в зависимости от выбранного силового агрегата
Аккумулятор: 3000~6000mah 4~6S Lipo аккумулятор</t>
  </si>
  <si>
    <t>521-301-4502-0002</t>
  </si>
  <si>
    <t>Летательное крыло типа AviaCraft Explore Kit</t>
  </si>
  <si>
    <t>Размах крыльев: 990 мм Длина: 730 мм
Вес: 160 г
Площадь крыла: 11.17dm2 (sq.dm) Нагрузка на крыло: 14.3 г/дм2 (5.4 унции/кв.фут)</t>
  </si>
  <si>
    <t>521-301-4502-0003</t>
  </si>
  <si>
    <t>Сборочная модель самолета из сверхпрочной пены EPO типа AviaCraft Explore Kit</t>
  </si>
  <si>
    <t>Размах крыльев: 1550 мм Длина: 948 мм Полетный вес: 890 г
Динамическая раскраска и полосы на днище для легкой ориентации.
- Дополнительное шасси с клипсами.
- Безопасные толкающие пропеллеры
- Угловые конические поверхности крыла и хвоста.
- Опции FPV в носу и козырьке самолета
- Крыло из двух частей для быстрой сборки и хранения.</t>
  </si>
  <si>
    <t>521-301-4502-0004</t>
  </si>
  <si>
    <t>Винтажная модель самолета типа AviaCraft Explore Kit</t>
  </si>
  <si>
    <t>Размах крыльев: 1000 мм Длина: 700 мм
Вес всей конструкции:  Приблизительно 650 г в зависимости от установки Конструкция:  Бальза, карбон, пластик</t>
  </si>
  <si>
    <t>521-301-4502-0005</t>
  </si>
  <si>
    <t>Миниатюрный летательный аппарат типа AviaCraft Explore Kit</t>
  </si>
  <si>
    <t>Размах крыльев: 1400 мм Длина: 1036 мм
Площадь крыла: 22.30дм2 Двигатель: 2212 Brushless Outrunner 1350кв
Пропеллер: 9 x 5 дюйм складного типа ESC: 20A w/BEC
Сервопривод: 9г x 6</t>
  </si>
  <si>
    <t>521-301-4502-0006</t>
  </si>
  <si>
    <t>Военный самолет сборочного типа AviaCraft Explore Kit</t>
  </si>
  <si>
    <t>Размах крыла: 750 мм (30 дюйм)
Длина: 648 мм (25,5 дюйм) Соотношение мощности и веса: 1:1 Мотор: 2408-1200KV бесщеточный ESC: 20A бесщеточный
Гироскоп: интеллектуальный 6-осевой с 2 режимами полета (новичок-эксперт)
Сервоприводы: 9г x 4 Пропеллер: 8x6 4 лопасти</t>
  </si>
  <si>
    <t>521-301-4502-0007</t>
  </si>
  <si>
    <t>Тренажерный летательный аппарат типа AviaCraft Explore Kit</t>
  </si>
  <si>
    <t>Тип питания Электрический Размах крыла 24,3 дюйм (617 мм) Цвета схемы обшивки Синий Уровень мастерства 1 Сервоприводы в комплекте
Шасси фиксированное основное с управляемым хвостовым колесом Регулятор скорости в комплекте
Батарея в комплекте
Тип разъема PH 1.5 (Ultra Micro) Длина изделия 16,3 дюйма (414,5 мм)
Необходимый минимум Радио 6-канальное Радио продается отдельно Технологии AS3X и SAFE
Приемник в комплекте Зарядное устройство продается отдельно
Приблизительное время сборки Сборка не требуется Материал EPO</t>
  </si>
  <si>
    <t>521-301-4502-0008</t>
  </si>
  <si>
    <t>Манометр типа AviaCraft Explore Kit</t>
  </si>
  <si>
    <t>Манометр PreciPressure для контроля поверхности
Диапазон измерения угла отклонения: +/- 55 мм (или, приблизительно, +/-27.5 градусов) для точной настройки. Простой зажим с мягкой подкладкой, обеспечивающий надежное крепление инструмента к управляющей поверхности модели. Металлический показатель с подшипниками, обеспечивающий точные измерения, и контрвес для стабильности при измерениях. Подходит для настройки угла отклонения управляющих поверхностей на средних и больших моделях, обеспечивая точные и надежные измерения.</t>
  </si>
  <si>
    <t>Группа 521-302. Оборудование для спортивного зала и секционных занятий</t>
  </si>
  <si>
    <t>521-302-0400</t>
  </si>
  <si>
    <t>Туризм и спортивные игры</t>
  </si>
  <si>
    <t>521-302-0420</t>
  </si>
  <si>
    <t>Жилетка игровая с номером</t>
  </si>
  <si>
    <t>521-302-0420-0001</t>
  </si>
  <si>
    <t>Жилетка игровая с номером TGV-010</t>
  </si>
  <si>
    <t>Жилетка игровая с номером (манишки) TGV-010. Материал манишки сетка.
Ткань 100% полиэстер. Без окантовки</t>
  </si>
  <si>
    <t>521-302-0423</t>
  </si>
  <si>
    <t>Часы шахматные механические</t>
  </si>
  <si>
    <t>521-302-0423-0001</t>
  </si>
  <si>
    <t>Часы шахматные механические.</t>
  </si>
  <si>
    <t>Группа 521-305. Информационно-коммуникационные технологии</t>
  </si>
  <si>
    <t>521-305-0100</t>
  </si>
  <si>
    <t>521-305-0101</t>
  </si>
  <si>
    <t>3-D принтер с пластиком для печати</t>
  </si>
  <si>
    <t>521-305-0101-0001</t>
  </si>
  <si>
    <t>Принтер HP LaserJet M211dw, A4, 29ppm, 600x600dpi, 64Mb, USB, LAN, Wi-Fi, tray 100+150, duplex</t>
  </si>
  <si>
    <t>521-305-0101-0002</t>
  </si>
  <si>
    <t>Принтер HP LaserJet PRO M404dn,A4, print 1200x1200dpi, 38ppm, USB, LAN, tray 150 pages</t>
  </si>
  <si>
    <t>521-305-0101-0003</t>
  </si>
  <si>
    <t>Принтер Xerox B310DNI, A4, print 1200x1200dpi, 40ppm, tray 900 pages, USB, LAN, Wi-Fi, duplex</t>
  </si>
  <si>
    <t>521-305-0101-0004</t>
  </si>
  <si>
    <t>Принтер HP LaserJet Enterprise M455dn, A4, 27/27ppm, 600x600dpi, 1.25Gb, 800MHz, USB,LAN,tray150+250</t>
  </si>
  <si>
    <t>521-305-0101-0005</t>
  </si>
  <si>
    <t>Принтер HP LaserJet Pro M454dn, A4, 27/27ppm, 1200x1200dpi, tray 150 page, 50000 стр/мес, WLAN</t>
  </si>
  <si>
    <t>521-305-0101-0006</t>
  </si>
  <si>
    <t>3D Принтер Flashforge Guider 2, количество экструдеров 1, максимальная температура экструдера 240 ℃ (464 ℉), скорость печати 30-100мм/с, диаметр нити 1,75 мм (0,069 дюйма), объем печати 280*250*300 мм (11*9,8*11,8 дюйма), толщина слоя 0,1
мм-0,4 мм, точность печати ±0,2 мм</t>
  </si>
  <si>
    <t>521-305-0101-0007</t>
  </si>
  <si>
    <t>"3D Принтер Flashforge Adventurer 4, филамент, количество экструдеров 1, Максимальная температура экструдера 265
℃ (509 ℉), скорость печати 10-150мм/с, совместимость нити ПЛА, АБС, ПК, ПЭТГ, ПЛА-CF, PETG-CF,диаметр нити 1,75 мм (0,069 дюйма), объем печати 220*200*250 мм (8,67*7,87*9,84 дюйма), толщина слоя 0,1 мм-0,4 мм, точность печати ±0,1 мм (тест куба 100 мм)"</t>
  </si>
  <si>
    <t>521-305-0101-0008</t>
  </si>
  <si>
    <t>3D Принтер Flashforge Finder, филамент, экструдер с прямым приводом, точность печати ±0,2 мм, скорость печати ≤180мм/с, объем сборки 190×195×200мм, поддерживаемая нить PLA/ABS/HIPS/PETG/ PETG PRO/TPU 95A</t>
  </si>
  <si>
    <t>521-305-0101-0009</t>
  </si>
  <si>
    <t>3D Принтер Flashforge Dreamer, филамент, количество экструдеров 2, максимальная температура экструдера 240 ℃ (464 ℉), скорость печати 30-100мм/с, диаметр нити 1,75 мм (0,069 дюйма), объем печати 230*150*140 мм (9,1*5,9*5,5 дюйма), толщина слоя 0,1 мм-0,4 мм, точность печати ±0,2 мм</t>
  </si>
  <si>
    <t>521-305-0101-0010</t>
  </si>
  <si>
    <t>3D Принтер Flashforge Creator Pro 2, филамент, количество экструдеров 2, скорость печати 30-100мм/с, диаметр нити 1,75 мм (0,069 дюйма), объем печати 200*148*150 мм (7,9*5,8*5,9 дюйма), толщина слоя 0,1 мм-0,4 мм</t>
  </si>
  <si>
    <t>521-305-0101-0011</t>
  </si>
  <si>
    <t>3D Принтер Flashforge Adventurer 3, филамент, количество экструдеров 1, максимальная температура экструдера 240
℃ (464 ℉), скорость печати 30-100 мм/с, диаметр нити 1,75 мм (0,069 дюйма), объем печати 150*150*150 мм (5,9*5,9*5,9 дюйма), толщина слоя 0,1 мм-0,4 мм, точность печати ±0,2 мм</t>
  </si>
  <si>
    <t>521-305-0101-0012</t>
  </si>
  <si>
    <t>3D-принтер, диаметр выходного отверстия 0,4мм, максимальная скорость перемещения выходного отверстия по осям X/Y – 250 мм/с типа CoolTool UNI-PRINT-3D</t>
  </si>
  <si>
    <t>521-305-0112</t>
  </si>
  <si>
    <t>Комплект тренировочных полей для занятий робототехникой (Competition fields FIRST Lego League Challenge).</t>
  </si>
  <si>
    <t>Поле для подготовки к международным соревнованиям для участия на соревнованиях среди средних классов (FIRST Lego League Challenge) имеет
следующие компоненты: 1000+ Деталей
15х Игровых компонентов (Миссии)</t>
  </si>
  <si>
    <t>521-305-0113</t>
  </si>
  <si>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</si>
  <si>
    <t>Набор включает следующие компоненты:
1) Набор по робототехнике для начальных классов Lego Education Spike Essential 1 комплект
2) Соревновательный набор по робототехнике для начальных классов 1 комплект
3) Инженерный  блокнот x 1
4) Руководство по работе с командой x 1
5) Игровое поле x 1
6) Игровые элементы по теме сезона  международной программы FIRST (700+ деталей)</t>
  </si>
  <si>
    <t>521-305-0114</t>
  </si>
  <si>
    <t>Комплект тренировочных полей для занятий робототехникой и подготовки к международным соревнованиям среди старших классов (Competition fields FIRST Tech Challenge Championship).</t>
  </si>
  <si>
    <t>Поле для подготовки к международным соревнованиям для участия на соревнованиях среди старших классов (Competition fields for FIRST Tech
Challenge Championship)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t>
  </si>
  <si>
    <t>521-305-0115</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</si>
  <si>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t>
  </si>
  <si>
    <t>521-305-0115-0001</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</si>
  <si>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</si>
  <si>
    <t>Комплект включает следующие компоненты:
1) Набор по робототехнике для средних классов Lego Education Spike Prime 1 комплект
2) Ресурсный набор по робототехнике для средних классов Lego Education Spike Prime Expansion set 1 комплект
3) Инженерная тетрадь 1 шт.
4) Руководство по работе с командой 1 шт.
5) Руководство по подготовке команды
6) Игровое поле x 1
7) Игровые элементы по теме сезона FIRST (1000+ деталей)</t>
  </si>
  <si>
    <t>521-305-0115-0002</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</si>
  <si>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</si>
  <si>
    <t>Комплектация: Программируемый блок EV3 Кейс с крышкой - 1 шт Лоток со вставкой - 1шт
2 больших двигателя Средний двигатель
2 шт датчика касания 1 шт Датчик цвета
1 шт Ультразвуковой датчик 1 шт Гироскопический датчик 7 шт соединительных кабелей
1 шт Кабель USB для программирования 1 шт Аккумулятор для блока
528 шт строительных элементов .</t>
  </si>
  <si>
    <t>521-305-0115-0003</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</si>
  <si>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Weeemake 551584</t>
  </si>
  <si>
    <t>521-305-0115-0004</t>
  </si>
  <si>
    <t>Набор роботехнический базовый типа
Fischertechnik Robotics TXT 4.0, 559888</t>
  </si>
  <si>
    <t>В набор входят: Контроллер TXT 4.0 Два мотора с энкодерами USB-камера Ультразвуковой дальномер ИК датчик маршрута Два кнопочных переключателя Три светодиода Фототранзистор Термистор Аккумулятор и зарядное устройство Детали для сборки конструкции Стандартный пластиковый лоток Gratnells F2 ДхШхВ: 427х312х150 мм</t>
  </si>
  <si>
    <t>521-305-0115-0005</t>
  </si>
  <si>
    <t>Блок питания типа Fischertechnik, 505287, напряжение на выходе: 0-9 В, максимальный Ток: 2,5 А.</t>
  </si>
  <si>
    <t>Предназначен для конструкторских наборов. Оснащен встроенным регулятором напряжения и разъемами для подключения моделей в комплекте.</t>
  </si>
  <si>
    <t>521-305-0115-0006</t>
  </si>
  <si>
    <t>Набор "Автономное движение" типа
Fischertechnik 559896</t>
  </si>
  <si>
    <t>В состав набора входят: Шасси (дифференциал, колеса)
Сервопривод светодиоды Рулевое управление
Детали для конструирования моделей</t>
  </si>
  <si>
    <t>521-305-0115-0007</t>
  </si>
  <si>
    <t>Набор ресурсный "Омниколеса" типа
Fischertechnik 559898</t>
  </si>
  <si>
    <t>В набор входит:
2 мотора с энкодерами; сервомашинка;
другие детали, необходимые для сборки колес; инструкция на нескольких языках.</t>
  </si>
  <si>
    <t>521-305-0115-0008</t>
  </si>
  <si>
    <t>Набор ресурсный "Соревнования" типа
Fischertechnik 560842</t>
  </si>
  <si>
    <t>В набор входят: датчик RGB – 1 штука;
датчик с функцией компаса, акселерометра, гироскопа – 1 штука; дальномер ультразвуковой – 1 штука;
двигатели – 2 штуки; звенья гусеничной цепи;
шлейфы и другие детали, всего в количестве 200 штук.</t>
  </si>
  <si>
    <t>521-305-0116</t>
  </si>
  <si>
    <t>Набор для подготовки к соревнованиям по робототехнике</t>
  </si>
  <si>
    <t>521-305-0116-0001</t>
  </si>
  <si>
    <t>Набор для подготовки к соревнованиям по робототехнике типа лиги Game Elements FIRST Tech Challenge Championship</t>
  </si>
  <si>
    <t>Наборы должны включать в себе игровые элементы для соревновании по робототехнике лиги FIRST Tech Challenge, состав которого должен соответствовать сезона соревнования.</t>
  </si>
  <si>
    <t>521-305-0116-0002</t>
  </si>
  <si>
    <t>Набор для подготовки к соревнованиям типа Experia ST-09</t>
  </si>
  <si>
    <t>1 шт. Встроенный светодиод RGB</t>
  </si>
  <si>
    <t>521-305-0117</t>
  </si>
  <si>
    <t>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</si>
  <si>
    <t>В набор входят следующие компоненты:
1) Набор по робототехнике для средних и старших классов First Tech Challenge / Global kit 1 комплект
2) Модуль ручного и автономного управления устроиства
3) Модуль электроники, компьютерного зрения и искусственного интеллекта</t>
  </si>
  <si>
    <t>521-305-0118</t>
  </si>
  <si>
    <t>Робототехнический набор на датчиках
«Planet X». ELECFREAKS micro:bit Nezha 48 IN 1 Inventors Kit (With micro:bit Board)</t>
  </si>
  <si>
    <t>Набор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Модуль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</si>
  <si>
    <t>521-305-0119</t>
  </si>
  <si>
    <t>Набор робототехнический</t>
  </si>
  <si>
    <t>521-305-0119-0001</t>
  </si>
  <si>
    <t>Набор робототехнический типа Makeblock mBot V1.2-Bluetooth Version-Blue-9 Languages</t>
  </si>
  <si>
    <t>Набор содержит: Механический материал: Алюминиевый сплав. Основной контроль mCore. Тактовая частота процесса 16 МГц. Бортовой датчик Зуммер, датчик освещенности. Другие датчики. Ультразвуковой датчик, ИК-излучатель, датчик следования линии/датчик цвета. Язык кодирования Блочный, Ардуино. Скорость вращения 200 об/мин ± 10%. Максимальное количество внешних электронных модулей. 2 порта для двигателей и сервоприводов. 4 порта для датчиков. Режим связи USB, Bluetooth, 2,4G. Совместимость Более 500 электронных и механических деталей из сборных блоков, кубики LEGO, Raspberry Pi</t>
  </si>
  <si>
    <t>521-305-0119-0002</t>
  </si>
  <si>
    <t>Набор робототехнический программируемый  типа Experia ST-13</t>
  </si>
  <si>
    <t>Комплектация: кейс с крышкой - 1 шт , лоток со вставкой - 1шт,
Порты:
1 порт MCU
4 x порта RJ11 (подключение к датчику и модулям RJ11) 2 порта для двигателей постоянного тока
6-контактный порт преобразования (4 из которых могут быть портами для шагового двигателя / энкодера / двигателя постоянного тока)
1 порт USB
1 порт связи (Bluetooth 2,4 г) Электроника:
1 светодиод RGB
1 х зуммер
1 х кнопка Датчики и двигатели:</t>
  </si>
  <si>
    <t>521-305-0119-0003</t>
  </si>
  <si>
    <t>Конструктор робототехнический типа R:ED X EDU</t>
  </si>
  <si>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- 777шт. Контейнер - 1шт. Wi-Fi/Bluetooth модуль - 1шт. Акселерометр - 1шт. Дополнительная плата расширения - 1шт.</t>
  </si>
  <si>
    <t>521-305-0119-0004</t>
  </si>
  <si>
    <t>Конструктор робототехнический типа R:ED X MAX</t>
  </si>
  <si>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- 457шт. Контейнер - 1шт. Дополнительная плата расширения - 1шт.</t>
  </si>
  <si>
    <t>521-305-0119-0005</t>
  </si>
  <si>
    <t>Набор робототехнический типа UBITECH Ukit Entry 1-го уровня</t>
  </si>
  <si>
    <t>В набор входят: 309 шт. пластиковых деталей, 3D динамичное строительство, 4 цифровых высоко роботизированных сервопривода, знание механической физики. Способность к умению. Воспроизведение</t>
  </si>
  <si>
    <t>521-305-0119-0006</t>
  </si>
  <si>
    <t>Набор робототехнический типа UBITECH Ukit Advanced 2-го уровня</t>
  </si>
  <si>
    <t>В набор входят: 479 шт. пластиковых деталий, 3D динамичное строительство, 4 цифровых высоко роботизированных сервопривода, смарт модуль. Инфракрасный сенсор, сенсорный датчик, светодиодные фонари, Bluetooth динамик, Blockly графическое программирование, 3 официальных персонажа, 3 сервопривода, 1 ИК-датчик</t>
  </si>
  <si>
    <t>521-305-0119-0007</t>
  </si>
  <si>
    <t>Набор робототехнический типа UBITECH Ukit Explore 3-го уровня</t>
  </si>
  <si>
    <t>В набор входят: 600 шт., 16 сервоприводов, 4 датчика, Bluetooth динамик, светодиодный фонарь. Трансформация робота-гуманоида. Платформа с открытым исходным кодом (Arduino). Текстовое программирование (C / C
++). 18 проектов (предлагается 24-36 уроков)</t>
  </si>
  <si>
    <t>521-305-0119-0008</t>
  </si>
  <si>
    <t>Набор робототехнический типа UBITECH Ukit Explore Extention, дополнение к набору 3-го уровня</t>
  </si>
  <si>
    <t>дополнение к набору 3-го уровня, дополнительно 300 шт., 6 сервоприводов, 10 датчиков, Bluetooth динамик, светодиодный фонарь</t>
  </si>
  <si>
    <t>521-305-0120</t>
  </si>
  <si>
    <t>Робототехнический набор Makeblock Ultimate Robot Kit V2.0</t>
  </si>
  <si>
    <t>Набор содержит: Основной контроль MegaPi. Ядро процессора ATMEGA2560-16AU. Тактовая частота процесса        16 МГц. Датчики: Ультразвуковой датчик, датчик следования линии, гироскоп, модуль шторки. Язык кодирования. На основе блоков, Arduino, Python (требуется дополнительный Raspberry Pi). Скорость вращения 185 об/мин.
Максимальное количество внешних электронных модулей: 11 портов для двигателей и сервоприводов, 5 портов для датчиков. Режим связи USB, Bluetooth, 2,4G. Совместимость более 500 электронных и механических
деталей из сборных блоков, датчики Arduino, кубики LEGO, Raspberry Pi</t>
  </si>
  <si>
    <t>521-305-0121</t>
  </si>
  <si>
    <t>Робототехнический набор Makeblock mBot Ranger Robot Kit（Bluetooth Version）</t>
  </si>
  <si>
    <t>Набор содержит: Механический материал: Алюминиевый сплав. Основной контроль Me Auriga. Ядро процессора ATmega2560. Тактовая частота процесса 16 МГц. Бортовые датчики: Датчик температуры, гироскоп, звуковой датчик, зуммер, Датчик освещенности, ультразвуковой датчик, датчик следования по линии. Язык кодирования Блочный, Ардуино.
Скорость вращения 350 об/мин ± 5%. Максимальное количество внешних электронных модулей. 2 порта для двигателей и сервоприводов, 10 портов для датчиков. Режим связи USB, Bluetooth. Совместимость более 500
электронных и механических деталей, кубики LEGO.</t>
  </si>
  <si>
    <t>521-305-0122</t>
  </si>
  <si>
    <t>Роботехнический набор Qbit "Исследователь 4.0"</t>
  </si>
  <si>
    <t>Набор содержит: Набор для обучения программированию. Базовый модуль, Micro:bit, USB-кабель, Бит светодиода, Бит температуры и влажности, Бит кнопки, Бит потенциометра, Бит мотора, Бит сервопривода, Бит Колесо</t>
  </si>
  <si>
    <t>521-305-0123</t>
  </si>
  <si>
    <t>Набор робототехнический для симуляции индустриальных процессов (SimuBot)</t>
  </si>
  <si>
    <t>В состав набора входит: Механический робот-манипулятор, контроллер для управления роботом-манипулятором, инструкция по установке и использованию, дополнительные аксессуары (инструменты для крепления, конвеер)</t>
  </si>
  <si>
    <t>521-305-0124</t>
  </si>
  <si>
    <t>Набор образовательный для изучения RaspberryPi и Интернет вещей</t>
  </si>
  <si>
    <t>521-305-0124-0001</t>
  </si>
  <si>
    <t>Набор образовательный для изучения RaspberryPi и Интернет вещей типа PiConnect Edu Kit</t>
  </si>
  <si>
    <t>В состав набора входит: разъемы и провода для подключения датчиков, источник питания, распределительные платы и платы расширения GPIO, разъемы для монтажа Raspberry Pi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пин-распиновке и схемам подключения.</t>
  </si>
  <si>
    <t>521-305-0124-0002</t>
  </si>
  <si>
    <t>Набор для изучения робототехники на базе Raspberry Pi и Интернета вещей типа Experia ST-08</t>
  </si>
  <si>
    <t>Комплектация:
Кейс с крышкой - 1 шт , лоток со вставкой - 1шт,  Отладочная плата,Светодиоды,Перемычки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Микрокомпьютер(Миниатюрный одноплатный компьютер— это полноценная замена ПК или ноутбука. Платформа подойдёт не только для веб-сёрфинга мировой паутины и общения в соцсетях, но и станет «мозгом» для робота или умного дома.Однокристальная система  Broadcom BCM2711, Центральный процессор  64-битный ARM Cortex A72 (4 ядра по 1,5 ГГц), Графический процессор  VideoCore VI GPU (2 ядра по 500 МГц), Оперативная память  4 ГБ, Цифровой видеовыход  2× micro-HDMI, Стандарт Wi-Fi  802.11 b/g/n/ac (2,4 / 5 ГГц), Стандарт Bluetooth  Bluetooth 5.0, Порты для периферии  2× USB 2.0 и 2× USB 3.0.Контроллер поддерживает аппаратное декодирование H.265/HEVC (до 4Kp60) и H.264 (до 1080p60). Это разгружает CPU при работе с потоковым видео в интернете и просмотре «тяжёлых» видеофайлов в режиме медиацентра.
Источник питания с выходным напряжением 5 вольт и током 3 ампера.),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ЖК дисплей, Карта памяти с адаптером, Web – камера, USB – накопитель.</t>
  </si>
  <si>
    <t>521-305-0124-0003</t>
  </si>
  <si>
    <t>Набор образовательный и интернет вещей типа Experia ST-02</t>
  </si>
  <si>
    <t>Комплектация:  кейс с крышкой - 1 шт , лоток со вставкой - 1шт,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 камера для микрокомпьютера; usb web – камера; usb – накопитель; картиридер; microsd  16 гб.</t>
  </si>
  <si>
    <t>521-305-0124-0004</t>
  </si>
  <si>
    <t>Набор продвинутый для интернета вещей Gravity с Raspberry Pi типа Zhiwei Robotics KIT0104</t>
  </si>
  <si>
    <t>Состав набора: -Одноплатный компьютер Raspberry Pi 2 модель B 1 шт.
-Кабель Ethernet 1 шт. -Карта памяти MicroSD 1 шт. -Адаптер переменного / постоянного тока 1 шт. -Плата расширения Arduino для Raspberry Pi B 1 шт.
-Самоклеящийся медный радиатор для Raspberry Pi 1 шт. -Кабель HDMI 1 шт. -Цифровая кнопка 2 шт. -Аналоговый кнопочный модуль 1 шт.
-Цифровой зеленый светодиодный модуль 1 шт. -Цифровой красный светодиодный модуль 1 шт. -Цифровой синий светодиодный модуль 1 шт.
-Аналоговый линейный датчик температуры 1 шт. -Аналоговый датчик вращения V2 1 шт. -Аналоговый датчик освещенности 1 шт. -Аналоговый звуковой датчик 1 шт. -Датчик расстояния 1 шт. -Модуль реле 1 шт.
-Модуль цифрового зуммера 1 шт. -Микросервомотор 1 шт.
-Пироэлектрический датчик движения 1 шт. -Трехосевой акселерометр 1 шт. -Датчик влажности почвы 1 шт. -Модуль джойстика 1 шт.</t>
  </si>
  <si>
    <t>521-305-0124-0005</t>
  </si>
  <si>
    <t>Набор ресурсный "Интернет вещей" типа Fischertechnik 559897</t>
  </si>
  <si>
    <t>В состав набора входят: детали для сборки, комбинированный датчик параметров окружающей среды и датчик освещённости (фоторезистор).</t>
  </si>
  <si>
    <t>521-305-0125</t>
  </si>
  <si>
    <t>Набор для изучения нейротехнологий</t>
  </si>
  <si>
    <t>521-305-0125-0001</t>
  </si>
  <si>
    <t>Набор для изучения нейротехнологий типа
MindLab Kit</t>
  </si>
  <si>
    <t>В состав набора входит: модуль мышечной активности (ЭМГ/ЭКГ); модуль мозговой активности (ЭЭГ); оптический плетизмограф (Пульс); модуль сопротивления кожи (КГР) платформа Arduino Uno/Leonardo; провода для подключения модулей; соединительные провода, электроды, светодиоды, резисторы, макетная плата, элемент питанияс соединительным кабелем.</t>
  </si>
  <si>
    <t>521-305-0125-0002</t>
  </si>
  <si>
    <t>Набор для изучения нейротехнологий типа
Experia ST-03</t>
  </si>
  <si>
    <t>комплектация: кейс с крышкой - 1 шт , лоток со вставкой - 1шт, на базе ардуино в корпусе,  модуль ээг (одноканальный) —  1 шт. ободок ээг —  1 шт. зарядное устройство для аккумулятора —  1 шт. одноразовые электроды эмг/экг —  20 шт. дополнительные электронные компоненты -  1 шт. Конструктивные детали робота- 1 комплект флешка c по и метод. материалами  1 шт.</t>
  </si>
  <si>
    <t>521-305-0126</t>
  </si>
  <si>
    <t>Набор для исследований альтернативной
энергетики с методическими материалами</t>
  </si>
  <si>
    <t>521-305-0126-0001</t>
  </si>
  <si>
    <t>Набор для исследований альтернативной энергетики с методическими материалами типа GreenLab Research Kit</t>
  </si>
  <si>
    <t>В состав набора входит: двигатель (выходная мощность 10-50W, коммутация: щетка, непрерывный ток 6-12A); турбины (материал: пластик, количество лопастей - 5шт); осветительные приборы для студенческих экспериментов (размер: 5-25мм, тип: Led, инструменты для сборки - мультиметр, болты, кусачки, шнуры, магниты)</t>
  </si>
  <si>
    <t>521-305-0126-0002</t>
  </si>
  <si>
    <t>Набор для исследований альтернативной
энергетики типа Experia ST-05</t>
  </si>
  <si>
    <t>Комплектация:
Кейс с крышкой - 1 шт , Лоток со вставкой - 1шт, Проращивающие пластинки - 1 шт.
Солнечные батареи - 6 шт.
Электродвигатель с пропеллером в корпусе - 1 шт.
Светодиод - 1 шт.
Бутылка с хлоридом натрия - 1 шт.</t>
  </si>
  <si>
    <t>521-305-0127</t>
  </si>
  <si>
    <t>Очки виртуальной реальности (VRXtreme)</t>
  </si>
  <si>
    <t>521-305-0127-0001</t>
  </si>
  <si>
    <t>Гарнитура виртуальной реальности ClassVR Premium-64, в комплекте: 8 пар очков, кейс для хранения со встроенной зарядной станцией, комплекты контролеров, ПО</t>
  </si>
  <si>
    <t>521-305-0128</t>
  </si>
  <si>
    <t>Набор образовательный с квадрокоптером</t>
  </si>
  <si>
    <t>521-305-0128-0001</t>
  </si>
  <si>
    <t>Набор образовательный с квадрокоптером типа CodyFly Edu Kit</t>
  </si>
  <si>
    <t>В состав набора входит: FPV дрон 5 дюймовый - 1 шт., шлем для FPV режима 2,4Гц -1 шт., пульт управления-1 шт.,  аккумулятор -1 шт., квадрокоптер малых размеров -1 шт.</t>
  </si>
  <si>
    <t>521-305-0128-0002</t>
  </si>
  <si>
    <t>Набор образовательный с квадрокоптером типа Experia ST-10</t>
  </si>
  <si>
    <t>Комплектация:
Кейс с крышкой - 1 шт; Лоток со вставкой - 1шт; Детали конструктора-квадракоптера: Основание рамы; Мотор правого вращения - 2 шт; Мотор левого вращения - 2 шт; Винт - 8 шт.демпферы – 4 шт; винты M
- 20 шт.Cтойки длинные 4 - шт; Cтойки короткие 4 - шт;Шасси-верх; Шасси-низ; Стойки металлические короткие - 4 шт.Пропеллеры левого вращения(5030) - 2 шт; Пропеллеры правого вращения(5030R) - 2
шт.10-контактный шлейф - 1 шт; 12-контактный шлейф - 1 шт.Приёмник FS-A8S - 1 шт; Фиксирующая трубка- 1 шт. Основания защиты - 4 шт., винты M2x6 - 8 шт. Дуга защиты - 16 шт., перемычка защиты - 16 шт., винты M3x10 - 16 шт., стойки длинные- 16 шт. Приемник, пульт управления.</t>
  </si>
  <si>
    <t>521-305-0129</t>
  </si>
  <si>
    <t>Робот антропоморфный</t>
  </si>
  <si>
    <t>521-305-0129-0001</t>
  </si>
  <si>
    <t>Робот антропоморфный типа RoboMate</t>
  </si>
  <si>
    <t>Робот гуманоид, с 16 приводами, с функцией беспроводного управления (Bluetooth), материал корпуса пластик, детали из алюминиевых сплавов.
Инструкция сборки прилагается.</t>
  </si>
  <si>
    <t>521-305-0129-0002</t>
  </si>
  <si>
    <t>Робот антропоморфный типа Experia ST-11</t>
  </si>
  <si>
    <t>Комплектация:
Кейс с крышкой - 1 шт; Лоток со вставкой - 1шт; Робот антропоморфный состоит из: Контроллер: 1 шт, Bluetooth— модуль: 1 шт, Батарея: 2 шт, Сервопривод: 16 шт, Комплект проводов, Инструкция, Наклейки, Корпусные детали.</t>
  </si>
  <si>
    <t>521-305-0129-0003</t>
  </si>
  <si>
    <t>Робот антропоморфный типа Alpha MINI</t>
  </si>
  <si>
    <t>Революционная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Arduin.         Особенности робототехнического комплекса: - Блочное и строчное программирование в собственной и внешних средах разработки. Возрастная группа 15+, беспроводное взаимодействие с применением модулей Bluetooth, WiFi, сотовых сетей.
Интернет вещей и изучение взаимодействия элементов умного дома. Полноценное компьютерное зрение, включая опознавание жестов.
Машинное обучение. Возможность отправлять, получать и обрабатывать запросы в облачные базы данных</t>
  </si>
  <si>
    <t>521-305-0129-0004</t>
  </si>
  <si>
    <t>Робот конструктор типа Jimu Mocol</t>
  </si>
  <si>
    <t>Совместимое бесплатное ПО на Android и iOS, управление по Bluetooth. Комплект деталей: документация, датчик управления, мотор-монстр, мотор постоянного тока, световой модуль, пульт дистанционного управления</t>
  </si>
  <si>
    <t>521-305-0129-0005</t>
  </si>
  <si>
    <t>Робот конструктор типа Jimu Super Carrier</t>
  </si>
  <si>
    <t>Количество деталей 630 шт., робот-конструктор UBTech Super Carrier JRKL213. Комплект деталей: датчик управления, двигатель постоянного тока 2шт., световой модуль, пульт дистанционного управления, инструкция по эксплуатации</t>
  </si>
  <si>
    <t>521-305-0129-0006</t>
  </si>
  <si>
    <t>Робот конструктор типа Jimu Fire Blazer</t>
  </si>
  <si>
    <t>Количество деталий 950 шт.+J35, документаци, комплект деталий, пульт дистанционого управления, датчик управления, двигатель постоянного тока 2шт, световой модуль</t>
  </si>
  <si>
    <t>521-305-0130</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</si>
  <si>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t>
  </si>
  <si>
    <t>521-305-0130-0001</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</si>
  <si>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</si>
  <si>
    <t>В состав набора входит: Микроконтроллер ATmega328P; Источник питания (напряжение: 5В, Сила тока: 2А);  Датчик газа (увствительность: 300-10000 ppm, питание: 5 Вольт, влажность воздуха: не более 95%, интерфейс: аналоговый и цифровой); Датчик освещенности (размер: 5мм, диапозон сопротивление: 12-100кОм); Датчик движения (Диапазон угла слежения – 110°,  Рабочий ток – до 0.05 мА, Регулируемое время задержки от 0.3 до 18 с); Дисплей (тип матрицы: жидкокристаллический, количество пикселов: 16х2, тип подключение: I2C)</t>
  </si>
  <si>
    <t>521-305-0130-0002</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</si>
  <si>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</si>
  <si>
    <t>Комплектация:   Кейс с крышкой - 1 шт , Лоток со вставкой - 1шт, Гайки и соединительные элементы – 57 шт. Валы и сопутствующие элементы – 59 шт. Винты – 40 шт. Структурные компоненты – 9 шт. Колеса – 2 шт.
Диаметр колеса 4 дюйма. Колеса всенаправленного движения – 2 шт.
Диаметр колеса 4 дюйма. Высокопрочные шестерни и вставки для них – 13 шт. Схват робота (без привода) 1 компл. Контроллер управления роботом – 1 шт. Контроллер управления роботом включает в себя: поддержка программирования на уровне Modkit Natural, C++, JavaScript, Python, размеры в сборе 101х139х13 мм., максимальная тактовая частота процессора 667 МГц, количество ядер процессора – 2 шт., периферийный процессор, тактовая частота перифирийского процессора 32 МГц, оперативная память DDR2/mobile 128 Мб, встроенная FLASH-память 32 Мб, интерфейс USB 2.0, интерфейс BlueTooth 4.2, встроенный цветной сенсорный ЖК-дисплей- количество цветов дисплея – 65000 шт., размер ЖК-дисплея по диагонали 4,25 дюйма - разрешение ЖК-дисплея 480х272 пиксель, порты для установки моторов и/или датчиков – 21 шт., порты для установки трехпроводных моторов и/или датчиков – 8 шт., лот для настраиваемой памяти, тип настраиваемой памяти microSD, максимальный объем настраиваемой памяти до 16 ГБ, тип файловой системы FAT32, напряжение питания 12,8 В, русскоязычный интерфейс. Пульт управления роботом – 1 шт., Пульт управления включает в себя: джойстики – 2 шт. кнопки – 12 шт. LCD экран – 1 шт. размеры экрана 128х64 пикселя, беспроводная связь по каналу Bluetooth 4.2. Радиомодуль для создания соединений между контроллером и пультом управления – 1 шт.
Аккумуляторная батарея – 1 шт. (емкость аккумуляторной батареи 1100
мАч, включает индикатор уровня заряда); Комплект соединительных подключений 1 компл. Приводы постоянного тока – 4 шт. - пиковая мощность 11 В, - крутящий момент 2,1 Нм, - обратная связь по току, температуре, мощности, встроенный энкодер, максимальное разрешение энкодера 1800 тиков/обратка. Датчики касания типа бампера – 2 шт.
Комплект инструментов 1 компл. Крепления для аккумуляторной батареи –
2 шт. Руководство пользователя – 1 шт.</t>
  </si>
  <si>
    <t>521-305-0131</t>
  </si>
  <si>
    <t>Программируемый дрон (CodyFly)</t>
  </si>
  <si>
    <t>В состав набора входит:  Аппаратура управления -1шт. Приемник- 1шт. Полетный контроллер -1шт. датчик GPS -1шт. Бесколлекторные двигатели
-4шт. ESC регуляторы -4шт. Аккумулятор -1шт. Пропеллеры -4шт.</t>
  </si>
  <si>
    <t>521-305-0132</t>
  </si>
  <si>
    <t>Набор образовательный на базе Ардуино с научными датчиками</t>
  </si>
  <si>
    <t>521-305-0132-0001</t>
  </si>
  <si>
    <t>Набор образовательный на базе Ардуино с научными датчиками типа Uscience Kit</t>
  </si>
  <si>
    <t>В набор входит:  микропроцессор, датчик температуры и влажности 1 шт., датчик света-1 шт., датчик движения-1 шт., датчик звука-1 шт., датчик расстояния- 1 шт., датчик газа -1 шт., датчик вибрации-1 шт., датчик цвета-1 шт.</t>
  </si>
  <si>
    <t>521-305-0132-0002</t>
  </si>
  <si>
    <t>Комплект по микроэлектронике Gravity: Arduino Zero to Hero</t>
  </si>
  <si>
    <t>В состав комплекта входит: Микроконтроллер на базе ATmega328; USB-кабель A-B; Соединительные кабели– не менее 40 шт. Резистор 220
Ом –  не менее 10 шт. Резистор 4.7 КОм – не менее 20 шт. Резистор 10 КОм – не менее 20 шт. Резистор 1 КОм – не менее 20 шт. 5 мм светодиод – не менее 10 шт. ИК-приемник Диод Мини-кнопка  Датчик освещенности –  не менее 2 шт. Транзистор NPN  Датчик наклона  8-сегментный светодиод Датчик температуры  Зуммер  10K потенциометр  Мини-контроллер (с батареей внутри)  Макетная плата без пайки с 400 точками соединения Акриловый держатель макетной платы  Плата расширения  для микроконтроллера  Аналоговый датчик звука  Цифровой модуль динамика Цифровой датчик движения (PIR)  Датчик 6 степеней свободы</t>
  </si>
  <si>
    <t>521-305-0133</t>
  </si>
  <si>
    <t>Набор для изучения Ардуино Arduino UScience Pro Kit</t>
  </si>
  <si>
    <t>В набор входит: микроконтроллер ATmega328P, который обеспечивает вычислительную мощность и управление входами и выходами (рабочее напряжение: не менее 5 В); лампы разных цветов с проводами - 50 шт.</t>
  </si>
  <si>
    <t>521-305-0134</t>
  </si>
  <si>
    <t>Принтер 3D UniMaker Kit</t>
  </si>
  <si>
    <t>Технология печати: Fused Deposition Modeling (FDM) Область печати: не менее 200 мм x 200 мм x 230 мм  Скорость печати: не менее 150 мм/с (может изменяться в зависимости от настроек)</t>
  </si>
  <si>
    <t>521-305-0135</t>
  </si>
  <si>
    <t>Принтер 3D UniMaker Pro</t>
  </si>
  <si>
    <t>521-305-0135-0001</t>
  </si>
  <si>
    <t>3D-принтер с расходным материалом UniMaker ProForge</t>
  </si>
  <si>
    <t>521-305-0135-0002</t>
  </si>
  <si>
    <t>3D-принтер UniMaker XL</t>
  </si>
  <si>
    <t>521-305-0136</t>
  </si>
  <si>
    <t>Станок модульный для создания 3D моделей UniShape</t>
  </si>
  <si>
    <t>Размер 500х280х420мм, мощность -1300 Вт, тип пластика: PE, PP, PVC, PET, ABS, Hips</t>
  </si>
  <si>
    <t>521-305-0137</t>
  </si>
  <si>
    <t>Тумба для 3D-принтера (CraftLab), размер 600мм х 550мм х 1300мм</t>
  </si>
  <si>
    <t>Корпус тумбы выполнен из ЛДСП: толщиной 16 мм, кромка ПВХ. Состоит из 2х частей, нижняя-тумба с 3-мя выдвижными ящиками, верхняя-рабочее пространство для 3D принтера.</t>
  </si>
  <si>
    <t>521-305-0138</t>
  </si>
  <si>
    <t>Стол для робототехники</t>
  </si>
  <si>
    <t>521-305-0138-0001</t>
  </si>
  <si>
    <t>Стол для полей (2430мм х1200мм) с бортиками и 4 выкатными тумбочками (CraftLab)</t>
  </si>
  <si>
    <t>Основа выполнена из ЛДСП, толщиной 16 мм, борты из клееного деревянного бруса, с защитным слоем из бесцветного лака. Стол-поле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Габариты тумбы: длина 1400мм х 540мм х 840мм</t>
  </si>
  <si>
    <t>521-305-0138-0002</t>
  </si>
  <si>
    <t>Стол для робототехники 1200х750х1020мм. Столешница ЛДСП 22мм, надстройка, каркас из профильной трубы 40х40мм</t>
  </si>
  <si>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надстройка размером 1198х220х270мм.
Каркас стола изготовлен из профильной трубы 40х40мм. покрытие полимернопорошковое.</t>
  </si>
  <si>
    <t>521-305-0138-0003</t>
  </si>
  <si>
    <t>Стол для робототехники 1500х1500х750/850мм. Столешница ЛДСП 22мм, бортик высотой 100мм, две мобильные тумбы, каркас из профильной трубы 40х20мм</t>
  </si>
  <si>
    <t>Стол на 4-х боковых О-образных опорах, соединенных между собой траверсами, крышкой, создающей эффект легкости и динамичности конструкции.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1мм. В комплекте идет 2 тумбы мобильная размером 880х300х620мм. Топ тумбы из ЛДСП толщ 22мм, остальные детали из 16 толщ. Задняя стенка ЛДСП. На столешнице  имеется бортик высотой 100мм.  Каркас стола изготовлен из профильной трубы 40х20мм. покрытие полимернопорошковое.</t>
  </si>
  <si>
    <t>521-305-0138-0004</t>
  </si>
  <si>
    <t>Стол для робототехники 1200х1200мм, с тумбой и бортиками, ЛДСП 16 мм</t>
  </si>
  <si>
    <t>Стол для робототехники 1200х1200мм, с тумбой 900х900х760мм. Бортики, основание ЛДСП 16 мм. Тумба перемещается на колесиках со стопорами. Внутрь тумбы на специальные направляющие можно поместить до 10 стандартных коробок LEGO. Также имеется полка для размещения соревновательных элементов</t>
  </si>
  <si>
    <t>521-305-0138-0005</t>
  </si>
  <si>
    <t>Стол для робототехники 1200х1200х600мм с бортиками и тумбой мобильной</t>
  </si>
  <si>
    <t>Стол для занятий с роботами с бортиками 1200х1200х600мм с бортом 50мм. Верхняя часть представляет собой поле для занятий по робототехнике с бортами. Выполнена из ЛДСП, толщиной 16 мм, кромка ПВХ, борты выполнены из деревянного бруса, покрашенного в бесцветный лак. Размеры поля 1200х1200х50мм. Тумба выполнена из ЛДСП, толщиной 16мм. На тумбе присутствуют 2 дверцы. Внутри установлена полка.
Габариты тумбы 700х700х600мм. Тумба установлена на колесах, диаметром 45мм, толщиной 30мм, с функцией блокировки.</t>
  </si>
  <si>
    <t>521-305-0138-0006</t>
  </si>
  <si>
    <t>Стол 1800х400х1100мм. Столешница из ЛДСП 16мм с бортиком высотой 150мм, основание металлокаркас</t>
  </si>
  <si>
    <t>Стол Д1800*Ш400*В1100мм. Столешница выполнен из жёсткого ЛДСП 16 мм, кромка ПВХ с исполькозованием высокотемпературного клея. Бортик у стола высотой 150мм ЛДСП 16 мм, панель во всю длину и высоту стола, металлические части стола изготовлены из профилей 40x60x2мм и 50x25x1,5мм.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</si>
  <si>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521-305-0138-0009</t>
  </si>
  <si>
    <t>Стол для полей большой не регулируемый, размеры 2407х1207х800 мм, столешница из ЛДСП 16мм, с бортиком высотой 50мм</t>
  </si>
  <si>
    <t>Столешница выполнена из ЛДСП 16 мм, бортик высотой 50 мм закреплен к столешнице через конфирмат 6,3х50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Так же имеются 2 усилителя из профильной трубы 50х25мм. толщиной не менее 1,2мм, между опорами 2095мм, в основании тубы установлена пластиковая пробка с резьбой М8, усилители крепиться к опорам 4 вина М6х40мм. И 4х винтов М8х80мм. В основании конструкции установлены регулируемые опоры.</t>
  </si>
  <si>
    <t>521-305-0138-0010</t>
  </si>
  <si>
    <t>Стол для полей с поворотной столешницей, размеры 2430х1200 мм. Материал столешницы ЛДСП 16 мм, кромка ПВХ. По периметру столешницы бортики из ЛДСП, высотой 80 мм. Металлический каркас из профильной трубы, поворотные колесные опоры</t>
  </si>
  <si>
    <t>Высота верхнего края столешницы над полом должна быть не менее 860 мм. Столешница должна быть поворотная. По периметру столешницы должны быть бортики из ЛДСП, высотой 80 мм. Материал столешницы должен быть ЛДСП толщиной не менее 16 мм,  с кромкой ПВХ не менее 2 мм. Металлический каркас должен быть изготовлен из профильной трубы 40х40 мм, толщиной стенки не менее 1,2 мм. Поворотный элемент изготовлены по технологии лазерной резки и гибка на листогибе из листового металла толщиной не менее 2 мм. Также на каркасе имеется две поворотные опоры для удержания столешницы в горизонтальном состоянии. В основаниях каркаса должны быть поворотные колесные опоры, на двух из которых имеется тормоз. Металлический каркас окрашен эпоксидно-полиэфирной порошковой краской. Цвет по согласованию с заказчиком по каталогу RAL.</t>
  </si>
  <si>
    <t>521-305-0139</t>
  </si>
  <si>
    <t>Набор для изучения робототехники на базе Ардуино</t>
  </si>
  <si>
    <t>Комплектация:  Кейс с крышкой - 1 шт , Лоток со вставкой - 1шт,  Arduino UNO R3 – 1 шт. Монтажная плата 830 контактов – 1 шт. Светодиод 5мм с цветной линзой - Испускаемый цвет: Зеленый – 5 шт. Светодиод 5мм с цветной линзой - Испускаемый цвет: Красный – 5 шт. Светодиод 5мм с цветной линзой - Испускаемый цвет: Желтый – 5 шт. Резисторы - Сопротивление: 220 Ом; 1 кОм; 10кОм по – 10 шт. Провода мама-папа – 10 шт. Комплект проводов 30 шт. папа-папа – 1 шт.</t>
  </si>
  <si>
    <t>521-305-0140</t>
  </si>
  <si>
    <t>Комплект тренировочных полей для занятий робототехникой</t>
  </si>
  <si>
    <t>521-305-0140-0001</t>
  </si>
  <si>
    <t>Комплект тренировочных полей для занятий робототехникой типа Инт парк</t>
  </si>
  <si>
    <t>Комплектация: не менее 2 полей и 1 тубус для хранения и транспортировки полей. Тубус изготовлен из пластика, диаметр 90мм, длина 1100мм. Длина одного поля 2000мм, ширина 1000мм, на поле нанесены 2 черные линии.
Второе поле квадратной формы, длина стороны поля 1000мм, на поле нанесен рисунок. Поля изготовлены из баннерной ткани и скатываются в рулон.</t>
  </si>
  <si>
    <t>521-305-0141</t>
  </si>
  <si>
    <t>Машина универсальная для мойки и высушивания</t>
  </si>
  <si>
    <t>Специализированные корзины и поддоны для размещения моющихся предметов Инструкция по использованию с подробными рекомендациями и советами Комплект дополнительных аксессуаров и насадок для разнообразных задач мойки и высушивания Электронная панель управления с сенсорным экраном для удобного выбора программ Кабели и разъемы для подключения и питания Мощность мойки: До 1200 Вт Мощность высушивания: До 1000 Вт Программы мойки: Деликатная, стандартная, интенсивная мойка и другие опции. Программы высушивания: Деликатное, стандартное, быстрое высушивание и другие режимы.
Интеллектуальный контроль: Оборудована сенсорами и автоматическими
режимами для оптимальных результатов.</t>
  </si>
  <si>
    <t>Подраздел 521-4. Оборудование и мебель специальных организаций образования Группа 521-401. Оборудование для создания коррекционно-развивающей среды в дошкольных, специальных (коррекционных) организациях образования, психолого-медико-педагогических консультациях, реабилитационных центрах и кабинетах психолого-педагогической коррекции</t>
  </si>
  <si>
    <t>521-401-0100</t>
  </si>
  <si>
    <t>Полифункциональное оборудование</t>
  </si>
  <si>
    <t>521-401-0101</t>
  </si>
  <si>
    <t>Мат напольный для создания мягкого пола</t>
  </si>
  <si>
    <t>521-401-0101-0001</t>
  </si>
  <si>
    <t>Мат напольный, размер: 200х100х10 см</t>
  </si>
  <si>
    <t>521-401-0101-0002</t>
  </si>
  <si>
    <t>Мат напольный, размер: 138х62х10 см</t>
  </si>
  <si>
    <t>521-401-0103</t>
  </si>
  <si>
    <t>Сухой бассейн с мягкими стенками разной конфигурации: угловые квадратные, круглые с наполнителем: цветные пластиковые шарики одного размера</t>
  </si>
  <si>
    <t>521-401-0103-0001</t>
  </si>
  <si>
    <t>Сухой бассейн, шаров-2000шт размер: 200х200х50</t>
  </si>
  <si>
    <t>521-401-0103-0002</t>
  </si>
  <si>
    <t>Сухой бассейн, шаров-1600шт размер: не менее 1500х1500х500мм</t>
  </si>
  <si>
    <t>Сухой бассейн с пластмассовыми полупрозрачными шарикам. В комплекте не менее 1600 шаров, размер не менее 1500х1500х500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</si>
  <si>
    <t>521-401-0104</t>
  </si>
  <si>
    <t>Мягкие полифункциональные конструкторы</t>
  </si>
  <si>
    <t>521-401-0104-0001</t>
  </si>
  <si>
    <t>Полифункциональный набор "Радуга" Комплектация: предметов-52; видов фигур-11</t>
  </si>
  <si>
    <t>521-401-0104-0002</t>
  </si>
  <si>
    <t>Полифункциональный набор "Радуга" Комплектация: предметов-36; видов фигур-11</t>
  </si>
  <si>
    <t>521-401-0104-0003</t>
  </si>
  <si>
    <t>Полифункциональный набор "Радуга" АЛ
203  Комплектация: предметов-22; видов фигур-10</t>
  </si>
  <si>
    <t>521-401-0104-0004</t>
  </si>
  <si>
    <t>Полифункциональный набор "Радуга" Комплектация: предметов-18; видов фигур-7</t>
  </si>
  <si>
    <t>521-401-0104-0005</t>
  </si>
  <si>
    <t>Полифункциональный набор "Радуга" Комплектация: предметов-12; видов фигур-6</t>
  </si>
  <si>
    <t>521-401-0104-0006</t>
  </si>
  <si>
    <t>Конструктор "Мастер"  Комплектация: предметов-24; видов фигур-8</t>
  </si>
  <si>
    <t>521-401-0104-0007</t>
  </si>
  <si>
    <t>Конструктор "Фантазия"  Комплектация: предметов-13; видов фигур-6</t>
  </si>
  <si>
    <t>521-401-0104-0008</t>
  </si>
  <si>
    <t>Полифункциональный набор "Гномик" Комплектация: предметов-28; видов фигур-7</t>
  </si>
  <si>
    <t>521-401-0104-0009</t>
  </si>
  <si>
    <t>Конструктор "Островок" (М)  Комплектация: предметов-9; видов фигур-4</t>
  </si>
  <si>
    <t>521-401-0104-0010</t>
  </si>
  <si>
    <t>Конструктор "Горка"   Комплектация: предметов-3; видов фигур-3</t>
  </si>
  <si>
    <t>521-401-0104-0011</t>
  </si>
  <si>
    <t>Конструктор "Улитка"   Комплектация: 6 треугольников, скрепленных шарнирно, Размер: 303х40х44 см</t>
  </si>
  <si>
    <t>521-401-0104-0012</t>
  </si>
  <si>
    <t>Конструктор "Пазлы" №2 (Д) Комплектация: предметов-2; видов фигур-2</t>
  </si>
  <si>
    <t>521-401-0200</t>
  </si>
  <si>
    <t>Интерактивные модули и панно</t>
  </si>
  <si>
    <t>521-401-0203</t>
  </si>
  <si>
    <t>Интерактивная звуковая панель для звукового воздействия, развития логики, игровой терапии и различать голоса животных</t>
  </si>
  <si>
    <t>521-401-0203-0001</t>
  </si>
  <si>
    <t>Интерактивная звуковая панель "Джунгли" размер: H100 W100</t>
  </si>
  <si>
    <t>521-401-0203-0002</t>
  </si>
  <si>
    <t>Интерактивная звуковая панель "Домашние животные"  размер: H100 W100</t>
  </si>
  <si>
    <t>521-401-0203-0003</t>
  </si>
  <si>
    <t>Интерактивная звуковая панель "Угадай звук"  размер: H45 W48</t>
  </si>
  <si>
    <t>521-401-0203-0004</t>
  </si>
  <si>
    <t>Интерактивная звуковая панель "Угадай звук, сравни животное"  размер: H40 W80 P13</t>
  </si>
  <si>
    <t>521-401-0204</t>
  </si>
  <si>
    <t>Акустическая настенная тактильная панель</t>
  </si>
  <si>
    <t>521-401-0204-0001</t>
  </si>
  <si>
    <t>521-401-0300</t>
  </si>
  <si>
    <t>Дидактические и обучающие игры и пособия</t>
  </si>
  <si>
    <t>521-401-0303</t>
  </si>
  <si>
    <t>Системный дидактический материал для формирования математических знаний</t>
  </si>
  <si>
    <t>521-401-0304</t>
  </si>
  <si>
    <t>Мультимедийный интерактивный обучающий программно-методический комплекс</t>
  </si>
  <si>
    <t>521-401-0304-0001</t>
  </si>
  <si>
    <t>Мультимедийный интерактивный обучающий программно методический комплекс EduQuest (Израиль), с персональным компьютером</t>
  </si>
  <si>
    <t>Группа 521-402. Оборудование для специальных организаций образования, в том числе дошкольных, общеобразовательных организациях образования,
психолого-медико-педагогических консультациях, реабилитационных центрах и кабинетах психолого-педагогической коррекции</t>
  </si>
  <si>
    <t>521-402-0100</t>
  </si>
  <si>
    <t>Зал лечебной физкультуры</t>
  </si>
  <si>
    <t>521-402-0101</t>
  </si>
  <si>
    <t>Весы медицинские</t>
  </si>
  <si>
    <t>521-402-0101-0001</t>
  </si>
  <si>
    <t>Весы электронные Seca 354. Цифровые детские, предельная нагрузка: 20 кг/44 фунта. Единицы измерения: кг, фунты</t>
  </si>
  <si>
    <t>Весы для новорожденных. Чувствительность: 10 г &lt; 10 кг &gt; 20 г, 0,5 унции
&lt; 22 фунта &gt; 1 унция. Лоток: съемный, подходит для детей от 0 до 1 года. Источник питания: батарейки. Функции тарирования: тарирование, BMIF, автоматическое удержание, переключение между кг/фунтами, автоматическое отключение. Характеристики: • Функция забора грудного молока. • Мобильность и надежность для транспортировки. • Детские и напольные весы в одном устройстве. • Размеры (Ш x В x Г): 552 x 156 x 332 мм / 21,7 x 6,1 x 13,1 дюйма • Размеры/поддон (Ш x В x Г): 525 x 80 x 250 мм / 20,7 x 3,1 x 9,8 дюйма • Размеры/платформа (Ш x В x Г): 280 x 65 x 235 мм / 11 x 2,6 x 9,3 дюйма • Вес: 2,3 кг / 5 фунтов • Питание: батарейки • Комплектующие блоки • Включает 4 батарейки типа AA</t>
  </si>
  <si>
    <t>521-402-0101-0002</t>
  </si>
  <si>
    <t>Весы электронные, с ростомером. Тип: взрослые, детские, с функцией измерения роста. Точность первой калибровки: +-0,15%
/ +-100 г. Нагрузка: 200 кг. Единицы измерения: кг/фунты и см/дюймы</t>
  </si>
  <si>
    <t>Платформа: с противоскользящим покрытием. Функции и свойства: тара, удержание, автоматическое отключение, переключение единиц измерения: фунты/кг, переключение единиц измерения: фунты/кг/ст, блокировка переключения единиц измерения: фунты/кг, ИМТ. Цена деления: 100 г.
Питание: батарейки. Количество и тип батареек: 6 x AA</t>
  </si>
  <si>
    <t>521-402-0102</t>
  </si>
  <si>
    <t>Лента измерительная</t>
  </si>
  <si>
    <t>521-402-0102-0001</t>
  </si>
  <si>
    <t>Лента измерительная, длина 1000 мм, ПВХ с армированным нейлоном</t>
  </si>
  <si>
    <t>Сделан из ПВХ с армированным нейлоном. Длина ленты 1000мм, шкала с ценой деления 100мм.</t>
  </si>
  <si>
    <t>521-402-0102-0002</t>
  </si>
  <si>
    <t>Лента измерительная, длина 1500 мм, гибкая с нанесенными делениями</t>
  </si>
  <si>
    <t>Лента измерительная двухсторонняя сантиметровая, гибкая с нанесенными делениями.</t>
  </si>
  <si>
    <t>521-402-0107</t>
  </si>
  <si>
    <t>Шведская стенка</t>
  </si>
  <si>
    <t>521-402-0118</t>
  </si>
  <si>
    <t>Туннель каркасный</t>
  </si>
  <si>
    <t>Туннель каркасный. Конструкция выполнена в виде складывающейся трубы. Туннель можно установить как в небольшой комнате, так и на свежем воздухе. Его легко передвигать по помещению и удобно брать с собой — конструкция компактно складывается. Размеры: 1800 х 460 х 460
мм.</t>
  </si>
  <si>
    <t>521-402-0124</t>
  </si>
  <si>
    <t>Батут</t>
  </si>
  <si>
    <t>521-402-0124-0001</t>
  </si>
  <si>
    <t>Детский каркасный пружинный батут "Прыжок"  Размер: 120х120х29 см</t>
  </si>
  <si>
    <t>521-402-0200</t>
  </si>
  <si>
    <t>Кабинет логопеда</t>
  </si>
  <si>
    <t>521-402-0205</t>
  </si>
  <si>
    <t>Логопедический зонд постановочный</t>
  </si>
  <si>
    <t>521-402-0205-0001</t>
  </si>
  <si>
    <t>Зонды постановочные, комплект из 7 штук (по методике Ф.А.Рау)</t>
  </si>
  <si>
    <t>521-402-0206</t>
  </si>
  <si>
    <t>Логопедический зонд массажный</t>
  </si>
  <si>
    <t>521-402-0206-0001</t>
  </si>
  <si>
    <t>Зонды массажные, комплект из 12 штук</t>
  </si>
  <si>
    <t>521-402-0206-0002</t>
  </si>
  <si>
    <t>Зонды массажные, комплект из 8 штук</t>
  </si>
  <si>
    <t>521-402-0206-0003</t>
  </si>
  <si>
    <t>Зонды массажные, комплект из 4 штук</t>
  </si>
  <si>
    <t>521-402-0300</t>
  </si>
  <si>
    <t>Кабинет психолога</t>
  </si>
  <si>
    <t>521-402-0301</t>
  </si>
  <si>
    <t>Диван</t>
  </si>
  <si>
    <t>521-402-0301-0001</t>
  </si>
  <si>
    <t>Диван, модель Браво "3". Длина: 1820 мм, ширина: 830 мм, высота: 730 мм, посадочных мест: 3, материал: обивка -
эко-кожа, наполнитель: поролон, синтепон, синтепух</t>
  </si>
  <si>
    <t>521-402-0301-0002</t>
  </si>
  <si>
    <t>Диван, модель "Илья". Длина: 1920 мм, ширина: 840 мм, высота: 720 мм, посадочных мест: 3, наполнитель: поролон, синтепон, синтепух</t>
  </si>
  <si>
    <t>521-402-0301-0003</t>
  </si>
  <si>
    <t>Диван, модель Кулагер "2". Длина: 1590 мм, ширина: 900 мм, высота до сидения: 650 мм, посадочных мест: 2, материал: обивка -
эко-кожа, наполнитель: поролон, синтепон</t>
  </si>
  <si>
    <t>521-402-0301-0004</t>
  </si>
  <si>
    <t>Диван, модель Кулагер "3". Длина: 1970 мм, ширина: 900 мм, высота до сидения: 650 мм, посадочных мест: 3, материал: обивка -
эко-кожа, наполнитель: поролон, синтепон</t>
  </si>
  <si>
    <t>521-402-0301-0005</t>
  </si>
  <si>
    <t>Диван, модель Кулагер "3" + 2 подушки. Длина: 1970 мм, ширина: 900 мм, высота до сидения: 650 мм, посадочных мест: 3, материал: обивка - гобелен, ножки - металл, наполнитель: поролон, синтепон</t>
  </si>
  <si>
    <t>521-402-0301-0006</t>
  </si>
  <si>
    <t>Диван, модель Ливерпуль "2". Длина: 1500 мм, ширина: 940 мм, высота: 890 мм, посадочных мест: 2, материал: обивка - гобелен уплотненный; наполнитель: поролон, синтепон</t>
  </si>
  <si>
    <t>521-402-0301-0007</t>
  </si>
  <si>
    <t>Диван, модель Ливерпуль "3". Длина: 2030 мм, ширина: 940 мм, высота: 890 мм, посадочных мест: 3, наполнитель: поролон, синтепон, синтепух</t>
  </si>
  <si>
    <t>521-402-0301-0008</t>
  </si>
  <si>
    <t>Диван, модель "Найс 2". Длина: 1330 мм, ширина: 750 мм, высота: 700 мм, посадочных мест: 2, материал: обивка -
эко-кожа, наполнитель: поролон, синтепон, синтепух</t>
  </si>
  <si>
    <t>521-402-0301-0009</t>
  </si>
  <si>
    <t>"Диван, модель Аллегро ""2"". Длина: 1760 мм, ширина: 760 мм, высота: 640 мм, посадочных мест: 2, материал: обивка -
эко-кожа, наполнитель: поролон, синтепон, синтепух"</t>
  </si>
  <si>
    <t>521-402-0301-0010</t>
  </si>
  <si>
    <t>Диван, модель Браво "2". Длина: 1350 мм, ширина: 830 мм, высота: 730 мм, посадочных мест: 2, материал: обивка -
эко-кожа, наполнитель: поролон, синтепон, синтепух</t>
  </si>
  <si>
    <t>521-402-0301-0011</t>
  </si>
  <si>
    <t>Диван, модель Бруно "2" (2 подушки). Длина: 1780 мм, ширина: 870 мм, высота: 590 мм, посадочных мест: 2, материал: ножки - металл; обивка - гобелен, наполнитель: поролон, синтепон, синтепух</t>
  </si>
  <si>
    <t>521-402-0301-0012</t>
  </si>
  <si>
    <t>Диван, модель Бруно "3". Длина: 2250 мм, ширина: 870 мм, высота: 590 мм, посадочных мест: 3, материал: обивка - гобелен/кзам PU, наполнитель: поролон, синтепон, синтепух</t>
  </si>
  <si>
    <t>521-402-0301-0013</t>
  </si>
  <si>
    <t>Диван, модель Версаль "2". Длина: 1680 мм, ширина: 850 мм, высота: 750 мм, посадочных мест: 2, материалы: обивка - комбинация материалов, кожа + эко-кожа, наполнитель: поролон, синтепон, синтепух</t>
  </si>
  <si>
    <t>521-402-0301-0014</t>
  </si>
  <si>
    <t>Диван, модель Версаль "3". Длина: 2110 мм, ширина: 840 мм, высота: 750 мм, посадочных мест: 3, наполнитель: поролон, синтепон, синтепух</t>
  </si>
  <si>
    <t>521-402-0301-0015</t>
  </si>
  <si>
    <t>Диван, модель Виктория "3". Длина: 2300 мм, ширина: 960 мм, высота: 640 мм, посадочных мест: 3, материал: обивка - эко-кожа, наполнитель: поролон, синтепон</t>
  </si>
  <si>
    <t>521-402-0301-0016</t>
  </si>
  <si>
    <t>Диван, модель Гамильтон "3". Длина: 2140 мм, ширина: 770 мм, высота: 600 мм, посадочных мест: 3, материал: обивка -
эко-кожа, наполнитель: поролон, синтепон, синтепух</t>
  </si>
  <si>
    <t>521-402-0301-0017</t>
  </si>
  <si>
    <t>Диван, модель "Геральд-2". Длина: 1970 мм, ширина: 800 мм, высота: 700 мм, посадочных мест: 2, материал: обивка - гобелен эко-кожа, наполнитель: поролон, синтепон, синтепух</t>
  </si>
  <si>
    <t>521-402-0301-0018</t>
  </si>
  <si>
    <t>Диван, модель "Орион 3". Длина: 2050 мм, ширина: 850 мм, высота: 650 мм, посадочных мест: 3, наполнитель: поролон, синтепон</t>
  </si>
  <si>
    <t>521-402-0301-0019</t>
  </si>
  <si>
    <t>Диван, модель "Софи". Длина: 2070 мм, ширина: 780 мм, высота: 640 мм, посадочных мест: 3, наполнитель: поролон, синтепон</t>
  </si>
  <si>
    <t>521-402-0301-0020</t>
  </si>
  <si>
    <t>Диван, модель "Илья 2". Длина: 1460 мм, ширина: 860 мм, высота: 720 мм, посадочных мест: 2, материал: обивка - гобелен, наполнитель: поролон, синтепон, синтепух</t>
  </si>
  <si>
    <t>521-402-0301-0021</t>
  </si>
  <si>
    <t>Диван, модель "Оксфорд 3". Длина: 2200 мм, ширина: 850 мм, высота: 700 мм,
посадочных мест: 3</t>
  </si>
  <si>
    <t>521-402-0301-0022</t>
  </si>
  <si>
    <t>Диван, модель Ривьера "2". Длина: 1720 мм, ширина: 900 мм, высота: 730 мм, посадочных мест: 2, материал: обивка -
эко-кожа, наполнитель: поролон, синтепон</t>
  </si>
  <si>
    <t>521-402-0301-0023</t>
  </si>
  <si>
    <t>Диван, модель Сомеро "2". Длина: 1640 мм, ширина: 920 мм, высота: 750 мм, посадочных мест: 2, материал: ножки - металл; обивка - гобелен, наполнитель: поролон, синтепон, синтепух</t>
  </si>
  <si>
    <t>521-402-0700</t>
  </si>
  <si>
    <t>Кабинет для детей раннего возраста (от 0 до 3-х лет)</t>
  </si>
  <si>
    <t>521-402-0704</t>
  </si>
  <si>
    <t>Полифункциональный модуль</t>
  </si>
  <si>
    <t>521-402-0704-0001</t>
  </si>
  <si>
    <t>Набор мягких модулей "Валуны" Комплектация: параллепипеды-9; лента-1; Размер: 120х60х100 см</t>
  </si>
  <si>
    <t>521-402-0704-0002</t>
  </si>
  <si>
    <t>Детский набор мягких модулей "Частокол" Комплектация: цилиндры-5; мат-1; Размер: 120х60х100 см</t>
  </si>
  <si>
    <t>521-402-0704-0003</t>
  </si>
  <si>
    <t>Детский набор мягких модулей "Ромашка"№1  Комплектация: предметов-9</t>
  </si>
  <si>
    <t>521-402-0704-0004</t>
  </si>
  <si>
    <t>Детский набор мягких модулей "Ромашка"№2  Комплектация: предметов-15</t>
  </si>
  <si>
    <t>521-402-0704-0005</t>
  </si>
  <si>
    <t>Детский набор мягких модулей "Ромашка"№3  Комплектация: предметов-19</t>
  </si>
  <si>
    <t>521-402-0704-0006</t>
  </si>
  <si>
    <t>Детский конструктор "Веселый паровозик" Комплектация: предметов-15; видов фигур-5</t>
  </si>
  <si>
    <t>521-402-0704-0007</t>
  </si>
  <si>
    <t>Детский конструктор "Веселые сундучки" Комплектация: предметов-4; видов фигур-4</t>
  </si>
  <si>
    <t>521-402-0707</t>
  </si>
  <si>
    <t>Комплект для скрининга психофизического развития детей раннего возраста</t>
  </si>
  <si>
    <t>Группа 521-403. Специальное оборудование психолого-медико-педагогических консультаций</t>
  </si>
  <si>
    <t>521-403-0100</t>
  </si>
  <si>
    <t>Кабинет для
психолого-медико-педагогических консультаций</t>
  </si>
  <si>
    <t>521-403-0102</t>
  </si>
  <si>
    <t>Столик пеленальный</t>
  </si>
  <si>
    <t>521-403-0102-0001</t>
  </si>
  <si>
    <t>Стол пеленальный с полкой</t>
  </si>
  <si>
    <t>Группа 521-404. Оборудование и мебель для реабилитационных центров и кабинетов психолого-педагогической коррекции</t>
  </si>
  <si>
    <t>521-404-0100</t>
  </si>
  <si>
    <t>521-404-0104</t>
  </si>
  <si>
    <t>Велосипед для детей с ограниченными возможностями</t>
  </si>
  <si>
    <t>521-404-0104-0001</t>
  </si>
  <si>
    <t>R120 Ортопедический велосипед маленького размера</t>
  </si>
  <si>
    <t>521-404-0104-0002</t>
  </si>
  <si>
    <t>R130 Ортопедический велосипед среднего размера</t>
  </si>
  <si>
    <t>521-404-0104-0003</t>
  </si>
  <si>
    <t>R140 Ортопедический велосипед большого размера</t>
  </si>
  <si>
    <t>521-404-0105</t>
  </si>
  <si>
    <t>Набивной мяч в комплект входят три мяча диаметрами 25, 50 и 75 см</t>
  </si>
  <si>
    <t>Группа 521-405. Оборудование и мебель дошкольных организаций образования для детей с нарушениями опорно-двигательного аппарата</t>
  </si>
  <si>
    <t>521-405-0200</t>
  </si>
  <si>
    <t>Специальная мебель</t>
  </si>
  <si>
    <t>521-405-0203</t>
  </si>
  <si>
    <t>Стол-парта для детей с нарушениями
опорно-двигательного аппарата</t>
  </si>
  <si>
    <t>521-405-0203-0001</t>
  </si>
  <si>
    <t>Парта СН 37.02.01</t>
  </si>
  <si>
    <t>521-405-0203-0002</t>
  </si>
  <si>
    <t>Парта СН 37.02.11</t>
  </si>
  <si>
    <t>521-405-0203-0003</t>
  </si>
  <si>
    <t>Парта СН 37.02.51 (складная)</t>
  </si>
  <si>
    <t>521-405-0300</t>
  </si>
  <si>
    <t>521-405-0305</t>
  </si>
  <si>
    <t>Укладка – многофункциональная терапевтическая система до 4-5 лет</t>
  </si>
  <si>
    <t>521-405-0305-0001</t>
  </si>
  <si>
    <t>Укладка "Головастик" США Patterson Medical</t>
  </si>
  <si>
    <t>Группа 521-409. Дидактические материалы и развивающие игрушки для лекотеки (библиотеки игрушек)</t>
  </si>
  <si>
    <t>521-409-0100</t>
  </si>
  <si>
    <t>Лекотека (библиотека игрушек)</t>
  </si>
  <si>
    <t>521-409-0105</t>
  </si>
  <si>
    <t>Сканер</t>
  </si>
  <si>
    <t>521-409-0105-0001</t>
  </si>
  <si>
    <t>Сканер Canon imageFORMULA DR-C225 II, A4, 600x600dpi, 1500 скан/день, ADF, USB 2.0</t>
  </si>
  <si>
    <t>521-409-0105-0002</t>
  </si>
  <si>
    <t>Сканер Canon imageFORMULA DR-S130, A4, 600x600dpi, 3500 скан/день, ADF, Wi-Fi, USB 3.0</t>
  </si>
  <si>
    <t>521-409-0105-0003</t>
  </si>
  <si>
    <t>Сканер Epson WorkForce DS-70, A4, 600x600dpi, 48-bit, скорость сканирования 5.5с, portable, USB 2.0</t>
  </si>
  <si>
    <t>521-409-0105-0004</t>
  </si>
  <si>
    <t>Сканер Epson Workforce DS- 310 A4, 600x600dpi, 25 ppm, ADF, USB</t>
  </si>
  <si>
    <t>521-409-0105-0005</t>
  </si>
  <si>
    <t>Сканер Epson Workforce ES- C320W, 30 ppm, ADF, USB, Wi-Fi</t>
  </si>
  <si>
    <t>521-409-0105-0006</t>
  </si>
  <si>
    <t>Сканер Epson WorkForce DS- 530II, 35 ppm, ADF, USB</t>
  </si>
  <si>
    <t>521-409-0105-0007</t>
  </si>
  <si>
    <t>Сканер Epson WorkForce DS- 32000, 90 ppm, ADF, USB</t>
  </si>
  <si>
    <t>521-409-0105-0008</t>
  </si>
  <si>
    <t>Сканер планшетный со слайд модулем Epson Expression 13000XL Pro, 2400x4800, USB</t>
  </si>
  <si>
    <t>521-409-0106</t>
  </si>
  <si>
    <t>Копировальное устройство</t>
  </si>
  <si>
    <t>521-409-0106-0001</t>
  </si>
  <si>
    <t>Копировальный аппарат Canon imageRUNNER 2425, A3, print 600x600dpi, 25ppm, scan 600x600dpi, USB, LAN</t>
  </si>
  <si>
    <t>521-409-0106-0002</t>
  </si>
  <si>
    <t>Копировальный аппарат Canon iR1643i, (А4/43 с/мин, цифр,
25-400%),600х600dpi,Duplex,USB,LAN,б/тон ера</t>
  </si>
  <si>
    <t>521-409-0106-0003</t>
  </si>
  <si>
    <t>Копировальный аппарат Canon IR2206, (A4/22-А3/11с/мин,цифр,25-400%),600х600d pi,USB, тонер</t>
  </si>
  <si>
    <t>521-409-0106-0004</t>
  </si>
  <si>
    <t>Копировальный аппарат Canon IR2206N, (A4/22-А3/11с/мин,цифр,25-400%),600х600d pi,USB,WiFi, без тонера</t>
  </si>
  <si>
    <t>521-409-0107</t>
  </si>
  <si>
    <t>Мультимедийный проектор</t>
  </si>
  <si>
    <t>521-409-0107-0002</t>
  </si>
  <si>
    <t>Проектор Acer P1255, DLP, 3D, 4000lm, 20000:1, XGA, 1024х768, 0.63-7.62m, 5000hr,
2.4kg</t>
  </si>
  <si>
    <t>521-409-0107-0004</t>
  </si>
  <si>
    <t>Проектор Acer C250i, DLP, 300lm, 5000:1, WUXGA , 1920x1080@60Hz, 0.736-2.54m,
20000hr, 0.8kg, Black</t>
  </si>
  <si>
    <t>521-409-0107-0005</t>
  </si>
  <si>
    <t>Проектор Epson EH-TW750, LCD, 3400lm, 16000:1, FHD, 1920x1080, 6000hr,
0.76-7.62m, 2.72kg</t>
  </si>
  <si>
    <t>521-409-0107-0006</t>
  </si>
  <si>
    <t>Проектор Rombica Ray Box A6, LCD, 4200lm, 20000:1, FHD, 1920x1080, 30000hr,
0.78-3.65m, 2.42kg</t>
  </si>
  <si>
    <t>521-409-0107-0007</t>
  </si>
  <si>
    <t>Проектор AOpen AH15, DLP, 700lm, 10000:1, HD, 1280x720, 20000hr, 0.6-2.54m, BT, 0.7kg</t>
  </si>
  <si>
    <t>521-409-0107-0008</t>
  </si>
  <si>
    <t>Проектор Acer P1355, DLP, 5000lm, 20000:1, WXGA, 1280x800, 7.62m, 5000hr, 2.4kg</t>
  </si>
  <si>
    <t>521-409-0107-0009</t>
  </si>
  <si>
    <t>Проектор Rombica Ray Mini Black, LCD, 800lm, 1000:1, 320x240, 30000hr, 0.53-2.54m,
0.33kg</t>
  </si>
  <si>
    <t>Раздел 522. Оборудование и мебель для всех видов организаций образования 
Подраздел 522-1. Оборудование и мебель организации дошкольного и среднего образования</t>
  </si>
  <si>
    <t>Группа 522-101. Оборудование, мебель и технические средства обучения для учебных кабинетов</t>
  </si>
  <si>
    <t>522-101-0200</t>
  </si>
  <si>
    <t>Технические средства обучения</t>
  </si>
  <si>
    <t>522-101-0201</t>
  </si>
  <si>
    <t>Web-камера</t>
  </si>
  <si>
    <t>522-101-0201-0001</t>
  </si>
  <si>
    <t>Genius FaceCam 1000X, USB 2.0, 1280x720, 1.0Mpx, микрофон, крепление: зажим</t>
  </si>
  <si>
    <t>522-101-0201-0002</t>
  </si>
  <si>
    <t>Lenovo Essential FHD Webcam, Full HD 1080P, 2 megapixel, CMOS/USB 2.0</t>
  </si>
  <si>
    <t>522-101-0201-0003</t>
  </si>
  <si>
    <t>Genius QCam 6000, USB 2.0, 1920 x 1080,
2.0Mpx, микрофон, крепление: зажим</t>
  </si>
  <si>
    <t>522-101-0201-0004</t>
  </si>
  <si>
    <t>Logitech C270 (HD 720p/30fps, фокус постоянный, угол обзора 60°, кабель 1,5м)</t>
  </si>
  <si>
    <t>522-101-0205</t>
  </si>
  <si>
    <t>Интерактивная доска или экран</t>
  </si>
  <si>
    <t>522-101-0205-0001</t>
  </si>
  <si>
    <t>Интерактивная доска 91" 10 касаний</t>
  </si>
  <si>
    <t>522-101-0205-0003</t>
  </si>
  <si>
    <t>Интерактивная доска INTECH SR8287D (без
лотка) 87", 10 касаний</t>
  </si>
  <si>
    <t>522-101-0206</t>
  </si>
  <si>
    <t>Проектор ультракороткофокусный</t>
  </si>
  <si>
    <t>522-101-0206-0001</t>
  </si>
  <si>
    <t>Проектор Optoma X340UST, разрешение XGA (800 x 600), яркость 4000 лм,
контрастность 22000:1, проекционное
отношение 0.33:1</t>
  </si>
  <si>
    <t>522-101-0207</t>
  </si>
  <si>
    <t>522-101-0207-0001</t>
  </si>
  <si>
    <t>Проектор Optoma X381 , разрешение XGA (1024 x 768), яркость 3900 лм, контрастность
25 000:1, проекционное отношение 1.94:1 -
2.16:1</t>
  </si>
  <si>
    <t>522-101-0208</t>
  </si>
  <si>
    <t>Экран большой проекционный</t>
  </si>
  <si>
    <t>522-101-0208-0001</t>
  </si>
  <si>
    <t>Экран моторизованный PROscreen MLE3100, полотно Matte White, радиопульт в комплекте, диагональ 100", формат 4:3, размер активной области полотна 1970*147 0мм</t>
  </si>
  <si>
    <t>522-101-0220</t>
  </si>
  <si>
    <t>Крепление потолочное для проектора</t>
  </si>
  <si>
    <t>522-101-0220-0001</t>
  </si>
  <si>
    <t>Крепление для проектора потолочное</t>
  </si>
  <si>
    <t>522-101-0220-0002</t>
  </si>
  <si>
    <t>Крепление для проектора потолочное PROmount 430-650 мм CMA01-W</t>
  </si>
  <si>
    <t>522-101-0220-0003</t>
  </si>
  <si>
    <t>Крепление "паук" потолочное для проектора Brateck PRB-2</t>
  </si>
  <si>
    <t>522-101-0220-0004</t>
  </si>
  <si>
    <t>Крепление "паук" потолочное для проектора Brateck PRB-2G</t>
  </si>
  <si>
    <t>522-101-0220-0005</t>
  </si>
  <si>
    <t>Крепление "паук" потолочное для проектора Deluxe DLPRB-16-02L</t>
  </si>
  <si>
    <t>522-101-0220-0006</t>
  </si>
  <si>
    <t>Крепление "паук" потолочное/настенное для проектора Deluxe DLPRB-2G</t>
  </si>
  <si>
    <t>522-101-0220-0007</t>
  </si>
  <si>
    <t>Крепление потолочное для проектора, максимальная нагрузка 25 кг, высота крепления 267-427 мм</t>
  </si>
  <si>
    <t>522-101-0221</t>
  </si>
  <si>
    <t>Крепление настенное для проектора</t>
  </si>
  <si>
    <t>522-101-0221-0001</t>
  </si>
  <si>
    <t>Крепление для проектора настенное PROmount AST-1500, вылет штанги от стены до 1500 мм, выдерживает до 15 кг, цвет белый, алюминий+металл</t>
  </si>
  <si>
    <t>522-101-0221-0002</t>
  </si>
  <si>
    <t>Крепление "паук" настенное для проектора Brateck PRB-16-03L</t>
  </si>
  <si>
    <t>522-101-0221-0003</t>
  </si>
  <si>
    <t>Крепление "паук" настенное для проектора ONKRON K2D, до 10 кг, White</t>
  </si>
  <si>
    <t>522-101-0221-0004</t>
  </si>
  <si>
    <t>Крепление "паук" настенное для проектора PRB-2W, до 20 кг, White</t>
  </si>
  <si>
    <t>522-101-0221-0005</t>
  </si>
  <si>
    <t>Крепление "паук" настенный для проектора ONKRON K3D, до 10 кг, White</t>
  </si>
  <si>
    <t>522-101-0221-0006</t>
  </si>
  <si>
    <t>Крепление настенное для проектора XGIMI X-Wall W040B, Black</t>
  </si>
  <si>
    <t>522-101-0222</t>
  </si>
  <si>
    <t>Акустическая система</t>
  </si>
  <si>
    <t>522-101-0222-0002</t>
  </si>
  <si>
    <t>Microlab M-106, 10Вт (2,5Вт*2+5Вт), выход
2RCA, вход 3.5 MiniJack</t>
  </si>
  <si>
    <t>522-101-0222-0003</t>
  </si>
  <si>
    <t>Microlab M-111, 12Вт (3Вт*2+6Вт), выход 2RCA, вход 3,5 MiniJack, проводной пульт ДУ</t>
  </si>
  <si>
    <t>522-101-0222-0004</t>
  </si>
  <si>
    <t>Microlab M100(MKII), 10Вт(2,5Вт *2+5Вт),
выход RCA, вход 3,5 MiniJack</t>
  </si>
  <si>
    <t>522-101-0222-0005</t>
  </si>
  <si>
    <t>Разъем акустический, XLR "мама" Proel
DHFX3PBK</t>
  </si>
  <si>
    <t>522-101-0222-0006</t>
  </si>
  <si>
    <t>Разъем акустический, XLR "папа" Proel
DHMX3PBK</t>
  </si>
  <si>
    <t>522-101-0222-0017</t>
  </si>
  <si>
    <t>Стойка для колонок напольная типа SPS013. Максимальная нагрузка: 50 кг. Высота:
990-2000мм. Основной материал: пластик. Толщина трубки: 7 мм</t>
  </si>
  <si>
    <t>522-101-0222-0018</t>
  </si>
  <si>
    <t>Кронштейн регулируемый настенный для колонок типа WMS004</t>
  </si>
  <si>
    <t>522-101-0222-0019</t>
  </si>
  <si>
    <t>Стойка микрофонная напольная типа MS135. Высота: 880-1580 мм. Материал трубки из стали, основание из пластика</t>
  </si>
  <si>
    <t>522-101-0224</t>
  </si>
  <si>
    <t>Микрофонно-телефонная гарнитура</t>
  </si>
  <si>
    <t>522-101-0225</t>
  </si>
  <si>
    <t>Многофункциональное устройство</t>
  </si>
  <si>
    <t>522-101-0225-0001</t>
  </si>
  <si>
    <t>МФУ HP LaserJet 135a, A4,print 600x600dpi,20ppm,scan 600x600dpi, LCD, USB</t>
  </si>
  <si>
    <t>522-101-0225-0002</t>
  </si>
  <si>
    <t>МФУ HP LaserJet Pro M130nw, print 600x600dpi, 22ppm, scan 1200x1200dpi, Wi-Fi, LAN, USB</t>
  </si>
  <si>
    <t>522-101-0225-0003</t>
  </si>
  <si>
    <t>МФУ Xerox B205NI, A4,print 1200x1200dpi, 30ppm, scan 4800x4800dpi, tray250, Wi-Fi, LAN, ADF, USB</t>
  </si>
  <si>
    <t>522-101-0225-0004</t>
  </si>
  <si>
    <t>МФУ HP Color Laser 178nw, A4, print 600x600dpi, 18ppm, scan 600x600dpi, LCD, USB, LAN, Wi-Fi</t>
  </si>
  <si>
    <t>522-101-0225-0005</t>
  </si>
  <si>
    <t>МФУ Epson L850, A4, print 5760x1440dpi, 37/38ppm, scan 1200x2400dpi, LCD, SD, USB, tray 50 page</t>
  </si>
  <si>
    <t>522-101-0225-0006</t>
  </si>
  <si>
    <t>Многофункциональное устройство А4 ч/б
HP LaserJet Pro MFP 4103dw Printer</t>
  </si>
  <si>
    <t>522-101-0225-0007</t>
  </si>
  <si>
    <t>Многофункциональное устройство А4 цветной HP Color LaserJet Pro MFP M283fdw Prntr</t>
  </si>
  <si>
    <t>522-101-0225-0008</t>
  </si>
  <si>
    <t>Многофункциональное устройство А3 цветной HP Color LaserJet Ent MFP M776dn Prntr</t>
  </si>
  <si>
    <t>522-101-0225-0009</t>
  </si>
  <si>
    <t>Многофункциональное устройство Xerox B225DNI, A4, тип печати - монохромный, scan, USB, Wi-Fi</t>
  </si>
  <si>
    <t>522-101-0225-0010</t>
  </si>
  <si>
    <t>Многофункциональное устройство Pantum M6500, A4, ч/б, тип печати - лазерный, 128 Мб</t>
  </si>
  <si>
    <t>522-101-0225-0011</t>
  </si>
  <si>
    <t>Многофункциональное устройство HP Laser MFP 138PNW, А4, ч/б, тип печати - лазерный, 20 стр/мин, 1200х 1200 dpi, 128 Мб, Wi-Fi Direct, Google Cloud Print, USB</t>
  </si>
  <si>
    <t>522-101-0225-0012</t>
  </si>
  <si>
    <t>Многофункциональное устройство HP LaserJet Pro 4104fdn, А4, тип печати - монохромный, 1200х 1200 dpi, 512 Мб, HP ePrint, Google Cloud Print, USB</t>
  </si>
  <si>
    <t>522-101-0225-0013</t>
  </si>
  <si>
    <t>Многофункциональное устройство Xerox B315DNI, А4, ч/б, тип печати- лазерный, 42 стр/мин, 1GHz, 512MB, PCL5e/6, USB 2.0,
10/100 Ethernet, Wi-Fi</t>
  </si>
  <si>
    <t>522-101-0225-0014</t>
  </si>
  <si>
    <t>Многофункциональное устройство Xerox VersaLink C405DN, А4, цветной, тип печати-лазерный, 35/35 стр/мин, 1.05GHz DualCore, 2GB, PCL5c/6, PostScript 3, USB 3.0, Gigabit Ethetnet, NFC</t>
  </si>
  <si>
    <t>522-101-0225-0015</t>
  </si>
  <si>
    <t>Многофункциональный принтер Xerox B305DNI, A4, тип печати - монохромный, 600x600dpi, качество изображения 2400, scan 600x600dpi, Ethernet, USB 2.0, Wireless</t>
  </si>
  <si>
    <t>522-101-0225-0016</t>
  </si>
  <si>
    <t>Многофункциональное устройство HP 5UE15A Laser MFP 135r Printer, A4, Printer/Scanner/Copier, 1200 dpi, 20 ppm, 128
MB, 600 MHz</t>
  </si>
  <si>
    <t>522-101-0225-0017</t>
  </si>
  <si>
    <t>МФУ Pantum
BM5100ADW/чёрно-белая/Скорость печати 40 стр./мин (A4)/42 стр./мин (Letter)/NFC/макс 99стр/цвет.скан/Wi-Fi</t>
  </si>
  <si>
    <t>522-101-0225-0018</t>
  </si>
  <si>
    <t>МФУ Pantum СМ270ADN/Скорость печати-копир - 25 страниц в минуту/цвет.скан/макс объём 37 тыс. отпечатков в месяц</t>
  </si>
  <si>
    <t>522-101-0225-0019</t>
  </si>
  <si>
    <t>МФУ Epson M2110, A4, 15 ppm,1440 x 720
dpi, USB, LAN, tray 150</t>
  </si>
  <si>
    <t>522-101-0225-0020</t>
  </si>
  <si>
    <t>МФУ Epson M3170, A4, 20ppm,1200 x 2400dpi, ADF, USB, LAN, Wi-Fi, tray 250,
duplex</t>
  </si>
  <si>
    <t>522-101-0225-0021</t>
  </si>
  <si>
    <t>МФУ А4 цветное Epson L6570 25/25 PPM 4800x2400 dpi USB, LAN, Wi-Fi, duplex</t>
  </si>
  <si>
    <t>522-101-0225-0022</t>
  </si>
  <si>
    <t>МФУ А4 цветное Epson L6580 25/25 PPM 4800x2400 dpi USB, LAN, Wi-Fi, duplex, PCL</t>
  </si>
  <si>
    <t>522-101-0225-0023</t>
  </si>
  <si>
    <t>МФУ Epson M2170, A4, 20ppm,1200 x
2400dpi, USB, LAN, Wi¬Fi, tray 250, duplex</t>
  </si>
  <si>
    <t>522-101-0225-0024</t>
  </si>
  <si>
    <t>МФУ А4 цветное Epson L6490 17/9,5 PPM 4800x2400 dpi USB, LAN, Wi-Fi, duplex</t>
  </si>
  <si>
    <t>522-101-0225-0025</t>
  </si>
  <si>
    <t>МФУ А3 цветное Epson WorkForce Enterprise AM- C4000 40/40 PPM 600 x 2400 dpi USB, LAN, duplex</t>
  </si>
  <si>
    <t>522-101-0225-0026</t>
  </si>
  <si>
    <t>МФУ А3 цветное Epson WorkForce Enterprise AM- C5000 50/50 PPM 600 x 2400 dpi USB, LAN, duplex</t>
  </si>
  <si>
    <t>522-101-0225-0027</t>
  </si>
  <si>
    <t>МФУ А3 цветное Epson WorkForce Enterprise AM- C6000 60/60 PPM 600 x 2400 dpi USB, LAN, duplex</t>
  </si>
  <si>
    <t>522-101-0225-0028</t>
  </si>
  <si>
    <t>МФУ А3 цветное Epson WorkForce Enterprise WorkForce Enterprise WF- C20750 D4TW 75/75 PPM 600 x 2400 dpi USB, LAN,
duplex</t>
  </si>
  <si>
    <t>522-101-0225-0029</t>
  </si>
  <si>
    <t>МФУ А3 цветное Epson WorkForce Enterprise WorkForce Enterprise WF- C21000 D4TW 100/100 PPM 600 x 2400 dpi USB,
LAN, duplex</t>
  </si>
  <si>
    <t>522-101-0225-0030</t>
  </si>
  <si>
    <t>МФУ А3 монохромное Epson WorkForce Enterprise WorkForce Enterprise WF- M21000 D4TW 100/100 PPM 600 x 2400 dpi USB,
LAN, duplex</t>
  </si>
  <si>
    <t>522-101-0225-0031</t>
  </si>
  <si>
    <t>МФУ А3 цветное Epson WF- C878RDTWF 24/24 PPM 4800x2400 dpi USB, LAN, Wi-Fi,
duplex, FAX</t>
  </si>
  <si>
    <t>522-101-0225-0032</t>
  </si>
  <si>
    <t>МФУ А3 цветное Epson WF- C879RDTWF 25/25 PPM 4800x2400 dpi USB, LAN, Wi-Fi,
duplex, FAX</t>
  </si>
  <si>
    <t>522-101-0225-0033</t>
  </si>
  <si>
    <t>МФУ А3 цветное EpsonL15180 25/25 PPM
4800x2400 dpi USB, LAN, Wi-Fi, duplex</t>
  </si>
  <si>
    <t>522-101-0225-0034</t>
  </si>
  <si>
    <t>МФУ А3 Монохромное Epson M15140 25
PPM 4800x2400 dpi USB, LAN, Wi-Fi, duplex</t>
  </si>
  <si>
    <t>522-101-0225-0035</t>
  </si>
  <si>
    <t>Принтер широкоформатный Epson SureColor SC-T3100N, Micro Piezo, 24", 4 цвета, 2400 x
1200 DPI</t>
  </si>
  <si>
    <t>522-101-0225-0036</t>
  </si>
  <si>
    <t>Принтер широкоформатный Epson SureColor SC-T3100, Micro Piezo, 24", 4 цвета, 2400 x
1200 DPI</t>
  </si>
  <si>
    <t>522-101-0225-0037</t>
  </si>
  <si>
    <t>Принтер широкоформатный Epson SureColor SC-T3100x, Micro Piezo, 24", 4 цвета, 2400 x
1200 DPI</t>
  </si>
  <si>
    <t>522-101-0225-0038</t>
  </si>
  <si>
    <t>Принтер широкоформатный Epson SureColor SC-T5100N, Micro Piezo, 36", 4 цвета, 2400 x
1200 DPI</t>
  </si>
  <si>
    <t>522-101-0225-0039</t>
  </si>
  <si>
    <t>Принтер широкоформатный Epson SureColor SC-T5100, Micro Piezo, 36", 4 цвета, 2400 x
1200 DPI</t>
  </si>
  <si>
    <t>522-101-0225-0040</t>
  </si>
  <si>
    <t>Принтер широкоформатный Epson SureColor SC-T3400, Micro Piezo, 24", 4 цвета, 2400 x
1200 DPI</t>
  </si>
  <si>
    <t>522-101-0225-0041</t>
  </si>
  <si>
    <t>Принтер широкоформатный Epson SureColor SC-T3405, Micro Piezo, 24", 4 цвета, 2400 x
1200 DPI</t>
  </si>
  <si>
    <t>522-101-0225-0042</t>
  </si>
  <si>
    <t>Принтер широкоформатный Epson SureColor SC-T3405N, Micro Piezo, 24", 4 цвета, 2400 x
1200 DPI</t>
  </si>
  <si>
    <t>522-101-0225-0043</t>
  </si>
  <si>
    <t>Принтер широкоформатный Epson SureColor SC-T5405, Micro Piezo, 36", 4 цвета, 2400 x
1200 DPI</t>
  </si>
  <si>
    <t>522-101-0225-0044</t>
  </si>
  <si>
    <t>Принтер широкоформатный Epson SureColor SC-T3700E, Micro Piezo, 24", 6 цветов, 2400
x 1200 DPI</t>
  </si>
  <si>
    <t>522-101-0225-0045</t>
  </si>
  <si>
    <t>Принтер широкоформатный Epson SureColor SC-T3700D, Micro Piezo, 24", 6 цветов, 2400
x 1200 DPI, 2 рулона</t>
  </si>
  <si>
    <t>522-101-0225-0046</t>
  </si>
  <si>
    <t>Принтер широкоформатный Epson SureColor SC-T5700D, Micro Piezo, 36", 6 цветов, 2400
x 1200 DPI, 2 рулона</t>
  </si>
  <si>
    <t>522-101-0225-0047</t>
  </si>
  <si>
    <t>Принтер широкоформатный Epson SureColor SC-T7700D, Micro Piezo, 44", 6 цветов, 2400
x 1200 DPI, 2 рулона</t>
  </si>
  <si>
    <t>522-101-0225-0048</t>
  </si>
  <si>
    <t>МФУ широкоформатное Epson SureColor
SC-T3100M, Micro Piezo, 24”, 4 цвета, 2400 x
1200 DPI"</t>
  </si>
  <si>
    <t>522-101-0225-0049</t>
  </si>
  <si>
    <t>МФУ широкоформатное Epson SureColor
SC-T5100M, Micro Piezo, 36”, 4 цвета, 2400 x
1200 DPI"</t>
  </si>
  <si>
    <t>522-101-0225-0050</t>
  </si>
  <si>
    <t>МФУ широкоформатное Epson SureColor
SC-T5400M, Micro Piezo, 36”, 4 цвета, 2400 x
1200 DPI"</t>
  </si>
  <si>
    <t>522-101-0225-0051</t>
  </si>
  <si>
    <t>МФУ широкоформатное Epson SureColor SC-T5700DM, Micro Piezo, 36”, 6 цветов,
2400 x 1200 DPI, 2 рулона"</t>
  </si>
  <si>
    <t>522-101-0225-0052</t>
  </si>
  <si>
    <t>МФУ широкоформатное Epson SureColor SC-T7700DM, Micro Piezo, 44”, 6 цветов,
2400 x 1200 DPI, 2 рулона"</t>
  </si>
  <si>
    <t>522-101-0231</t>
  </si>
  <si>
    <t>Стойка для микрофона</t>
  </si>
  <si>
    <t>522-101-0232</t>
  </si>
  <si>
    <t>Пульт-микшер</t>
  </si>
  <si>
    <t>522-101-0232-0001</t>
  </si>
  <si>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</si>
  <si>
    <t>522-101-0232-0002</t>
  </si>
  <si>
    <t>Пульт микшерный QX1832USB BEHRINGER премиум класса 18 входов, 3/2 шины, 6 микрофонных предусилителя Xenyx
, 6 компрессоров, мульти эффект процессор Klark Teknik, 7-ми полосный эквалайзер с системой обнаружения обратной связи, USB подключение радиосистем , USB аудио интерфейс</t>
  </si>
  <si>
    <t>522-101-0233</t>
  </si>
  <si>
    <t>Синтезатор</t>
  </si>
  <si>
    <t>Цифровой синтезатор, цифровое пианино.</t>
  </si>
  <si>
    <t>522-101-0235</t>
  </si>
  <si>
    <t>Стойка под оргтехнику</t>
  </si>
  <si>
    <t>522-101-0243</t>
  </si>
  <si>
    <t>Сервер</t>
  </si>
  <si>
    <t>522-101-0243-0001</t>
  </si>
  <si>
    <t>Сервер 2288H V6, X-Fusion, 16/32 DDR4 DIMM, до 3200 МТ/с; 16 Optane™ PMem серии 200, до 3200 МТ/с, TDP до 270 Вт</t>
  </si>
  <si>
    <t>522-101-0243-0002</t>
  </si>
  <si>
    <t>Сервер Altos BrainSphere™ R320 F5/Intel Xeon E-2200/2100/до 80 Вт/3.5
ГГц/DDR4-2666/2400/2133MHz С ECC или
без ECC UDIMM/поддержка ОС Microsoft Windows Server 2019, 2016 Red Hat
Enterprise Linux 7.6</t>
  </si>
  <si>
    <t>522-101-0243-0003</t>
  </si>
  <si>
    <t>Сервер 1288H V7, X-Fusion. 2*Server Platinum 2000WAC power supply, 2*Intel Xeon Gold
6444Y(3.6GHz/16-Core/45MB/270W),
4*DDR5 RDIMM DRAM-32GB-4800 ECC,
2*SSD_2.5inch ,480GB, 4*SSD_2.5inch
,3840GB, Ethernet Card-10GE(CX-4 Lx)-Dual Port-SFP, Ethernet Card-2*GE(I350)-Dual
Port-RJ45, 9560-8i,PCIe RAID Controller,4GB Cache, 2*Optical transceiver,SFP+,850nm,10Gb/s,-7.3~-1dBm,-9
.9dBm,LC, MM,0.3km, Super-Care Onsite_36Month(s)</t>
  </si>
  <si>
    <t>522-101-0244</t>
  </si>
  <si>
    <t>Источник бесперебойного питания</t>
  </si>
  <si>
    <t>522-101-0244-0001</t>
  </si>
  <si>
    <t>UPS APC Back BX1100LI, 550W, 1х12V/9Ah,
6+1 розет., AVR</t>
  </si>
  <si>
    <t>522-101-0244-0002</t>
  </si>
  <si>
    <t>UPS APC Back BX500CI, 300W,
1х12V/5.5Ah, 3+1 розет., AVR</t>
  </si>
  <si>
    <t>522-101-0244-0003</t>
  </si>
  <si>
    <t>UPS SVC V1500-F, 1500 VA, 900W,
2х12V/9Ah,  AVR 165-275 V, USB, Line</t>
  </si>
  <si>
    <t>522-101-0244-0004</t>
  </si>
  <si>
    <t>UPS SVC 600BA-360Bt/SVC V-1500-L/SVC
V-800F-LCD</t>
  </si>
  <si>
    <t>522-101-0244-0005</t>
  </si>
  <si>
    <t>UPS Santak, 2000 ВА/1200 Вт, IEC 320 C13</t>
  </si>
  <si>
    <t>522-101-0244-0006</t>
  </si>
  <si>
    <t>UPS SVC V-1200-L-LCD, 1200ВА/7200Вт,
AVR: 165-275В,</t>
  </si>
  <si>
    <t>522-101-0244-0007</t>
  </si>
  <si>
    <t>UPS SVC V-1200-F, 1200ВА/720Вт, AVR:
165-275В, Smart, USB, защита тел. линии</t>
  </si>
  <si>
    <t>522-101-0245</t>
  </si>
  <si>
    <t>Сетевой фильтр</t>
  </si>
  <si>
    <t>522-101-0245-0001</t>
  </si>
  <si>
    <t>Сетевой фильтр Defender DFS-151, 6 розеток, 1.8м, White</t>
  </si>
  <si>
    <t>522-101-0245-0002</t>
  </si>
  <si>
    <t>Сетевой фильтр Defender DFS-753, 5 розеток, 3м, 2xUSB, Black</t>
  </si>
  <si>
    <t>522-101-0245-0003</t>
  </si>
  <si>
    <t>Сетевой фильтр iPower iPEO3m-USB, 6 розеток, 3м, USB-2, Black</t>
  </si>
  <si>
    <t>522-101-0245-0004</t>
  </si>
  <si>
    <t>Сетевой фильтр Trip-Lite Super 6 DEU, 6 розеток, 5м</t>
  </si>
  <si>
    <t>522-101-0248</t>
  </si>
  <si>
    <t>Интерактивный планшет</t>
  </si>
  <si>
    <t>522-101-0248-0001</t>
  </si>
  <si>
    <t>Графический планшет Huion H420, 4"x2.23", беcпроводное перо, USB</t>
  </si>
  <si>
    <t>522-101-0248-0002</t>
  </si>
  <si>
    <t>Графический планшет Wacom Intuos Small, 6"x3.7", беспроводное перо, USB</t>
  </si>
  <si>
    <t>522-101-0248-0003</t>
  </si>
  <si>
    <t>Графический планшет Wacom One Medium, 8.5"x5.3", беспроводное перо, USB</t>
  </si>
  <si>
    <t>522-101-0248-0004</t>
  </si>
  <si>
    <t>Графический планшет XP-Pen Deco Pro Small, 9"x5", беcпроводное перо, USB</t>
  </si>
  <si>
    <t>522-101-0248-0005</t>
  </si>
  <si>
    <t>Графический планшет XP-Pen Star 06, 10"x6", беcпроводное перо и планшет, беспроводной</t>
  </si>
  <si>
    <t>522-101-0248-0006</t>
  </si>
  <si>
    <t>Графический планшет XP-Pen Deco Pro Medium, 11"x6", беcпроводное перо, USB</t>
  </si>
  <si>
    <t>522-101-0253</t>
  </si>
  <si>
    <t>Интерактивный стол</t>
  </si>
  <si>
    <t>522-101-0253-0001</t>
  </si>
  <si>
    <t>Интерактивный стол, ёмкостная технология, диагональ 32” Full HD LED, до 10 касаний</t>
  </si>
  <si>
    <t>522-101-0253-0002</t>
  </si>
  <si>
    <t>Интерактивный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</si>
  <si>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t>
  </si>
  <si>
    <t>522-101-0253-0003</t>
  </si>
  <si>
    <t>Интерактивный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</si>
  <si>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t>
  </si>
  <si>
    <t>522-101-0253-0004</t>
  </si>
  <si>
    <t>Интерактивный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</si>
  <si>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Цифровые лаборатории нового поколения Sensedisc (набор датчиков, реагентов и ПО): датчик атмосферного давления, датчик электропроводимости, датчик света, датчик уровня PH, датчик растворенного кислорода с ПО позволяющим фиксировать результаты опытов и лабораторных работ, выполнять задания следуя инструкциям</t>
  </si>
  <si>
    <t>522-101-0253-0005</t>
  </si>
  <si>
    <t>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</si>
  <si>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</si>
  <si>
    <t>522-101-0253-0006</t>
  </si>
  <si>
    <t>Интерактивный сенсорный стол двухместный типа iDC для уроков по шахматам со встроенным компьютером, большим сенсорным монитором 32 дюйма, и набором фигур для игр (шахматы, шашки, нарды, тогыз кумалак)</t>
  </si>
  <si>
    <t>1) Столешница из ЛДСП толщиной 32мм на металлическом корпусе двухместная (Размер парты 1200х800х750мм), встроены ящики для
шахматных фигур по 500х600х150мм 2шт.  2) Встроенный компьютер (CPU Intel Core i3 9100 Оперативная память 8GB DDR4 Твердотельный накопитель 128GB SSD,  3) Сенсорный монитор 32 дюйма 10 касаний, 1920:1080. 60Гц)  4) Корпус системный блок внешними портами USB, mini Jack, кнопка запуска, дополнительное охлаждение, OS Windows 10Pro.  5) Набор фигур для игр в шахматы, шашки, нарды, тогыз кумалак. ПО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</si>
  <si>
    <t>522-101-0253-0007</t>
  </si>
  <si>
    <t>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</si>
  <si>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
7) Программное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датчик измерений качества воды (pH) диапазон: 0~14pH Погрешность: ±0.2pH
10) датчик температуры (сенсор датчика встроен в парту и подключен к ПК парты, данные выводятся на общий экран) Диапазон: -40℃~+135℃
Погрешность: ±0.5℃.                                    11) датчик давления газа (сенсор датчика встроен в парту и подключен к ПК парты, данные выводятся на
общий экран) Диапазон: 0 - 300кПа Погрешность: ±10 кПа
12) датчик проводимости (сенсор датчика встроен в парту и подключен к ПК парты, данные выводятся на общий экран) Диапазон 0 ~ 20000мкСм/см Точность ±4% Дискретность 6мкСм/см   13) датчик пульса
Диапазон: 0~200 у/м Погрешность: ±1                    14) датчик уровня кислорода (сенсор датчика встроен в парту и подключен к ПК парты, данные выводятся на общий экран) Диапазон: 0~20 мг/л Погрешность: ±0.1 мг/л                                         15) датчик уровня углекислого газа (сенсор датчика встроен в парту и подключен к ПК парты, данные выводятся на общий экран) Диапазон 0 ~ 20мг/л 0-100% Точность ±0.5мг/л ±4% Дискретность 0.1мг/л 0.1%                     16) датчик сердцебьения человека (электрокардиограмма)  (сенсор датчика встроен в парту и подключен к ПК парты, данные выводятся на общий экран) В комплекте с датчиком: провода и пластыри фиксации электродов  Диапазон -1мВ ~ +5мВ
Дискретность 0.0025мВ                                                                              176)41
датчик света (колориметр) (сенсор датчика встроен в парту и подключен к ПК парты, данные выводятся на общий экран)Диапазон: 0~55000 люкс Погрешность: ±5%</t>
  </si>
  <si>
    <t>522-101-0253-0008</t>
  </si>
  <si>
    <t>Интерактивный сенсорный стол двухместный (лабораторный) типа iDC для уроков по физике со встроенным компьютером, сенсорным монитором 22 дюйма,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</si>
  <si>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
7) Программное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акселерометр 3 оси
10) GPS датчик стандартный  (встроен в парту и подключен к ПК парты, данные выводятся на общий экран),</t>
  </si>
  <si>
    <t>522-101-0253-0009</t>
  </si>
  <si>
    <t>Интерактивный сенсорный стол двухместный (лабораторный) типа iDC для уроков по химии со встроенным компьютером, сенсорным монитором 22 дюйма,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</si>
  <si>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Программное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Встроенные датчики:   8) датчик измерений качества воды (pH) диапазон: 0~14pH Погрешность: ±0.2pH     9) датчик температуры (сенсор датчика встроен в парту и подключен к ПК парты, данные выводятся на общий экран) Диапазон: -40℃~+135℃ Погрешность: ±0.5℃.    10) датчик давления газа (сенсор датчика встроен в парту и подключен к ПК парты, данные выводятся на общий экран) Диапазон: 0 - 300кПа Погрешность: ±10 кПа  ,   11) датчик проводимости Диапазон 0 ~ 20000мкСм/см Точность
±4% Дискретность 6мкСм/см,    12) датчик напряжения Диапазон — 30В ~
+30В Точность ±1% Дискретность 0.02В    13) датчик света (колориметр) Диапазон 0 ~ 55000Люкс Точность ±5% Дискретность 15Люкс</t>
  </si>
  <si>
    <t>522-101-0253-0010</t>
  </si>
  <si>
    <t>Интерактивный сенсорный стол двухместный типа iDC для уроков по информатике с 2 встроенными компьютерами, сенсорными мониторами 21,5 дюйма, периферией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</si>
  <si>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i5-9600KF(3.7GHz), 9M, 1151
Оперативная память 8GB DDR4 Твердотельный накопитель 256GB SSD - 2шт  3) Сенсорный монитор 21,5 дюйма 10 касаний, 1920:1080. 60Гц) - 2щт
4) Корпус системный блок внешними портами USB, mini Jack, кнопка запуска, дополнительное охлаждение, OS Windows 10Pro, - 2шт  5) Розетки
2 по 220В и 2 USB встроены в стол, - 2шт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контент.-2комплекта</t>
  </si>
  <si>
    <t>522-101-0253-0011</t>
  </si>
  <si>
    <t>Интерактивный сенсорный стол двухместный типа iDC для уроков по изучению языков со встроенным компьютером, сенсорным монитором 21,5 дюйма, и двумя парами гарнитур</t>
  </si>
  <si>
    <t>1) Столешница из ЛДСП толщиной 32мм (двойной лист ЛДСП) на металлическом корпусе двухместная (Размер парты 1200х800х750мм),    2) Встроенный компьютер (CPU CPU Intel Core i5-9600KF(3.7GHz), 9M, 1151 Оперативная память 8GB DDR4 Твердотельный накопитель 128GB SSD,
3) Сенсорный монитор 21,5 дюйма 10 касаний, 1920:1080. 60Гц)        4) 2 пары гарнитур наушников с микрофонами LOGITECH   5) Корпус
системный блок внешними портами USB, 2 порта mini Jack, кнопка запуска, дополнительное охлаждение, OS Windows 10Pro.     6) Розетки 2 по 220В и 2 USB встроены в стол,</t>
  </si>
  <si>
    <t>522-101-0253-0012</t>
  </si>
  <si>
    <t>Интерактивный сенсорный стол двухместный типа iDC для уроков по истории, праву и географии со встроенным компьютером и сенсорным монитором 21,5 дюйма</t>
  </si>
  <si>
    <t>1) Столешница из ЛДСП толщиной 32мм на металлическом корпусе двухместная (Размер парты 1200х800х750мм),   2) Встроенный компьютер
CPU Intel Core i3 9100 Оперативная память 8GB DDR4 Твердотельный накопитель 128GB SSD  3) Сенсорный монитор 21,5 дюйма 10 касаний, 1920:1080. 60Гц          4) Розетки 2 по 220В и 2 USB встроены в стол,  5) Корпус системный блок внешними портами USB, 2 порта mini Jack, кнопка запуска, дополнительное охлаждение, OS Windows 10Pro.</t>
  </si>
  <si>
    <t>522-101-0253-0013</t>
  </si>
  <si>
    <t>Интерактивный сенсорный стол одноместный типа iDC для уроков по графическому дизайну со встроенным компьютером, монитором 23,6 дюймов и дополнительным сенсорным планшетным экраном</t>
  </si>
  <si>
    <t>1) Столешница из ЛДСП толщиной 32мм на металлическом корпусе одноместная (Размер парты 1200х800х750мм),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</si>
  <si>
    <t>522-101-0253-0014</t>
  </si>
  <si>
    <t>Интерактивный сенсорный стол одноместный типа iDC для преподавателя для уроков по графическому дизайну со встроенным компьютером, монитором 23,6 дюймов и дополнительным сенсорным планшетным экраном</t>
  </si>
  <si>
    <t>1) Столешница из ЛДСП толщиной 32мм на металлическом корпусе одноместная (Размер парты 1500х800х750мм с боковой тумбой для
документов и МФУ 1000х500х500),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</si>
  <si>
    <t>522-101-0253-0015</t>
  </si>
  <si>
    <t>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</si>
  <si>
    <t>1) Столешница из ЛДСП толщиной 32 мм на металлическом корпусе одноместная (Размер парты 900х650х750мм).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</si>
  <si>
    <t>522-101-0253-0016</t>
  </si>
  <si>
    <t>Интерактивный стол типа iDC для преподавателя со встроенным компьютером и сенсорным монитором 23,8 дюймов, удлиненной тумбой</t>
  </si>
  <si>
    <t>1) Столешница из ЛДСП толщиной 32 мм на металлическом корпусе (размер стола 1500х700х750мм). Края радиальные. Тумба является частью стола (размер тумбы 1200х600х500мм) 2) Встроенный компьютер (CPU Intel Core i5-10400 2,9GHz (4,3GHz) 12Mb 6/12 Core Comet Lake Intel® UHD
630 65W FCLGA1200 Tray, Оперативная память 16GB GEIL 2666MHz DDR4 PC4-21300 19-19-19-43 GN416GB2666C19S Bulk Pack,
Твердотельный накопитель 512GB SSD GEIL GZ25Z3-512GP ZENITH Z3 Series2.5” SATAIII R520MB/s W470MB/s 3) Сенсорный монитор 23,8 дюйма, 10 касаний, 1920:1080, 75Гц  4) Корпус-системный блок (являеся неотъемлемой частью стола) с внешними портами USB, mini Jack, кнопка запуска, дополнительное охлаждение, OS Windows 11 PRO 5) Розетки 2 по 220В и 2 USB встроены в стол 6) Периферия: клавиатура и мышь беспроводные USB, беспрводная гарнитура (наушники с микрофоном), веб-камера (1280x720 HD)</t>
  </si>
  <si>
    <t>522-101-0253-0017</t>
  </si>
  <si>
    <t>Интерактивный одноместный стол типа iDC со встроенным компьютером, монитором 21,5 дюймов и проводной периферией (мышь, клавиатура, веб-камера, гарнитура)</t>
  </si>
  <si>
    <t>1) Столешница из ЛДСП толщиной 32 мм на металлическом корпусе одноместная (Размер парты 650х600х750мм).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Монитор 21,5 дюйма 1920:1080, 70Гц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клавиатура и мышь проводные USB, проводная гарнитура (наушники с микрофоном), веб-камера (1280x720 HD)</t>
  </si>
  <si>
    <t>522-101-0253-0018</t>
  </si>
  <si>
    <t>Интерактивный сенсорный стол типа iDC (комплект из 6 парт) для групповых уроков со встроенным компьютером, сенсорным встроенным монитором 21,5 дюймов</t>
  </si>
  <si>
    <t>1) Столешница из МДФ толщиной 20мм на металлическом корпусе (Размер парты 1500х700х750мм). Края радиальные - 6шт.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GZ25R3 - 6шт. 3) Монитор 21,5 дюйма, сенсорное стекло 10 касаний, 1920:1080, 70Гц - 6 шт. 4) Корпус системный блок внешними портами USB, mini Jack, кнопка запуска, дополнительное охлаждение, OS Windows 11Pro - 6 шт. 5) Розетки 2 по 220В и 2 USB встроены в стол - 6 шт.</t>
  </si>
  <si>
    <t>522-101-0253-0019</t>
  </si>
  <si>
    <t>Интерактивный одноместный стол типа iDC со встроенным компьютером, монитором 27 дюймов и проводной периферией (мышь, клавиатура, веб-камера, гарнитура)</t>
  </si>
  <si>
    <t>1) Столешница из ЛДСП толщиной 32 мм на металлическом корпусе двухместная (Размер парты 650х600х750мм). Края радиальные.  2)
Процессор: Количество ядер 10; Максимальное количество потоков 16; Объем кэша L3 20 МБ; Базовая частота процессора (МГц) 1,8 ГГц; Максимальная частота (МГц) 4,6 ГГц; встроенный графический процессора. Видеокарта: Встроенная с объемом видеопамяти 2 Гб; Операционная система: с наличием графического интерфейса на государственном языке. Оперативная память: DDR4 16 Гб, Тактовая частота: 3200 Мгц. Порты и системы беспроводной передачи данных:наличие 7 портов: 2 порта USB 3.0, 2 порта USB 2.0, 1 Type-C, 1 для аудио/микрофона или порты с иной раскладкой превосходящие текущие параметры; Устройство хранения данных: 512 Гб SSD. Материнская плата 1 разъема М.2,  PCI Express 3.0 x 4, 1 Ethernet-скорость – 1 Гбит/сек; Блок питание 300 Вт, Соответствие стандарту: 80 PLUS Gold.
3) Разрешение экрана – 2560х1440. Диагональ -  27 дюймов. Порты - 2 порта HDMI, 1 порта Display Port. Разъем для наушников, аудиовход 3.5 мм MiniJack. Встроенные динамики 2х2Вт. Дополнительные режимы – Умное
энергосбережение, Безопасный режим мерцания, Режим чтения, Динамическая синхронизация действий. Минимальная яркость экрана - 300 кд/кв.м. Матрица – VA или IPS. Максимальная частота обновления кадров 165 Гц. Мин. Время отклика пикселя 1 мс. Регулировка наклона/ Регулировка высоты 90 мм, поворот по часовой стрелке 90°/против часовой стрелки 90°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проводная языки: казахский(кириллица)/ русский/английский с заводским нанесением букв, длина провода 2 метра и мышь проводные USB,
Микрофонно-телефонная гарнитура: тип крепления гарнитуры - дуговое. Частотный диапазон: нижняя граница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веб-камера (1280x720 HD) поддержка Full Hd,
2 МП</t>
  </si>
  <si>
    <t>522-101-0253-0020</t>
  </si>
  <si>
    <t>Интерактивный одноместный стол типа iDC регулируемый по высоте c электроподъемниками, встроенным компьютером и сенсорным монитором 21,5 дюймов</t>
  </si>
  <si>
    <t>1) Столешница из ЛДСП толщиной 32 мм на металлическом корпусе одноместная (Размер парты 800х700х700-1200мм).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Сенсорный монитор 21,5 дюйма 10 касаний, 1920:1080, 70Гц 4) Корпус системный блок внешними портами USB, mini Jack, кнопка запуска, дополнительное охлаждение, OS Windows 11Pro,  5) Розетки 2 по 220В и 2 USB встроены в стол  6) Двухмоторная рама стола с электрической регулировкой высоты от 700 до 1200мм.           7) Периферия: клавиатура и мышь беспроводные</t>
  </si>
  <si>
    <t>522-101-0255</t>
  </si>
  <si>
    <t>Интерактивные системы</t>
  </si>
  <si>
    <t>522-101-0255-0001</t>
  </si>
  <si>
    <t>Интерактивная панель Promethean ActivPanel 9 Premium 75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</si>
  <si>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-651
Кронштейн Mini PC с 2 винтами (1шт);</t>
  </si>
  <si>
    <t>522-101-0255-0002</t>
  </si>
  <si>
    <t>Интерактивная панель Promethean ActivPanel 9 Premium 86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</si>
  <si>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 Кронштейн Mini PC с 2 винтами (1шт);</t>
  </si>
  <si>
    <t>522-101-0255-0003</t>
  </si>
  <si>
    <t>Интерактивная панель Promethean ActivPanel 9 Premium 65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</si>
  <si>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-653
Кронштейн Mini PC с 2 винтами (1шт);</t>
  </si>
  <si>
    <t>522-101-0255-0004</t>
  </si>
  <si>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</si>
  <si>
    <t>522-101-0255-0005</t>
  </si>
  <si>
    <t>Интерактивная система Smart SSP, 3D Education, комплекс включает интерактивную панель 75 дюйм,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</si>
  <si>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t>- Интерактивная панель:75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 Число касаний: 20 (Win, Mac); - Разъем HDMI 2.1 4K @ 60Hz with HDCP
1.4 and HDCP 2.3 support – 4 шт. LAN-in (RJ-45)1 шт. LAN-out (RJ-45 1 шт. USB-A 3.0 USB 3.2 Type-A – 4 шт. USB-C USB Type-C 8K @ 30Hz Display Port 1.4a, HDCP 2.3 and HDCP 1.3, USB 3.2 Gen 1; 4.5 W power delivery – 1 шт. Wi-Fi (802.11ac) 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 - Настенное крепление в комплекте; - Мобильная стойка на колёсиках для интерактивной панели; - Компьютер Smart SSP (OPS): Корпус: цельнометаллический корпус с перфорацией Smart SSP ГОСТ 32126.1-2013  OPS i5 13400 1.80 / 2.50 GHz, 10 ядер / 16
потоков / Кэш 20М / DDR4 8gb 3200Mhz / SSD 256Gb; - Программное обеспечение интегрированного в панель компьютера (OPS): Windows 11 /
Office 2019 - Гарантия 3 года, обслуживание оборудование 5 лет</t>
  </si>
  <si>
    <t>522-101-0255-0006</t>
  </si>
  <si>
    <t>Интерактивная панель HUAWEI IdeaHub Board 2 IHB2-75SU</t>
  </si>
  <si>
    <t>522-101-0255-0007</t>
  </si>
  <si>
    <t>Интерактивный дисплей Samsung Flip 2 LH65WMRWBGCXCI 65" диагонали</t>
  </si>
  <si>
    <t>522-101-0255-0008</t>
  </si>
  <si>
    <t>Интерактивная панель Samsung Flip Pro LH75WMBWLGCXCI 75" диагонали (в комплекте с ПК-модулем)</t>
  </si>
  <si>
    <t>- Интерактивная панель: диагональ 75 дюймов, разрешение 4K UHD, закалённое защитное стекло, антимикробное покрытие, защита от осколков, мульти язычный интерфейс (каз., рус., англ.)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Также ПО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ЕНТ, образовательный комплекс из фильмов, созданных на основе школьной программы по химии, физике, биологии, географии и естествознанию. - ПК-модуль - Встроенный адаптер Bluetooth и Wi-Fi - Встроенная система киберзащиты Knox Security; - Система беспроводного подключения и вывода экрана личных устройств (компьютера, планшета, смартфона) без установки доп. приложений и выхода в сеть Интернет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 - Гарантийное обслуживание на базе сети авторизованных сервисных центров Samsung на территории Республики Казахстан</t>
  </si>
  <si>
    <t>522-101-0255-0009</t>
  </si>
  <si>
    <t>Интерактивная панель Samsung Flip Pro LH75WMBWLGCXCI 75" диагонали</t>
  </si>
  <si>
    <t>522-101-0255-0010</t>
  </si>
  <si>
    <t>Видеостенный дисплей Samsung VM55B-E LH55VMBEBGBXCI 55" диагонали</t>
  </si>
  <si>
    <t>522-101-0255-0011</t>
  </si>
  <si>
    <t>Интерактивная панель ROQED Smart Panel, 75 дюймов</t>
  </si>
  <si>
    <t>522-101-0255-0012</t>
  </si>
  <si>
    <t>Интерактивная панель ROQED Smart Panel с камерой, 75 дюймов</t>
  </si>
  <si>
    <t>522-101-0255-0013</t>
  </si>
  <si>
    <t>Интерактивная панель ROQED Smart Panel, 86 дюймов</t>
  </si>
  <si>
    <t>522-101-0255-0014</t>
  </si>
  <si>
    <t>Интерактивная панель ROQED Smart Panel, 86 дюймов  с меловой доской 998мм*1200мм</t>
  </si>
  <si>
    <t>522-101-0255-0015</t>
  </si>
  <si>
    <t>Интерактивная панель ROQED Smart Panel, 65 дюймов</t>
  </si>
  <si>
    <t>522-101-0255-0016</t>
  </si>
  <si>
    <t>Интерактивная панель Riotouch Smart Panel, 75 дюймов</t>
  </si>
  <si>
    <t>522-101-0255-0017</t>
  </si>
  <si>
    <t>Интерактивная панель Riotouch Smart Panel, 86 дюймов</t>
  </si>
  <si>
    <t>522-101-0255-0019</t>
  </si>
  <si>
    <t>Интерактивная сенсорная панель LG 75TR3DK, 75 дюймов</t>
  </si>
  <si>
    <t>522-101-0255-0020</t>
  </si>
  <si>
    <t>Интерактивная сенсорная панель  LG 65TR3DK, 65 дюймов</t>
  </si>
  <si>
    <t>522-101-0255-0021</t>
  </si>
  <si>
    <t>Интерактивная сенсорная панель  LG 55TR3DK, 55 дюймов</t>
  </si>
  <si>
    <t>522-101-0255-0022</t>
  </si>
  <si>
    <t>Интерактивная панель PROTOUCH PT65-0432С, 65 дюймов</t>
  </si>
  <si>
    <t>Интерактивная панель: 65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</si>
  <si>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522-101-0255-0023</t>
  </si>
  <si>
    <t>Интерактивная панель PROTOUCH PT65-0864T, 65 дюймов</t>
  </si>
  <si>
    <t>Интерактивная панель: 65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</si>
  <si>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522-101-0255-0024</t>
  </si>
  <si>
    <t>Интерактивная панель PROTOUCH PT75-0432С, 75 дюймов</t>
  </si>
  <si>
    <t>Интерактивная панель: 75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</si>
  <si>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522-101-0255-0025</t>
  </si>
  <si>
    <t>Интерактивная панель PROTOUCH PT75-0864T, 75 дюймов</t>
  </si>
  <si>
    <t>Интерактивная панель: 75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</si>
  <si>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522-101-0255-0026</t>
  </si>
  <si>
    <t>Интерактивная панель PROTOUCH PT86-0432С, 86 дюймов</t>
  </si>
  <si>
    <t>Интерактивная панель: 86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</si>
  <si>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522-101-0255-0027</t>
  </si>
  <si>
    <t>Интерактивная панель PROTOUCH PT86-0864T, 86 дюймов</t>
  </si>
  <si>
    <t>Интерактивная панель: 86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</si>
  <si>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522-101-0255-0028</t>
  </si>
  <si>
    <t>Интерактивная панель ROQED Ultra, 75 дюймов</t>
  </si>
  <si>
    <t>Интерактивная панель: 75 диагональ
-  Программное обеспечение (ПО) для беспроводной передачи с других устройств;
-  Программное обеспечение (ПО) MDM для дистанционного управления панелями;                                                              -Программное обеспечения (ПО) E-share для беспроводной передачи с других устройств)
- Встроенный сканер отпечатка пальца для авторизации
преподавателя;</t>
  </si>
  <si>
    <t>522-101-0255-0029</t>
  </si>
  <si>
    <t>Интерактивная доска NEXUS HF860QUB-E20, 86 дюймов</t>
  </si>
  <si>
    <t>522-101-0255-0030</t>
  </si>
  <si>
    <t>Интерактивная доска NEXUS P750Q\/N05, 75 дюймов</t>
  </si>
  <si>
    <t>522-101-0255-0031</t>
  </si>
  <si>
    <t>Интерактивная доска NEXUS DDV650QUB-N00 4К, 65 дюймов</t>
  </si>
  <si>
    <t>522-101-0255-0032</t>
  </si>
  <si>
    <t>Интерактивная панель Lumien 65EL, 65 дюймов</t>
  </si>
  <si>
    <t>Интерактивная панель: 65 диагональ;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</si>
  <si>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522-101-0255-0033</t>
  </si>
  <si>
    <t>Интерактивная панель Lumien 75EL, 75 дюймов</t>
  </si>
  <si>
    <t>Интерактивная панель: 75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</si>
  <si>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522-101-0255-0034</t>
  </si>
  <si>
    <t>Интерактивная панель Lumien 86EL, 86 дюймов</t>
  </si>
  <si>
    <t>Интерактивная панель: 86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</si>
  <si>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522-101-0255-0036</t>
  </si>
  <si>
    <t>Интерактивная панель HJ-TD65, 65 дюймов</t>
  </si>
  <si>
    <t>- Интерактивная панель: 65 дюймов, 60 Hz, яркость 350 кд/м2, антибликовое закаленное стекло, скорость сканирование 6,7 мс; - Встроенный мини компьютер с предустановленной мобильной операционной системой, 8 ядерный процессор с тактовой частотой 1,5 Ghz/1 Gb DDR/8 Gb/1790x1095x114 мм, вес 46 кг;  - Настенное крепление VESA x 4; - Дистанционное управление;</t>
  </si>
  <si>
    <t>522-101-0255-0037</t>
  </si>
  <si>
    <t>Интерактивная панель HJ-TD75, 75 дюймов</t>
  </si>
  <si>
    <t>- Интерактивная панель: 75 дюймов, LED/1654 x 932 мм/16:09/3840*2160 (4K), 8 мс, потребляемая мощность: AC 100-240 В, 50/60 Гц;  - AG антибликовое стекло; -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</si>
  <si>
    <t>522-101-0255-0038</t>
  </si>
  <si>
    <t>Интерактивная панель HJ-TD86, 86 дюймов</t>
  </si>
  <si>
    <t>- Интерактивная панель: 86 дюймов, LED/1654 x 932 мм/16:09/3840*2160 (4K)/8 мс, AC 100-240 В, 50/60 Гц; - AG антибликовое стекло;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</si>
  <si>
    <t>522-101-0255-0039</t>
  </si>
  <si>
    <t>Интерактивная панель Samsung Flip 3, 75" дюймов (в комплекте с ПК-модулем)</t>
  </si>
  <si>
    <t>- Интерактивная панель: диагональ 75 дюймов, 4K UHD, закалённое защитное стекло, антимикробное покрытие, защита от осколков, мульти язычный интерфейс;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 ПК-модуль; - Встроенная система киберзащиты Knox Security; - Система Smartview; - Система дистанционного мониторинга, управления и сбора данных с панелей Samsung MagicInfo; - Настенное металлическое VESA-крепление, совместимое с панелью;</t>
  </si>
  <si>
    <t>522-101-0255-0040</t>
  </si>
  <si>
    <t>Интерактивная панель Samsung Flip 3, 75" дюймов</t>
  </si>
  <si>
    <t>- Интерактивная панель: диагональ 75 дюймов, 4K UHD, закалённое защитное стекло, антимикробное покрытие, защита от осколков, мульти язычный интерфейс;  - Система беспроводного подключения и вывода экрана личных устройств;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t>
  </si>
  <si>
    <t>522-101-0255-0041</t>
  </si>
  <si>
    <t>Интерактивная панель New Line Lyra, 65 дюймов</t>
  </si>
  <si>
    <t>- Интерактивная панель New Line Lyra 65 дюймов (США) 4K UHD, RAM-4GB,64GB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</si>
  <si>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522-101-0255-0042</t>
  </si>
  <si>
    <t>Интерактивная панель New Line Lyra, 75 дюймов</t>
  </si>
  <si>
    <t>Интерактивная Панель New Line Lyra 75.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</si>
  <si>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522-101-0255-0043</t>
  </si>
  <si>
    <t>Интерактивная панель New Line Lyra, 86 дюймов</t>
  </si>
  <si>
    <t>Интерактивная Панель New Line Lyra 86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</si>
  <si>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522-101-0255-0044</t>
  </si>
  <si>
    <t>Интерактивная панель New Line Elara, 65 дюймов</t>
  </si>
  <si>
    <t>Интерактивная Панель New Line Elara 65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</si>
  <si>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522-101-0255-0045</t>
  </si>
  <si>
    <t>Интерактивная панель New Line Elara, 75 дюймов</t>
  </si>
  <si>
    <t>Интерактивная Панель New Line Elara 75.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</si>
  <si>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522-101-0255-0046</t>
  </si>
  <si>
    <t>Интерактивная панель New Line Elara, 86 дюймов</t>
  </si>
  <si>
    <t>Интерактивная Панель New Line Elara 86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</si>
  <si>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522-101-0255-0047</t>
  </si>
  <si>
    <t>Интерактивная панель BenQ RE6503, 65 дюймов</t>
  </si>
  <si>
    <t>522-101-0255-0048</t>
  </si>
  <si>
    <t>Интерактивная панель BenQ RE7503, 75 дюймов</t>
  </si>
  <si>
    <t>522-101-0255-0049</t>
  </si>
  <si>
    <t>Интерактивная панель BenQ RE8603, 86 дюймов</t>
  </si>
  <si>
    <t>522-101-0255-0050</t>
  </si>
  <si>
    <t>Интерактивная панель Aiala, 65 дюймов 2/16, на мобильной стойке</t>
  </si>
  <si>
    <t>522-101-0255-0051</t>
  </si>
  <si>
    <t>Интерактивная панель Aiala, 75 дюймов 2/16, на мобильной стойке</t>
  </si>
  <si>
    <t>522-101-0255-0052</t>
  </si>
  <si>
    <t>Интерактивная панель Aiala, 75 дюймов 8/128, на мобильной стойке</t>
  </si>
  <si>
    <t>522-101-0255-0053</t>
  </si>
  <si>
    <t>Интерактивная панель Aiala, 86 дюймов 2/16, на мобильной стойке</t>
  </si>
  <si>
    <t>522-101-0255-0054</t>
  </si>
  <si>
    <t>Интерактивная панель Aiala, 86 дюймов 8/128, на мобильной стойке</t>
  </si>
  <si>
    <t>522-101-0255-0055</t>
  </si>
  <si>
    <t>Интерактивная панель Aiala, 98 дюймов 2/16, на мобильной стойке</t>
  </si>
  <si>
    <t>522-101-0255-0056</t>
  </si>
  <si>
    <t>Интерактивная панель Aiala, 98 дюймов 8/128, на мобильной стойке</t>
  </si>
  <si>
    <t>522-101-0255-0057</t>
  </si>
  <si>
    <t>Интерактивная панель SMART SBID-MX275. 75 диагональ с профессиональным ПО для создания
3D-моделей и готовых интерактивных уроков</t>
  </si>
  <si>
    <t>- Интерактивная панель SMART SBID-MX275-V3N(A73),  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Число касаний: 20 (Win, Mac); - Разъем HDMI 2.1 4K @ 60Hz with HDCP 1.4 and HDCP 2.3 support – 4 шт.
LAN-in (RJ-45)1 шт. LAN-out (RJ-45 1 шт USB-A 3.0USB 3.2 Type-A – 4 шт.
USB-C USB Type-C 8K @ 30Hz Display Port 1.4a, HDCP 2.3 and HDCP 1.3, USB 3.2 Gen 1; 4.5 W power delivery – 1 шт. Wi-Fi (802.11ac)IEEE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астрономия;культура.
- Настенное крепление в комплекте;</t>
  </si>
  <si>
    <t>522-101-0255-0058</t>
  </si>
  <si>
    <t>Интерактивная панель ROQED Ultra, 75 дюймов (в комплекте с компьютером OPS-Core
i5-1035G/8GB/SSD256GB/Windows 10)</t>
  </si>
  <si>
    <t>522-101-0255-0059</t>
  </si>
  <si>
    <t>Интерактивная панель Promethean ActivPanel 9, 4K UHD, 75 дюймов</t>
  </si>
  <si>
    <t>- Интерактивная панель 75' диагонали с типом экрана TFT LCD, с закаленным и антибликовым стеклом, временем отклика менее 8 мс; - Технология сенсор Vellum, точки продолжительного касания - 20, время отклика &lt;10мс, точность сенсора 1 мм; - Технология уменьшения синего цвета для снижения нагрузки на зрение ребенка и педагога; - ОС ActivPanel OS (на базе Android), поддержка Windows (совместимость с Windows, Mac, Linux, Chrome); - ПО ActivInspire Professional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Двойные фронтальные динамики 2 х 15 Вт; - Модуль Wi-Fi и Bluetooth Promethean; - Настенное крепление;</t>
  </si>
  <si>
    <t>522-101-0255-0060</t>
  </si>
  <si>
    <t>Интерактивная панель Promethean ActivPanel LX, 4K UHD, 75 дюймов</t>
  </si>
  <si>
    <t>Интерактивная панель ActivPanel LX 75 диагонали с типом экрана TFT LCD (прямая светодиодная подсветка), с термозакаленным и антибликовым стеклом и прочностью стекла: 8Н (карандаш), 7 (по Моосу), временем отклика менее 8 мс; технология сенсор Vellum, точки продолжительного касания - 20, время отклика &lt;10мс, точность сенсора 1 мм, толщина стекла
3.2мм;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ActivPanel OS (на базе Android) и Windows (совместимость с Windows, Mac, Linux, Chrome); программное обеспечение ActivInspire Professional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Promethean OPS-A, операционная система Android, Wi-Fi Bluetooth; двойные фронтальные динамики 2 х 15 Вт; безбатарейная ручка для интерактивной панели (2шт); пульт дистанционного управления (1шт) и аккумуляторы для пульта (2шт); настенное крепление (1шт); кабель HDMI длиной 3м (1шт); кабель USB (A-B) длиной 3м (1шт); кабель USB-C длиной 2м (1шт); адаптер USB-А 3,0 х 3; внешний микрофон х 1; региональный кабель для питания длиной 3м (1шт); соответствие
международному стандарту энергоэффективности Energy Star.</t>
  </si>
  <si>
    <t>522-101-0255-0061</t>
  </si>
  <si>
    <t>Интерактивная панель H12-65</t>
  </si>
  <si>
    <t>Интерактивная панель 65 дюймов, Android 11/Amlogic T982/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</si>
  <si>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522-101-0255-0062</t>
  </si>
  <si>
    <t>Интерактивная панель H12-75</t>
  </si>
  <si>
    <t>Интерактивная панель 75 дюймов; Android 12/V100/ ARM Cortex A55*8*1.9 MHz / Mali G52 MP22*950 MHz/8 Gb DDR4/128 Gb и стандартное разрешение 4K/Ultra HD (3840*2160) /слот OPS для установки дополнительного компьютера / интерфейсы (HDMI, USB 2.0, USB 3.0, USBTypeC, USBTouch, RJ45, VGA, VGAAUDIO, EARPHON, MIC, SPDIF,
RS232)/ Bluetooth 5.0, WiFi 2.4-5 Ghz/ антибликовое и антивандальное покрытие экрана (в комплекте 2 маркера, 1 указка, пульт, крепление Vesa - 1 шт)</t>
  </si>
  <si>
    <t>522-101-0255-0063</t>
  </si>
  <si>
    <t>Интерактивная панель H12-86</t>
  </si>
  <si>
    <t>Интерактивная панель 86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</si>
  <si>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522-101-0255-0064</t>
  </si>
  <si>
    <t>Интерактивная панель H12-98</t>
  </si>
  <si>
    <t>Интерактивная панель 98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</si>
  <si>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522-101-0255-0065</t>
  </si>
  <si>
    <t>Интерактивная система Smart SSP-GX175. Комплекс включает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</si>
  <si>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t>Интерактивная панель 75 диагональ/4K UHD (3840 × 2160)/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программное обеспечение: SMART Notebook® Basic, SMART Ink® и SMART Product Drivers; мобильная стойка на колёсиках Smart SSP для интерактивной панели 75 диагональ; компьютер i3-12100/RAM 8Gb/SSD240Gb/400w/корпус цельнометаллический корпус с перфорацией Smart SSP  ГОСТ 32126.1-2013; программное обеспечение Windows 10 PRO; кабель питания - 2 шт; USB кабель - 1 шт; маркеры - 2 шт; внешние двухдиапазонные антенны 2,4 и 5 ГГц (2 Wi-Fi, 1 точка доступа) - 3шт; пульт дистанционного управления - 1шт; батарейки ААА - 2шт.</t>
  </si>
  <si>
    <t>522-101-0255-0066</t>
  </si>
  <si>
    <t>Интерактивная панель Smart
SBID-GX075-V3(ОС SBID-GX175-V3), 75
дюймов</t>
  </si>
  <si>
    <t>Интерактивная панель Smart SBID-GX075-V3(ОС SBID-GX175-V3)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Операционнвя система Android 13.0(включая государственный - казахский язык); функция распознавания нескольких касаний: 20 – Windows® и Mac,10 – Chrome OS™; RS-232; проводной RJ45 (×2) 100baseT; Wi-Fi IEEE 802.11a/b/g/n/ac с 2 × 2; MIMO (диапазоны 2,4 и 5 ГГц) с поддержкой протоколов аутентификации WEP, WPA, WPA2 PSK и 802.1X EAP; точка доступа Wi-Fi; Bluetooth 5:0; USB; HDMI;DP;VGA; кабель питания - 1 шт; USB кабель - 1 шт; маркеры - 2 шт(крепится на раму); внешние двухдиапазонные антенны 2,4 и 5 ГГц (2 Wi-Fi, 1 точка доступа) - 3шт; пульт дистанционного управления - 1шт; батарейки ААА - 2шт; иллюстрированные инструкции по монтажу +документ с важной информацией  - 1шт. Яркость 400кд/м. Контраст 5000:1. Статистическая контрастность 1200:1. Максимальное разрешение 4K UHD (3840*2160), угол обзора 178. Память 8Gb; хранение 64Gb; Процессор Quad Core A55 (x4); Динамик - 2 встроенных динамика с мощностью 20ВТ с высокой точностью воспроизведения звука. Наличие ПО Smart Notebook; + ПО с 3D обьектами. Это библиотека с 1500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t>
  </si>
  <si>
    <t>522-101-0255-0067</t>
  </si>
  <si>
    <t>Интерактивная панель ARYSTAN, 65 дюймов</t>
  </si>
  <si>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</si>
  <si>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522-101-0255-0068</t>
  </si>
  <si>
    <t>Интерактивная система ARYSTAN 65 с персональным компьютером Intel Core
i5-12400 / RAM-8GB / 512SSD / Windows 11 Pro</t>
  </si>
  <si>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</si>
  <si>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522-101-0255-0069</t>
  </si>
  <si>
    <t>Интерактивная панель ARYSTAN, 75
дюймов</t>
  </si>
  <si>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</si>
  <si>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522-101-0255-0070</t>
  </si>
  <si>
    <t>Интерактивная система ARYSTAN 75 с персональным компьютером Intel Core
i5-12400 / RAM-8GB / 512SSD / Windows 11 Pro</t>
  </si>
  <si>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</si>
  <si>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522-101-0255-0071</t>
  </si>
  <si>
    <t>Интерактивная панель ARYSTAN, 86 дюймов</t>
  </si>
  <si>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</si>
  <si>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522-101-0255-0072</t>
  </si>
  <si>
    <t>Интерактивная система ARYSTAN 86 с персональным компьютером Intel Core
i5-12400 / RAM-8GB / 512SSD / Windows 11 Pro</t>
  </si>
  <si>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</si>
  <si>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522-101-0255-0073</t>
  </si>
  <si>
    <t>Интерактивная панель Samsung LH75WADWLGCXCI 75" диагонали</t>
  </si>
  <si>
    <t>Комплектность: формат соотношения сторон: 16:9, срок работы: 50000 час, тип экрана: LCD, яркость: 400, динамическая контрастность: 5000:1, Ссатическая контрастность: 1200:1, время отклика: 8. Аудио: встроенные динамики: 2. Интерактивность: количество касаний: 40, точность позиционирования касаний: 1. Встроенный компьютер: операционная система: Да, количество ядер процессора: 4, оперативная память: 8, память:
64. В комлпекте с настенным креплением.</t>
  </si>
  <si>
    <t>522-101-0255-0074</t>
  </si>
  <si>
    <t>Интерактивная панель MAXON SD-75AN11 75" диагонали, со встраиваемым компьютером для панелей OPS i5/1035G1/8Gb/256SSD, с мобильной стойкой ONKRON TS1881</t>
  </si>
  <si>
    <t>Комплектность: формат соотношения сторон: 16:9, активная область: 1649.66 х 927.93(V)мм, разрешение: 3840х2160 / 60Гц, время работы Touch:
&gt;30000 час, срок службы дисплея: 50000 час, угол обзора: 178°, яркость: max 550 cd/㎡, динамическая контрастность: 10000:1, время отклика: 5 мс, поддержка максимально одновременных прикосновений: 20, встроенный
Android версии 11.0, центральный процессор: Cortex-A55 1.9GHz (chip Amlogic T982), графический процессор: Quad-core MaliG52 MP2, оперативная память: 4 Gb, память накопителя: 32 Gb.</t>
  </si>
  <si>
    <t>522-101-0255-0075</t>
  </si>
  <si>
    <t>Интерактивная панель Hikvision 75"
диагонали DS-D5B75RB/ELK</t>
  </si>
  <si>
    <t>Комплектность: разрешение: 3840 × 2160 @60 Hz, яркость: 400 нит, время отклика: 6 мс, срок службы: 50000 час, соотношение сторон: 16:9.
Встроенный компьютер: операционная система: Android, внутренняя память: 4 GB, объем накопителя: 32GB, аудио: встроенные динамики 2 шт., мощность: 15W.</t>
  </si>
  <si>
    <t>522-101-0255-0077</t>
  </si>
  <si>
    <t>Интерактивная панель DigiTouch TS-65, 65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</si>
  <si>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1 440.48х816.02 мм.</t>
  </si>
  <si>
    <t>522-101-0255-0078</t>
  </si>
  <si>
    <t>Интерактивная панель DigiTouch TS-75, 75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</si>
  <si>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1 650.24х928.26 мм</t>
  </si>
  <si>
    <t>522-101-0255-0079</t>
  </si>
  <si>
    <t>Интерактивная панель DigiTouch TS-86, 86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</si>
  <si>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1895.04х1065.96 мм</t>
  </si>
  <si>
    <t>522-101-0255-0080</t>
  </si>
  <si>
    <t>Интерактивная панель DigiTouch BB-86V2,
86 дюймов</t>
  </si>
  <si>
    <t>Комплектность: разрешение 3840х2160, яркость 550 кд/м2, контрастность 10 000:1, память 8+128 Гб, Android 11.0, 20 касаний, процессор Quad-core ARM Cortex-A53, графический процессор Mali-G52 MP2(2EE), Встроенный
OPS компьютер I7 + ssd 256Гб + 8 Гб ОЗУ</t>
  </si>
  <si>
    <t>522-101-0255-0081</t>
  </si>
  <si>
    <t>Интерактивная сенсорная панель 86TR3DK,
86  дюймов типа LG</t>
  </si>
  <si>
    <t>Базовая комплектация: шнур питания (3 м × 1), USB-кабель (тип A-Тип B) 5 М × 1, кабель HDMI (3 М × 1), ручка для письма × 2 шт, руководство пользователя, QSG, картонная коробка, пульт дистанционного управления, модуль Wi-Fi</t>
  </si>
  <si>
    <t>522-101-0255-0085</t>
  </si>
  <si>
    <t>Интерактивная панель Tactus panel, 75
дюймов</t>
  </si>
  <si>
    <t>Диагональ: 75 дюймов. Разрешение экрана: 3840х2160 пикселей.
Контрастность: 5500:1. Яркость: 350 кд/м2. Угол обзора по вертикали и горизонтали: 178 град. Количество точек касания: 40. Встроенные динамики: 2х16Вт. Объем накопителя: 32Гб. Встроенная операционная система: Android 13.0.</t>
  </si>
  <si>
    <t>522-101-0255-0087</t>
  </si>
  <si>
    <t>Интерактивная панель Indota IVM-75, 75
дюймов</t>
  </si>
  <si>
    <t>С камерой, формат соотношения сторон 16:9, срок работы дисплея 50 000 часов. Яркость дисплея 400 кд/м2, динамическая контрастность: 5000:1. Статической контрастность: 1200:1. Время отклика дисплея 8 мс. Тип экрана DLED 3840 x 2160 (4K UHD). Термозакаленное и антибликовое стекло толщиной 4 мм и с прочностью стекла 7 по шкале Моосу.
Количество касаний дисплея - 40 касаний одновременно, точность позиционирования касаний 1 мм. Есть возможность распознавания как стилуса, так и касание руки и возможность стирания ладонью руки.
Имеется встроенные двойные динамики 2 х 16 Ватт и восьмиканальный микрофон. Также имеется встроенная камера на 48 Мп, 4K@30 fps для видео-конференц-связи и записи уроков. Операционная система – предустановленная операционная система с возможностью установки и запуска образовательных приложений – Android 14. Операционная система имеет такие прикладные программы как: Лекционная доска (Whiteboard), Режим аннотаций (Annotate), Таймер (Timer), Генератор случайного порядка (Spinner), Захват экрана (Screen capture), Общий доступ к экрану (Screen Share), Браузер (Browser), Программа для чтения PDF файлов (PDF Reader), Медиаплеер (Media Player). Имеет возможность беспроводного соединения с ПК, смартфоном, планшетом через AirGo. Процессор интерактивной панели – 8 ядер A55; Оперативная память 8 Гб. Флэш память – 32 Гб.; Видео процессор GPU: Quad-core MaliG52 600M. В комплекте кронштейн для настенного крепления. Электропитание - Э1ф, 220В, 0,132кВт. Для подключения к внешним устройствам доступны различные порты: VGA x 1, HDMI x 2; Wi-Fi (802.11ac); Bluetooth 5.0;
USB-A 3.0 x 3; USB-C x 1; LAN-in (RJ-45) x 1; LAN-out (RJ-45) x 1; Minijack
3.5 x1, TF Card x1</t>
  </si>
  <si>
    <t>522-101-0255-0088</t>
  </si>
  <si>
    <t>Интерактивная система типа Smart MX075(MX 275) 75 диагональ, компьютер с ПО + 3D моделями для образования SMART SSP i5 14400/DDR5 16gb /SSD 512Gb/
корпус цельнометаллический c перфорацией Smart SSP, Windows 11, мобильная стойка Smart SSP для интерактивной панели
на колёсиках в комплекте</t>
  </si>
  <si>
    <t>522-101-0255-0089</t>
  </si>
  <si>
    <t>Интерактивная система типа Smart Board RX075(RX275) 75 диагональ, Google EDLA
+ Веб камерa Smart Ultra HD +  компьютер с ПО + 3D моделями для образования SMART SSP i5 14400/DDR5 16gb /SSD 512Gb/корпус цельнометаллический c перфорацией Smart SSP, Windows 11, мобильная стойка Smart SSP для интерактивной панели на колёсиках в комплекте</t>
  </si>
  <si>
    <t>522-101-0255-0090</t>
  </si>
  <si>
    <t>Интерактивная панель типа Smart Board RX075(RX275) 75 диагональ, Google EDLA+Веб камерa Smart Ultra HD + ПО SMART Notebook для создания уроков</t>
  </si>
  <si>
    <t>522-101-0255-0094</t>
  </si>
  <si>
    <t>Интерактивная панель типа AHA HYBRID-8500-LC-JKKZ, 75 дюймов</t>
  </si>
  <si>
    <t>Интерактивная панель АНА HYBRID-8500-LC-JK-KZ. 75", Пульт дистанционного управления, кабель HDMI2.0 (3 м), сенсорный USB-кабель (А-В, 3 м), шнур питания переменного тока (1,8 м), карта NFC (2 шт.), Сенсорное перо (2 шт.), Ластик, кронштейн для настенного крепления.
Диагональ 75", Соотношение сторон 16:9, Разрешение 3840 х 2160 пикселей, Входы/выходы: Спереди: USB-B(2.0) х l_(For Touch), HDMI 2.0 х 1, USB-C(DP Alt Mode) x 1, USB-A(3.0) x 3, NFC(Card), Снизу: MIC IN(3.5mm) x 1, LINE OUT(3.5mm) x 1, S/PDIF x 1, RS232C(DSUB9) x 1, HDMI(2.1) OUT x 1 USB-C(DP Alt Mode) OUT x 1, LAN IN/OUT(lG) x 2,
USB-A(3.0) x l (Only Android) AV IN x 1, AUDIO In x 1, VGA x 1, Сбоку: HDMI(1.4B) x 1, USB-B(3.0) x l(For Touch), HDMI(2.0) x 2, USB-C(DP Alt Mode) IN x 1 DP(1.2) x 1, USB-A(3.0) x 2, SD CARD x 1, Выходы
(Динамики) 16 Вт x 2 (Sub-woofer 20 Вт). Поверхность экрана, Антибликовое LCD закаленное стекло Подсветка D-LED, Инструмент ввода палец или сенсорное перо, Время отклика 8 мс, WIFI, Встроенный Android 13.0, Положение встроенного динамика, Спереди Слот для ПК (OPS) Да / Совместимость с Windows 10/11/ linux /mac os 10.10-10.14, Комплектация Пульт дистанционного управления, кабель HDMI2.0 (3 м), сенсорный
USB-кабель (А-В, 3 м), шнур питания переменного тока (1,8 м), карта NFC
(2 шт.), Сенсорное перо (2 шт.), Ластик, крепление на стену.</t>
  </si>
  <si>
    <t>522-101-0255-0095</t>
  </si>
  <si>
    <t>Интерактивная сенсорная панель типа F3, INCH Silver 75CAM A311D2 A13/8/128GB
(К), 75 дюймов</t>
  </si>
  <si>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крепления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8GB; Внутренняя память 128GB;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</si>
  <si>
    <t>522-101-0255-0096</t>
  </si>
  <si>
    <t>Интерактивная сенсорная панель типа F3, INCH Silver 86CAM A311D2 A13/16/256GB
(К), 86 дюймов</t>
  </si>
  <si>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креплений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16GB; Внутренняя память 256GB;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</si>
  <si>
    <t>522-101-0255-0097</t>
  </si>
  <si>
    <t>Интерактивная панель 65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</si>
  <si>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 2 стилуса с разными наконечниками  • Пульт дистанционного управления  • Кабели (HDMI, USB, питание)  • Встроенный Wi-Fi модуль  • Руководство пользователя</t>
  </si>
  <si>
    <t>522-101-0255-0098</t>
  </si>
  <si>
    <t>Интерактивная панель 75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</si>
  <si>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Полный доступ к экосистеме Google: Google Play Store Google Drive, Docs, Sheets Google Meet, Classroom YouTube, Chrome и другие сервисы Нативную</t>
  </si>
  <si>
    <t>522-101-0255-0099</t>
  </si>
  <si>
    <t>Интерактивная панель 86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</si>
  <si>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Комплектация:  • 2 стилуса с681
разными наконечниками  • Пульт дистанционного управления  • Кабели (HDMI, USB, питание)  • Встроенный Wi-Fi модуль  • Руководство пользователя</t>
  </si>
  <si>
    <t>522-101-0255-0100</t>
  </si>
  <si>
    <t>Интерактивная панель 75 диагонали, 4K UHD (3840 × 2160), ADS LCD с
DLED-подсветкой. Технология касания: Super Glass High Precision. Количество одновременных касаний: до 40</t>
  </si>
  <si>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 connect, PiP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</si>
  <si>
    <t>522-101-0255-0101</t>
  </si>
  <si>
    <t>Интерактивная панель 86 диагонали, 4K UHD (3840 × 2160), ADS LCD с
DLED-подсветкой. Технология касания: Super Glass High Precision. Количество одновременных касаний: до 40</t>
  </si>
  <si>
    <t>Основные характеристики: Диагональ экрана: 86" (216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Speechi
connect, PiP.
•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</si>
  <si>
    <t>522-101-0256</t>
  </si>
  <si>
    <t>Дисплей профессиональный</t>
  </si>
  <si>
    <t>522-101-0256-0001</t>
  </si>
  <si>
    <t>Дисплей профессиональный QM32R-B LH32QMBEBGCXCI 32" диагонали, Samsung</t>
  </si>
  <si>
    <t>522-101-0256-0002</t>
  </si>
  <si>
    <t>Дисплей профессиональный QM43B LH43QMBEBGCXCI 43" диагонали, Samsung</t>
  </si>
  <si>
    <t>522-101-0256-0003</t>
  </si>
  <si>
    <t>Дисплей профессиональный QM50B LH50QMBEBGCXCI 50" диагонали, Samsung</t>
  </si>
  <si>
    <t>522-101-0256-0004</t>
  </si>
  <si>
    <t>Дисплей профессиональный QM55B LH55QMBEBGCXCI 55" диагонали, Samsung</t>
  </si>
  <si>
    <t>522-101-0256-0005</t>
  </si>
  <si>
    <t>Дисплей профессиональный QB13R LH13QBREBGCXC 13" диагонали, Samsung</t>
  </si>
  <si>
    <t>522-101-0256-0006</t>
  </si>
  <si>
    <t>Дисплей профессиональный QB50B LH50QBBEBGCXCI 50" диагонали, Samsung</t>
  </si>
  <si>
    <t>522-101-0256-0007</t>
  </si>
  <si>
    <t>Дисплей профессиональный QB55B LH55QBBEBGCXC 55" диагонали, Samsung</t>
  </si>
  <si>
    <t>522-101-0256-0008</t>
  </si>
  <si>
    <t>Дисплей профессиональный QB65B LH65QBBEBGCXCI 65" диагонали, Samsung</t>
  </si>
  <si>
    <t>522-101-0256-0009</t>
  </si>
  <si>
    <t>Дисплей профессиональный LB4335SDUHD
/ LB4335SD 43" диагонали, Lumien</t>
  </si>
  <si>
    <t>522-101-0256-0010</t>
  </si>
  <si>
    <t>Дисплей профессиональный LB5535SDUHD
/ LB5535SD 55" диагонали, Lumien</t>
  </si>
  <si>
    <t>522-101-0256-0011</t>
  </si>
  <si>
    <t>Дисплей профессиональный 98UH5J-H 98"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</si>
  <si>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t>
  </si>
  <si>
    <t>522-101-0256-0012</t>
  </si>
  <si>
    <t>Дисплей профессиональный 86UH5J-H 86"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</si>
  <si>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</si>
  <si>
    <t>522-101-0256-0013</t>
  </si>
  <si>
    <t>Дисплей профессиональный 75UH5J-H 75" диагонали, типа LG</t>
  </si>
  <si>
    <t>522-101-0256-0014</t>
  </si>
  <si>
    <t>Дисплей профессиональный 65UH5N-E 65"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</si>
  <si>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</si>
  <si>
    <t>522-101-0256-0015</t>
  </si>
  <si>
    <t>Дисплей профессиональный 55UH5N-E 55" диагонали, типа LG</t>
  </si>
  <si>
    <t>522-101-0256-0016</t>
  </si>
  <si>
    <t>Дисплей профессиональный 49UH5N-E 49" диагонали, типа LG</t>
  </si>
  <si>
    <t>522-101-0256-0017</t>
  </si>
  <si>
    <t>Дисплей профессиональный 43UH5N-E 43" диагонали, типа LG</t>
  </si>
  <si>
    <t>522-101-0256-0019</t>
  </si>
  <si>
    <t>Дисплей профессиональный 32SM5J-B 32" диагонали, типа LG</t>
  </si>
  <si>
    <t>Базовый пульт дистанционного управления, шнур питания, QSG, кабель HDMI, подключение телефона к RS-232C Дополнительно приобретаемая комплектация: (ST-322 T), настенный кронштейн (LSW230B), адаптер VESA (AM-B220S)</t>
  </si>
  <si>
    <t>522-101-0256-0020</t>
  </si>
  <si>
    <t>Дисплей профессиональный 22SM3G 22" диагонали, типа LG</t>
  </si>
  <si>
    <t>Пульт дистанционного управления, шнур питания, QSG, кабель HDMI, подключение телефона к RS232C, внешний ИК-порт, ИК-панель</t>
  </si>
  <si>
    <t>522-101-0256-0021</t>
  </si>
  <si>
    <t>Дисплей профессиональный 55VSH7J-H 55" диагонали, типа LG</t>
  </si>
  <si>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</si>
  <si>
    <t>522-101-0256-0022</t>
  </si>
  <si>
    <t>Дисплей профессиональный 55VSM5J-H 55" диагонали, типа LG</t>
  </si>
  <si>
    <t>522-101-0256-0023</t>
  </si>
  <si>
    <t>Дисплей профессиональный 55VH7J-H 55" диагонали, типа LG</t>
  </si>
  <si>
    <t>522-101-0256-0024</t>
  </si>
  <si>
    <t>Дисплей профессиональный 55VM5E-A 55" диагонали, типа LG</t>
  </si>
  <si>
    <t>Пульт дистанционного управления, инструкция, кабель питания, кабель RS-232C, кабель DisplayPort, ИК-приемник</t>
  </si>
  <si>
    <t>522-101-0256-0025</t>
  </si>
  <si>
    <t>Дисплей профессиональный 55VM5J-H 55" диагонали, типа LG</t>
  </si>
  <si>
    <t>522-101-0256-0026</t>
  </si>
  <si>
    <t>Дисплей профессиональный 55VL7F 55" диагонали, типа LG</t>
  </si>
  <si>
    <t>Базовая комплектация: пульт дистанционного управления, шнур питания, кабель RS 232C, кабель DP, ИК-приемник, направляющий кронштейн, винты, инструкция  Дополнительно приобретаемая комплектация: (альбомная ориентация: WM-L640V, портретная ориентация: WM-P640V)</t>
  </si>
  <si>
    <t>522-101-0256-0027</t>
  </si>
  <si>
    <t>Дисплей профессиональный 55VL5PJ 55" диагонали, типа LG</t>
  </si>
  <si>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t>
  </si>
  <si>
    <t>522-101-0256-0028</t>
  </si>
  <si>
    <t>Дисплей профессиональный 49VL5G-M 49" диагонали, типа LG</t>
  </si>
  <si>
    <t>Базовая комплектация: пульт ДУ (2 батарейки ААА), кабель питания заземленный (евровилка), RS-232C кабель, DP кабель, ИК-приемник, шаблон монтажа на стену, винты, руководство пользователя</t>
  </si>
  <si>
    <t>522-101-0256-0029</t>
  </si>
  <si>
    <t>Дисплей, диагональ: 98 дюймов; технология: IPS; соотношение сторон: 16:9; разрешение: 4K UHD (3840 x 2160); яркость: 500 нитов; антибликовое покрытие: 28%; режим работы: 24/7; количество портов HDMI: 3; поддержка HDMI CEC: да; порты: HDMI, dp, dvi-d, usb 2.0, rs232c, rj45, audio, ir; платформа: webOS; совместимость: Crestron; класс защиты: IP5x</t>
  </si>
  <si>
    <t>522-101-0256-0030</t>
  </si>
  <si>
    <t>Дисплей, диагональ: 75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</si>
  <si>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522-101-0256-0031</t>
  </si>
  <si>
    <t>522-101-0256-0032</t>
  </si>
  <si>
    <t>Дисплей, диагональ: 65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</si>
  <si>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522-101-0256-0033</t>
  </si>
  <si>
    <t>Дисплей, диагональ: 55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</si>
  <si>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522-101-0256-0034</t>
  </si>
  <si>
    <t>Дисплей, диагональ: 49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</si>
  <si>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522-101-0256-0035</t>
  </si>
  <si>
    <t>Дисплей, диагональ: 43 дюйма;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</si>
  <si>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522-101-0256-0036</t>
  </si>
  <si>
    <t>Дисплей, тип: профессиональный дисплей; диагональ: 110 дюймов; технология:
IPS/D-LED; соотношение сторон: 16:9; разрешение: 4K (3840 x 2160); яркость: 500 нитов; антибликовое покрытие: 1%; количество портов HDMI: 3; поддержка HDMI CEC: да; порты: HDMI, usb 2.0 type a, rj45, audio; платформа: webOS; совместимость: Crestron; безопасность: enhanced kernel protection (EKP), ISO/IEC 15408 common criteria EAL2; защита от окружающей среды: устойчива к соли, пыли, железной пыли и влажности</t>
  </si>
  <si>
    <t>522-101-0256-0037</t>
  </si>
  <si>
    <t>Дисплей, тип: профессиональная LCD панель; диагональ: 32 дюйма; технология: IPS; соотношение сторон: 16:9; разрешение: Full HD (1920 x 1080); яркость: 400 нитов; антибликовое покрытие: 1%; количество портов HDMI: 3; поддержка HDMI CEC: да; порты: HDMI, usb 2.0, rs232c, rj45, audio; платформа: webOS</t>
  </si>
  <si>
    <t>522-101-0257</t>
  </si>
  <si>
    <t>Комплектующие интерактивной системы</t>
  </si>
  <si>
    <t>522-101-0257-0001</t>
  </si>
  <si>
    <t>WMN-55VD настенное крепление с возможностью фронтального доступа для видеостенных дисплеев</t>
  </si>
  <si>
    <t>522-101-0257-0004</t>
  </si>
  <si>
    <t>Компьютер встраиваемый для интерактивной панели ОPS Core i7-7700, Intel®Core™ I7 7700/3.6G-4.2G/4 ядра 8
потоков/ОЗУ DDR4 8G/ПЗУ SSD 128G/Windows 10</t>
  </si>
  <si>
    <t>522-101-0257-0005</t>
  </si>
  <si>
    <t>Компьютер встраиваемый для интерактивной панели ОPS-Core i5-1035G, Intel®Core™ i5-1035G1/1.00-3,60 GHz/4 ядра 8 потоков/Intel HD Graphics 630/ОЗУ DDR4 8G/ПЗУ SSD 256G/Windows 10</t>
  </si>
  <si>
    <t>522-101-0257-0006</t>
  </si>
  <si>
    <t>Компьютер встраиваемый для интерактивной панели Tactus t-panel 75",  4 ядра, 8 потоков/2,40 ГГц/SD 128Gb/8Gb DDR4/OS Windows</t>
  </si>
  <si>
    <t>522-101-0257-0007</t>
  </si>
  <si>
    <t>Мобильная стойка для интерактивных панелей диагональю 75 дюймов, VESA 800x400</t>
  </si>
  <si>
    <t>522-101-0257-0008</t>
  </si>
  <si>
    <t>Мобильная стойка для интерактивных
панелей диагональю 65-86 дюймов</t>
  </si>
  <si>
    <t>522-101-0257-0009</t>
  </si>
  <si>
    <t>Мобильная стойка для интерактивных
панелей диагональю 65-98 дюймов</t>
  </si>
  <si>
    <t>Мобильная стойка для интерактивных панелей, цвет черный, максимальная нагрузка не менее 120кг, крепление мобильное, материал сталь, стандарт vesa 600*400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манёвренных и надёжных колесика позволяют передвигать стойку в любое удобное для вас место в помещении, интегрированные фиксаторы положения в каждом из них, смогут надёжно её зафиксировать и избежать случайного перемещения.</t>
  </si>
  <si>
    <t>522-101-0257-0013</t>
  </si>
  <si>
    <t>Стойка мобильная типа F3, TS-1881, для панели интерактивной на колесиках, дюйм от 65 до 75 дюймов</t>
  </si>
  <si>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2 подставки, крепление для камеры и болты.</t>
  </si>
  <si>
    <t>522-101-0257-0014</t>
  </si>
  <si>
    <t>Стойка мобильная типа F3, FMR-01-86, для панели интерактивной на колесиках, дюйм от 65 до 86 дюймов</t>
  </si>
  <si>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подставка, крепление для камеры и болты.</t>
  </si>
  <si>
    <t>522-101-0257-0015</t>
  </si>
  <si>
    <t>Компьютер 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</si>
  <si>
    <t>Тактовая частота: 3200 МГц; Твердотельный диск: SSD. Твердотельный диск: память: 512 GB; Внутренний разъем 1 х M2; Интерфейсы подключения 1 x USB 2.0 Type-A; 5 x USB 3.0 Type-A; 1xHDMI; 1xDP; 1 x RJ-45; 1x USB Type-C; 1 x AUDIO OUT; 1 x MIC IN. Антенны -2 шт.</t>
  </si>
  <si>
    <t>522-101-0258</t>
  </si>
  <si>
    <t>LED экран</t>
  </si>
  <si>
    <t>522-101-0258-0001</t>
  </si>
  <si>
    <t>LED экран модульный светодиодный типа iDC, шаг пикселя 2,5 мм, размерами 3500 мм х 2000 мм</t>
  </si>
  <si>
    <t>Комплектность: консоль управления видео NovaStar C1,  джойстик, T-Bar, металлокаркас из квадратной стальной трубы размером 50 мм х 50 мм</t>
  </si>
  <si>
    <t>522-101-0259</t>
  </si>
  <si>
    <t>Трибуна интерактивная</t>
  </si>
  <si>
    <t>522-101-0259-0001</t>
  </si>
  <si>
    <t>Трибуна интерактивная сенсорная типа iDC Tribune 22", размерами 600 мм х 600 мм х
1100 мм</t>
  </si>
  <si>
    <t>Комплектность: встроенный компьютер (CPU Intel Core i5-10400 2,9GHz (4,3GHz) 12Mb 6/12 Core Comet Lake Intel® UHD 630 65W FCLGA1200 Tray - 1 шт., оперативная память 16GB GEIL 2666MHz DDR4 PC4-21300 19-19-19-43 GN416GB2666C19S Bulk Pack - 1 шт., твердотельный накопитель 512GB SSD GEIL GZ25Z3-512GP ZENITH Z3 Series2.5”
SATAIII R520MB/s W470MB/s, OS Win 11PRO - 1 шт., монитор 21,5 дюйма
- 1 шт., сенсорное стекло 10 касаний, 1920:1080, 75Гц, встроенный микшер
- усилитель DSPPA MP310U и акустическая система 4 канальная, петличный микрофон - 2 шт., микрофон "Гусиная Шея" настольный - 1 шт., фасадное закаленное стекло толщиной 6 мм закрепленное на металлокаркасе.</t>
  </si>
  <si>
    <t>522-101-0260</t>
  </si>
  <si>
    <t>Киоск интерактивный</t>
  </si>
  <si>
    <t>522-101-0260-0001</t>
  </si>
  <si>
    <t>Киоск интерактивный сенсорный типа iDC F 49", встроенный компьютер CPU Intel Core i5-10400 2,9GHz (4,3GHz) 12Mb 6/12 Core
Comet Lake Intel® UHD 630 65W FCLGA1200 Tray - 1 шт., оперативная память 16GB, вертикальный размерами 900 мм х 15 мм х 1800 мм</t>
  </si>
  <si>
    <t>522-101-0260-0002</t>
  </si>
  <si>
    <t>Киоск интерактивный сенсорный типа iDC IDC F 49", встроенный компьютер CPU Intel Core i5-10400 2,9GHz (4,3GHz) 12Mb 6/12
Core Comet Lake Intel® UHD 630 65W FCLGA1200 Tray - 1 шт., оперативная память 16GB, горизонтальный размерами 1200 мм х 15 мм х 1500 мм</t>
  </si>
  <si>
    <t>522-101-0300</t>
  </si>
  <si>
    <t>Учебно-практическое и
учебно-лабораторное оборудование</t>
  </si>
  <si>
    <t>522-101-0314</t>
  </si>
  <si>
    <t>Огнетушитель</t>
  </si>
  <si>
    <t>522-101-0316</t>
  </si>
  <si>
    <t>522-101-0316-0001</t>
  </si>
  <si>
    <t>Мольберт низкий складной, размеры не менее 600х1000мм</t>
  </si>
  <si>
    <t>522-101-0500</t>
  </si>
  <si>
    <t>Цифровые образовательные ресурсы</t>
  </si>
  <si>
    <t>522-101-0501</t>
  </si>
  <si>
    <t>Интерфейс</t>
  </si>
  <si>
    <t>522-101-0502</t>
  </si>
  <si>
    <t>Учебное программное обеспечение для
записи, показа и анализа данных</t>
  </si>
  <si>
    <t>522-101-0503</t>
  </si>
  <si>
    <t>Система управления кабинетом</t>
  </si>
  <si>
    <t>522-101-0600</t>
  </si>
  <si>
    <t>Информационно-коммуникационные
средства</t>
  </si>
  <si>
    <t>522-101-0602</t>
  </si>
  <si>
    <t>Документ-камера</t>
  </si>
  <si>
    <t>522-101-0602-0001</t>
  </si>
  <si>
    <t>522-101-0602-0002</t>
  </si>
  <si>
    <t>Документ камера MAXON TV-51</t>
  </si>
  <si>
    <t>522-101-0602-0003</t>
  </si>
  <si>
    <t>Документ камера типа Avervision U50</t>
  </si>
  <si>
    <t>522-101-0800</t>
  </si>
  <si>
    <t>Лабораторное оборудование</t>
  </si>
  <si>
    <t>522-101-0801</t>
  </si>
  <si>
    <t>Барометр-анероид</t>
  </si>
  <si>
    <t>522-101-0801-0001</t>
  </si>
  <si>
    <t>Барометр-анероид. Диапазон:
720-780мм.рт.ст., 96000-104000Па, цена деления 1мм.рт.ст., 100Па</t>
  </si>
  <si>
    <t>522-101-0801-0002</t>
  </si>
  <si>
    <t>Барометр-анероид. Диапазон: 950-1070гПа, точность +/-5гПа</t>
  </si>
  <si>
    <t>522-101-0802</t>
  </si>
  <si>
    <t>Термометр</t>
  </si>
  <si>
    <t>522-101-0802-0001</t>
  </si>
  <si>
    <t>Термометр демонстрационный</t>
  </si>
  <si>
    <t>522-101-0802-0002</t>
  </si>
  <si>
    <t>Термометр с фиксацией максимального и минимального значений типа ScienceCube, MDS-106. Диапазон: -20°C до +50°C</t>
  </si>
  <si>
    <t>522-101-0802-0003</t>
  </si>
  <si>
    <t>Термометр цифровой. Нержавеющая сталь. Диапазон: от -50°C до +100°C</t>
  </si>
  <si>
    <t>522-101-0803</t>
  </si>
  <si>
    <t>Компас школьный</t>
  </si>
  <si>
    <t>Компас состоит из пластмассовой круглой коробки, на дне которой имеется круговая шкала с указанием сторон света. В центре установлена игла, на острие которой насажена легкая магнитная стрелка. Коробка закрыта прозрачной крышкой.</t>
  </si>
  <si>
    <t>522-101-0804</t>
  </si>
  <si>
    <t>Стрелки магнитные на штативах</t>
  </si>
  <si>
    <t>В комплект входят: магнитные стрелки – 2 шт.,
стойки пластмассовые с иглой – 2 шт., подставки – 2 шт.,
руководство по эксплуатации – 1 шт.
Стрелка представляет собой намагниченную полоску из стали с запрессованным латунным гнездом для установки на иглу пластмассовой стойки. Северный полюс стрелки окрашен в синий цвет, а южный - в красный.</t>
  </si>
  <si>
    <t>522-101-0805</t>
  </si>
  <si>
    <t>Теллурий (модель Солнце – Земля – Луна)</t>
  </si>
  <si>
    <t>522-101-0805-0001</t>
  </si>
  <si>
    <t>522-101-0805-0002</t>
  </si>
  <si>
    <t>Комплект демонстрационного оборудования "Теллурий" типа Cornelsen Experimenta 31121/44260</t>
  </si>
  <si>
    <t>522-101-0806</t>
  </si>
  <si>
    <t>Баня комбинированная</t>
  </si>
  <si>
    <t>522-101-0806-0001</t>
  </si>
  <si>
    <t>Баня комбинированная с нагревательным
элементом для воды и песка</t>
  </si>
  <si>
    <t>Нагревательный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Температура нагрева в водяной бане 100°С, температура нагрева в песочной бане 300°С. Напряжение питания 220 В, 50 Гц.</t>
  </si>
  <si>
    <t>522-101-0806-0002</t>
  </si>
  <si>
    <t>Баня водяная без электрической плитки</t>
  </si>
  <si>
    <t>Невысокая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Температура нагрева в водяной бане должна до 100°С. Для регулирования диаметра посадочного отверстия в комплекте должно быть не менее 4 съемных колец разных диаметров.</t>
  </si>
  <si>
    <t>522-101-0806-0003</t>
  </si>
  <si>
    <t>Баня песочная без электрической плитки</t>
  </si>
  <si>
    <t>Невысокая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Температура нагрева в песочной бане до 170°С.</t>
  </si>
  <si>
    <t>522-101-0808</t>
  </si>
  <si>
    <t>Штатив лабораторный</t>
  </si>
  <si>
    <t>522-101-0808-0001</t>
  </si>
  <si>
    <t>Штатив лабораторный комбинированный</t>
  </si>
  <si>
    <t>Состоит из металлической подставки и вертикального металлического штыря (стержня). В комплекте: 5 муфт, 2 лапки, 3 кольца, болты для креплений.</t>
  </si>
  <si>
    <t>522-101-0808-0002</t>
  </si>
  <si>
    <t>Штатив физический универсальный</t>
  </si>
  <si>
    <t>Комплектность: подставки чугунные – 2 шт.,
стойки – 2 шт.,
стойка с изолирующим стержнем – 1 шт., муфты крестообразные – 2 шт.,
муфта параллельная – 1 шт., муфты с крючком – 4 шт., лапка пружинная – 1 шт., муфта с опорой – 1 шт., кольцо (93 мм) – 1 шт., струбцина – 1 шт.,
столик – 1 шт.,
винты – 16 шт.</t>
  </si>
  <si>
    <t>522-101-0808-0003</t>
  </si>
  <si>
    <t>Штатив лабораторный металлический</t>
  </si>
  <si>
    <t>Комплект состоит из следующих частей: Подставка-плита – 1 шт
Стойка - 1 шт Кольцо – 3 шт
Зажим для бюреток - 2 шт Зажим - 1 шт
Муфта крестообразная - 1 шт</t>
  </si>
  <si>
    <t>522-101-0808-0004</t>
  </si>
  <si>
    <t>Штатив универсальный</t>
  </si>
  <si>
    <t>Состоит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t>
  </si>
  <si>
    <t>522-101-0808-0005</t>
  </si>
  <si>
    <t>Штатив универсальный химический</t>
  </si>
  <si>
    <t>В комплект входят: муфты – 5 шт, лапки – 3 шт, четырехпальчиковый зажим – 2 шт, кольца – 3 шт разного диаметра, стойки – 3 шт (2 длинных, 1 короткая), раздвижная платформа из двух частей</t>
  </si>
  <si>
    <t>522-101-0810</t>
  </si>
  <si>
    <t>Бинокль</t>
  </si>
  <si>
    <t>Порро с центральной фокусировкой. Колесико центральной фокусировки расположен под средним пальцем и позволяет настраивать резкость обоих окуляров. Предел изменения центральной диоптрийной наводки от -5 до
+10 диоптрий. Предел изменения дополнительной диоптрийной наводки от
-2,5 до +2,5 диоптрий</t>
  </si>
  <si>
    <t>522-101-0812</t>
  </si>
  <si>
    <t>Насос</t>
  </si>
  <si>
    <t>522-101-0812-0001</t>
  </si>
  <si>
    <t>Насос воздушный ручной</t>
  </si>
  <si>
    <t>Насос воздушный ручной. Насос поршневой двойного действия.
Максимальное разрежение 40 мм рт. cт., нагнетание 4 ат.</t>
  </si>
  <si>
    <t>522-101-0812-0002</t>
  </si>
  <si>
    <t>Насос водоструйный</t>
  </si>
  <si>
    <t>Принцип действия водоструйного насоса — создание разряжения за счет протекающей через трубки струи воды. Давление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t>
  </si>
  <si>
    <t>522-101-0812-0003</t>
  </si>
  <si>
    <t>Насос вакуумный</t>
  </si>
  <si>
    <t>Представляет собой масляный поршневой насос, основанный на отсечке воздуха. Движение поршня обеспечивается шатунно-кривошипным механизмом, соединенным с ручным приводом. Минимальное разрежение воздуха: 133 Pа.</t>
  </si>
  <si>
    <t>522-101-0813</t>
  </si>
  <si>
    <t>Электрометр</t>
  </si>
  <si>
    <t>В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Диаметр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t>
  </si>
  <si>
    <t>522-101-0814</t>
  </si>
  <si>
    <t>Пистолет баллистический</t>
  </si>
  <si>
    <t>522-101-0814-0001</t>
  </si>
  <si>
    <t>Пистолет баллистический сконструирован на базе динамометра.
Динамометр двухсторонний, имеет шкалу с нулем посередине и пределы измерения в обе стороны 10Н, цена деления шкалы - 0,2Н. Стрелочный указатель может перемещаться вдоль шкалы по направляющим, точная установка указателя против деления шкалы осуществляется винтом. На концах направляющих закреплена круглая площадка. Для установки снаряда (шарика) на ней расположены два штыря. В сжатом состоянии пружина динамометра удерживается с помощью проволочного крючка. Для определения угла наклона прибора служит транспортир с ценой деления 150 с отвесом.</t>
  </si>
  <si>
    <t>522-101-0815</t>
  </si>
  <si>
    <t>Тарелка вакуумная со звонком</t>
  </si>
  <si>
    <t>Тарелка вакуумная со звонком предназначена для демонстрации опытов в замкнутом объеме с разреженным воздухом. Состоит из круглого основания, толстостенного стеклянного колпака-колокола диаметром не менее 200мм и высотой не менее 250мм, крана, звонка.</t>
  </si>
  <si>
    <t>522-101-1000</t>
  </si>
  <si>
    <t>Оборудование и инвентарь для занятий физической культурой</t>
  </si>
  <si>
    <t>522-101-1001</t>
  </si>
  <si>
    <t>Стенка гимнастическая</t>
  </si>
  <si>
    <t>522-101-1001-0001</t>
  </si>
  <si>
    <t>Детская шведская стенка деревянная эконом (доска 45х105 мм)</t>
  </si>
  <si>
    <t>522-101-1001-0002</t>
  </si>
  <si>
    <t>Шведская стенка деревянная эконом (доска 45х105мм)</t>
  </si>
  <si>
    <t>522-101-1001-0003</t>
  </si>
  <si>
    <t>Шведская стенка деревянная стандарт (доска 40х140мм) до 260см высота</t>
  </si>
  <si>
    <t>522-101-1001-0004</t>
  </si>
  <si>
    <t>Шведская стенка деревянная стандарт (доска 40х140мм) до 320см высота</t>
  </si>
  <si>
    <t>522-101-1001-0005</t>
  </si>
  <si>
    <t>Стенка гимнастическая шведская деревянная, размеры не менее 2300х800мм</t>
  </si>
  <si>
    <t>Стенка гимнастическая шведская 2300х800мм.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2300мм,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</si>
  <si>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522-101-1001-0006</t>
  </si>
  <si>
    <t>Стенка гимнастическая шведская деревянная TSF-9465. Размеры 2500х800мм</t>
  </si>
  <si>
    <t>Стенка гимнастическая шведская 2500х800мм.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2500мм,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</si>
  <si>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522-101-1001-0007</t>
  </si>
  <si>
    <t>Стенка гимнастическая шведская деревянная TSF-9320. Размеры 2800х1000мм</t>
  </si>
  <si>
    <t>Стенка гимнастическая шведская 2800х1000мм.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</si>
  <si>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522-101-1001-0008</t>
  </si>
  <si>
    <t>Стенка гимнастическая шведская деревянная, размер не менее 2800х800мм</t>
  </si>
  <si>
    <t>Стенка гимнастическая шведская 2800х800мм.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</si>
  <si>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522-101-1001-0009</t>
  </si>
  <si>
    <t>Стенка гимнастическая шведская деревянная TSF-9349. Размеры 3200х800мм</t>
  </si>
  <si>
    <t>Стенка гимнастическая шведская 3200х800мм.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</si>
  <si>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522-101-1001-0010</t>
  </si>
  <si>
    <t>Стенка гимнастическая шведская деревянная TSF-9321. Размеры 3200х1000мм</t>
  </si>
  <si>
    <t>Стенка гимнастическая шведская 3200х1000мм.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</si>
  <si>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522-101-1001-0011</t>
  </si>
  <si>
    <t>Стенка гимнастическая шведская деревянная с выносом TSF-2810. Размеры 2800х1000мм</t>
  </si>
  <si>
    <t>Стенка гимнастическая 2800х1000мм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</si>
  <si>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522-101-1001-0012</t>
  </si>
  <si>
    <t>Стенка гимнастическая шведская деревянная с выносом TSF-2880. Размеры 2800х800мм</t>
  </si>
  <si>
    <t>Стенка гимнастическая 2800х800мм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</si>
  <si>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522-101-1001-0013</t>
  </si>
  <si>
    <t>Стенка гимнастическая шведская деревянная с выносом TSF-3280. Размеры 3200х800мм</t>
  </si>
  <si>
    <t>Стенка гимнастическая 3200х800мм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</si>
  <si>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522-101-1001-0014</t>
  </si>
  <si>
    <t>Стенка гимнастическая с выносом TSF-3210. Размеры 3200х1000мм</t>
  </si>
  <si>
    <t>Стенка гимнастическая 3200х1000мм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</si>
  <si>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522-101-1002</t>
  </si>
  <si>
    <t>Доска для гимнастической стенки</t>
  </si>
  <si>
    <t>522-101-1002-0001</t>
  </si>
  <si>
    <t>Доска массажная приставная 150х30 см</t>
  </si>
  <si>
    <t>522-101-1002-0002</t>
  </si>
  <si>
    <t>Доска массажная приставная 180х30 см</t>
  </si>
  <si>
    <t>522-101-1002-0003</t>
  </si>
  <si>
    <t>Доска массажная приставная 200х30 см</t>
  </si>
  <si>
    <t>522-101-1002-0004</t>
  </si>
  <si>
    <t>Доска наклонная приставная 150x30 см</t>
  </si>
  <si>
    <t>522-101-1002-0005</t>
  </si>
  <si>
    <t>Доска наклонная приставная 180x30 см</t>
  </si>
  <si>
    <t>522-101-1002-0006</t>
  </si>
  <si>
    <t>Доска наклонная приставная 200x30 см</t>
  </si>
  <si>
    <t>522-101-1002-0007</t>
  </si>
  <si>
    <t>Доска наклонная ребристая 1,5м (дерево)</t>
  </si>
  <si>
    <t>Доска наклонная ребристая 1,5м (дерево). Размеры 1500х240мм. Материал: березовая фанера 18 мм. Поверхность доски навесной тщательно отшлифована и покрыта высококачественным трёхкомпонентным лаком в два слоя. Кол-во поперечных рёбер: 14. 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</si>
  <si>
    <t>522-101-1002-0008</t>
  </si>
  <si>
    <t>Доска наклонная ребристая 1,8м TSF-4708 (дерево). Размеры 1800х300 мм. Материал: березовая фанера 25 мм</t>
  </si>
  <si>
    <t>Доска наклонная ребристая 1,8м TSF-4708 (дерево). Размеры 1800х300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15.Наружные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</si>
  <si>
    <t>522-101-1002-0009</t>
  </si>
  <si>
    <t>Доска наклонная ребристая 2м TSF-9186 (дерево). Размеры 2000х300 мм. Материал: березовая фанера 25 мм</t>
  </si>
  <si>
    <t>Доска наклонная ребристая 2м TSF-9186 (дерево). Размеры 2000х300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16.Наружные края доски имеют закругленную форму, что снижает вероятность получения травм при использовании изделия на занятиях.  . Предназначена для установки на гимнастическую стенку и выполнения различных гимнастических упражнений. Крепление-крючки.</t>
  </si>
  <si>
    <t>522-101-1002-0010</t>
  </si>
  <si>
    <t>Доска наклонная навесная 1,5м TSF-2425. Размеры 1500х240 мм. Материал: березовая фанера 25 мм</t>
  </si>
  <si>
    <t>Доска наклонная навесная 1,5м TSF-2425. Размеры 1500х240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</si>
  <si>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522-101-1002-0011</t>
  </si>
  <si>
    <t>Доска наклонная навесная 1,8 м TSF-2427. Размеры 1800х240 мм. Материал: березовая фанера 25 мм</t>
  </si>
  <si>
    <t>Доска наклонная навесная 1,8 м TSF-2427. Размеры 1800х240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</si>
  <si>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522-101-1002-0012</t>
  </si>
  <si>
    <t>Доска наклонная навесная 2м TSF-9185. Размеры 2000х240 мм. Материал: березовая фанера 25 мм</t>
  </si>
  <si>
    <t>Доска наклонная навесная 2м TSF-9185. Размеры 2000х240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</si>
  <si>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522-101-1003</t>
  </si>
  <si>
    <t>Скамейка гимнастическая</t>
  </si>
  <si>
    <t>522-101-1003-0001</t>
  </si>
  <si>
    <t>Скамья гимнастическая 150х23х30см</t>
  </si>
  <si>
    <t>522-101-1003-0002</t>
  </si>
  <si>
    <t>Скамья гимнастическая 200х23х30см</t>
  </si>
  <si>
    <t>522-101-1003-0003</t>
  </si>
  <si>
    <t>Скамья гимнастическая 250х23х30см</t>
  </si>
  <si>
    <t>522-101-1003-0004</t>
  </si>
  <si>
    <t>Скамья гимнастическая 300х23х30см</t>
  </si>
  <si>
    <t>522-101-1003-0005</t>
  </si>
  <si>
    <t>Скамья гимнастическая 350х23х30см</t>
  </si>
  <si>
    <t>522-101-1003-0006</t>
  </si>
  <si>
    <t>Скамья гимнастическая 400х23х30см</t>
  </si>
  <si>
    <t>522-101-1003-0007</t>
  </si>
  <si>
    <t>Скамья гимнастическая, размеры не менее 2000х240х300мм</t>
  </si>
  <si>
    <t>Скамейка гимнастическая покрыта качественным мебельным  лаком на водной основе</t>
  </si>
  <si>
    <t>522-101-1003-0008</t>
  </si>
  <si>
    <t>Скамья гимнастическая с металлическими опорами TSF-9362. Длина скамейки 1500 мм, ширина 240мм, высота 320мм</t>
  </si>
  <si>
    <t>Скамья гимнастическая с металлическими опорами TSF-9362. Длина скамейки 1500 мм, ширина 240мм, высота 320мм.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</si>
  <si>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522-101-1003-0009</t>
  </si>
  <si>
    <t>Скамья гимнастическая с металлическими опорами, длина не менее 2000мм</t>
  </si>
  <si>
    <t>Размеры не менее: длина скамейки 2000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</si>
  <si>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522-101-1003-0010</t>
  </si>
  <si>
    <t>Скамья гимнастическая с металлическими опорами, длина не менее 2500 мм</t>
  </si>
  <si>
    <t>Размеры не менее: длина скамейки 2500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</si>
  <si>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522-101-1003-0011</t>
  </si>
  <si>
    <t>Скамья гимнастическая с металлическими опорами TSF-9253. Длина скамейки 3000 мм, ширина 240мм, высота 340мм</t>
  </si>
  <si>
    <t>Скамья гимнастическая с металлическими опорами TSF-9253. Длина скамейки 3000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</si>
  <si>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522-101-1003-0012</t>
  </si>
  <si>
    <t>Скамья для раздевалок без спинки
RAR-4853. Выполнена из массива дерева с металлическими опорами, а также оснащена полкой для обуви. Размеры: высота - 425 мм; ширина посадочного места - 350 мм; длина - 2000 мм</t>
  </si>
  <si>
    <t>Скамья для раздевалок без спинки RAR-4853. Выполнена из массива дерева с металлическими опорами, а также оснащена полкой для обуви.
Выполнена из цельносварной металлической рамы и четырех досок. Сварные швы, края и деревянная поверхность тщательно обработаны и зачищены, поэтому не представляют опасности. Доски покрыты влагостойким лаком. При покраске металлопрофиля использован порошковый способ покраски. Размеры: высота - 425 мм; ширина посадочного места - 350 мм; длина - 2000 мм.</t>
  </si>
  <si>
    <t>522-101-1003-0013</t>
  </si>
  <si>
    <t>Скамья деревянная на металлической основе 1500х300х450 мм</t>
  </si>
  <si>
    <t>Каркас изготовлен из профильной трубы квадратного сечения 25х25 мм., толщиной 1,5 мм, покраска полимерно-порошковой краской. Сиденье ЛДСП 16 мм., торцы закатаны кромочным материалом ПВХ 1,5 мм.</t>
  </si>
  <si>
    <t>522-101-1004</t>
  </si>
  <si>
    <t>Канат для перетягивания</t>
  </si>
  <si>
    <t>522-101-1004-0001</t>
  </si>
  <si>
    <t>Канат для перетягивания, длина не менее 10м, диаметр не менее 40мм</t>
  </si>
  <si>
    <t>Канат для перетягивания. Длина: не менее 10м, диаметр не менее 40мм.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</si>
  <si>
    <t>522-101-1004-0002</t>
  </si>
  <si>
    <t>Канат для перетягивания 12м Ф40мм</t>
  </si>
  <si>
    <t>Канат для перетягивания 12м Ф40мм.
Канат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</si>
  <si>
    <t>522-101-1004-0003</t>
  </si>
  <si>
    <t>Канат для перетягивания, длина 10м, диаметр 30мм</t>
  </si>
  <si>
    <t>Канат для перетягивания. Длина: 10м, диаметр 30мм.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</si>
  <si>
    <t>522-101-1004-0004</t>
  </si>
  <si>
    <t>Канат для перетягивания 12м Ф30мм</t>
  </si>
  <si>
    <t>Канат для перетягивания 12м Ф30мм.
Канат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</si>
  <si>
    <t>522-101-1004-0005</t>
  </si>
  <si>
    <t>Канат для кроссфита, длина 9 м, диаметр 50 мм, нейлон с вставками из красного нейлона</t>
  </si>
  <si>
    <t>Канат для кроссфита 9м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</si>
  <si>
    <t>522-101-1004-0006</t>
  </si>
  <si>
    <t>Канат для кроссфита, длина 12 м, диаметр 50 мм, нейлон с вставками из красного нейлона</t>
  </si>
  <si>
    <t>Канат для кроссфита 12м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</si>
  <si>
    <t>522-101-1005</t>
  </si>
  <si>
    <t>Канат для лазания</t>
  </si>
  <si>
    <t>522-101-1005-0001</t>
  </si>
  <si>
    <t>Канат спортивный 32мм</t>
  </si>
  <si>
    <t>522-101-1005-0002</t>
  </si>
  <si>
    <t>Канат спортивный 50мм</t>
  </si>
  <si>
    <t>522-101-1005-0003</t>
  </si>
  <si>
    <t>Канат спортивный 40мм</t>
  </si>
  <si>
    <t>522-101-1005-0004</t>
  </si>
  <si>
    <t>Канат для лазанья RA-500 х/б 5м Ф 40 мм. Длина: 5 м, диаметр: 40 мм. Материал: хлопчатобумажная пряжа</t>
  </si>
  <si>
    <t>Канат для лазанья RA-500 х/б 5м Ф 40 мм. Длина: 5 м, диаметр: 40 мм.
Материал: хлопчатобумажная пряжа</t>
  </si>
  <si>
    <t>522-101-1005-0005</t>
  </si>
  <si>
    <t>Канат для лазанья RA-1817 х/б 6м Ф 40 мм. Длина: 6 м, диаметр: 40 мм. Материал: хлопчатобумажная пряжа</t>
  </si>
  <si>
    <t>Канат для лазанья RA-1817 х/б 6м Ф 40 мм. Длина: 6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</si>
  <si>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522-101-1005-0006</t>
  </si>
  <si>
    <t>Канат для лазанья RA-1902 х/б 7м Ф 40 мм. Длина: 7 м, диаметр: 40 мм. Материал: хлопчатобумажная пряжа</t>
  </si>
  <si>
    <t>Канат для лазанья RA-1902 х/б 7м Ф 40 мм. Длина: 7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</si>
  <si>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522-101-1005-0007</t>
  </si>
  <si>
    <t>Канат для лазанья, длина не менее 8 м, диаметр не менее 40мм</t>
  </si>
  <si>
    <t>Длина: не менее 8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</si>
  <si>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522-101-1005-0008</t>
  </si>
  <si>
    <t>Канат для лазанья RA-8742 х/б 9м Ф 40 мм. Длина: 9 м, диаметр: 40 мм. Материал: хлопчатобумажная пряжа</t>
  </si>
  <si>
    <t>Канат для лазанья RA-8742 х/б 9м Ф 40 мм. Длина: 9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</si>
  <si>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522-101-1005-0009</t>
  </si>
  <si>
    <t>Канат для лазания, длина 12м</t>
  </si>
  <si>
    <t>Канат для лазанья. Длина: 12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</si>
  <si>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522-101-1006</t>
  </si>
  <si>
    <t>Веревочная лестница</t>
  </si>
  <si>
    <t>522-101-1006-0001</t>
  </si>
  <si>
    <t>Лестница веревочная 2м</t>
  </si>
  <si>
    <t>522-101-1006-0002</t>
  </si>
  <si>
    <t>Детская каркасная веревочная лестница.
Размер: 170х69х7 см</t>
  </si>
  <si>
    <t>522-101-1007</t>
  </si>
  <si>
    <t>Набор кеглей</t>
  </si>
  <si>
    <t>Кегли для эстафет состоит из 6 цветных кеглей и 2 шаров. Высота 265 мм.
Длина 170 мм. Ширина 250 мм. Материал: ПВХ (пластик).</t>
  </si>
  <si>
    <t>522-101-1008</t>
  </si>
  <si>
    <t>Свисток игровой</t>
  </si>
  <si>
    <t>522-101-1008-0001</t>
  </si>
  <si>
    <t>Свисток металический</t>
  </si>
  <si>
    <t>522-101-1008-0002</t>
  </si>
  <si>
    <t>Свисток FOX</t>
  </si>
  <si>
    <t>522-101-1008-0003</t>
  </si>
  <si>
    <t>Свисток металический TU-06. Материал свистка: нержавеющеая сталь, материал горошины: пластик</t>
  </si>
  <si>
    <t>Свисток металический TU-06. Материал свистка: нержавеющеая сталь, материал горошины: пластик. Комплектация: свисток, шнурок с карабином</t>
  </si>
  <si>
    <t>522-101-1008-0004</t>
  </si>
  <si>
    <t>Свисток пластиковый TR-40</t>
  </si>
  <si>
    <t>522-101-1008-0005</t>
  </si>
  <si>
    <t>Свисток электронный, батарея 9v, съемный шнурок. Мощность: 125 дБ, корпус и кнопки из ударопрочного ABS-пластика, металлические внутренние элементы</t>
  </si>
  <si>
    <t>Электронный свисток. Функции: Тон 1 - слабый; Тон 2 - средний; Тон 3
-сильный. В комплекте: литий-ионный аккумулятор 18650.</t>
  </si>
  <si>
    <t>522-101-1009</t>
  </si>
  <si>
    <t>Инвентарь для художественной гимнастики</t>
  </si>
  <si>
    <t>522-101-1009-0001</t>
  </si>
  <si>
    <t>Булава TFB-040 для художественной гимнастики.  Выполнены из комбинированных материалов: головка и ручка булавы каучуковые, тело - пластиковое.   Длина: 36 см</t>
  </si>
  <si>
    <t>Булава TFB-040 для художественной гимнастики.  Выполнены из комбинированных материалов: головка и ручка булавы каучуковые, тело - пластиковое.   Длина: 36 см. Вес: 150 гр. Материал: пластик/каучук.</t>
  </si>
  <si>
    <t>522-101-1009-0002</t>
  </si>
  <si>
    <t>Лента для художественной гимнастики TF-4024, 4 м. Изготовлена из полиэстера Длина: 4 м Длина прута: 57 см</t>
  </si>
  <si>
    <t>522-101-1009-0003</t>
  </si>
  <si>
    <t>Куб гимнастический 200х200мм</t>
  </si>
  <si>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</si>
  <si>
    <t>522-101-1009-0004</t>
  </si>
  <si>
    <t>Куб гимнастический 300х300мм</t>
  </si>
  <si>
    <t>522-101-1009-0005</t>
  </si>
  <si>
    <t>Куб гимнастический 400х400мм</t>
  </si>
  <si>
    <t>522-101-1009-0006</t>
  </si>
  <si>
    <t>Деревянные кубы в комплекте 5 штук (размеры: 50х50мм; 75х75мм; 100х100мм; 125х125мм; 150х150мм)</t>
  </si>
  <si>
    <t>Куб деревянный гимнастический в комлекте 5 шт. Изготовлен из фанеры толщиной 12 мм. Покрыт водоэмульсионной краской</t>
  </si>
  <si>
    <t>522-101-1009-0007</t>
  </si>
  <si>
    <t>Кольца гимнастические в комплекте с
тросом 2м</t>
  </si>
  <si>
    <t>Кольца гимнастические в комплекте с тросом 2м.
Кольца гимнастические представляют конструкцию, состоящую из: колец, ленты и троса. Соединение троса с лентой с помощью коушами и скоб, что предохраняет трос от скручивания. Внутренний диаметр кольца 180 мм, внешний диаметр кольца 235мм , диаметр сечения кольца 28 мм. Общая длина подвеса 3 м(1 м стропа, 2 м трос). Материал кольца фанера 30 мм, лента ЛБС - 35, трос диаметром 4 мм в трубке.</t>
  </si>
  <si>
    <t>522-101-1009-0008</t>
  </si>
  <si>
    <t>Набор плиометрических блоков</t>
  </si>
  <si>
    <t>Набор плиометрических блоков (набор 4 шт) 30, 40, 50, 60см, Материал изготовления: Прочная фанера (слоистый листовой материал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t>
  </si>
  <si>
    <t>522-101-1009-0009</t>
  </si>
  <si>
    <t>Коврик для фитнеса двухслойный, размеры 1800х600х8 мм. Материал изготовления: ПВХ</t>
  </si>
  <si>
    <t>Коврик для фитнеса имеет толщину 0,8 см и рассчитан на нагрузки средней интенсивности. Двухслойный коврик для йоги из нескользящего материала, с цепкой структурированной поверхностью.</t>
  </si>
  <si>
    <t>522-101-1011</t>
  </si>
  <si>
    <t>Палка гимнастическая</t>
  </si>
  <si>
    <t>522-101-1011-0001</t>
  </si>
  <si>
    <t>Палка гимнастическая. Материал пластик. Диаметр 25мм, длина 1000мм</t>
  </si>
  <si>
    <t>522-101-1011-0002</t>
  </si>
  <si>
    <t>Палка гимнастическая деревянная 1000 мм TCA-9034. Материал: дерево (береза, нелакированная) Длина: 1 метр. Диаметр: 28 мм</t>
  </si>
  <si>
    <t>Палка гимнастическая деревянная 1000 мм TCA-9034. Материал: дерево (береза, нелакированная) Длина: 1 метр. Диаметр: 28 мм. Палка гимнастическая изготовлена из дерева с закругленными краями.</t>
  </si>
  <si>
    <t>522-101-1011-0003</t>
  </si>
  <si>
    <t>Палка гимнастическая деревянная 1200 мм TCA-9035. Материал: дерево (береза, нелакированная) Длина: 1,2 метр. Диаметр: 28 мм</t>
  </si>
  <si>
    <t>Палка гимнастическая деревянная 1200 мм TCA-9035. Материал: дерево (береза, нелакированная) Длина: 1,2 метр. Диаметр: 28 мм. Палка гимнастическая изготовлена из дерева с закругленными краями.</t>
  </si>
  <si>
    <t>522-101-1011-0004</t>
  </si>
  <si>
    <t>Палка алюминиевая эстафетная палочка длина 300мм</t>
  </si>
  <si>
    <t>Алюминиевые эстафетные палочки длина 30 см.
уровень: любительский. Материал: алюминий, диаметр палочки: 28 мм, длина палочки: 30 см, окрашена методом порошкового напыления.
Кроме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t>
  </si>
  <si>
    <t>522-101-1011-0005</t>
  </si>
  <si>
    <t>Боди бар 1 кг, материал металл</t>
  </si>
  <si>
    <t>Боди бар 1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</si>
  <si>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522-101-1011-0006</t>
  </si>
  <si>
    <t>Боди бар 2 кг, материал металл</t>
  </si>
  <si>
    <t>Боди бар 2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</si>
  <si>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522-101-1011-0007</t>
  </si>
  <si>
    <t>Боди бар 3 кг, материал металл</t>
  </si>
  <si>
    <t>Боди бар 3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</si>
  <si>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522-101-1011-0008</t>
  </si>
  <si>
    <t>Боди бар 4 кг, материал металл</t>
  </si>
  <si>
    <t>Боди бар 4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</si>
  <si>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522-101-1011-0009</t>
  </si>
  <si>
    <t>Боди бар 5 кг, материал металл</t>
  </si>
  <si>
    <t>Боди бар 5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</si>
  <si>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522-101-1011-0010</t>
  </si>
  <si>
    <t>Боди бар 6 кг, материал металл</t>
  </si>
  <si>
    <t>Боди бар 6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</si>
  <si>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522-101-1011-0011</t>
  </si>
  <si>
    <t>Боди бар 7 кг, материал металл</t>
  </si>
  <si>
    <t>Боди бар 7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</si>
  <si>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522-101-1011-0012</t>
  </si>
  <si>
    <t>Боди бар 8 кг, материал металл</t>
  </si>
  <si>
    <t>Боди бар 8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</si>
  <si>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522-101-1011-0013</t>
  </si>
  <si>
    <t>Боди бар 9 кг, материал металл</t>
  </si>
  <si>
    <t>Боди бар 9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</si>
  <si>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522-101-1011-0014</t>
  </si>
  <si>
    <t>Боди бар 10 кг, материал металл</t>
  </si>
  <si>
    <t>Боди бар 10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</si>
  <si>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522-101-1011-0015</t>
  </si>
  <si>
    <t>Палка гимнастическая пластиковая. Длина 1000 мм, диаметр 30 мм</t>
  </si>
  <si>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</si>
  <si>
    <t>522-101-1011-0016</t>
  </si>
  <si>
    <t>Палка гимнастическая пластиковая. Длина 1200мм, диаметр 30 мм</t>
  </si>
  <si>
    <t>522-101-1012</t>
  </si>
  <si>
    <t>Скакалка</t>
  </si>
  <si>
    <t>522-101-1012-0001</t>
  </si>
  <si>
    <t>Скакалка с деревянными ручками</t>
  </si>
  <si>
    <t>522-101-1012-0002</t>
  </si>
  <si>
    <t>Скакалка j-582</t>
  </si>
  <si>
    <t>522-101-1012-0003</t>
  </si>
  <si>
    <t>Скакалка j-584</t>
  </si>
  <si>
    <t>522-101-1012-0004</t>
  </si>
  <si>
    <t>Скакалка j-607</t>
  </si>
  <si>
    <t>522-101-1012-0005</t>
  </si>
  <si>
    <t>Скакалка гелевая P-1239 CONSTAR</t>
  </si>
  <si>
    <t>Скакалка гелевая P-1239 CONSTAR. Гелевый шнур - изделия выполнены из ребристого пластика, который обеспечивает надежный захват ладони предотвращающий выскальзывание. Шнур изготовлен из ПВХ</t>
  </si>
  <si>
    <t>522-101-1012-0006</t>
  </si>
  <si>
    <t>Скакалка JPR-1238. Ручки скакалки выполнены из полипропиленовой пены</t>
  </si>
  <si>
    <t>Скакалка JPR-1238. Ручки скакалки выполнены из полипропиленовой пены.
Шнур изготовлен из гибкого и прочного поливинилхлорида</t>
  </si>
  <si>
    <t>522-101-1012-0007</t>
  </si>
  <si>
    <t>Скакалка с металлическим тросом TFSR-0212</t>
  </si>
  <si>
    <t>Скакалка с металлическим тросом TFSR-0212. Скакалка скоростная модифицированный снаряд, предназначенный для интенсивных тренировок. Подшипники прыгалки обеспечивают свободное вращение троса, поэтому выполнять двойные прыжки на скакалке будет проще. Ручки оснащены подшипниками, такой тип крепления позволит избегать скручивания скакалки при прыжках и обеспечит долговечную службу.
Скакалка регулируется по длине. Вращающиеся ручки с нескользящими рукоятками. Быстровращающийся трос.</t>
  </si>
  <si>
    <t>522-101-1012-0008</t>
  </si>
  <si>
    <t>Скакалка pvt-1237. Изготовлена из высококачественной полиуретана</t>
  </si>
  <si>
    <t>Скакалка pvt-1237. Изготовлена из высококачественной полиуретана, которая долговечна для длительного использования</t>
  </si>
  <si>
    <t>522-101-1012-0009</t>
  </si>
  <si>
    <t>Скакалка со счетчиком P1113
POVIT-JPR1113. Система скоростного вращения</t>
  </si>
  <si>
    <t>Скакалка со счетчиком P1113 POVIT-JPR1113. Система скоростного вращения. Счетчик фиксирует количество оборотов, тем самым позволяя следит за ходом тренировки и фиксировать прогресс.</t>
  </si>
  <si>
    <t>522-101-1012-0010</t>
  </si>
  <si>
    <t>Скакалка веревочная TC-1239. Длина скакалки: 2,4 м. Толщина шнура: 4 мм</t>
  </si>
  <si>
    <t>522-101-1012-0011</t>
  </si>
  <si>
    <t>Скакалка детская  PCrstalCONSTARPP-1215. Длина синтетического шнура 2 метра</t>
  </si>
  <si>
    <t>Скакалка детская. Длина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Плетеная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На концах шнура имеются пластиковые ручки. Их форма адаптирована для детской руки: расширения у оснований не позволяют скакалке случайно выскользнуть. Кроме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t>
  </si>
  <si>
    <t>522-101-1012-0012</t>
  </si>
  <si>
    <t>Скакалка TC-1240</t>
  </si>
  <si>
    <t>Скакалка. ПВХ максимально легкая и удобная, предназначена для кардио-тренировок, укрепления сердечно-сосудистой и дыхательной системы. Шнур скакалки изготовлен из прочного ПВХ, выдерживающего
высокие нагрузки. Ручки выполнены из полипропилена. Изделие легкое, но достаточно крепкое, чтобы прослужить долго, выдерживая регулярные тренировки.</t>
  </si>
  <si>
    <t>522-101-1012-0013</t>
  </si>
  <si>
    <t>Скакалка с деревяными ручками. Материал изготовления: ручки из дерева,  шнур из нейлона</t>
  </si>
  <si>
    <t>Скакалка с деревянными ручками. При прыжках сжигаются калории, тренируются все группы мышц, укрепляется дыхательная система.</t>
  </si>
  <si>
    <t>522-101-1013</t>
  </si>
  <si>
    <t>Флажок</t>
  </si>
  <si>
    <t>522-101-1013-0001</t>
  </si>
  <si>
    <t>Флажок судейский размерами 340 х 440 мм
RAF-015</t>
  </si>
  <si>
    <t>Флажок судейский RAF-015. Ручка изготовлена из пластика и покрыта мягким неопреновым материалом. Размер флага: 34 х 44см. Длина полюс: 49см</t>
  </si>
  <si>
    <t>522-101-1013-0002</t>
  </si>
  <si>
    <t>Флажок разноцветный</t>
  </si>
  <si>
    <t>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300х200х20мм. Материал - дерево, ткань</t>
  </si>
  <si>
    <t>522-101-1015</t>
  </si>
  <si>
    <t>Шнур короткий</t>
  </si>
  <si>
    <t>522-101-1016</t>
  </si>
  <si>
    <t>Мяч баскетбольный</t>
  </si>
  <si>
    <t>522-101-1016-0001</t>
  </si>
  <si>
    <t>Мяч баскетбольный Spalding TF1000</t>
  </si>
  <si>
    <t>522-101-1016-0002</t>
  </si>
  <si>
    <t>Мяч баскетбольный №7 TB-7100. Поверхность из синтетической кожи (полиуретан)</t>
  </si>
  <si>
    <t>Мяч баскетбольный №7 TB-7100. Поверхность из синтетической кожи (полиуретан) и глубокие каналы (технология DeepChannel). Бутиловая камера. Размер: 7. Тип соединения панелей: Клееный. Количество панелей:
8. Материал покрышки: Синт. кожа (полиуретан). Материал камеры: Бутил. Материал обмотки камеры: Нейлон.</t>
  </si>
  <si>
    <t>522-101-1016-0003</t>
  </si>
  <si>
    <t>Мяч баскетбольный №7 BG3800 (профессиональный) типа Molten</t>
  </si>
  <si>
    <t>Мяч баскетбольный №7 BG3800 (профессиональный) типа Molten.  Цвет основной: Коричневый. Цвет дополнительный: Бежево-чёрный. Размер: 7. Тип соединения панелей: Клееный. Количество панелей: 12. Материал покрышки: Синт. кожа (полиуретан). Материал камеры: Бутил. Материал обмотки камеры:  Нейлон.</t>
  </si>
  <si>
    <t>522-101-1016-0004</t>
  </si>
  <si>
    <t>Мяч баскетбольный. Материал изготовления: композитная кожа</t>
  </si>
  <si>
    <t>Баскетбольный мяч Spalding TF-1000 для проведения соревнований, а также для тренировок и игр. Специальный каркас мяча Spalding TF-1000 обеспечивает мягкость, а конструкция углубленных каналов позволяет обеспечить максимально уверенный захват и контроль мяча. Обладает высокими техническими характеристиками, прочный и износостойкий.</t>
  </si>
  <si>
    <t>522-101-1017</t>
  </si>
  <si>
    <t>Мяч волейбольный</t>
  </si>
  <si>
    <t>522-101-1017-0001</t>
  </si>
  <si>
    <t>Волейбольный мяч Mikasa MVA V320W</t>
  </si>
  <si>
    <t>522-101-1017-0002</t>
  </si>
  <si>
    <t>Мяч волейбольный №5 TV-210.  Мягкая синтетическая кожа (полиуретан)</t>
  </si>
  <si>
    <t>Волейбольный мяч №5 TV-210.  Тип соединения панелей: Клееный, Количество панелей: 18 Мягкая синтетическая кожа (полиуретан), бутиловая камера,  размер 5,  панелей 18</t>
  </si>
  <si>
    <t>522-101-1017-0003</t>
  </si>
  <si>
    <t>Мяч волейбольный №5 V330W  типа MIKASA. Профессиональный. Синт. кожа (микрофибра)</t>
  </si>
  <si>
    <t>Волейбольный мяч №5 V330W  типа MIKASA. Цвет основной:  Желтый. Цвет дополнительный: Синий. Уровень игры:  Профессиональный. Размер: 65-67 см. Тип соединения панелей: Клееный, Количество панелей: 18 Материал покрышки:  Синт. кожа (микрофибра). Конструкция: Ламинированная. Материал камеры: Бутил.</t>
  </si>
  <si>
    <t>522-101-1017-0004</t>
  </si>
  <si>
    <t>Мяч волейбольный №5 V5FLC типа MOLTEN. Склеенный</t>
  </si>
  <si>
    <t>Мяч волейбольный №5 V5FLC типа MOLTEN. Размер: 5. Тип соединения панелей: Склеенный. Способ сшивки мяча: Термический. Цвет: Белый, зеленый, красный.</t>
  </si>
  <si>
    <t>522-101-1017-0005</t>
  </si>
  <si>
    <t>Волейбольный мяч профессиональный №5 MIKASA типа V200W</t>
  </si>
  <si>
    <t>Волейбольный мяч №5  MIKASA.
Цвет основной:  Желтый. Цвет дополнительный: Синий.
Уровень игры:  Профессиональный. Сертификат:  FIVB Approved Размер: 5.
Размер: 65-67 см.
Вес: 260 гр. Тип соединения панелей: Клееный, Количество панелей: 18 (Идеально сбалансированная 18-панельная аэродинамическая конструкция).
Материал покрышки:  Сверхкомпозитный чехол. Конструкция: Ламинированная. Материал камеры: Бутил. Особенность: Поверхность с двойными углублениями.</t>
  </si>
  <si>
    <t>522-101-1017-0006</t>
  </si>
  <si>
    <t>Мяч волейбольный. Материал изготовления: синтетическая кожа (микрофибра)</t>
  </si>
  <si>
    <t>Волейбольный мяч Mikasa V320W идеально подойдет для тренировок и соревнований молодежи и взрослых. Модель обладает хорошим сцеплением за счет легких углублений на поверхности. Мяч волейбольный Mikasa V320W, желтый цвет, 5 размер одобрен FIVB и DVV.</t>
  </si>
  <si>
    <t>522-101-1018</t>
  </si>
  <si>
    <t>Мяч футбольный</t>
  </si>
  <si>
    <t>522-101-1018-0001</t>
  </si>
  <si>
    <t>Футбольный мяч Select №5</t>
  </si>
  <si>
    <t>522-101-1018-0002</t>
  </si>
  <si>
    <t>Мяч футбольный №5 TSH-428A. Конструкция мяча состоит из 14 панелей</t>
  </si>
  <si>
    <t>Футбольный мяч №5 TSH-428A. Конструкция мяча состоит из 14 панелей. Мягкая микрофибра толщиной 1,0 мм на нетканой основе, армированная натуральным латексом, для придания большей упругости, со структурированной поверхностью,  Мяч изготовлен по технологии термосшивки (термосклеивания) панелей.</t>
  </si>
  <si>
    <t>522-101-1018-0003</t>
  </si>
  <si>
    <t>Мяч футбольный №5 STAR ALL NEW POLARIS 1000. Композитная синтетическая кожа Premium класса на основе Полиуретана (PU) толщиной 1,5мм</t>
  </si>
  <si>
    <t>Футбольный мяч №5 STAR ALL NEW POLARIS 1000. Композитная синтетическая кожа Premium класса на основе Полиуретана (PU) толщиной 1,5мм. 3 подкладочных слоя по технологии 3(2)+2(1). Камера: Натуральный латекс высшего качества.</t>
  </si>
  <si>
    <t>522-101-1018-0004</t>
  </si>
  <si>
    <t>Мяч мини-футбольный №4 TSK-2008.
Материал  камеры:  Латексная камера</t>
  </si>
  <si>
    <t>Мини-футбольный мяч №4 TSK-2008. Размер: 4. Материал  камеры: Латексная камера. Количество панелей: 32шт. Тип соединения: машиная сшивка.</t>
  </si>
  <si>
    <t>522-101-1018-0005</t>
  </si>
  <si>
    <t>Мяч футзальный №4 TSKS-432S. Покрышка из перламутровой глянцевой синтетической кожи (полиуретан). Материал камеры: Бутил с наполнителем</t>
  </si>
  <si>
    <t>Мяч футзальный №4 TSKS-432S. Покрышка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AirMattress), бутиловая камера с наполнителем для низкого отскока.
Количество панелей: 32 шт. Материал камеры: Бутил с наполнителем.</t>
  </si>
  <si>
    <t>522-101-1018-0006</t>
  </si>
  <si>
    <t>Футзальный мяч №4. Материал изготовления: полиуретан, синтетическая кожа</t>
  </si>
  <si>
    <t>Предназначен для игр и тренировок. Мяч изготовлен из современных искусственных материалов. С помощью полимерного нано-компонента слои мяча оптимально проявляют свои свойства, что улучшает форму мяча, угол отскока, а также устойчивость поверхности к повреждениям. Размеры: 0,38х0,38х0,38 м</t>
  </si>
  <si>
    <t>522-101-1018-0007</t>
  </si>
  <si>
    <t>Мяч футбольный. Материал изготовления: полиуретан, синтетическая кожа</t>
  </si>
  <si>
    <t>Футбольный мяч Select №5 - это мяч, который сочетает в себе превосходное качество и надежность. Он разработан для использования на футбольных матчах и тренировках. Мяч Select №5 обеспечивает отличную игровую производительность и долговечность, что делает его идеальным выбором для футболистов.</t>
  </si>
  <si>
    <t>522-101-1019</t>
  </si>
  <si>
    <t>Мяч резиновый</t>
  </si>
  <si>
    <t>522-101-1019-0001</t>
  </si>
  <si>
    <t>Гимнастический мяч (Фитбол) 65 гладкий</t>
  </si>
  <si>
    <t>522-101-1019-0002</t>
  </si>
  <si>
    <t>Гимнастический мяч (Фитбол) 85 гладкий</t>
  </si>
  <si>
    <t>522-101-1019-0003</t>
  </si>
  <si>
    <t>Медбол Profi 1кг</t>
  </si>
  <si>
    <t>522-101-1019-0004</t>
  </si>
  <si>
    <t>Медбол Profi 2кг</t>
  </si>
  <si>
    <t>522-101-1019-0005</t>
  </si>
  <si>
    <t>Медбол Profi 3кг</t>
  </si>
  <si>
    <t>522-101-1019-0006</t>
  </si>
  <si>
    <t>Медбол Profi 4кг</t>
  </si>
  <si>
    <t>522-101-1019-0007</t>
  </si>
  <si>
    <t>Медбол Profi 5кг</t>
  </si>
  <si>
    <t>522-101-1019-0008</t>
  </si>
  <si>
    <t>Медбол Profi 6кг</t>
  </si>
  <si>
    <t>522-101-1019-0009</t>
  </si>
  <si>
    <t>Медбол Profi 7кг</t>
  </si>
  <si>
    <t>522-101-1019-0010</t>
  </si>
  <si>
    <t>Медбол Profi 8кг</t>
  </si>
  <si>
    <t>522-101-1019-0011</t>
  </si>
  <si>
    <t>Медбол Profi 9кг</t>
  </si>
  <si>
    <t>522-101-1019-0012</t>
  </si>
  <si>
    <t>Медбол Profi 10кг</t>
  </si>
  <si>
    <t>522-101-1019-0013</t>
  </si>
  <si>
    <t>Медицинбол 1кг. (медбол) RA-001. Изготовлен из высококачественной плотной износостойкой резины, натуральной кожи или ПВХ</t>
  </si>
  <si>
    <t>Медицинбол 1кг. (медбол) RA-001.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</si>
  <si>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522-101-1019-0014</t>
  </si>
  <si>
    <t>Медицинбол 2кг. (медбол) RA-002. Изготовлен из высококачественной плотной износостойкой резины, натуральной кожи или ПВХ</t>
  </si>
  <si>
    <t>Медицинбол 2кг. (медбол) RA-002.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</si>
  <si>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522-101-1019-0015</t>
  </si>
  <si>
    <t>Медицинбол 3кг. (медбол) RA-003. Изготовлен из высококачественной плотной износостойкой резины, натуральной кожи или ПВХ</t>
  </si>
  <si>
    <t>Медицинбол 3кг. (медбол) RA-003. Изготовлен из высококачественной плотной износостойкой резины, натуральной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</si>
  <si>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522-101-1019-0016</t>
  </si>
  <si>
    <t>Медицинбол 4кг. (медбол) RA-004. Изготовлен из высококачественной плотной износостойкой резины, натуральной кожи или ПВХ</t>
  </si>
  <si>
    <t>Медицинбол 4кг. (медбол) RA-004.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</si>
  <si>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522-101-1019-0017</t>
  </si>
  <si>
    <t>Медицинбол 5кг. (медбол) RA-005. Изготовлен из высококачественной плотной износостойкой резины, натуральной кожи или ПВХ</t>
  </si>
  <si>
    <t>Медицинбол 5кг. (медбол) RA-005.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</si>
  <si>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522-101-1019-0018</t>
  </si>
  <si>
    <t>Медицинбол 6кг. (медбол) RA-006. Изготовлен из высококачественной плотной износостойкой резины, кожи или ПВХ</t>
  </si>
  <si>
    <t>Медицинбол 6кг. (медбол) RA-006.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</si>
  <si>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522-101-1019-0019</t>
  </si>
  <si>
    <t>Мяч гимнастический (Фитбол) TF-65 гладкий. Диаметр: 65 см</t>
  </si>
  <si>
    <t>Гимнастический мяч (Фитбол) TF-65 гладкий. Изготовлен из материала: поливинилхлорид (нетоксичный и гипоаллергенный). Диаметр: 65 см</t>
  </si>
  <si>
    <t>522-101-1019-0020</t>
  </si>
  <si>
    <t>Мяч гимнастический (Фитбол) TF-85 гладкий. Диаметр: 85 см</t>
  </si>
  <si>
    <t>Гимнастический мяч (Фитбол) TF-85 гладкий. Изготовлен из материала: поливинилхлорид (нетоксичный и гипоаллергенный). Диаметр: 85 см</t>
  </si>
  <si>
    <t>522-101-1019-0021</t>
  </si>
  <si>
    <t>Медицинбол 1кг TF-001 (медбол). Изготовлен из высококачественной плотной износостойкой резины, кожи или ПВХ</t>
  </si>
  <si>
    <t>Медицинбол 1кг TF-001 (медбол). Изготовлен из высококачественной плотной износостойкой резины, кожи или ПВХ. Имеет нескользящую поверхность и дизайн баскетбольного мяча.  Внутри снаряд заполнен песком.</t>
  </si>
  <si>
    <t>522-101-1019-0022</t>
  </si>
  <si>
    <t>Медицинбол 2кг TF-002 (медбол). Изготовлен из высококачественной плотной износостойкой резины, кожи или ПВХ</t>
  </si>
  <si>
    <t>Медицинбол 2кг TF-002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</si>
  <si>
    <t>522-101-1019-0023</t>
  </si>
  <si>
    <t>Медицинбол 3кг TF-003 (медбол). Изготовлен из высококачественной плотной износостойкой резины, кожи или ПВХ</t>
  </si>
  <si>
    <t>Медицинбол 3кг TF-003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</si>
  <si>
    <t>522-101-1019-0024</t>
  </si>
  <si>
    <t>Медицинбол 4кг TF-004 (медбол). Изготовлен из высококачественной плотной износостойкой резины, кожи или ПВХ</t>
  </si>
  <si>
    <t>Медицинбол 4кг TF-004  (медбол) .Изготовлен извысококачественной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</si>
  <si>
    <t>522-101-1019-0025</t>
  </si>
  <si>
    <t>Медицинбол 5кг TF-005 (медбол). Изготовлен из высококачественной плотной износостойкой резины, кожи или ПВХ</t>
  </si>
  <si>
    <t>Медицинбол 5кг TF-005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</si>
  <si>
    <t>522-101-1019-0026</t>
  </si>
  <si>
    <t>Медицинбол 6кг. TF-006 (медбол). Изготовлен из  высококачественной плотной износостойкой резины, кожи или ПВХ</t>
  </si>
  <si>
    <t>Медицинбол 6кг. TF-006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</si>
  <si>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522-101-1019-0027</t>
  </si>
  <si>
    <t>Медицинбол 7кг. TF-007 (медбол). Изготовлен из высококачественной плотной износостойкой резины, кожи или ПВХ</t>
  </si>
  <si>
    <t>Медицинбол 7кг. TF-007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</si>
  <si>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522-101-1019-0028</t>
  </si>
  <si>
    <t>Медицинбол 8кг.TF-008 (медбол). Изготовлен из высококачественной плотной износостойкой резины, кожи или ПВХ</t>
  </si>
  <si>
    <t>Медицинбол 8кг.TF-008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</si>
  <si>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522-101-1019-0029</t>
  </si>
  <si>
    <t>Медицинбол 9кг. TF-009 (медбол). Изготовлен из высококачественной плотной износостойкой резины, кожи или ПВХ</t>
  </si>
  <si>
    <t>Медицинбол 9кг. TF-009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</si>
  <si>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522-101-1019-0030</t>
  </si>
  <si>
    <t>Медицинбол 10кг. TF-010 (медбол). Изготовлен из высококачественной плотной износостойкой резины, кожи или ПВХ</t>
  </si>
  <si>
    <t>Медицинбол 10кг. TF-010 (медбол) - это тяжелый мяч, изготовленный высококачественной плотной износостойкой резины, кожи или ПВХ, который набивается резиновой крошкой, песком .</t>
  </si>
  <si>
    <t>522-101-1019-0031</t>
  </si>
  <si>
    <t>Мяч для художественной гимнастики TFGMB0228 - 21 см. Изготовлен из Каучука</t>
  </si>
  <si>
    <t>Мяч для художественной гимнастики TFGMB0228 - 21 см. Вес составляет по стандарту 400 грамм. Изготовлен из Каучука.</t>
  </si>
  <si>
    <t>522-101-1019-0032</t>
  </si>
  <si>
    <t>Мяч для художественной гимнастики TF19400</t>
  </si>
  <si>
    <t>Изготовлен из поливинилхлорида, диаметр 19см.</t>
  </si>
  <si>
    <t>522-101-1020</t>
  </si>
  <si>
    <t>Мяч для метания</t>
  </si>
  <si>
    <t>522-101-1020-0001</t>
  </si>
  <si>
    <t>Мяч для метания резиновый диаметром 60мм RAM-150</t>
  </si>
  <si>
    <t>Мяч для метания резиновый RAM-150, 150 гр.  Характеристики: материал: резина. Диаметр : 60мм</t>
  </si>
  <si>
    <t>522-101-1022</t>
  </si>
  <si>
    <t>Мишень для метания</t>
  </si>
  <si>
    <t>522-101-1022-0001</t>
  </si>
  <si>
    <t>522-101-1022-0002</t>
  </si>
  <si>
    <t>Мишень для метания TSF-450 450х450мм.
Изготовлен из натурального дерева: фанеры</t>
  </si>
  <si>
    <t>Мишень для метания TSF-450 450х450мм. Изготовлен из натурального дерева: фанеры.Представляет собой деревянную фанеру. На поверхности нарисована мишень с несколькими кольцами.</t>
  </si>
  <si>
    <t>522-101-1022-0003</t>
  </si>
  <si>
    <t>Мишень для метания TSF-700 700х700мм.
Изготовлена из натурального дерева: фанеры</t>
  </si>
  <si>
    <t>Мишень для метания TSF-700 700х700мм.  Щит сделан из натурального дерева: фанеры. Фанера  прошла несколько стадий обработки, чтобы поверхность была ровной, и избавиться от заусениц. Верхняя поверхность имеет изображение мишени с несколькими кольцами.</t>
  </si>
  <si>
    <t>522-101-1022-0004</t>
  </si>
  <si>
    <t>Мешочек для метания</t>
  </si>
  <si>
    <t>Метание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Материал: искусственная кожа, песок.
Размер: 140х140мм.</t>
  </si>
  <si>
    <t>522-101-1023</t>
  </si>
  <si>
    <t>Набор для игры в бадминтон</t>
  </si>
  <si>
    <t>522-101-1023-0001</t>
  </si>
  <si>
    <t>Ракетки для бадминтона Keka</t>
  </si>
  <si>
    <t>522-101-1023-0002</t>
  </si>
  <si>
    <t>Воланы для бадминтона</t>
  </si>
  <si>
    <t>522-101-1023-0003</t>
  </si>
  <si>
    <t>Ракетка для бадминтона PE 4250. Изготовлена  из углеродистой стали</t>
  </si>
  <si>
    <t>Ракетка для бадминтона PE 4250. Изготовлена  из углеродистой стали. Вес ракетки составляет от 80 до 100 грамм. Размер ракетки 680мм. в длину 230мм.  Струнная поверхность  не более 280 мм в длину и 220 мм в ширину. Общая длина струнной 330 мм.</t>
  </si>
  <si>
    <t>522-101-1023-0004</t>
  </si>
  <si>
    <t>Воланчик для бадминтона P-4406 (в упаковке 3 шт). Изготовлен из нейлона</t>
  </si>
  <si>
    <t>Воланчик для бадминтона P-4406 (в упаковке 3 шт).  Изготовлен из нейлона.  Материал головки: Пробка. Волан тренировочного уровня для игры в зале и на улице. Высота волана 8 см, диаметр юбки 7 см. Упакованы в тубу по 3 шт.</t>
  </si>
  <si>
    <t>522-101-1023-0005</t>
  </si>
  <si>
    <t>Воланчик для бадминтона TBV-300. Изготовлен из нейлона</t>
  </si>
  <si>
    <t>Воланчик для бадминтона TBV-300. Изготовлен из нейлона. Цвет основной: Белый. Цвет дополнительный: Бело-черный. Материал: Нейлон.
Высота волана 8 см, диаметр юбки 7 см.</t>
  </si>
  <si>
    <t>522-101-1023-0006</t>
  </si>
  <si>
    <t>Набор для игры "Асык ату"</t>
  </si>
  <si>
    <t>Набор для игры "Асык ату". В наборе 12шт. Чехол из экокожи. Материал изготовления: пластик</t>
  </si>
  <si>
    <t>522-101-1023-0007</t>
  </si>
  <si>
    <t>Набор для игры "Бес тас"</t>
  </si>
  <si>
    <t>Набор для игры "Бес тас". В наборе 5 шт. камней. Чехол из кожзама.
Материал изготовления: эпоксидное соединение</t>
  </si>
  <si>
    <t>522-101-1024</t>
  </si>
  <si>
    <t>Набор для игры в настольный теннис</t>
  </si>
  <si>
    <t>522-101-1024-0001</t>
  </si>
  <si>
    <t>Ракетка для настольного тенниса Level 100</t>
  </si>
  <si>
    <t>522-101-1024-0002</t>
  </si>
  <si>
    <t>Ракетка набор для настольного StartLineLevel 100</t>
  </si>
  <si>
    <t>522-101-1024-0003</t>
  </si>
  <si>
    <t>Ракетка набор для настольного StartLineLevel 200</t>
  </si>
  <si>
    <t>522-101-1024-0004</t>
  </si>
  <si>
    <t>Ракетка для настольного тенниса Stiga COSMO</t>
  </si>
  <si>
    <t>522-101-1024-0005</t>
  </si>
  <si>
    <t>Ракетка для настольного тенниса Stiga TRINITY</t>
  </si>
  <si>
    <t>522-101-1024-0006</t>
  </si>
  <si>
    <t>Ракетка для настольного тенниса Stiga Premier NCT</t>
  </si>
  <si>
    <t>522-101-1024-0007</t>
  </si>
  <si>
    <t>Шарики для настольного тенниса</t>
  </si>
  <si>
    <t>522-101-1024-0008</t>
  </si>
  <si>
    <t>Шарики для настольного тенниса CLUB SELECT 1*, 6 мячей в упаковке, белые</t>
  </si>
  <si>
    <t>522-101-1024-0009</t>
  </si>
  <si>
    <t>Шарики для настольного тенниса STANDART 2*, 6 мячей в упаковке, белые</t>
  </si>
  <si>
    <t>522-101-1024-0010</t>
  </si>
  <si>
    <t>Шарики для настольного тенниса TRAINING 3*, 6 мячей в упаковке, белые</t>
  </si>
  <si>
    <t>522-101-1024-0011</t>
  </si>
  <si>
    <t>Ракетки для настольного тенниса P-4225 (в комплекте 2 ракетки и 3 шарика).
Изготовлена из специального шпона дерева</t>
  </si>
  <si>
    <t>Ракетки для настольного тенниса P-4225 (в комплекте 2 ракетки и 3 шарика).  Основание ракетки изготовлено из специального шпона дерева. Накладки состоят из губчатого слоя. Вес ракетки 400 (гр). Высота ракетки 235 мм. Ширина ракетки 140 мм.</t>
  </si>
  <si>
    <t>522-101-1024-0012</t>
  </si>
  <si>
    <t>Шарик для настольного тенниса DF-1S. Изготовлен из пластика</t>
  </si>
  <si>
    <t>Шарик для настольного тенниса DF-1S.  Диаметр 40 мм,  в упаковке 6 шт. Цвет основной: Белый. Материал: Пластик. Материал: Пластик, цвет белый, в упаковке 6 шт.</t>
  </si>
  <si>
    <t>522-101-1024-0013</t>
  </si>
  <si>
    <t>Шарик для настольного тенниса DF-2S
.Изготовлен из пластика</t>
  </si>
  <si>
    <t>Шарик для настольного тенниса DF-2S .Диаметр 40 мм,  в упаковке 3 шт.
Цвет основной: Белый. Изготовлен из пластика. , в упаковке 3 шт., в упаковке 3 шт.</t>
  </si>
  <si>
    <t>522-101-1024-0014</t>
  </si>
  <si>
    <t>Шарик для настольного тенниса XSX, диаметр 40мм. Изготовлен из пластика</t>
  </si>
  <si>
    <t>Шарик для настольного тенниса XSX, диаметр 40мм.  Изготовлен из пластика.</t>
  </si>
  <si>
    <t>522-101-1024-0015</t>
  </si>
  <si>
    <t>Ракетка для настольного тенниса Double fish 5А</t>
  </si>
  <si>
    <t>Ракетка для настольного тенниса Double fish 5А. Ракетка предназначенная для продвинутых игроков в настольный теннис. Подходит для быстрых, коротких игр.</t>
  </si>
  <si>
    <t>522-101-1024-0016</t>
  </si>
  <si>
    <t>Сачок для мячей. Алюминиевая телескопическая ручка, нейлоновая сетка, пластиковые крепления</t>
  </si>
  <si>
    <t>Сачок для мячей DHS. Легко разбирается и собирается  Телескопическая ручка 61-106 см. Материал изготовления: Размер сеткосборника: 16 х 28 см.</t>
  </si>
  <si>
    <t>522-101-1024-0017</t>
  </si>
  <si>
    <t>Мяч для настольного тенниса, материал ABS-пластик. Размер: диаметр 40 мм</t>
  </si>
  <si>
    <t>Подходят для тренировок и игр в спортивных клубах, секциях и школьных учреждениях. Изготавливаются из прочного ABS-пластика, обеспечивающего высокую износостойкость, долгий срок службы и стабильные игровые характеристики.</t>
  </si>
  <si>
    <t>522-101-1024-0018</t>
  </si>
  <si>
    <t>Ракетка для настольного тенниса. Основание из специального шпона дерева, накладки из губчатого слоя</t>
  </si>
  <si>
    <t>Ракетки для настольного тенниса STIGA. Ручка ракетки удобной конической формы и не доставляет дискомфорта во время игры. Материал изготовления: основание из фанеры, покрытое резиновыми накладками с губкой.</t>
  </si>
  <si>
    <t>522-101-1025</t>
  </si>
  <si>
    <t>Стол для настольного тенниса</t>
  </si>
  <si>
    <t>522-101-1025-0001</t>
  </si>
  <si>
    <t>Стол теннисный в комплекте</t>
  </si>
  <si>
    <t>Складная конструкция, транспортировочные ролики, сетка в комплекте.
Материал столешницы ДСП.</t>
  </si>
  <si>
    <t>522-101-1025-0002</t>
  </si>
  <si>
    <t>Теннисный стол уличный</t>
  </si>
  <si>
    <t>522-101-1025-0003</t>
  </si>
  <si>
    <t>Стол настольного тенниса FY-166
.Изготовлен из ЛДСП 16 мм с меламиновым покрытием. Размеры: длина 274 см, ширина 152,5 см, высота 76 см</t>
  </si>
  <si>
    <t>Стол настольного тенниса FY-166. Размеры: длина 274 см, ширина 152,5 см, высота 76 см. Игровое поле: ЛДСП 16 мм с меламиновым покрытием.
Кант: кромка ПВХ 0,45 мм.</t>
  </si>
  <si>
    <t>522-101-1025-0004</t>
  </si>
  <si>
    <t>Стол настольного тенниса уличный TT-2375. Изготовлен из металла. Размер: 250х125 см, высота 76 см: лист цельный</t>
  </si>
  <si>
    <t>Стол настольного тенниса уличный TT-2375. . Игровое поле: металл. Рама, ножки: профиль металлический 40х40 мм, 40х20 мм. Размер: 250х125 см, высота 76 см: лист цельный.</t>
  </si>
  <si>
    <t>522-101-1025-0005</t>
  </si>
  <si>
    <t>Стол теннисный в комплекте с сеткой Startline-Leader.Изготовлен из ЛДСП 16мм. Размеры (ДхШхВ) 274х152,5х76см</t>
  </si>
  <si>
    <t>Теннисный стол в комплекте с сеткой Startline-Leader.Изготовлен из ЛДСП 16мм. Размеры (ДхШхВ) 274х152,5х76см</t>
  </si>
  <si>
    <t>522-101-1025-0006</t>
  </si>
  <si>
    <t>Робот для настольного тенниса, размеры 820х400х400мм. Корпус из ударопрочного пластика, механизм подачи из металла + высокопрочного пластика</t>
  </si>
  <si>
    <t>Робот для настольного тенниса предназначен для тренировки различных подач и игровых ситуаций. Он может быть запрограммирован на верхнее, обратное, боковое вращение и обратный ход мяча. Точная подача обеспечивается за счёт 21 колеблющейся позиции и 30 уровней скорости.
Цифровой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Материал изготовления: Корпус: ударопрочный пластик (ABS/PP) , Механизм подачи: металл + высокопрочный пластик, Роторы/ролики подачи мяча: резина или мягкий полимер, стойка и крепления: металл сталь/алюминий).</t>
  </si>
  <si>
    <t>522-101-1025-0007</t>
  </si>
  <si>
    <t>Стол настольного тенниса, размеры 1640х1500х260мм. Складной механизм, колеса с тормозами, материал изготогвления: МДФ, металлическая труба</t>
  </si>
  <si>
    <t>Столешница изготовлена из МДФ -материала более плотного, чем ДСП, за счет чего достигается максимально равномерный отскок мяча. Каждая половина стола складывается и транспортируется по отдельности.
Компактные размеры в сложенном состоянии. Одобрен ITTF (Международной федерацией настольного тенниса). Рама изготовлена из 50-мм металлической трубы. Внешние ножки с регулировкой высоты (юстировкой). Стол оснащен колесами диаметром 125 мм с тормозами.
Одиночное сложение стола настольного тенниса.</t>
  </si>
  <si>
    <t>522-101-1026</t>
  </si>
  <si>
    <t>Дуга для подлезания</t>
  </si>
  <si>
    <t>522-101-1026-0001</t>
  </si>
  <si>
    <t>Дуга для подлезания размерами 400х800 мм RAD-040</t>
  </si>
  <si>
    <t>Дуга для подлезания 40 RAD-040. Дуга для подлезания представляет собой сборно-разборную конструкцию, состоящую из следующих основных частей: арки и двух опор. Размер: 400х800 мм, материал дуги и опор: дерево</t>
  </si>
  <si>
    <t>522-101-1026-0002</t>
  </si>
  <si>
    <t>Дуга для подлезания размерами 500х900 мм RAD-050</t>
  </si>
  <si>
    <t>Дуга для подлезания 50 RAD-050. Дуга для подлезания представляет собой сборно-разборную конструкцию, состоящую из следующих основных частей: арки и двух опор. Размер: 500х900 мм, материал дуги и опор: дерево</t>
  </si>
  <si>
    <t>522-101-1026-0003</t>
  </si>
  <si>
    <t>Дуга для подлезания размерами 600х1000 мм RAD-060</t>
  </si>
  <si>
    <t>Дуга для подлезания 60 RAD-060. Дуга для подлезания представляет собой сборно-разборную конструкцию, состоящую из следующих основных частей: арки и двух опор. Размер: 600х1000 мм, материал дуги и опор: дерево</t>
  </si>
  <si>
    <t>522-101-1027</t>
  </si>
  <si>
    <t>Обруч</t>
  </si>
  <si>
    <t>522-101-1027-0001</t>
  </si>
  <si>
    <t>Обруч алюминевый</t>
  </si>
  <si>
    <t>522-101-1027-0002</t>
  </si>
  <si>
    <t>Обруч пластмассовый D40</t>
  </si>
  <si>
    <t>522-101-1027-0003</t>
  </si>
  <si>
    <t>Обруч пластмассовый D50</t>
  </si>
  <si>
    <t>522-101-1027-0004</t>
  </si>
  <si>
    <t>Обруч пластмассовый D60</t>
  </si>
  <si>
    <t>522-101-1027-0005</t>
  </si>
  <si>
    <t>Обруч пластмассовый D70</t>
  </si>
  <si>
    <t>522-101-1027-0006</t>
  </si>
  <si>
    <t>Обруч пластмассовый D80</t>
  </si>
  <si>
    <t>522-101-1027-0007</t>
  </si>
  <si>
    <t>Обруч гимнастический пластиковый TF-100 100 см. Изготовлен из пластмассы. Размер: диаметр 100 см Толщина 1,8 см</t>
  </si>
  <si>
    <t>522-101-1027-0008</t>
  </si>
  <si>
    <t>Обруч гимнастический TF-80, 80 см. Изготовлен из пластмассы. Размер: диаметр 80 см Толщина 1,8 см</t>
  </si>
  <si>
    <t>Обруч гимнастический TF-80, 80 см. Изготовлен из пластмассы. Размер: диаметр 80 см Толщина 1,8 см.</t>
  </si>
  <si>
    <t>522-101-1027-0009</t>
  </si>
  <si>
    <t>Обруч гимнастический пластиковый TF-60, 60 см. Изготовлен из пластмассы. Размер: диаметр 60 см Толщина 1,8 см</t>
  </si>
  <si>
    <t>Обручгимнастический пластиковый TF-60, 60 см. Изготовлен из пластмассы. Размер: диаметр 60 см Толщина 1,8 см.</t>
  </si>
  <si>
    <t>522-101-1027-0010</t>
  </si>
  <si>
    <t>Обруч металический TFM-80 80 см. Изготовлен из легкого металла и покрыт краской. Диаметр 80 см</t>
  </si>
  <si>
    <t>Обруч металический TFM-80 80 см.  Изготовлен из легкого металла и покрыт краской. Диаметр 80 см.</t>
  </si>
  <si>
    <t>522-101-1027-0011</t>
  </si>
  <si>
    <t>Обруч металический TFM-100 100 см. Изготовлен из легкого металла и покрыт краской. Диаметр 100 см</t>
  </si>
  <si>
    <t>Обруч металический TFM-100 100 см. Изготовлен из легкого металла и покрыт краской. Диаметр 100 см .</t>
  </si>
  <si>
    <t>522-101-1028</t>
  </si>
  <si>
    <t>Динамометр ручной</t>
  </si>
  <si>
    <t>522-101-1028-0001</t>
  </si>
  <si>
    <t>Динамометр медицинский электронный
ручной ДМЭР-120-0,5-И-Д</t>
  </si>
  <si>
    <t>522-101-1028-0002</t>
  </si>
  <si>
    <t>Динамометр медицинский электронный
ручной ДМЭР-120-0,5-Д</t>
  </si>
  <si>
    <t>522-101-1028-0003</t>
  </si>
  <si>
    <t>Динамометр медицинский электронный
ручной ДМЭР-120-0,5</t>
  </si>
  <si>
    <t>522-101-1028-0004</t>
  </si>
  <si>
    <t>Динамометр медицинский электронный
ручной ДМЭР-30-0,5</t>
  </si>
  <si>
    <t>522-101-1028-0005</t>
  </si>
  <si>
    <t>Динамометр кистевой TCD-7002</t>
  </si>
  <si>
    <t>Динамометр кистевой TCD-7002. Предел измерения - 90 кг. Разрешение - 100 г. Погрешность - ±100 г. Высота цифр дисплея - 21 мм. Питание - Батареи типа (ААА) 1,5В - 2шт.  Габаритные размеры - 195 х 130 х 36 мм.
Вес - 355 г с батареями</t>
  </si>
  <si>
    <t>522-101-1029</t>
  </si>
  <si>
    <t>Электромегафон</t>
  </si>
  <si>
    <t>522-101-1029-0001</t>
  </si>
  <si>
    <t>Электромегафон с регулируемой громкостью</t>
  </si>
  <si>
    <t>522-101-1030</t>
  </si>
  <si>
    <t>Табло простое пластиковое</t>
  </si>
  <si>
    <t>522-101-1030-0001</t>
  </si>
  <si>
    <t>Табло пластиковое перекидное</t>
  </si>
  <si>
    <t>Табло перекидное на металлической подставке с пластиковыми номерами.</t>
  </si>
  <si>
    <t>522-101-1030-0002</t>
  </si>
  <si>
    <t>Табло пластиковое, размеры: 420х200х50мм. Материал изготовления: ударопрочный пластик (ABS), металлические крепления, износостойкие цифры из ламинированного пластика</t>
  </si>
  <si>
    <t>Судейский счётчик для проведения соревнований по настольному теннису на высоком уровне. Одобрен ITTF.</t>
  </si>
  <si>
    <t>522-101-1031</t>
  </si>
  <si>
    <t>Табло электронное</t>
  </si>
  <si>
    <t>522-101-1031-0001</t>
  </si>
  <si>
    <t>Табло электронное универсальное</t>
  </si>
  <si>
    <t>Табло электронное универсальное. Отображение счет, тайм, время, фолы. Управление по Wi-Fi. Размер: 1,6х0,8м. Управление табло осуществляется через программу на ПК, иные способы управления: радиопульт</t>
  </si>
  <si>
    <t>522-101-1033</t>
  </si>
  <si>
    <t>Рулетка измерительная</t>
  </si>
  <si>
    <t>522-101-1033-0001</t>
  </si>
  <si>
    <t>Рулетка измерительная 50 м</t>
  </si>
  <si>
    <t>Рулетка измерительная 50 метров. Размеры: 50 м х 12.5 мм х 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</si>
  <si>
    <t>522-101-1033-0002</t>
  </si>
  <si>
    <t>Рулетка измерительная 30 метров</t>
  </si>
  <si>
    <t>Рулетка измерительная 30 метров. Размеры: 30 м х 12.5 мм х0.4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</si>
  <si>
    <t>522-101-1033-0003</t>
  </si>
  <si>
    <t>Рулетка измерительная 2 м</t>
  </si>
  <si>
    <t>Длина 2 метра, ширина 13см, материал корпуса пластик, материал ленты металл</t>
  </si>
  <si>
    <t>522-101-1034</t>
  </si>
  <si>
    <t>Стеллаж для хранения спортивного инвентаря</t>
  </si>
  <si>
    <t>522-101-1034-0001</t>
  </si>
  <si>
    <t>Стеллаж для спортивного инвентаря, размеры не менее 1800х1000х400мм</t>
  </si>
  <si>
    <t>Каркас изготовлен из металлического профиля 25х25мм, полки изготовлены из фанеры толщиной 10мм. Нагрузка на полку не более 50кг. 6 полок</t>
  </si>
  <si>
    <t>522-101-1035</t>
  </si>
  <si>
    <t>Стеллаж для хранения мячей</t>
  </si>
  <si>
    <t>522-101-1035-0001</t>
  </si>
  <si>
    <t>Стеллаж для мячей, размеры не менее
2000х1250х450мм</t>
  </si>
  <si>
    <t>Толщина стенки профильной трубы каркаса-1,5 мм. Количество роликов с фиксаторами для перемещения-4 шт. 6 полок. Количество одновременно хранимых мячей не менее 28 шт</t>
  </si>
  <si>
    <t>522-101-1035-0002</t>
  </si>
  <si>
    <t>Подставка под мячи/полотенца</t>
  </si>
  <si>
    <t>Материал изготовления: плотный многослойный картон с ламинированным износостойким покрытием. Размеры: 780х350х20мм. Цвет: синий.</t>
  </si>
  <si>
    <t>522-101-1036</t>
  </si>
  <si>
    <t>Корзина для мячей</t>
  </si>
  <si>
    <t>522-101-1036-0001</t>
  </si>
  <si>
    <t>Корзина для мячей переносная. Размеры: не менее 900х800х600мм</t>
  </si>
  <si>
    <t>Корзина для мячей металлическая сетчатая. Размеры: не менее 900х800х600мм</t>
  </si>
  <si>
    <t>522-101-1036-0002</t>
  </si>
  <si>
    <t>Корзина для мячей складная TBF-2048. Алюминиевый каркас на обрезиненных колесиках. Легко раскладывается и перемещается</t>
  </si>
  <si>
    <t>Корзина для мячей складная TBF-2048. Алюминиевый каркас на обрезиненных колесиках. Легко раскладывается и перемещается. Сама корзина из нейлона с усиленным дном и двумя боковыми карманами для мелочей. Комплектуется чехлом для хранения и переноски. Размер: 64х64х102см. Вес: 3.5 кг. Материалы: нейлон, алюминий, резина, пластик</t>
  </si>
  <si>
    <t>522-101-1037</t>
  </si>
  <si>
    <t>Насос для накачивания мячей</t>
  </si>
  <si>
    <t>522-101-1037-0001</t>
  </si>
  <si>
    <t>Насос малый</t>
  </si>
  <si>
    <t>522-101-1037-0002</t>
  </si>
  <si>
    <t>Насос большой</t>
  </si>
  <si>
    <t>522-101-1037-0003</t>
  </si>
  <si>
    <t>Насос для накачивания мячей типа TPU-4507</t>
  </si>
  <si>
    <t>Насос для накачивания мячей. Насос ножной универсальный с манометром 55х120, габариты (ДхШхВ): 29x9x14. Универсальный ножной насос поможет в считанные секунды накачать колеса велосипеда, а также подкачать шины автомобиля. Он имеет надежное стальное основание, широкую педаль с резиновой поверхностью, две камеры 55х120, а также манометр с двумя шкалами bar/psi. Резиновый шланг насоса защищен тканевой оболочкой. В комплект также входит несколько дополнительных
насадок.</t>
  </si>
  <si>
    <t>522-101-1038</t>
  </si>
  <si>
    <t>Козел гимнастический</t>
  </si>
  <si>
    <t>522-101-1038-0001</t>
  </si>
  <si>
    <t>Козел гимнастический детский</t>
  </si>
  <si>
    <t>522-101-1038-0002</t>
  </si>
  <si>
    <t>522-101-1038-0003</t>
  </si>
  <si>
    <t>Козел гимнастический, высота регулируемая</t>
  </si>
  <si>
    <t>С фиксаторами для регулировки нужной высоты. Корпус - искусственная кожа. Размер корпуса: длина не менее 670мм, ширина не менее 350мм, высота - 280мм. Все края и углы корпуса имеют закругленную форму. Опора телескопическая и выполнена из стальных труб, окрашенных порошковой эмалью. На каждой телескопической стойке опоры установлен резиновый наконечник-копыто. Регулировки козла по высоте осуществляется выдвижением нижней трубы телескопической стойки опоры с шагом 55мм. Высота верхней поверхности корпуса от пола: 900 - 1350мм.</t>
  </si>
  <si>
    <t>522-101-1039</t>
  </si>
  <si>
    <t>Мостик гимнастический</t>
  </si>
  <si>
    <t>522-101-1039-0001</t>
  </si>
  <si>
    <t>Мостик гимнастический пружинный с гнутой платформой</t>
  </si>
  <si>
    <t>Мостик гимнастический, подпружиненный. Фанера полированная. Покрыт сукном. 4 стальные пружины, очень надежные. Подбит резиновыми прокладками.Размеры: длина - 1200мм, ширина - 600мм.</t>
  </si>
  <si>
    <t>522-101-1039-0002</t>
  </si>
  <si>
    <t>Мостик гимнастический приставной</t>
  </si>
  <si>
    <t>Из многослойной фанеры.  Верхняя платформа покрыта ковролином на резиновой основе. Вместо пружины фанерная опора. Предназначен для опорных прыжков и запрыгивания на спортивные снаряды. Размеры: длина
- 1200мм, ширина - 600мм.</t>
  </si>
  <si>
    <t>522-101-1039-0003</t>
  </si>
  <si>
    <t>Мост гимнастический подпружиненный TG-2215. Площадка имеет ковровое покрытие, препятствующего скольжению ног во время выполнения прыжков. Длина - 1200мм.  Ширина - 600мм. Высота - 230мм</t>
  </si>
  <si>
    <t>Мост гимнастический подпружиненный TG-2215. Представляет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Площадка имеет ковровое покрытие, препятствующего скольжению ног во время выполнения прыжков. Длина - 1200мм.  Ширина - 600мм. Высота - 230мм.</t>
  </si>
  <si>
    <t>522-101-1039-0004</t>
  </si>
  <si>
    <t>Мост гимнастический приставной RAG-521. Площадка имеет ковровое покрытие, препятствующее скольжение ног во время выполнения прыжков. Длина - 1200мм.
Ширина - 600мм. Высота - 230мм</t>
  </si>
  <si>
    <t>Мост гимнастический приставной RAG-521. Представляет собой сборную конструкцию, состоящую из верхней площадки и основания (фанера 15мм), соединенных опорой из фанеры.  Площадка имеет ковровое покрытие, препятствующее скольжение ног во время выполнения прыжков. Длина - 1200мм.  Ширина - 600мм. Высота - 230мм.</t>
  </si>
  <si>
    <t>522-101-1040</t>
  </si>
  <si>
    <t>Планка для прыжков в высоту</t>
  </si>
  <si>
    <t>522-101-1040-0001</t>
  </si>
  <si>
    <t>Планка для прыжков в высоту, для использования на занятиях легкой атлетикой. Длина 4000мм, пластиковые наконечники. Материал планки: дюралюминий. На концах пластиковые наконечники. Толщина стенки 2 мм.</t>
  </si>
  <si>
    <t>522-101-1041</t>
  </si>
  <si>
    <t>Стойка для прыжков в высоту</t>
  </si>
  <si>
    <t>522-101-1041-0001</t>
  </si>
  <si>
    <t>Пара стоек для прыжков в высоту для использования на занятиях легкой атлетикой. Стойки изготовлены из алюминиевой профильной трубы 60х30мм, вторая часть из профильной алюминиевой трубы 30х30мм, общая длина стойки 2500мм. Регулировка высоты  от 150мм до 2500мм.</t>
  </si>
  <si>
    <t>522-101-1041-0002</t>
  </si>
  <si>
    <t>Стойка для прыжков в высоту, деревянная конструкция</t>
  </si>
  <si>
    <t>Стойка для прыжков в высоту детская. Деревянная конструкция. Диаметр опорных площадок стоек - 240мм, высота стойки 800мм.</t>
  </si>
  <si>
    <t>522-101-1043</t>
  </si>
  <si>
    <t>Коньки</t>
  </si>
  <si>
    <t>522-101-1043-0001</t>
  </si>
  <si>
    <t>Раздвижные ледовые коньки Banwei 31-34(S)</t>
  </si>
  <si>
    <t>522-101-1043-0002</t>
  </si>
  <si>
    <t>Коньки фигурные RAS-200</t>
  </si>
  <si>
    <t>Коньки RAS-200. Разных размеров. Материал ботинка - кожа, материал лезвия - нержавеющая сталь, материал подкладки - синтетический мех, материал подошвы - полиуретан, тип коньков - фигурные, тип фиксации - шнурки</t>
  </si>
  <si>
    <t>522-101-1044</t>
  </si>
  <si>
    <t>Ворота для мини футбола</t>
  </si>
  <si>
    <t>522-101-1044-0001</t>
  </si>
  <si>
    <t>Ворота для минифутбола (2х3м)</t>
  </si>
  <si>
    <t>522-101-1044-0002</t>
  </si>
  <si>
    <t>Усиленная конструкция. Основные размеры: Ширина – 3000 мм, высота  - 2000 мм, глубина основания 1000 мм. Передние стойки и штанга выполнены из металлической профильной трубы 80х80мм.</t>
  </si>
  <si>
    <t>522-101-1045</t>
  </si>
  <si>
    <t>Мяч гандбольный</t>
  </si>
  <si>
    <t>522-101-1045-0001</t>
  </si>
  <si>
    <t>Мяч гандбольный TF-9525</t>
  </si>
  <si>
    <t>Количество панелей - 32. Способ соединения панелей - Ручная сшивка.
Материал покрышки - синтетическая кожа.</t>
  </si>
  <si>
    <t>522-101-1046</t>
  </si>
  <si>
    <t>Сетка волейбольная</t>
  </si>
  <si>
    <t>522-101-1046-0001</t>
  </si>
  <si>
    <t>Сетка волейбольная, нить D=2 мм, стальной трос D=3 мм</t>
  </si>
  <si>
    <t>522-101-1046-0002</t>
  </si>
  <si>
    <t>Сетка волейбольная, нить D=2,5 мм, стальной трос D=3 мм</t>
  </si>
  <si>
    <t>522-101-1046-0003</t>
  </si>
  <si>
    <t>Сетка волейбольная, размер не менее 9500х1000мм</t>
  </si>
  <si>
    <t>Толщина нити Д 2,6 мм (обшитая с 4-х сторон), парашютная стропа 50 мм.
Изготовлена из полимерных волокон из полипропилена</t>
  </si>
  <si>
    <t>522-101-1046-0004</t>
  </si>
  <si>
    <t>Трос для волейбольной сетки, сталь, длина 15 м</t>
  </si>
  <si>
    <t>Трос для волейбольной сетки. Материал: сталь, длина 15 м. Диаметр троса - 4 мм</t>
  </si>
  <si>
    <t>522-101-1046-0005</t>
  </si>
  <si>
    <t>Сетка волейбольная профессиональная, размер 9500х1000мм, толщина нити 3мм</t>
  </si>
  <si>
    <t>Сетка волейбольная профессиональная, размер 9,5х1м. Толщина нити Д 3мм. Волейбольная сетка изготовлена из современных материалов по новейшим технологиям. В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t>
  </si>
  <si>
    <t>522-101-1047</t>
  </si>
  <si>
    <t>Сетка для футбольных ворот</t>
  </si>
  <si>
    <t>522-101-1047-0001</t>
  </si>
  <si>
    <t>Сетка для футбольных ворот, нить D=3 мм (5х2 м)</t>
  </si>
  <si>
    <t>522-101-1047-0002</t>
  </si>
  <si>
    <t>Сетка для мини-футбольных ворот</t>
  </si>
  <si>
    <t>Сетка мини-футбольная, размер ячейки 100х100мм. В качестве основы данной сетки используются полимерные волокна из полипропилена, дополнительно сетка пропитана септиком</t>
  </si>
  <si>
    <t>522-101-1048</t>
  </si>
  <si>
    <t>Фишка разметочная</t>
  </si>
  <si>
    <t>522-101-1048-0001</t>
  </si>
  <si>
    <t>Фишки футбольные</t>
  </si>
  <si>
    <t>522-101-1048-0002</t>
  </si>
  <si>
    <t>Фишка разметочная TMC-2179</t>
  </si>
  <si>
    <t>Фишка разметочная TMC-2179. фишка d=20см, h=5см</t>
  </si>
  <si>
    <t>522-101-1048-0003</t>
  </si>
  <si>
    <t>Кольца для координации. Диаметр круга 50 см; в комплекте 12 шт 3 цвета. Материал изготовления: ударопрочный пластик</t>
  </si>
  <si>
    <t>Кольца футбольные идеальны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 Размеры: 0,5х0,5х0,01 м.</t>
  </si>
  <si>
    <t>522-101-1048-0004</t>
  </si>
  <si>
    <t>Футбольный манекен. Материал изготовления: металлический каркас, фигура игрока изготовлена из ударопрочного пластика</t>
  </si>
  <si>
    <t>Футбольный манекен имеет в нижней части 4 стальных шипа для фиксации в грунт или на транспортировочную футбольную тележку. Тренировочный футбольный манекен предназначен для использования в футбольных тренировках профессионалов и любителей. Манекены могут применяться для отработки свободных ударов, слалома, отбора, сближения, дриблинга, пасов, тактических приемов. Футбольный манекен удобный и надежный в эксплуатации, гибкий, безопасный и легкий.</t>
  </si>
  <si>
    <t>522-101-1048-0005</t>
  </si>
  <si>
    <t>Тележка для манекенов. Вмещает в себя 5 манекенов. Представляет собой разборную платформу длиной 3 м. Материал изготовления: металл, резиновые колеса</t>
  </si>
  <si>
    <t>Тележка для манекенов подходит для транспортировки благодаря встроенным в тележку колесам. Необходимый аксессуар для манекенов, при использовании на искусственном покрытии.  Размеры: 1,8х0,6х0,3 м</t>
  </si>
  <si>
    <t>522-101-1048-0006</t>
  </si>
  <si>
    <t>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</si>
  <si>
    <t>Ворота игровые 240x150x65 см с тентом для отработки ударов.
Рекомендованы для улицы или помещений.  Разборная конструкция из профильной трубы 25 х 25 мм, толщина 1 мм. В комплекте 6 анкеров для крепления к земле и сетка из полиэстеровой нити.</t>
  </si>
  <si>
    <t>522-101-1048-0007</t>
  </si>
  <si>
    <t>Барьер для футбола 3 шт. в комплекте. Материал изготовления: ударопрочный пластик. Размеры 0,4х0,35х0,2 м</t>
  </si>
  <si>
    <t>Барьер тренировочный многоуровневый для футболистов. Тренировочный барьер предназначен для тренировки скорости, маневренности, координации, высоты прыжка. Подходит для командных видов спорта, а также легкоатлетических и фитнес-тренировок.</t>
  </si>
  <si>
    <t>522-101-1048-0008</t>
  </si>
  <si>
    <t>Резинки для фитнеса 5 шт. в комплекте. Материал изготовления: натуральный латекс. Размеры: 0,2х0,03х0,05 м</t>
  </si>
  <si>
    <t>Резинки для фитнеса или ленты-амортизаторы. Они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t>
  </si>
  <si>
    <t>522-101-1049</t>
  </si>
  <si>
    <t>Тогыз-кумалак</t>
  </si>
  <si>
    <t>522-101-1049-0001</t>
  </si>
  <si>
    <t>Игра настольная "Тогыз кумалак"</t>
  </si>
  <si>
    <t>Тогызкумалак TKT-863. Казахская национальная игра "Тогыз кумалак". Характеристики: материал: ПВХ; размер в закрытом состоянии: 44*16 см; размер в открытом состоянии: 44*29 см</t>
  </si>
  <si>
    <t>522-101-1050</t>
  </si>
  <si>
    <t>Ворота футбольные</t>
  </si>
  <si>
    <t>522-101-1050-0001</t>
  </si>
  <si>
    <t>Ворота для футбола стационарные (7,32х2,44 м)</t>
  </si>
  <si>
    <t>522-101-1050-0002</t>
  </si>
  <si>
    <t>Ворота для футбола/гандбола (5х2м)</t>
  </si>
  <si>
    <t>522-101-1050-0003</t>
  </si>
  <si>
    <t>Ворота для гандбола, минифутбола RA-3200. Усиленная конструкция. Основные размеры в собранном состоянии: ширина – 3000 мм, высота - 2000 мм, глубина основания 1000 мм</t>
  </si>
  <si>
    <t>Ворота для гандбола, минифутбола RA-3200. Усиленная конструкция. Основные размеры в собранном состоянии: ширина – 3000 мм, высота - 2000 мм, глубина основания 1000 мм. Ворота представляют собой сборную конструкцию, состоящую из правой и левой боковин, соединенных внизу горизонтальной стяжкой и вверху – штангой. Передние стойки и штанга выполнены из металлической профильной трубы 80х80мм. Нижняя перекладина изготовлена из трубы 80х80 мм и заполнена упершлаком.
Конструкция скрепляется с помощью болтов. Вес противовеса 50кг, приварены ручки для переноса. Вся конструкция покрыта порошковой
эмалью. С разметкой.</t>
  </si>
  <si>
    <t>522-101-1050-0004</t>
  </si>
  <si>
    <t>Ворота футбольные размерами 5000 х 2000 мм RA-520</t>
  </si>
  <si>
    <t>Ворота футбольные RA-520 . Размер 5х2м   Диаметр штанг и перекладины 89мм, задние дуги 42мм. Высота 2000мм, длина 5000мм, глубина -2000 мм.</t>
  </si>
  <si>
    <t>522-101-1050-0005</t>
  </si>
  <si>
    <t>Ворота футбольные размерами 7320 х 2440 мм RA-732</t>
  </si>
  <si>
    <t>Ворота футбольные RA-732. Размер 7,32х2,44м. Изготовлены из стальной круглой трубы диаметром 89мм. Консоль из трубы диам 42мм.  Окраска: нитроэмаль.</t>
  </si>
  <si>
    <t>522-101-1050-0006</t>
  </si>
  <si>
    <t>Ворота гандбольные стационарные алюминиевые 3000х2000мм</t>
  </si>
  <si>
    <t>Ворота гандбольные стационарные алюминиевые 3х2 м для закрытых помещений. Штанги и перекладина ворот  изготовлены из алюминиевого профиля (секции 80х80 мм). На ворота нанесена разметка из черных полос в соответствии с официальными правилами по гандболу. Использование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В комплект входят муфты/стаканы глубиной 350 мм и съемные крышки/фланцы) для предварительного монтажа в покрытие игровой площадки</t>
  </si>
  <si>
    <t>522-101-1052</t>
  </si>
  <si>
    <t>Стойка баскетбольная</t>
  </si>
  <si>
    <t>522-101-1052-0001</t>
  </si>
  <si>
    <t>Стойка баскетбольная профессиональная передвижная складная с защитой</t>
  </si>
  <si>
    <t>Стойка баскетбольная ― передвижная, выносом 1,8м. Щит – оргстекло, протекторы, кольцо амортизирующее, сетка мастерская. Размеры щита не менее 1050х1800мм. Стойка состоит из основания на колесах, к которому на болтах крепятся передняя и задняя опоры стрелы крепления щита. К ним крепится стрела, несущая щит с кольцом и сеткой, который крепится к стреле с помощью болтов и фиксирующийся укосинами. Телескопическая тяга служит для фиксации стрелы в верхнем и нижнем положениях. Для исключения опрокидывания на заднюю часть стойки укладываются противовесы. Защитные панели крепятся на переднюю сторону стойки и на щит.</t>
  </si>
  <si>
    <t>522-101-1052-0002</t>
  </si>
  <si>
    <t>Стойка баскетбольная мобильная складная TB-2016</t>
  </si>
  <si>
    <t>Стойка баскетбольная мобильная складная TB-2016 с выносом щита 2,05м. Щит баскетбольный  игровой 1800х1050мм из орг.стекла толщиной 10мм; кольцо амортизационное с трубчатой системой крепления сетки; сетка баскетбольная; протектор щита, выноса, стойки. Габаритные размеры: длина (со щитом, кольцом и защитой ) 5,08 м, ширина по раме стойки с защитой -1,28 м. Высота до кольца 3,05м</t>
  </si>
  <si>
    <t>522-101-1052-0003</t>
  </si>
  <si>
    <t>Стойка баскетбольная мобильная</t>
  </si>
  <si>
    <t>Мобильная на противовесе, с регулировкой высоты. Щит стритбольный из орг.стекла размером 1200х800мм толщ. 10мм, протектор в нижней части щита, кольцо тренировочное и сетка баскетбольная. Изготовлена из металлического профиля 100*100мм с толщиной стенки 3 мм. Поверхность рамы покрыта порошковой краской. На щите имеются посадочные отверстия под кольцо размерами 100*110 мм</t>
  </si>
  <si>
    <t>522-101-1052-0004</t>
  </si>
  <si>
    <t>Стойка баскетбольная мобильная складная с выносом щита 1,65м типа RAB-165</t>
  </si>
  <si>
    <t>Стойка баскетбольная мобильная складная с выносом щита 1,65м рекомендована для проведения тренировок и соревнований в спортивных залах и на игровых уличных площадках. Основание стойки обеспечено колесами для перемещения.Во время эксплуатации на заднюю часть стойки укладываются противовесы (в комплект не входят), что исключает опрокидывание снаряда. Рекомендуемый вес противовесов- 265кг. В комплектацию входит: Щит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Мобильная складная стойка снабжена поворотными и не поворотными колесами, и в сложенном состоянии перекатывается одним человеком. В конструкции стойки используются шарнирные соединения подвижных частей. Гидравлический механизм подъема предусматривает возможность подъема и складывания стойки. Для этого стойку необходимо укрепить с помощью стопорных выдвижных элементов в передней части основания. Габаритные размеры: в свернутом положении без щита – длина 2,45 м, ширина по раме стойки 1 м, высота  без щита 1,6 м; в развернутом положении — длина (со щитом, кольцом и защитой ) 4,06 м, ширина по раме стойки с защитой -1м, изменение высоты кольца - до 3060 мм, максимальная высота от поверхности площадки до верхнего края  щита – 3,93 м, размеры игрового щита – 1800х1050мм.</t>
  </si>
  <si>
    <t>522-101-1052-0005</t>
  </si>
  <si>
    <t>Стойка баскетбольная мобильная с выносом 3,25 м оснащена гидравлическим ручным механизмом складывания и частичного раздвижения. 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материала, стальные утяжелители</t>
  </si>
  <si>
    <t>Мобильная баскетбольная стойка TS-1003 с выносом 3,25 м оснащена гидравлическим ручным механизмом складывания и частичного раздвижения. Щит изготовлен из ударопрочного безопасного оргстекла размером 1800×1050 мм, установлено амортизационное стальное кольцо с сеткой и защитные панели. Конструкция соответствует требованиям FIBA Level 1. Стойка оснащена системой безопасной нагрузки на пол Dynamic Base Frame (DBF), при которой подвижное основание рамы опускается во время поднятия стойки и равномерно распределяет нагрузку. Для устойчивости предусмотрены стальные утяжелители. В нерабочем положении размеры составляют: высота — 186 см, ширина — 190 см.
Размер основания — 2600×1350 мм.</t>
  </si>
  <si>
    <t>522-101-1052-0006</t>
  </si>
  <si>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</si>
  <si>
    <t>Стойка обводная используется в различных упражнениях для тренировок спортсменов в футболе, баскетболе и т.д. Так же стойки можно использовать в различных конкурсах, эстафетах, соревнованиях. Стойка состоит из конуса без отверстий высотой 35 см, втулки и пластиковой палки высотой 1,5м. Стойка быстро разбирается и собирается.</t>
  </si>
  <si>
    <t>522-101-1053</t>
  </si>
  <si>
    <t>Стойка волейбольная</t>
  </si>
  <si>
    <t>522-101-1053-0001</t>
  </si>
  <si>
    <t>Стойка волейбольная универсальная</t>
  </si>
  <si>
    <t>522-101-1053-0002</t>
  </si>
  <si>
    <t>Стойки волейбольные напольно пристенные</t>
  </si>
  <si>
    <t>522-101-1053-0003</t>
  </si>
  <si>
    <t>Стойки волейбольные на растяжках</t>
  </si>
  <si>
    <t>522-101-1053-0004</t>
  </si>
  <si>
    <t>Стойки волейбольные телескопические</t>
  </si>
  <si>
    <t>Телескопическая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Удобное натяжение сетки с помощью храповика. Стаканы со специальными пазами, фиксируют от прокручивания стойки. При необходимости стойки вынимаются и стаканы закрываются крышками. В комплект волейбольных стоек телескопических входят: стойки с механизмом натяжения сетки - 2шт, стаканы с крышками - 2шт (в них устанавливаются стойки).</t>
  </si>
  <si>
    <t>522-101-1053-0005</t>
  </si>
  <si>
    <t>Стойка волейбольная профессиональная TEP-2086</t>
  </si>
  <si>
    <t>Стойка волейбольная TEP-2086 Профессиональная  из специально усиленного алюминиевого профиля 117 x 71 см.  В комплект входят: стойки алюминиевые - 2 шт. из профиля овального сечения. Общий вес стоек в сборе: ~40 кг. Тип защитного покрытия универсальных стоек: порошковая окраска</t>
  </si>
  <si>
    <t>522-101-1053-0006</t>
  </si>
  <si>
    <t>Стойка волейбольная зальная со стаканами с механизмом натяжения троса (профиль круглый), регулировка от 2240мм до 2430мм</t>
  </si>
  <si>
    <t>Стойка волейбольная зальная со стаканами с механизмом натяжения троса (профиль круглый), регулировка от 224см до 243см. Стойки устанавливаются в закладные стаканы и вынимаются из них при необходимости освобождения площадки. Стаканы закрываются крышками.
Представляют собой сборную конструкцию, состоящую из вертикальных стоек, подвижной каретки, закладных стаканов с крышками. Изготовлены из стальной трубы 76мм. Вся конструкция покрыта порошковой эмалью. Общая высота стойки 2800мм, высота стаканов 300мм, диаметр стаканов
89мм. Длина подвижной каретки - 1160 мм.</t>
  </si>
  <si>
    <t>522-101-1053-0009</t>
  </si>
  <si>
    <t>Тренажер для отработки блока. Материал изготовления: металлический каркас покрытый порошковой краской, пластиковые планки. Размеры: 3000х100х100 мм</t>
  </si>
  <si>
    <t>Тренажер позволяет производить атаку в зону площадки, свободную от блока. Верхняя часть тренажера подвижна, что позволяет смягчать отскок от блока и переводить мяч на сторону соперника. Регулируемая высота 2910 — 3600 мм (верхняя кромка щита). Каркас изготовлен из металлической профильной трубы 50х50 мм, 40х40 мм и 25х25 мм.
Тренажер оборудован транспортировочными колесиками для удобства перемещения. Все детали тренажера для отработки блока окрашены порошковой краской.</t>
  </si>
  <si>
    <t>522-101-1053-0010</t>
  </si>
  <si>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</si>
  <si>
    <t>Предназначен для отработки точности передачи в волейболе. В зависимости от уровня игроков угол наклона кольца можно менять, тем самым тренировать различные виды передач. Регулируемая высота тренажера позволяет настроить тренажер под необходимую высоту передачи. Утяжеленное основание.</t>
  </si>
  <si>
    <t>522-101-1053-0011</t>
  </si>
  <si>
    <t>Тренажер для замера высоты прыжка. Материал изготовления: металлический каркас покрытый порошковой краской для защиты от коррозии, планки-индикаторы из пластика</t>
  </si>
  <si>
    <t>Тренажер предназначен для точного измерения вертикального прыжка спортсмена. Подвижные вращающиеся пластины с шагом 1 см позволяют точно измерить высоту прыжка в сантиметрах. Утяжеленное основание, обеспечивающее стабильность конструкции, оснащено поворотными колесиками для мобильности тренажера Диапазон высот измерения прыжка: 2-3,8 метра.</t>
  </si>
  <si>
    <t>522-101-1053-0012</t>
  </si>
  <si>
    <t>Тренажер для отскока мяча. Материал изготовления: металлический каркас покрытый порошковой краской для защиты от коррозии, сетка из нейлона</t>
  </si>
  <si>
    <t>Размеры экрана тренажера — 1200х1200 мм. Угол наклона по отношению к поверхности — 25-110º. Силиконовые вставки для сохранения поверхности пола.</t>
  </si>
  <si>
    <t>522-101-1053-0013</t>
  </si>
  <si>
    <t>Мишень для мячей с регулируемым наклоном кольца. Материал изготовления: металлический каркас покрытый порошковой краской для защиты от коррозии, сетка из нейлона</t>
  </si>
  <si>
    <t>Диаметр кольца — 60 см; Регулировка угла наклона кольца; Высота тренажера 150-240 см; Утяжеленное основание.</t>
  </si>
  <si>
    <t>522-101-1053-0014</t>
  </si>
  <si>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</si>
  <si>
    <t>Размер периметра корзины 120х120 см. Высота корзины регулируемая, 160-260 см. Сетка безузловая, п/п, диаметр ячейки 100 мм, толщина нити 3 мм. Колеса в основании поворотные с тормозом, 4 шт, диаметр 75 мм.
Тележка для мячей для удобного сбора мячей опционально.</t>
  </si>
  <si>
    <t>522-101-1054</t>
  </si>
  <si>
    <t>Брусья</t>
  </si>
  <si>
    <t>522-101-1054-0001</t>
  </si>
  <si>
    <t>Брусья параллельные мужские</t>
  </si>
  <si>
    <t>Материал жерди дерево с металлическим стержнем. Жерди в них расположены параллельно друг другу.</t>
  </si>
  <si>
    <t>522-101-1054-0002</t>
  </si>
  <si>
    <t>Брусья гимнастические мужские</t>
  </si>
  <si>
    <t>522-101-1054-0003</t>
  </si>
  <si>
    <t>Брусья разновысокие женские</t>
  </si>
  <si>
    <t>Жерди (перекладины) - клееная древесина со стальным сердечником, стойки - металл.</t>
  </si>
  <si>
    <t>522-101-1054-0004</t>
  </si>
  <si>
    <t>Брусья мужские массовые, размер не менее 3500х1500х1200 мм</t>
  </si>
  <si>
    <t>Регулирование расстояния между брусьями — 350 - 650 мм. Габаритные размеры — 3500х1500х1200 мм. Масса — до 90 кг. Допустимая нагрузка — до 150 кг</t>
  </si>
  <si>
    <t>522-101-1054-0005</t>
  </si>
  <si>
    <t>Брусья гимнастические женские, разновысокие</t>
  </si>
  <si>
    <t>Брусья гимнастические женские, разновысокие состоят из высоких и низких стоек, оснований, двух стеклопластиковых жердей, механизма разведения и растяжек. Диаметр жерди 42мм, длина 2300мм.   Расстояние между точками опоры жердей: 2400мм, высота верхней поверхности жердей от пола: для низкой жерди c шагом 50мм: 1400мм - 1600мм, -для высокой жерди с  шагом 50мм: 2200мм - 2400мм Расстояние между внутренними поверхностями жердей:   900-1400мм C шагом 50 мм от 900 до 1200  мм С шагом 25 мм от 1200 до 1400 мм.</t>
  </si>
  <si>
    <t>522-101-1055</t>
  </si>
  <si>
    <t>Судейская вышка</t>
  </si>
  <si>
    <t>522-101-1055-0001</t>
  </si>
  <si>
    <t>Вышка судейская</t>
  </si>
  <si>
    <t>522-101-1055-0002</t>
  </si>
  <si>
    <t>Вышка судейская универсальная, положение
стоя</t>
  </si>
  <si>
    <t>Каркас изготовлен из металлического профиля, который окрашен методом порошкового напыления. Торцы вышки облицованы фанерой с мягким протектором из поролона и винилискожи. Толщина поролона составляет 50 мм, а высота протектора - 2 м. Опорная площадка выполнена из окрашенной фанеры. Общая высота вышки составляет 2500 мм, а ширина стойки - 750 мм.</t>
  </si>
  <si>
    <t>522-101-1055-0003</t>
  </si>
  <si>
    <t>Вышка судейская универсальная MK-0036. Габаритные размеры вышки: высота 2000мм, основание 1000х1100мм</t>
  </si>
  <si>
    <t>Вышка судейская универсальная MK-0036. Конструкция изделия представляет собой сборно-разборную конструкцию состоящую, из фермы-каркаса вышки и сидения, которые соединяются между собой с помощью крепежа. Ферма-каркас представляет собой разборную конструкцию из стальных труб профиль 30х30мм, которая покрыта порошковой краской. Габаритные размеры вышки: высота 2000мм, основание 1000х1100мм. Имеются подлокотники. Для удобства передвижения установлены колеса. Пластиковое сиденье размеры: высота спинки 320мм, ширина сидения 430мм, длина сидения 400мм</t>
  </si>
  <si>
    <t>522-101-1055-0004</t>
  </si>
  <si>
    <t>Вышка волейбольная професиональная
приставная к волейбольным стойкам</t>
  </si>
  <si>
    <t>Вышка волейбольная професиональная приставная к волейбольным стойкам. Вышка судейская неразборная, судья находится в положении стоя.
Каркас вышки изготавливается из металлического профиля, окрашен методом порошкового напыления. Опорная площадка выполнена из окрашенной фанеры. Общая высота конструкции  - 2500 мм, ширина 750 мм.</t>
  </si>
  <si>
    <t>522-101-1055-0005</t>
  </si>
  <si>
    <t>Стол судейский, размеры: 850х110х800 мм. Материал изготовления: металлический каркас, фанера</t>
  </si>
  <si>
    <t>Необходим при проведения соревнований и чемпионатов. Металлический каркас (сталь), столешница из фанеры — слоистого листового материала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 Поверхность — износостойкое покрытие. Цвет: синий</t>
  </si>
  <si>
    <t>522-101-1055-0006</t>
  </si>
  <si>
    <t>Стол судейский, размеры: 1200х550х700 мм. Материал изготовления: металлический каркас, березовая фанера, толщиной не менее 18 мм</t>
  </si>
  <si>
    <t>Судейский стол в комплекте с сиденьями. Материал изготовления: металлический каркас, сиденья из пластика, столешница из березовой фанеры, толщиной не менее 18 мм. Габариты: высота стола - 700 мм, габариты 550х1200 мм</t>
  </si>
  <si>
    <t>522-101-1058</t>
  </si>
  <si>
    <t>Легкоатлетическая дорожка</t>
  </si>
  <si>
    <t>522-101-1058-0001</t>
  </si>
  <si>
    <t>Дорожка для разбега, длина не менее 5000мм, изготовлена из резины</t>
  </si>
  <si>
    <t>Дорожка для разбега, 5000мм. Изготовлена из резины. Цвет черный. Длина дорожки 5000 мм. Ширина дорожки 1200 мм. Толщина резины 3 мм.</t>
  </si>
  <si>
    <t>522-101-1058-0002</t>
  </si>
  <si>
    <t>Ядро для толкания, 1 кг, материал изготовления: чугун</t>
  </si>
  <si>
    <t>522-101-1058-0003</t>
  </si>
  <si>
    <t>Ядро для толкания, 2 кг, материал изготовления: чугун</t>
  </si>
  <si>
    <t>522-101-1058-0004</t>
  </si>
  <si>
    <t>Ядро для толкания, 3 кг, материал изготовления: чугун</t>
  </si>
  <si>
    <t>522-101-1058-0005</t>
  </si>
  <si>
    <t>Ядро для толкания, 4 кг, материал изготовления: чугун</t>
  </si>
  <si>
    <t>522-101-1058-0006</t>
  </si>
  <si>
    <t>Ядро для толкания, 5 кг, материал изготовления: чугун</t>
  </si>
  <si>
    <t>522-101-1058-0007</t>
  </si>
  <si>
    <t>Ядро для толкания, 6 кг, материал изготовления: чугун</t>
  </si>
  <si>
    <t>522-101-1058-0008</t>
  </si>
  <si>
    <t>Ядро для толкания, 7,26 кг, материал изготовления: чугун</t>
  </si>
  <si>
    <t>522-101-1059</t>
  </si>
  <si>
    <t>Секундомер</t>
  </si>
  <si>
    <t>522-101-1059-0001</t>
  </si>
  <si>
    <t>Секундомер цифровой TSE-930</t>
  </si>
  <si>
    <t>Секундомер TSE-930. Материал корпуса - пластик. Материал стекла - стеклополимер. Особенности - таймер. Циферблат - цифровой. Размер упаковки - 15,5 см × 9 см × 2,5 см</t>
  </si>
  <si>
    <t>522-101-1059-0002</t>
  </si>
  <si>
    <t>Секундомер цифровой. Отображает часы, минуты, секунды, AM/PM индикатор, месяц и день недели. Материал: ABS пластик.
Точность: 0.01сек</t>
  </si>
  <si>
    <t>522-101-1059-0004</t>
  </si>
  <si>
    <t>Секундомер детский. Корпус изготовлен из прочного безопасного пластика, устойчивого к ударам и падениям</t>
  </si>
  <si>
    <t>Секундомер детский, лёгкий и удобный в использовании. Размеры 0,1х0,1х0,03 м</t>
  </si>
  <si>
    <t>522-101-1060</t>
  </si>
  <si>
    <t>Палочка эстафетная</t>
  </si>
  <si>
    <t>522-101-1061</t>
  </si>
  <si>
    <t>Бревно гимнастическое</t>
  </si>
  <si>
    <t>522-101-1061-0001</t>
  </si>
  <si>
    <t>Бревно гимнастическое напольное 3м</t>
  </si>
  <si>
    <t>Бревно напольное, длина 3000мм</t>
  </si>
  <si>
    <t>522-101-1061-0002</t>
  </si>
  <si>
    <t>Бревно гимнастическое напольное 5м</t>
  </si>
  <si>
    <t>522-101-1061-0003</t>
  </si>
  <si>
    <t>Бревно гимнастическое 2 м круглое
RAG-2000 напольное</t>
  </si>
  <si>
    <t>Бревно гимнастическое 2 м круглое RAG-2000 напольное Изготовлен из клеёного бруса хвойных пород древисины, обтянут изолоном и обшит искусственной кожей Длина 2м (ширина бруса 170 мм, высота бруса 140 мм)</t>
  </si>
  <si>
    <t>522-101-1061-0004</t>
  </si>
  <si>
    <t>Бревно гимнастическое тренировочное
напольное, длина не менее 3000мм</t>
  </si>
  <si>
    <t>Бревно гимнастическое тренировочное напольное изготовлено из клееной древисины хвойных пород. Размеры: Длина: не менее 3000 мм. Ширина бруса: не менее 130 мм. Ширина рабочей поверхности: не менее 100 мм.
Высота не менее 150 мм.</t>
  </si>
  <si>
    <t>522-101-1061-0005</t>
  </si>
  <si>
    <t>Бревно гимнастическое тренировочное
напольное, длина не менее 5000мм</t>
  </si>
  <si>
    <t>Бревно гимнастическое тренировочное напольное изготовлено из клееной древисины хвойных пород, снаряд покрыт лаком. Длина не менее 500мм.
Размеры: Длина: не менее 5000 мм. Ширина бруса: не менее 130 мм. Ширина рабочей поверхности: не менее 100 мм. Высота не менее 150 мм.</t>
  </si>
  <si>
    <t>522-101-1061-0006</t>
  </si>
  <si>
    <t>Бревно гимнастическое МК-0073 на низкой
опоре, высота 800мм, L= 3000 м</t>
  </si>
  <si>
    <t>Бревно гимнастическое МК-0073 на низкой опоре, высота 800мм, L= 3000 м. Изготовлен из клееного бруса хвойных пород древесины. Поверхность бревна покрыта трёхкомпонентным лаком в два слоя.  Размеры: Длина: 3000 мм. Ширина бруса: 130 мм. Ширина рабочей поверхности: 100 мм.
Высота 800 мм.</t>
  </si>
  <si>
    <t>522-101-1061-0007</t>
  </si>
  <si>
    <t>Бревно гимнастическое на высокой опоре
RAG-12300, высота 1200мм, L= 3000 м</t>
  </si>
  <si>
    <t>Бревно гимнастическое на высокой опоре RAG-12300, высота 1200мм, L= 3000 м.  Изготовлен из клееного бруса хвойных пород древесины.
Поверхность бревна покрыта трёхкомпонентным лаком в два слоя. ПРазмеры: Длина: 3000 мм. Ширина бруса: 130 мм. Ширина рабочей поверхности: 100 мм. Высота 1200 мм.</t>
  </si>
  <si>
    <t>522-101-1061-0008</t>
  </si>
  <si>
    <t>Бревно гимнастическое на низкой опоре,
RAG-80500, высота 800мм, L= 5000 м</t>
  </si>
  <si>
    <t>Бревно гимнастическое на низкой опоре, RAG-80500, высота 800мм, L= 5000 м. Изготовлен из клеёного бруса хвойных пород древесины.
Поверхность бревна покрыта трёхкомпонентным лаком в два слоя. Размеры: Длина: 5000 мм. Ширина бруса: 130 мм. Ширина рабочей поверхности: 100 мм. Высота 800 мм.</t>
  </si>
  <si>
    <t>522-101-1061-0009</t>
  </si>
  <si>
    <t>Бревно гимнастическое высокое</t>
  </si>
  <si>
    <t>Высота 1200мм, длина 5000 мм, ширина бруса: 130 мм. Изготовлен из клееного бруса хвойных пород древесины. Поверхность бревна покрыта высококачественным трёхкомпонентным лаком в два слоя.</t>
  </si>
  <si>
    <t>522-101-1061-0010</t>
  </si>
  <si>
    <t>Бревно гимнастическое тренировочное переменной высоты RAG-30812, L = 3 м H = 0,8 - 1,2м</t>
  </si>
  <si>
    <t>Бревно гимнастическое тренировочное переменной высоты RAG-30812, L = 3 м H = 0,8 - 1,2м. Изготовлен из клееного бруса.  Сварные опоры окрашены порошковой краской.</t>
  </si>
  <si>
    <t>522-101-1061-0011</t>
  </si>
  <si>
    <t>Бревно гимнастическое тренировочное,
длина не менее 5000мм</t>
  </si>
  <si>
    <t>Бревно гимнастическое тренировочное изготовлено из клееного бруса. Длина не менее 5000мм, переменной высотыт h = 0,8 - 1,2 м. Сварные опоры окрашены порошковой краской.</t>
  </si>
  <si>
    <t>522-101-1062</t>
  </si>
  <si>
    <t>Крепление для каната</t>
  </si>
  <si>
    <t>522-101-1063</t>
  </si>
  <si>
    <t>Мат спортивный</t>
  </si>
  <si>
    <t>522-101-1063-0001</t>
  </si>
  <si>
    <t>Гимнастические маты 200см х 100см х 5см</t>
  </si>
  <si>
    <t>522-101-1063-0002</t>
  </si>
  <si>
    <t>Мат гимнастический с гигиеническим покрытием, размер не менее 1000х2000мм</t>
  </si>
  <si>
    <t>Мат настенный, напольный. Толщина не менее 100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t>
  </si>
  <si>
    <t>522-101-1063-0003</t>
  </si>
  <si>
    <t>Мат гимнастический, размер не менее 2000х1000х100мм, материал кожзам</t>
  </si>
  <si>
    <t>Материал кожзам.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</si>
  <si>
    <t>522-101-1063-0004</t>
  </si>
  <si>
    <t>Мат гимнастический RA-0121. Размеры 2х1х0,05м. Материал кожзам</t>
  </si>
  <si>
    <t>Мат гимнастический RA-0121. Размеры 2х1х0,05м. Материал кожзам. Чехол мата съемный и легко моется, выполнен из высококачественной винилискожи, на молнии.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</si>
  <si>
    <t>522-101-1063-0005</t>
  </si>
  <si>
    <t>Мат гимнастический TF-21005. Размеры 2х1х0,05м. Материал брезент, наполнитель вспененный полиэтилен сшитого вида</t>
  </si>
  <si>
    <t>Мат гимнастический TF-21005. Размеры 2х1х0,05м.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</si>
  <si>
    <t>522-101-1063-0006</t>
  </si>
  <si>
    <t>Мат гимнастический TF-2101. Размеры 2х1х0,1 м. Материал брезент, наполнитель вспененный полиэтилен сшитого вида</t>
  </si>
  <si>
    <t>Мат гимнастический TF-2101. Размеры 2х1х0,1 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</si>
  <si>
    <t>522-101-1063-0007</t>
  </si>
  <si>
    <t>Зона приземления, размер не менее 2000х2000х500мм</t>
  </si>
  <si>
    <t>Зона приземления состоит из 2 матов, размер не менее 2000х1000х500мм. Изготовлена из ПВХ 2000х2000мм. Материал наполнителя пенополиуретан</t>
  </si>
  <si>
    <t>522-101-1063-0008</t>
  </si>
  <si>
    <t>Ковер борцовский трехцветный 6000х6000мм, толщина 50мм, плотность 160 кг/м3</t>
  </si>
  <si>
    <t>Ковер борцовский трехцветный 6000х6000мм, маты 2000х1000мм толщиной 50мм в количестве 18шт, (покрытие изготовлена из ПВХ покрытия) предназначен для проведения тренировок и сорвенований по вольной и греко-римской борьбе. Плотность: 160 кг/м3</t>
  </si>
  <si>
    <t>522-101-1063-0009</t>
  </si>
  <si>
    <t>Мат борцовский TF-2105, размер 2000мм х 1000мм</t>
  </si>
  <si>
    <t>Мат борцовский TF-2105, разм. 2000мм х 1000мм, толщина 50мм.
Наполнитель вспененный полиэтилен, плотностью 180 кг/м2, покрытие: тент/кожзам.</t>
  </si>
  <si>
    <t>522-101-1063-0010</t>
  </si>
  <si>
    <t>Татами для дзюдо, размер 1000х2000мм, плотность 220 кг/м3, толщина 40мм</t>
  </si>
  <si>
    <t>Лицевая поверхность JUDO-ткань. Низ татами anti-slip (ромб), Наполнитель ПВВ, плотностью - 220 кг/м3. Размер листа - 1000мм х 2000мм, толщина листа – 40мм. Цвет: синий, красный, жёлтый, зелёный.</t>
  </si>
  <si>
    <t>522-101-1063-0011</t>
  </si>
  <si>
    <t>Доянг для каратэ и таэквондо TKDM0256, размер 1000мм х 1000мм</t>
  </si>
  <si>
    <t>Доянг для каратэ и таэквондо TKDM0256. Крепление ласточкин хвост.
Размер 1000мм х 1000мм, толщина 25мм, Изготавливаются из микропористого полимерного материала EVA.</t>
  </si>
  <si>
    <t>522-101-1063-0012</t>
  </si>
  <si>
    <t>Мат напольный 1000*1000*40мм</t>
  </si>
  <si>
    <t>Представляет собой поролон плотностью 25 кг/м3 со съемным чехлом. Длина: 1000мм, ширина: 1000мм, толщина 40мм.  В качестве наполнителя служит пенополиуретан с оптимальным соотношением показателей плотности и жесткости, плотность  - 25кг/м3. Маты обеспечивают безопасность при выполнении различных гимнастических упражнений.</t>
  </si>
  <si>
    <t>522-101-1063-0013</t>
  </si>
  <si>
    <t>Татами для дзюдо, размер 1000х2000мм, плотность 180 кг/м3, толщина 40мм</t>
  </si>
  <si>
    <t>Лицевая поверхность JUDO-ткань. Низ татами anti-slip (ромб), Наполнитель ПВВ, плотностью - 180 кг/м3. Размер листа - 1000мм х 2000мм, толщина листа – 40мм. Цвет: синий, красный, жёлтый, зелёный.</t>
  </si>
  <si>
    <t>522-101-1063-0014</t>
  </si>
  <si>
    <t>Татами для дзюдо, размер 1000х2000мм, плотность 180 кг/м3, толщина 50мм</t>
  </si>
  <si>
    <t>Лицевая поверхность JUDO-ткань. Низ татами anti-slip (ромб), Наполнитель ПВВ, плотностью - 180 кг/м3. Размер листа - 1000мм х 2000мм, толщина листа – 50мм. Цвет: синий, красный, жёлтый, зелёный.</t>
  </si>
  <si>
    <t>522-101-1063-0015</t>
  </si>
  <si>
    <t>Ковер борцовский трехцветный 12000х12000мм, толщина 50мм, плотность 160 кг/м3</t>
  </si>
  <si>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Плотность: 160 кг/м3</t>
  </si>
  <si>
    <t>522-101-1063-0016</t>
  </si>
  <si>
    <t>Ковер борцовский трехцветный 12000х12000мм, толщина 50мм, плотность 140кг/м3</t>
  </si>
  <si>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Наполнитель НПЭ, плотность 140кг/м3</t>
  </si>
  <si>
    <t>522-101-1063-0017</t>
  </si>
  <si>
    <t>Ковер для национальных игр не менее 3000х2000мм, толщина не менее 20мм</t>
  </si>
  <si>
    <t>Ковер для национальных игр. Текемет с традиционными национальными орнаментами. Продукция исключительно из шерсти. Размер не менее 3000х2000мм, толщина не менее 20мм.</t>
  </si>
  <si>
    <t>522-101-1063-0018</t>
  </si>
  <si>
    <t>Татами для дзюдо, размер 12000х12000мм</t>
  </si>
  <si>
    <t>Татами для дзюдо. Размер 12000х12000мм. В комплекте 72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</si>
  <si>
    <t>522-101-1063-0019</t>
  </si>
  <si>
    <t>Татами для дзюдо, размер 6000х6000мм</t>
  </si>
  <si>
    <t>Татами для дзюдо. Размер 6000х6000мм. В комплекте 18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</si>
  <si>
    <t>522-101-1063-0021</t>
  </si>
  <si>
    <t>Мат рулонный. Толщина 10 мм. Материал изготовления: вспененный EVA или полиэтилен, покрытый ПВХ</t>
  </si>
  <si>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</si>
  <si>
    <t>м2</t>
  </si>
  <si>
    <t>522-101-1063-0022</t>
  </si>
  <si>
    <t>Мат рулонный. Толщина 20 мм. Материал изготовления: вспененный EVA или полиэтилен, покрытый ПВХ</t>
  </si>
  <si>
    <t>522-101-1063-0023</t>
  </si>
  <si>
    <t>Мат рулонный. Толщина 30 мм. Материал изготовления: вспененный EVA или полиэтилен, покрытый ПВХ</t>
  </si>
  <si>
    <t>522-101-1063-0024</t>
  </si>
  <si>
    <t>Мат рулонный. Толщина 40 мм. Материал изготовления: вспененный EVA или полиэтилен, покрытый ПВХ</t>
  </si>
  <si>
    <t>522-101-1063-0025</t>
  </si>
  <si>
    <t>Мат рулонный. Толщина 50 мм. Материал изготовления: вспененный EVA или полиэтилен, покрытый ПВХ</t>
  </si>
  <si>
    <t>522-101-1064</t>
  </si>
  <si>
    <t>Гантели</t>
  </si>
  <si>
    <t>522-101-1064-0001</t>
  </si>
  <si>
    <t>Гантели 1,5кг</t>
  </si>
  <si>
    <t>522-101-1064-0002</t>
  </si>
  <si>
    <t>Гантели 2кг</t>
  </si>
  <si>
    <t>522-101-1064-0003</t>
  </si>
  <si>
    <t>Гантели 3кг</t>
  </si>
  <si>
    <t>522-101-1064-0004</t>
  </si>
  <si>
    <t>Гантель TFD-001 профессиональная
шестигранная обрезиненная, 1 кг</t>
  </si>
  <si>
    <t>Гантели TFD-001 профессиональные шестигранные  обрезиненные. Хромированные ручки с мягкой насечкой.   Цвет: Хром/черный, Состав: сталь, резина, вес 1 кг.</t>
  </si>
  <si>
    <t>522-101-1064-0005</t>
  </si>
  <si>
    <t>Гантель TFD-002 профессиональная
шестигранная обрезиненная, 2 кг</t>
  </si>
  <si>
    <t>Гантели TFD-002 профессиональные шестигранные обрезиненные. Хромированные ручки с мягкой насечкой.  Цвет: Хром/черный, Состав: сталь, резина, вес 2 кг.</t>
  </si>
  <si>
    <t>522-101-1064-0006</t>
  </si>
  <si>
    <t>Гантель TFD-003 профессиональная
шестигранная обрезиненная, 3 кг</t>
  </si>
  <si>
    <t>Гантели TFD-003 профессиональные шестигранные обрезиненные. Хромированные ручки с мягкой насечкой.  Цвет: Хром/черный, Состав: сталь, резина, вес 3 кг.</t>
  </si>
  <si>
    <t>522-101-1064-0007</t>
  </si>
  <si>
    <t>Гантель TFD-004 профессиональная
шестигранная обрезиненная, 4 кг</t>
  </si>
  <si>
    <t>Гантели TFD-004 профессиональные шестигранные обрезиненные. Хромированные ручки с мягкой насечкой.  Цвет: Хром/черный, Состав: сталь, резина, вес 4 кг.</t>
  </si>
  <si>
    <t>522-101-1064-0008</t>
  </si>
  <si>
    <t>ГантельTFD-005 профессиональная
шестигранная обрезиненная, 5 кг</t>
  </si>
  <si>
    <t>522-101-1064-0009</t>
  </si>
  <si>
    <t>Гантель TFD-006 профессиональная шестигранная обрезиненная, 6 кг</t>
  </si>
  <si>
    <t>Гантели TFD-006 профессиональные шестигранные обрезиненные. Хромированные ручки с мягкой насечкой.  Цвет: Хром/черный, Состав: сталь, резина, вес 6 кг.</t>
  </si>
  <si>
    <t>522-101-1064-0010</t>
  </si>
  <si>
    <t>Гантель TFD-007 профессиональная шестигранная обрезиненная, 7 кг</t>
  </si>
  <si>
    <t>Гантели TFD-007 профессиональные шестигранные обрезиненные. Хромированные ручки с мягкой насечкой.  Цвет: Хром/черный, Состав: сталь, резина, вес 7 кг.</t>
  </si>
  <si>
    <t>522-101-1064-0011</t>
  </si>
  <si>
    <t>Гантель TFD-008 профессиональная шестигранная обрезиненная, 8 кг</t>
  </si>
  <si>
    <t>Гантели TFD-008 профессиональные шестигранные обрезиненные. Хромированные ручки с мягкой насечкой.  Цвет: Хром/черный, Состав: сталь, резина, вес 8 кг.</t>
  </si>
  <si>
    <t>522-101-1064-0012</t>
  </si>
  <si>
    <t>Гантель TFD-009 профессиональная шестигранная обрезиненная, 9 кг</t>
  </si>
  <si>
    <t>Гантели TFD-009 профессиональные шестигранные обрезиненные. Хромированные ручки с мягкой насечкой.  Цвет: Хром/черный, Состав: сталь, резина, вес 9 кг.</t>
  </si>
  <si>
    <t>522-101-1064-0013</t>
  </si>
  <si>
    <t>Гантель TFD-010 профессиональная шестигранная обрезиненная, 10 кг</t>
  </si>
  <si>
    <t>Гантели TFD-010 профессиональные шестигранные обрезиненные. Хромированные ручки с мягкой насечкой.  Цвет: Хром/черный, Состав: сталь, резина, вес 10 кг.</t>
  </si>
  <si>
    <t>522-101-1064-0014</t>
  </si>
  <si>
    <t>Гантель TFD-125 профессиональная шестигранная обрезиненная, 12,5 кг</t>
  </si>
  <si>
    <t>Гантели TFD-125 профессиональные шестигранные обрезиненные. Хромированные ручки с мягкой насечкой.  Цвет: Хром/черный, Состав: сталь, резина, вес 12,5 кг.</t>
  </si>
  <si>
    <t>522-101-1064-0015</t>
  </si>
  <si>
    <t>Гантель TFD-015 профессиональная шестигранная обрезиненная, 15 кг</t>
  </si>
  <si>
    <t>Гантели TFD-015 профессиональные шестигранные обрезиненные. Хромированные ручки с мягкой насечкой.  Цвет: Хром/черный, Состав: сталь, резина, вес 15 кг.</t>
  </si>
  <si>
    <t>522-101-1064-0016</t>
  </si>
  <si>
    <t>Гантель TFD-175 профессиональная шестигранная обрезиненная, 17,5 кг</t>
  </si>
  <si>
    <t>Гантели TFD-175 профессиональные шестигранные обрезиненные. Хромированные ручки с мягкой насечкой.  Цвет: Хром/черный, Состав: сталь, резина, вес 17,5 кг.</t>
  </si>
  <si>
    <t>522-101-1064-0017</t>
  </si>
  <si>
    <t>Гантель TFD-020 профессиональная шестигранная обрезиненная, 20 кг</t>
  </si>
  <si>
    <t>Гантели TFD-020 профессиональные шестигранные обрезиненные. Хромированные ручки с мягкой насечкой.  Цвет: Хром/черный, Состав: сталь, резина, вес 20 кг.</t>
  </si>
  <si>
    <t>522-101-1064-0018</t>
  </si>
  <si>
    <t>Гантель TFD-025 профессиональная шестигранная обрезиненная, 25 кг</t>
  </si>
  <si>
    <t>Гантели TFD-025 профессиональные шестигранные обрезиненные. Хромированные ручки с мягкой насечкой.  Цвет: Хром/черный, Состав: сталь, резина, вес 25 кг.</t>
  </si>
  <si>
    <t>522-101-1064-0019</t>
  </si>
  <si>
    <t>Гантель для фитнеса TFDE-005, в виниловой оболочке,  0,5 кг</t>
  </si>
  <si>
    <t>Гантели для фитнеса TFDE-005, в виниловой оболочке форма шестигранник. Технические характеристики: Вес: 0,5 кг. Диаметр рукояти: 25 мм.</t>
  </si>
  <si>
    <t>522-101-1064-0020</t>
  </si>
  <si>
    <t>Гантель для фитнеса TFDE-001, в виниловой оболочке, 1 кг</t>
  </si>
  <si>
    <t>Гантели для фитнеса TFDE-001, в виниловой оболочке форма шестигранник. Технические характеристики: Вес:1 кг. Диаметр рукояти: 25 мм.</t>
  </si>
  <si>
    <t>522-101-1064-0021</t>
  </si>
  <si>
    <t>Гантель для фитнеса TFDE-002, в виниловой оболочке, 2 кг</t>
  </si>
  <si>
    <t>Гантели для фитнеса TFDE-002, в виниловой оболочке форма шестигранник. Технические характеристики: Вес: 2 кг. Диаметр рукояти: 25 мм.</t>
  </si>
  <si>
    <t>522-101-1064-0022</t>
  </si>
  <si>
    <t>Гантель для фитнеса TFDE-003 в виниловой оболочке, 3 кг</t>
  </si>
  <si>
    <t>Гантели для фитнеса TFDE-003 в виниловой оболочке форма шестигранник. Технические характеристики: Вес: 3 кг. Диаметр рукояти: 25 мм.</t>
  </si>
  <si>
    <t>522-101-1065</t>
  </si>
  <si>
    <t>Чемпионский набор детский тренажер для баскетбола с дартсом</t>
  </si>
  <si>
    <t>522-101-1066</t>
  </si>
  <si>
    <t>Стойка для бадминтона</t>
  </si>
  <si>
    <t>522-101-1066-0001</t>
  </si>
  <si>
    <t>Стойка для бадминтона мобильная</t>
  </si>
  <si>
    <t>522-101-1066-0002</t>
  </si>
  <si>
    <t>Стойка бадминтонная мобильная, на обрезиненных колесах, на каждой стойке имеется наборный противовес 70кг. Высота стойки: 155 см</t>
  </si>
  <si>
    <t>Стойки бадминтонные мобильные на обрезиненных колесах, на каждой стойке имеется наборный противовес 70кг. Высота стойки: 155 см. Сварные швы и поверхность обработана качественной полимерно-порошковой краской. Прорезиненные колеса с подшипниковым механизмом легко перемещаются по покрытию любого типа. Металлический ролик для натяжения троса, прослужит долго и подойдет для сеток со стальным тросом. Безопасные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t>
  </si>
  <si>
    <t>522-101-1067</t>
  </si>
  <si>
    <t>Сетка для бадминтона</t>
  </si>
  <si>
    <t>522-101-1067-0001</t>
  </si>
  <si>
    <t>Сетка для бадминтона. Толщина нити 1,6мм, материал нити сетки полипропилен</t>
  </si>
  <si>
    <t>522-101-1067-0002</t>
  </si>
  <si>
    <t>Сетка для бадминтона, материал изготовления нейлон</t>
  </si>
  <si>
    <t>Изготовлен из нейлона. Размеры: 610 см. Ширина 76 см. Диаметр нити 1,6 мм.  Материал троса - полипропилен. Размеры верхней ленты 4х35 мм.
Размеры нижней нейлоновой ленты диам. 3 мм.</t>
  </si>
  <si>
    <t>522-101-1068</t>
  </si>
  <si>
    <t>Перекладина гимнастическая</t>
  </si>
  <si>
    <t>522-101-1068-0001</t>
  </si>
  <si>
    <t>Перекладина универсальная гимнастическая</t>
  </si>
  <si>
    <t>Перекладина гимнастическая универсальная. Тросс 3000мм.</t>
  </si>
  <si>
    <t>522-101-1068-0002</t>
  </si>
  <si>
    <t>Перекладина гимнастическая пристенная</t>
  </si>
  <si>
    <t>522-101-1068-0003</t>
  </si>
  <si>
    <t>Перекладина гимнастическая универсальная</t>
  </si>
  <si>
    <t>Представляет собой сборную металлическую конструкцию, состоящую из стержня, двух стоек и четырёх растяжек. Стержень изготовлен из высокопрочной стали, и обладает высокой упругостью. Высота верхней образующей стержня от пола - наименьшая - 1450мм, наибольшая - 2550мм. Регулировка по высоте с интервалом - 50.  200. Длина стержня
между головками стоек - 2400мм. Диаметр стержня - 28мм.</t>
  </si>
  <si>
    <t>522-101-1068-0004</t>
  </si>
  <si>
    <t>Перекладина гимнастическая пристенная МК-0118. Перекладина гимнастическая на растяжках, пристенная</t>
  </si>
  <si>
    <t>Перекладина гимнастическая пристенная МК-0118. Перекладина гимнастическая на растяжках, пристенная. Выполнена из 1-й телескопической стойки и 1-й пристенной планки, перекладины, 2-х растяжек и 2-х закладных элементов (с прячущимся крючком для крепления растяжек к полу). Регулируемая высота: от 1450 до 2550 мм. Регулировка с интервалом 100 мм. Длина стержня: 2400 мм, ø-28 мм. Материал стержня: высокопрочная легированная сталь.</t>
  </si>
  <si>
    <t>522-101-1068-0005</t>
  </si>
  <si>
    <t>Тренажер (перекладина) навесная с широким хватом RAF-5130. Представляет собой цельно-сварную конструкцию. Длина перекладины 1180мм, высота 540 мм, вынос 600мм</t>
  </si>
  <si>
    <t>Тренажер (перекладина) навесная с широким хватом RAF-5130.
Перекладина навесная предназначена для навешивания на гимнастическую стенку. Представляет собой цельно-сварную конструкцию. Поверхность тренажера-перекладины окрашена порошковой эмалью. Имеются крючки для навешивания на стенку. Длина перекладины 1180мм, высота 540 мм, вынос 600мм. Каркас изготовлен из профильной трубы 30*30мм, перекладина изготовлена из трубы диам. 30мм.</t>
  </si>
  <si>
    <t>522-101-1069</t>
  </si>
  <si>
    <t>Граната для метания</t>
  </si>
  <si>
    <t>522-101-1069-0001</t>
  </si>
  <si>
    <t>Гранаты для метания 500 гр</t>
  </si>
  <si>
    <t>Граната состоит из деревянной ручки и металлического стакана с эмалевым покрытием черного цвета, диаметром 48мм. Вес-500 грамм</t>
  </si>
  <si>
    <t>522-101-1069-0002</t>
  </si>
  <si>
    <t>Гранаты для метания 700 гр</t>
  </si>
  <si>
    <t>Граната состоит из деревянной ручки и металлического стакана с эмалевым покрытием черного цвета, диаметром 48мм. Вес-700 грамм</t>
  </si>
  <si>
    <t>522-101-1069-0003</t>
  </si>
  <si>
    <t>Граната для метания 300 гр</t>
  </si>
  <si>
    <t>Граната состоит из деревянной ручки и металлического стакана с эмалевым покрытием черного цвета, диаметром 48мм. Вес-300 грамм</t>
  </si>
  <si>
    <t>522-101-1070</t>
  </si>
  <si>
    <t>Кольцо баскетбольное</t>
  </si>
  <si>
    <t>522-101-1070-0001</t>
  </si>
  <si>
    <t>Баскетбольное кольцо</t>
  </si>
  <si>
    <t>522-101-1070-0002</t>
  </si>
  <si>
    <t>Баскетбольное кольцо на оргстекло</t>
  </si>
  <si>
    <t>522-101-1070-0003</t>
  </si>
  <si>
    <t>Баскетбольное кольцо на оргстекло с амортизатором</t>
  </si>
  <si>
    <t>522-101-1070-0004</t>
  </si>
  <si>
    <t>Кольцо баскетбольное тренировочное №7, диаметр кольца - 450 мм</t>
  </si>
  <si>
    <t>Баскетбольное кольцо тренировочное №7. Диаметр кольца - 450 мм.
Диаметр трубы - 15 мм.
Присоединительный размер под болты - 100х80мм.
Количество крючков - 12 шт</t>
  </si>
  <si>
    <t>522-101-1070-0005</t>
  </si>
  <si>
    <t>Кольцо баскетбольное амортизационное соревновательное №7. Материал: металл. Диаметр кольца 450мм</t>
  </si>
  <si>
    <t>Баскетбольное кольцо амортизационное, соревновательное №7. Материал: Металл. Диаметр кольца - 45см; Диаметр прутка - 2см; Посадочные отверстия на щит - 10х11см. Баскетбольное кольцо предназначено для проведения спортивных занятий в школах, спортивных секциях и на уличных тренировочных площадках. Кольцо крепится к баскетбольному щиту. Амортизирующий механизм снижает высокие нагрузки на кольцо.</t>
  </si>
  <si>
    <t>522-101-1071</t>
  </si>
  <si>
    <t>Сетка баскетбольная</t>
  </si>
  <si>
    <t>522-101-1071-0001</t>
  </si>
  <si>
    <t>Сетка для баскетбола</t>
  </si>
  <si>
    <t>522-101-1071-0002</t>
  </si>
  <si>
    <t>Сетка баскетбольная, длина 400мм, ячейка 50х50мм</t>
  </si>
  <si>
    <t>Сетка баскетбольная. Нить - 3мм. 12 петель. Длина - 400мм. Внутренний диаметр - 450 мм.  Ячейка - 50х50</t>
  </si>
  <si>
    <t>522-101-1072</t>
  </si>
  <si>
    <t>Шахматы и шашки</t>
  </si>
  <si>
    <t>522-101-1072-0001</t>
  </si>
  <si>
    <t>Шахматы 3в 1 (340мм х 340 мм)</t>
  </si>
  <si>
    <t>522-101-1072-0002</t>
  </si>
  <si>
    <t>Шахматы 3в 1 (390мм х 390 мм)</t>
  </si>
  <si>
    <t>522-101-1072-0003</t>
  </si>
  <si>
    <t>Шахматы размерами 440 х 440 х 30 мм
TCH-182</t>
  </si>
  <si>
    <t>Шахматы TCH-182. Габариты в закрытом виде: длина - 44 см, ширина - 22 см, высота - 6 см. Габариты в открытом виде: длина - 44 см,  ширина - 44
см, высота - 3 см</t>
  </si>
  <si>
    <t>522-101-1072-0004</t>
  </si>
  <si>
    <t>Шашки размерами 480 х 500 х 30 мм
TCH-214</t>
  </si>
  <si>
    <t>Шашки TCH-214. Габариты в закрытом виде: длина - 48 см, ширина - 25 см, высота - 6 см. Габариты в открытом виде: длина - 48 см,  ширина - 50 см, высота - 3 см</t>
  </si>
  <si>
    <t>522-101-1072-0005</t>
  </si>
  <si>
    <t>Шахматная доска складная виниловая размерами 510 мм х 510 мм с фигурами TCH-200</t>
  </si>
  <si>
    <t>522-101-1073</t>
  </si>
  <si>
    <t>Валик массажный</t>
  </si>
  <si>
    <t>522-101-1073-0001</t>
  </si>
  <si>
    <t>Массажные валики (ролики) для фитнеса 45см</t>
  </si>
  <si>
    <t>522-101-1073-0002</t>
  </si>
  <si>
    <t>Массажные валики (ролики) для фитнеса 30см</t>
  </si>
  <si>
    <t>522-101-1073-0003</t>
  </si>
  <si>
    <t>Массажные валики (ролики) для фитнеса 33см</t>
  </si>
  <si>
    <t>522-101-1073-0004</t>
  </si>
  <si>
    <t>Массажные валики (ролики) для фитнеса 60см</t>
  </si>
  <si>
    <t>522-101-1073-0005</t>
  </si>
  <si>
    <t>Массажные валики (ролики) для фитнеса 90см</t>
  </si>
  <si>
    <t>522-101-1074</t>
  </si>
  <si>
    <t>Щит баскетбольный</t>
  </si>
  <si>
    <t>522-101-1074-0001</t>
  </si>
  <si>
    <t>Щит баскетбольный 1200х800см из
влагостойкой фанеры</t>
  </si>
  <si>
    <t>Щит изготовлен из высококачественной влагостойкой фанеры. Щит имеет размеры не менее 1200 мм (ширина) х 800 мм (высота), что соответствует стандартным размерам для баскетбольных щитов.</t>
  </si>
  <si>
    <t>522-101-1074-0002</t>
  </si>
  <si>
    <t>Щит баскетбольный 1800*1050 из
влагостойкой фанеры</t>
  </si>
  <si>
    <t>522-101-1074-0003</t>
  </si>
  <si>
    <t>Щит баскетбольный игровой, размеры
1800х1050х100мм</t>
  </si>
  <si>
    <t>Щит баскетбольный тренировочный, орг.стекло 1200*800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Толщина щита 10 мм, размер 1800х1200мм. На щит нанесена разметка белого цвета шириной 50мм</t>
  </si>
  <si>
    <t>522-101-1074-0004</t>
  </si>
  <si>
    <t>Щит баскетбольный учебный</t>
  </si>
  <si>
    <t>Щит баскетбольный игровой, размеры не менее 1800х1050х100мм. Комплектация: ферма для крепления щита к стене с выносом 1200мм, кольцо баскетбольное амортизационное, сетка, протектор щита. Толщина щита 10 мм, размер 1800х1050мм. Щит закреплен на стальной раме. Рама щита изготовлена из профильной трубы 40х40х1,5мм, стяжки рамы из трубы 40х25х2мм.</t>
  </si>
  <si>
    <t>522-101-1074-0005</t>
  </si>
  <si>
    <t>Щит баскетбольный игровой орг.стекло
1800*1050 мм SH-1800</t>
  </si>
  <si>
    <t>Щит баскетбольный игровой орг.стекло 1800*1050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стойку или на ферму. Рама щита изготовлена из профильной трубы 35х35мм, окрашена методом порошкового напыления.</t>
  </si>
  <si>
    <t>522-101-1074-0006</t>
  </si>
  <si>
    <t>Щит баскетбольный тренировочный
орг.стекло 1200*800 мм SH-1200</t>
  </si>
  <si>
    <t>Щит баскетбольный тренировочный орг.стекло 1200*800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стену или на ферму. Рама щита окрашена методом порошкового напыления.</t>
  </si>
  <si>
    <t>522-101-1074-0007</t>
  </si>
  <si>
    <t>Ферма баскетбольная стационарная, изготовлена из стальной трубы, крепление к стене, вынос от стены 1000мм</t>
  </si>
  <si>
    <t>Ферма баскетбольная стационарная для тренировочного  щита, крепление к стене. Вынос 100см. Предназначена для крепления тренировочного щита.
Ферма имеет вынос от стены 1м,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</si>
  <si>
    <t>522-101-1074-0008</t>
  </si>
  <si>
    <t>Ферма баскетбольная стационарная, изготовлена из стальной трубы, крепление к стене, вынос от стены 1200мм</t>
  </si>
  <si>
    <t>Ферма баскетбольная стационарная для игрового щита, крепление к стене. Вынос 120см. Предназначена для крепления игрового щита. Ферма имеет вынос от стены 1,2м,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</si>
  <si>
    <t>522-101-1075</t>
  </si>
  <si>
    <t>Рама для баскетбольного щита</t>
  </si>
  <si>
    <t>522-101-1075-0001</t>
  </si>
  <si>
    <t>Рама для баскетбольного щита 180*105см</t>
  </si>
  <si>
    <t>522-101-1075-0002</t>
  </si>
  <si>
    <t>Рама для баскетбольного щита 120*80см</t>
  </si>
  <si>
    <t>522-101-1076</t>
  </si>
  <si>
    <t>522-101-1076-0001</t>
  </si>
  <si>
    <t>Санки-снеголет 80 х 30 см</t>
  </si>
  <si>
    <t>522-101-1077</t>
  </si>
  <si>
    <t>Конь гимнастический</t>
  </si>
  <si>
    <t>522-101-1077-0001</t>
  </si>
  <si>
    <t>Конь гимнастический прыжковый переменной высоты, высота регулируемая</t>
  </si>
  <si>
    <t>Крепления к полу. Конструкция коня представляет собой сборно-разборную конструкцию, состоящую из: корпуса и двух опор. Корпус выполнен из дерева, обклеен изолоном и покрыт чехлом  из искусственной кожи. Размер корпуса: длина - 1500-1600мм, ширина 350мм, высота - 280мм. Все края и углы корпуса имеют закругленную форму. Опоры коня телескопические и выполнены из стальных труб, окрашенных порошковой эмалью. На каждой телескопической стойке опоры установлен резиновый наконечник-копыто.
Регулировки коня по высоте осуществляется выдвижением нижней трубы телескопической стойки опоры с шагом 50мм. Высота верхней поверхности
корпуса от пола: 910 - 1350мм.</t>
  </si>
  <si>
    <t>522-101-1077-0002</t>
  </si>
  <si>
    <t>Конь гимнастический, высота регулируемая</t>
  </si>
  <si>
    <t>Высота регулируемая. Размер корпуса: длина - 1580мм, ширина - 360мм, высота - 270мм. Высота корпуса над полом 900–1350мм с интервалом 50мм. Снаряд представляет собой сборную конструкцию, состоящую из корпуса, 2-х неподвижных опор, 4-х выдвижных опор. Корпус коня гимнастического имеет плотное упругое покрытие. Все края и углы корпуса имеют закругленную форму. Опоры представляют собой телескопическую пару. Необходимая высота достигается выдвижными опорами.</t>
  </si>
  <si>
    <t>522-101-1078</t>
  </si>
  <si>
    <t>Станок хореографический</t>
  </si>
  <si>
    <t>522-101-1078-0001</t>
  </si>
  <si>
    <t>Станок хореографический однорядный RAG-20501. Две стойки, деревянная жердь
склеенная из березы, толщиной 50мм. Длина 2 м. Крепление- пол</t>
  </si>
  <si>
    <t>Станок хореографический однорядный RAG-20501. Две стойки, деревянная жердь склеенная из березы, толщиной 50мм. Длина 2 м. Крепление- пол.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</si>
  <si>
    <t>522-101-1078-0002</t>
  </si>
  <si>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</si>
  <si>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</si>
  <si>
    <t>522-101-1078-0003</t>
  </si>
  <si>
    <t>Станок хореографический однорядный RAG-250501. Две стойки, деревянная жердь толщиной 50мм. Длина 2,5 м</t>
  </si>
  <si>
    <t>Станок хореографический однорядный RAG-250501.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</si>
  <si>
    <t>522-101-1078-0004</t>
  </si>
  <si>
    <t>Станок хореографический двухрядный RAG-250502. Две стойки, деревянная жердь толщиной 50мм. Длина 2,5 м</t>
  </si>
  <si>
    <t>Станок хореографический двухрядный RAG-250502.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</si>
  <si>
    <t>522-101-1078-0005</t>
  </si>
  <si>
    <t>Станок хореографический однорядный RAG-3050. Две стойки, деревянная жердь толщиной 50мм. Длина 3 м</t>
  </si>
  <si>
    <t>Станок хореографический однорядный RAG-3050.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</si>
  <si>
    <t>522-101-1078-0006</t>
  </si>
  <si>
    <t>Станок хореографический двухрядный RAG-30502. Две стойки, деревянная жердь толщиной 50мм. Длина 3 м</t>
  </si>
  <si>
    <t>Станок хореографический двухрядный RAG-30502.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</si>
  <si>
    <t>522-101-1079</t>
  </si>
  <si>
    <t>Шест</t>
  </si>
  <si>
    <t>522-101-1079-0001</t>
  </si>
  <si>
    <t>Шест для лазания разборный металлический RA-2430.  Металлический шест имеет разборную конструкцию. Материал: сталь. Длина: в собранном состоянии: 5000мм</t>
  </si>
  <si>
    <t>Шест для лазания разборный металлический RA-2430.  Металлический шест имеет разборную конструкцию. Материал: сталь. Длина: в собранном состоянии: 5000мм. Длина: в разобранном состоянии: 2500мм Диаметр: 50мм</t>
  </si>
  <si>
    <t>522-101-1080</t>
  </si>
  <si>
    <t>Консоль</t>
  </si>
  <si>
    <t>522-101-1080-0001</t>
  </si>
  <si>
    <t>Консоль для подвесного снаряда усиленная RA-6419. Конструкция выполнена из профильной трубы 60х60мм, цельносварная</t>
  </si>
  <si>
    <t>Консоль для подвесного снаряда усиленная RA-6419. Конструкция выполнена из профильной трубы 60х60мм, цельносварная. Для закрепления спортивных снарядов консоль имеет точки подвеса (винт с кольцом), вынос от стены 550 и 950мм. Общие размеры : длина консоли 1000мм, ширина крепежной части 260мм, высота 650мм. Несущая способность конструкции консоли — 160 кг. Окраска - порошковое напыление.</t>
  </si>
  <si>
    <t>522-101-1080-0002</t>
  </si>
  <si>
    <t>Консоль для подвесного снаряда для 3-х предметов RA-10708. Представляет сборную конструкцию из  цельносварной опоры с площадками для крепления к стене</t>
  </si>
  <si>
    <t>Консоль для подвесного снаряда для 3-х предметов RA-10708. Представляет сборную конструкцию из  цельносварной опоры с площадками для крепления к стене - 2 шт, перекладина к которой крепятся снаряды - 1 шт. Материал перекладины - металлический профиль 50х50х3мм. Окраска - порошковое напыление черного цвета. К стене консоль крепится черех фланцы, выполненные из полосы толщиной 6мм.</t>
  </si>
  <si>
    <t>522-101-1081</t>
  </si>
  <si>
    <t>Барьер</t>
  </si>
  <si>
    <t>522-101-1081-0001</t>
  </si>
  <si>
    <t>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</si>
  <si>
    <t>522-101-1081-0003</t>
  </si>
  <si>
    <t>Барьер разделительный, размеры: 1400х750х30мм. Материал изготовления: металл, ПВХ</t>
  </si>
  <si>
    <t>Разделительный барьер для настольного тенниса. Предназначен для разграничения игровых зон и безопасности игроков. Изготовлен из прочного металлического каркаса и износостойкого ПВХ-полотна. Лёгкий, устойчивый, легко складывается и транспортируется.</t>
  </si>
  <si>
    <t>522-101-1081-0004</t>
  </si>
  <si>
    <t>Конус игровой. Материал изготовления: ПВХ пластик. Размеры: 380х200х200мм</t>
  </si>
  <si>
    <t>Конус футбольный идеален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t>
  </si>
  <si>
    <t>522-101-1081-0005</t>
  </si>
  <si>
    <t>Кочка массажная. Материал изготовления: ударопрочный пластик (ПВХ). Размеры: 0,28х0,28х0,1 м</t>
  </si>
  <si>
    <t>Мягкая «кочка» с массажной поверхностью представляет собой балансировочную полусферу. На сферической поверхности расположены
«шипы». Материал прочная резина. Выполнена в виде полусферы, внутри полая и заполненная воздухом. Предназначена для упражнений на балансировку, развитие движений и тактильного восприятия детей.</t>
  </si>
  <si>
    <t>522-101-1081-0006</t>
  </si>
  <si>
    <t>Антенна волейбольная в комплекте с карманами. Материал изготовления: стеклопластик</t>
  </si>
  <si>
    <t>Антенны для волейбола крепятся к сетке путем размещения их в специальных карманах. Антенна - гибкий стержень длиной 1,8 м и диаметром 10 мм, сделанный из стекловолокна. Две антенны прикрепляются с внешнего края ограничительных лент на противоположных сторонах сетки. Антенна возвышается над сеткой на 80 см и окрашена полосами контрастных цветов шириной 10 см, предпочтительно красного и белого. Карманы для антенн – это специальные чехлы, выполненные из ПВХ для крепления антенн к волейбольным сеткам.</t>
  </si>
  <si>
    <t>522-101-1081-0007</t>
  </si>
  <si>
    <t>Лестница веревочная 8 м. Материал изготовления: пластиковые перекладины, ленты из нейлона</t>
  </si>
  <si>
    <t>Координационная лестница 8 м. Лестницы представляют собой прочные на разрыв нейлоновые ленты, между которыми на расстоянии в 40 см установлено 12 или 20 гибких планок. В зависимости от количества поперечен, длина лестницы колеблется от 6 до 10 метров. Ширина лестницы неизменна – 50 см.</t>
  </si>
  <si>
    <t>522-101-1082</t>
  </si>
  <si>
    <t>Мешок боксерский, груша</t>
  </si>
  <si>
    <t>522-101-1082-0001</t>
  </si>
  <si>
    <t>Мешок боксерский TBX-12. Размер мешка: 120 х 40 см. Вес мешка: 40 кг. Материал: натуральная кожа 2,5 мм и ПВХ</t>
  </si>
  <si>
    <t>Мешок боксерский TBX-12. Размер мешка: 120 х 40 см. Вес мешка: 40 кг. Материал: натуральная кожа 2,5 мм и ПВХ. Наполнитель мешка: резиновая крошка, мелкий трикотажный лоскут. Размер 120 см, диаметр 40 см. В мешок крепится подвесное устройство, состоящее из металлического круга
+ 3 цепи для подвешивания.</t>
  </si>
  <si>
    <t>522-101-1082-0002</t>
  </si>
  <si>
    <t>Мешок боксерский TM-2328. Размер мешка: 150 х 40 см. Вес мешка: 45 кг. Материал: натуральная кожа 2,5 мм и ПВХ</t>
  </si>
  <si>
    <t>Мешок боксерский TM-2328. Размер мешка: 150 х 40 см. Вес мешка: 45 кг. Материал: натуральная кожа 2,5 мм и ПВХ. Наполнитель мешка: резиновая крошка, мелкий трикотажный лоскут. Размер 150 см, диаметр 40 см. В мешок крепится подвесное устройство, состоящее из металлического круга
+ 3 цепи для подвешивания.</t>
  </si>
  <si>
    <t>522-101-1082-0003</t>
  </si>
  <si>
    <t>Мешок боксерский TBX-18. Размер мешка: 180 х 40 см. Вес мешка: 65-75 кг. Материал: натуральная кожа 2.5 мм и ПВХ</t>
  </si>
  <si>
    <t>Мешок боксерский TBX-18. Размер мешка: 180 х 40 см. Вес мешка: 65-75 кг. Материал: натуральная кожа 2.5 мм и ПВХ. Наполнитель мешка: резиновая крошка, мелкий трикотажный лоскут. Размер 180 см, диаметр 40 см. В мешок крепится подвесное устройство, состоящее из металлического круга + 3 цепи для подвешивания.</t>
  </si>
  <si>
    <t>522-101-1082-0004</t>
  </si>
  <si>
    <t>Платформа с пневматической грушей TM-01. Изготовлена из кожзама</t>
  </si>
  <si>
    <t>Платформа с пневматической грушей TM-01.  Изготовлена из кожзама, длина основания 650мм, ширина 600мм, регулировка по высоте 30см, вес снаряда 1,5кг</t>
  </si>
  <si>
    <t>522-101-1082-0005</t>
  </si>
  <si>
    <t>Борцовский снаряд одноногий 160см</t>
  </si>
  <si>
    <t>Борцовский снаряд одноногий 160см. Одноногий борцовский снаряд - это классический снаряд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деформации.Швы выполнены с использованием капроновой нити высокой прочности. Стандарт толщина до 2 мм.</t>
  </si>
  <si>
    <t>522-101-1082-0006</t>
  </si>
  <si>
    <t>Борцовский снаряд двуногий 160см</t>
  </si>
  <si>
    <t>Борцовский снаряд двуногий 160см. Двуногий борцовский снаряд - это классический манекен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
Швы выполнены с использованием капроновой нити высокой прочности.
Стандарт толщина до 2 мм.</t>
  </si>
  <si>
    <t>522-101-1082-0007</t>
  </si>
  <si>
    <t>Тренажер водоналивной для отработки реакции</t>
  </si>
  <si>
    <t>Водоналивной тренажер для отработки реакции. Тренажер позволит вам улучшить свою скорость, точность, уклоны, блокировку, защиту, удары. Поставляется в комплекте с резиновыми присосками в нижней части основания для дополнительной устойчивости. Основание не заполнено.
Общий размер: регулируется от 150 см до 198см в высоту. Материал изготовления: Корпус и основание из прочного ударостойкого пластика (ПВХ/ABS), стойка из металлической трубы, присоски из резины, внутренний резервуар для заполнения водой или песком.</t>
  </si>
  <si>
    <t>522-101-1082-0008</t>
  </si>
  <si>
    <t>Мешок боксерский водоналивной, напольный, кожзам</t>
  </si>
  <si>
    <t>Мешок боксерский водоналивной, напольный. Материал изготовления: Груша — кожзам (искусственная кожа), основание — ударопрочный пластик с водоналивным баком на 35 литров.</t>
  </si>
  <si>
    <t>522-101-1082-0009</t>
  </si>
  <si>
    <t>Груша на растяжках, кожа</t>
  </si>
  <si>
    <t>Груша на растяжках. Кожа, цвет чёрный. Боксёрская груша на растяжках позволяет отрабатывать удары в движении. При отработке вырабатывается чувство дистанции, умение наносить чёткие акцентированные удары и отрабатывать защитные действия. Груша выполнена из высококачественной натуральной кожи. Внутри расположена латексная камера. Груша крепится к растяжкам с помощью двух крюков. Растяжки входят в комплект. Размеры: 100х120х120мм.</t>
  </si>
  <si>
    <t>522-101-1082-0010</t>
  </si>
  <si>
    <t>Мешок болгарский 5 кг, кожзам</t>
  </si>
  <si>
    <t>Болгарский мешок  – 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</si>
  <si>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522-101-1082-0011</t>
  </si>
  <si>
    <t>Мешок болгарский 10 кг, кожзам</t>
  </si>
  <si>
    <t>Болгарский мешок  – 10кг.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</si>
  <si>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522-101-1082-0012</t>
  </si>
  <si>
    <t>Мешок болгарский 15 кг, кожзам</t>
  </si>
  <si>
    <t>Болгарский мешок – 15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</si>
  <si>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522-101-1082-0013</t>
  </si>
  <si>
    <t>Мешок болгарский 20 кг, кожзам</t>
  </si>
  <si>
    <t>Болгарский мешок – 20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</si>
  <si>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522-101-1082-0014</t>
  </si>
  <si>
    <t>Мешок болгарский 25 кг, кожзам</t>
  </si>
  <si>
    <t>Болгарский мешок – 25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</si>
  <si>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522-101-1082-0015</t>
  </si>
  <si>
    <t>Жгут борцовский резиновый 1 м с ручками и креплениями, диаметром 250 мм</t>
  </si>
  <si>
    <t>Жгут борцовский 1 метр. Предназначен для отработки борцовской техники, выносливости, скорости и взрывной силы. Подойдет для тренировок по различным спортивным дисциплинам (таких как самбо, бокс, карате, борьба и др). Прочный эластичный латекс (резина), нейлоновые ручки и крепления. D=250мм</t>
  </si>
  <si>
    <t>м</t>
  </si>
  <si>
    <t>522-101-1083</t>
  </si>
  <si>
    <t>Стойка для гантелей</t>
  </si>
  <si>
    <t>522-101-1083-0001</t>
  </si>
  <si>
    <t>Стойка для гантелей 3х рядная TFR-003. Рама: стальной профиль прямоугольного сечения. Размер в рабочем состоянии: габариты 1750мм х 850мм х 1000мм</t>
  </si>
  <si>
    <t>Стойка для гантелей 3х рядная TFR-003. Рама: стальной профиль прямоугольного сечения. Размер в рабочем состоянии: Длина 175см, ширина 85см, высота 100см. Максимальная нагрузка 700кг.</t>
  </si>
  <si>
    <t>522-101-1083-0002</t>
  </si>
  <si>
    <t>Стойка для гантелей горизонтальная, 2-х рядная на 10 пар F-A54, габариты: 2000мм х 650мм х 670мм</t>
  </si>
  <si>
    <t>Стойка под гантели горизонтальная, двухъярусная на 10 пар  F-A54, габариты: 2000мм×650мм×670мм. Подставка под гантели на 10 пар: основа стоек выполнена из стального профиля.</t>
  </si>
  <si>
    <t>522-101-1083-0003</t>
  </si>
  <si>
    <t>Стойка под гантели горизонтальная,
2-рядная на 5 пар F-A54A, габариты: 1000мм х 650мм х 670мм</t>
  </si>
  <si>
    <t>Стойка под гантели горизонтальная, двухъярусная на 5 пар F-A54A. Изготовленная из профилированной трубы большого сечения и утолщенной стенкой. Габариты：1000мм×650мм×670мм</t>
  </si>
  <si>
    <t>522-101-1083-0004</t>
  </si>
  <si>
    <t>Подставка для гантелей Dumbbell Rush The Shoulder F-A62, габариты: 960мм х 700мм х 1450мм</t>
  </si>
  <si>
    <t>"Подставка для гантелей Dumbbell Rush The Shoulder F-A62. Основа стоек выполнена из стального профиля, окрашенного методом трибостатического напыления. Габариты：960мм ×700мм ×1450мм "</t>
  </si>
  <si>
    <t>522-101-1083-0005</t>
  </si>
  <si>
    <t>Стойка для гирь. Материал изготовления: сталь с антикорозийным покрытием, резиновые накладки с антискользящим покрытием. Размеры: 1030х690х170мм</t>
  </si>
  <si>
    <t>Стойка для гирь выполнена из металокаркаса, покрытие порошковая краска. Полки оснащены резиновым антискользящим покрытием.</t>
  </si>
  <si>
    <t>522-101-1084</t>
  </si>
  <si>
    <t>Стойка для дисков</t>
  </si>
  <si>
    <t>522-101-1084-0001</t>
  </si>
  <si>
    <t>Стойка для дисков TFR-680. Рама: холоднокатанная профильная сталь 5 х 5 см. Порошковая окраска стойки. Габариты: 680×650×1250мм</t>
  </si>
  <si>
    <t>Стойка для дисков TFR-680. Рама: холоднокатанная профильная сталь 5 х 5 см. Порошковая окраска стойки. Профиль рамы усиленный, способен выдержать нагрузку до 450 кг. Габариты: 680×650×1250мм.</t>
  </si>
  <si>
    <t>522-101-1084-0002</t>
  </si>
  <si>
    <t>Стойка для дисков Barbell Disc Rack F-A63, габариты: 680мм х 650мм х 1250мм</t>
  </si>
  <si>
    <t>Стойка для дисков Barbell Disc Rack F-A63. Несущая конструкция - круглая труба сечения 60х60х2 мм. Тренажер покрашен с применением порошковой покраски. Максимальная нагрузка - 500кг. Габариты:
680мм×650мм×1250мм.</t>
  </si>
  <si>
    <t>522-101-1085</t>
  </si>
  <si>
    <t>Тележка</t>
  </si>
  <si>
    <t>522-101-1085-0001</t>
  </si>
  <si>
    <t>Тележка для матов TRA-2001. Размеры 1000х2000мм. Тележка для перевозки матов предназначена для перевозки гимнастических матов</t>
  </si>
  <si>
    <t>Тележка для матов TRA-2001. Размеры 1000х2000мм. Тележка для перевозки матов предназначена для перевозки гимнастических матов. Тележка для перевозки матов изготовлена из металлического профиля 40х40 мм. Все детали тележки для перевозки матов окрашены порошковой краской. Для удобства перемещения оснащена съемной ручкой. Диаметр ручки – 20 мм. Профиль стоек ручки – 30х30 мм.</t>
  </si>
  <si>
    <t>522-101-1086</t>
  </si>
  <si>
    <t>Сетка для настольного тенниса</t>
  </si>
  <si>
    <t>522-101-1086-0001</t>
  </si>
  <si>
    <t>Сетка для настольного тенниса sd-100, крепление винт. Изготовлена из нейлона Размеры сетки: Длина: 183 см +/– 1 см. Высота: 15,25 см</t>
  </si>
  <si>
    <t>Сетка для настольного тенниса sd-100, крепление винт. Изготовлена из нейлона  Размеры сетки: Длина: 183 см +/– 1 см. Высота: 15,25 см.</t>
  </si>
  <si>
    <t>522-101-1087</t>
  </si>
  <si>
    <t>Колодка стартовая</t>
  </si>
  <si>
    <t>522-101-1087-0001</t>
  </si>
  <si>
    <t>Колодка стартовая TA-2126, с возможностью регулировки угла наклона и длины (шаг регулировки – 25 мм, длина – до 550 мм)</t>
  </si>
  <si>
    <t>Колодка стартовая TA-2126. Стальная основа выполнена из квадратного профиля. Возможность регулировки угла наклона и длины (шаг регулировки – 25 мм, длина – до 550 мм). Поверхность опор колодок покрыта специальным анти-скользящим резиновым слоем. Металлические опоры изготовлены из стали, обработаны гальваническим покрытием. Все металлические элементы оцинкованные.</t>
  </si>
  <si>
    <t>522-101-1088</t>
  </si>
  <si>
    <t>Перчатки  боксерские, лапы, шлем</t>
  </si>
  <si>
    <t>522-101-1088-0001</t>
  </si>
  <si>
    <t>Перчатки боксерские тренировочные TBX-2369. Изготовлены из кожзама</t>
  </si>
  <si>
    <t>Перчатки боксерские тренировочные TBX-2369. Изготовлены из кожзама, застежка: липучки либо на резинке, вес от 4-18 унций,  Размеры: 18-31 см.
Наполнитель: гель, полиуретан</t>
  </si>
  <si>
    <t>522-101-1088-0002</t>
  </si>
  <si>
    <t>Перчатки боксерские TBX-2371. Изготовлены из натуральной кожи</t>
  </si>
  <si>
    <t>Перчатки боксерские кожаные TBX-2371. Изготовлены из натуральной кожи, застежка: на шнуровке либо на липучке, вес от 4-18 унций. Размеры по охвату кисти: 18-31 см. Наполнитель: гель, полиуретан</t>
  </si>
  <si>
    <t>522-101-1088-0003</t>
  </si>
  <si>
    <t>Лапы боксерские TM-001</t>
  </si>
  <si>
    <t>Лапы боксерские TM-001. Размеры 32см x 21см. Материал верха - искусственная кожа, материал наполнителя - пенополиуретан.</t>
  </si>
  <si>
    <t>522-101-1088-0004</t>
  </si>
  <si>
    <t>Шлем боксерский TFHM0238, из синтетической кожи</t>
  </si>
  <si>
    <t>Шлем боксерский TFHM0238. Изготовлен из синтетической кожи.</t>
  </si>
  <si>
    <t>522-101-1088-0005</t>
  </si>
  <si>
    <t>"Лапы для таэквондо TT-2372, изготовлены из натуральной кожи "</t>
  </si>
  <si>
    <t>"Лапы для таэквондо TT-2372 (хлопушка).  Размеры: длина-400мм, ширина-230мм, толщина-50мм.  Изготовлены из натуральной кожи. "</t>
  </si>
  <si>
    <t>522-101-1088-0006</t>
  </si>
  <si>
    <t>Шлем для рукопашного боя KHLT001</t>
  </si>
  <si>
    <t>Шлем для рукопашного боя KHLT001. Внутренняя сторона изготовлена из искусственной замши, внешняя из искусственной кожи.</t>
  </si>
  <si>
    <t>522-101-1088-0007</t>
  </si>
  <si>
    <t>Макивара большая TM-003 из искусственной кожи</t>
  </si>
  <si>
    <t>Макивара большая TM-003. Материал - искусственная кожа (полиуретан).
Наполнитель поролон 22кг/м.  Размеры: 680мм х 400мм х 100 мм.</t>
  </si>
  <si>
    <t>522-101-1088-0008</t>
  </si>
  <si>
    <t>Макивара TM-002 из искусственной кожи</t>
  </si>
  <si>
    <t>Макивара TM-002. Материал - искусственная кожа (полиуретан).  Двойное крепление руки.  Тренажер наполнен пенополиуретаном. Размеры: 450мм х 250мм х 150мм</t>
  </si>
  <si>
    <t>522-101-1088-0009</t>
  </si>
  <si>
    <t>Макивара апперкотная настенная TBX-084, из натуральной кожи</t>
  </si>
  <si>
    <t>Макивара апперкотная настенная TBX-084  Материал: натуральная кожа.
Набивка: изолон, синтипон, лоскут.</t>
  </si>
  <si>
    <t>522-101-1089</t>
  </si>
  <si>
    <t>Тренажер спортивный</t>
  </si>
  <si>
    <t>522-101-1089-0001</t>
  </si>
  <si>
    <t>Тренажер Силовая рама для приседаний F-A01, габариты: 2170мм х 1350мм х 2200мм</t>
  </si>
  <si>
    <t>Тренажер Силовая рама для приседаний  F-A01. Габариты: 2170мм
×1350мм ×2200мм. Сечение трубы профиля: 7 х 5 см. Толщина трубы профиля: 3 мм</t>
  </si>
  <si>
    <t>522-101-1089-0002</t>
  </si>
  <si>
    <t>Тренажер Разгибание ног сидя F-A02,
габариты: 1500мм х 1200мм х 1650мм</t>
  </si>
  <si>
    <t>Тренажер Разгибание ног сидя  F-A02.Габариты: 1500мм ×1200мм
×1650мм. Сиденье тренажера изготовлено из многослойной фанеры толщиной 15 мм. Искусственная кожа 18 группы толщины.</t>
  </si>
  <si>
    <t>522-101-1089-0003</t>
  </si>
  <si>
    <t>Тренажер Сгибание ног лежа F-A03,
габариты: 1600мм х 1200мм х 1650мм</t>
  </si>
  <si>
    <t>Тренажер Сгибание ног лежа  F-03. Габариты:1600мм×1200мм×1650мм, искусственная кожа 18 группы толщины.</t>
  </si>
  <si>
    <t>522-101-1089-0004</t>
  </si>
  <si>
    <t>Тренежер Сведение рук перед грудью F-A04, габариты: 1600мм х 1200мм х 1650мм</t>
  </si>
  <si>
    <t>Тренежер Сведение рук перед грудью  F-A04. Габариты тренажера: 1600мм×1200мм×1650мм, материал: металл, кожзам, параллон.</t>
  </si>
  <si>
    <t>522-101-1089-0005</t>
  </si>
  <si>
    <t>Тренажер Жим сидя от груди
F-A05габариты: 950мм х 1500мм х 1650мм</t>
  </si>
  <si>
    <t>"Тренажер Жим сидя от груди F-A05. Габариты тренажера: 950мм×1500мм×1650мм, материал: металл, кожзам, параллон. "</t>
  </si>
  <si>
    <t>522-101-1089-0006</t>
  </si>
  <si>
    <t>Тренажер Кроссовер F-A06, габариты:
3800мм х 830мм х 2300мм</t>
  </si>
  <si>
    <t>Тренажер Кроссовер F-A06, габариты тренажера ：3800мм×830мм×2300мм. Грузоблочные плитки стальные весом 71кг х 2, грузоблочная нагрузка 76кг х 2.</t>
  </si>
  <si>
    <t>522-101-1089-0007</t>
  </si>
  <si>
    <t>Тренажер Поворот туловища (для косых мышц живота) F-A08, габариты: 1200мм х 720мм х 1650мм</t>
  </si>
  <si>
    <t>Тренажер Поворот туловища (для косых мышц живота) F-A08, габариты тренажера:1200мм×720мм×1650мм. Коленные валики-упоры подойдут  для пользователей разной комплекции. Боковые упоры обеспечивают достаточную стабильность и устойчивость.</t>
  </si>
  <si>
    <t>522-101-1089-0008</t>
  </si>
  <si>
    <t>Тренажер Разгибание спины F-A09,
габариты: 1200мм х 720мм х 1650мм</t>
  </si>
  <si>
    <t>Тренажер Разгибание спины F-A09, габариты тренажера: 1200мм×720мм×1650мм, противовес составляет 54 кг.</t>
  </si>
  <si>
    <t>522-101-1089-0009</t>
  </si>
  <si>
    <t>Тренажер  Скручивание/Разгибание спины
/Back Extension: F-A10, габариты: 1500мм х 1500мм х 1650мм</t>
  </si>
  <si>
    <t>Тренажер  Скручивание/Разгибание спины/Back Extension F-A10, габариты тренажера: 1500мм×1500мм×1650мм, противовес составляет 54 кг.</t>
  </si>
  <si>
    <t>522-101-1089-0010</t>
  </si>
  <si>
    <t>Тренажер Жим вверх от плеч F-A11, габариты: 950мм х 1500мм х 1650мм</t>
  </si>
  <si>
    <t>Тренажер Жим вверх от плеч F-A11, габариты тренажера: 950мм×1500мм×1650мм.  Состав: металл, пластик, экокожа, ПВВ. Материал рамы: Стальной профиль 100мм х 50мм, толщиной 3мм.
Металлический трос с полиуретановым покрытием, максимальная нагрузка – 1000кг. Покрытие рамы: Порошковая покраска, наполнение подушек:
ПВВ.</t>
  </si>
  <si>
    <t>522-101-1089-0011</t>
  </si>
  <si>
    <t>Тренажер Силовой тренажер Multi-Hip
F-A12, габариты: 950мм х 1500мм х 1650мм</t>
  </si>
  <si>
    <t>Тренажер Силовой тренажер Multi-Hip F-A12, габариты тренажера: 950мм×1500мм×1650мм, вес стека: 77 кг.</t>
  </si>
  <si>
    <t>522-101-1089-0012</t>
  </si>
  <si>
    <t>Тренажер Отведение бедра сидя F-A13, габариты: 1800мм х 1600мм х 1650мм</t>
  </si>
  <si>
    <t>Тренажер Отведение бедра сидя F-A13, габариты тренажера: 1800мм×1600мм×1650мм. Изготовлен из искусственной кожи на натуральной подложке регулируется по вертикали, вес стека: 80 кг.</t>
  </si>
  <si>
    <t>522-101-1089-0013</t>
  </si>
  <si>
    <t>Тренажер  Гравитрон (турник-брусья) F-A14, габариты: 1800мм х 600мм хм1650мм</t>
  </si>
  <si>
    <t>Тренажер Гравитрон (турник-брусья) F-A14, габариты тренажера: 1800мм×1600мм×1650мм. Максимальный вес пользователя: 150 кг, рама: стальной профиль 50мм х 100мм, толщина стенки 3мм-2,5 мм.</t>
  </si>
  <si>
    <t>522-101-1089-0014</t>
  </si>
  <si>
    <t>Тренажер Выгибание ног F-A15, габариты: 1800мм х 1600мм х 1650мм</t>
  </si>
  <si>
    <t>Тренажер Выгибание ног F-A15, габариты тренажера: 1800мм х 1600мм х 1650мм, максимальный вес пользователя:180 кг</t>
  </si>
  <si>
    <t>522-101-1089-0015</t>
  </si>
  <si>
    <t>Тренажер Бицепс-машина F-A16, габариты: 950мм х 1200мм х 1650мм</t>
  </si>
  <si>
    <t>Тренажер Бицепс-машина F-A16 Габариты тренажера: 950мм×1200мм×1650мм, максимальный вес пользователя: 200 кг.</t>
  </si>
  <si>
    <t>522-101-1089-0016</t>
  </si>
  <si>
    <t>Тренажер Сведение и разведение рук F-A17, габариты: 1340мм х 1600мм х 2010мм</t>
  </si>
  <si>
    <t>Тренажер Сведение и разведение рук F-A17, габариты тренажера: 1340мм×1600мм×2010мм. Конструктивные элементы рамы изготовлены из высококачественной стали, покрытых высокопрочной износостойкой двухслойной полимерной краской.</t>
  </si>
  <si>
    <t>522-101-1089-0017</t>
  </si>
  <si>
    <t>Тренажер для трицепсов F-A18, габариты тренажера: 950×1200×1650мм</t>
  </si>
  <si>
    <t>Тренажер для трицепсов F-A18, габариты тренажера: 950мм×1200мм×1650мм. Рама изготовлена из сверхпрочных труб с профилем 100мм x 50мм, толщиной 2,5 мм, с применением высококачественной двухслойной порошковой окраски деталей.</t>
  </si>
  <si>
    <t>522-101-1089-0018</t>
  </si>
  <si>
    <t>Блок для мышц спины (верхняя тяга) F-A19, габариты тренажера: 1200мм х 1200мм х 2100мм</t>
  </si>
  <si>
    <t>Блок для мышц спины (верхняя тяга) F-A19, габариты тренажера: 1200мм×1200мм×2100мм. Вес стека наращивается до 141 кг.
Направляющие хромированные. Сидение: утолщенное 50 мм.</t>
  </si>
  <si>
    <t>522-101-1089-0019</t>
  </si>
  <si>
    <t>Тренажер в нижнем ряду сидения F-A20, габариты тренажера: 1500мм х 750мм х 2100мм</t>
  </si>
  <si>
    <t>Тренажер в нижнем ряду сидения F-A20, габариты тренажера: 1500мм×750мм×2100мм, тренируемые группы мышц: бицепсы/трицепсы.</t>
  </si>
  <si>
    <t>522-101-1089-0020</t>
  </si>
  <si>
    <t>Гребной тренажер для сидения F-A22, габариты: 1500мм х 750мм х 2100мм</t>
  </si>
  <si>
    <t>Гребной тренажер для сидения F-A22, габариты тренажера: 1500×750×2100мм, рама: стальной профиль 50мм х 100 мм, толщина стенки 3-2,5 мм, максимальный вес пользователя: 150 кг.</t>
  </si>
  <si>
    <t>522-101-1089-0021</t>
  </si>
  <si>
    <t>Силовой тренажер для жима ногами F-A49, габариты: 2300мм х 1600мм х 1400мм</t>
  </si>
  <si>
    <t>"Силовой тренажер для жима ногами  под углом 45º  F-A49, габариты тренажера: 2300мм×1600мм×1400мм.                             Напольные упоры тренажеров с вертикальной регулировкой устойчивости. Конструкция тренажеров выполнена из профиля круглого и овального сечения с толщиной стенки не менее 3 мм. Покрытие мягких частей - винилис-кожа на тканевой основе. "</t>
  </si>
  <si>
    <t>522-101-1089-0022</t>
  </si>
  <si>
    <t>Скамья стойка для жима штанги лежа с уклоном F-A50, габариты: 1620мм х 1730мм х 1500мм</t>
  </si>
  <si>
    <t>Скамья стойка для жима штанги лежа с уклоном F-A50, габариты тренажера1620×1730×1500мм. Конструкция рамы: стальные профильные трубы, размером 51х76х2,5 мм, 60х60х 2,5 мм. Обивка мягкой части скамьи: винилискожа. Максимальный вес пользователя: до 150 кг.
Максимальная нагрузка: 200 кг.</t>
  </si>
  <si>
    <t>522-101-1089-0023</t>
  </si>
  <si>
    <t>Скамья стойка для жима штанги лежа горизонтальная F-A52, габариты: 1720мм х 1730мм х 1160мм</t>
  </si>
  <si>
    <t>Скамья стойка для жима штанги лежа горизонтальная F-A52, габариты тренажера: 1720мм×1730мм×1160мм. Мягкая часть скамьи обита винилискожей. Конструкция рамы изготовлена из стальной профильной трубы, размером: 51х76х 2,5 мм, 60х60х 2,5 мм. Максимальный вес пользователя: до 150 кг. Максимальная нагрузка: 200 кг.</t>
  </si>
  <si>
    <t>522-101-1089-0024</t>
  </si>
  <si>
    <t>Горизонтальная скамья F-A53, габариты: 1720мм х 1730мм х 1160мм</t>
  </si>
  <si>
    <t>Горизонтальная скамья  F-A53, габаритные размеры: 1720мм х 1730мм х 1160мм, Покраска рамы с пескоструйной обработкой металла. Мягкие части изготовлены из высокопрочного винила. Вес пользователя: до 150 кг.</t>
  </si>
  <si>
    <t>522-101-1089-0025</t>
  </si>
  <si>
    <t>Скамья Скотта для прокачки бицепсов
F-A54B, габариты: 970мм х 730мм х 900мм</t>
  </si>
  <si>
    <t>Скамья Скотта для прокачки бицепсов F-A54B, габариты: 970×730×900мм. Изготовлена из высокопрочного стального профиля сечением 100мм х 50мм. с толщиной стенки 3 мм.</t>
  </si>
  <si>
    <t>522-101-1089-0026</t>
  </si>
  <si>
    <t>Скамья для пресса регулируемая F-A56, габариты 1450мм х 660мм х 1000мм</t>
  </si>
  <si>
    <t>Скамья для пресса регулируемая F-A56, габариты скамьи: 1450мм×660мм×1000мм. Рама изготовлена из толстостенной стальной трубы овального сечения: 50мм х 100мм.Толщина профиля 3мм.
Регулировка сиденья: 8 положений регулировки наклона сиденья.</t>
  </si>
  <si>
    <t>522-101-1089-0027</t>
  </si>
  <si>
    <t>Многофункциональная скамья F-A57, габариты: 1350мм х 660мм х 1320мм</t>
  </si>
  <si>
    <t>522-101-1089-0028</t>
  </si>
  <si>
    <t>Силовая рама  для приседаний под штангу: F-A58, габариты: 1250мм х 1000мм х 2240мм</t>
  </si>
  <si>
    <t>Силовая рама  для приседаний под штангу F-A58, габариты: 1250мм×1000мм×2240мм Профиль рамы: 120 х 80мм, 120 х 60мм и 60х60мм, толщина стенки 3 мм. Упоры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t>
  </si>
  <si>
    <t>522-101-1089-0029</t>
  </si>
  <si>
    <t>Тренажер Римский стул (гиперэкстензия)
F-A59, габариты тренажера: 1100мм х 780мм х 770мм</t>
  </si>
  <si>
    <t>Тенажер Римский стул (гиперэкстензия) F-A59.                                Габариты тренажера ：1100мм×780мм×770мм.  Максимальная нагрузка 159 кг.</t>
  </si>
  <si>
    <t>522-101-1089-0030</t>
  </si>
  <si>
    <t>Тренажер Римский стул Икроножные мышцы сидя F-A60, габариты 1350мм х 660мм х 980 мм</t>
  </si>
  <si>
    <t>Тренажер Римский стул Икроножные мышцы сидя F-A60  Материал обивки сиденья и держателей для коленей используется износоустойчивая искусственная кожа. Изготовлен из профильной  рамы: 50 х 100 мм.
Толщина стенки: 3-2.5 мм. Максимальный вес пользователя: 150 кг.
Габариты: 1350мм х 660мм х 980мм</t>
  </si>
  <si>
    <t>522-101-1089-0031</t>
  </si>
  <si>
    <t>Скамья-стул с вертикальной спинкой F-A61, габариты: 1130мм х 650мм х 1130мм</t>
  </si>
  <si>
    <t>Скамья-стул с вертикальной спинкой F-A61 . Прочная устойчивая конструкция обеспечивает стабильность при выполнении упражнений с гантелями и штангой. Габариты：1130мм×650мм×1130мм</t>
  </si>
  <si>
    <t>522-101-1089-0032</t>
  </si>
  <si>
    <t>Тренажер турник-брусья Dip Chin Ab F-A63, габариты: 1700мм х 1120мм х 2200мм</t>
  </si>
  <si>
    <t>Тренажер турник-брусья Dip Chin Ab F-A63. Прочная рама из стального профиля 50*50 мм. Габариты тренажера ：1700мм×1120мм×2200мм</t>
  </si>
  <si>
    <t>522-101-1089-0033</t>
  </si>
  <si>
    <t>Беговая дорожка 155D-C</t>
  </si>
  <si>
    <t>Беговая дорожка 155D-C. Двигатель переменного тока: мощность: 3,5 л.с. Пиковая мощность: 6 л.с. Скорость: 1-22 км/ч. Рабочая поверхность (LW): 1550мм х 550мм Лезвие: 2,4 мм. Дека: 25 мм. Наклон: 0% -15%.
Допустимый вес: не более 170 кг.</t>
  </si>
  <si>
    <t>522-101-1089-0034</t>
  </si>
  <si>
    <t>Велотренажер TFO-120 со светодиодным дисплеем</t>
  </si>
  <si>
    <t>Велотренажер TFO-120. Светодиодный дисплей 8718. Допустимый вес пользователя составляет 120 кг. Размеры в эксплуатации (LW B): 1950мм х 580мм х 1720мм.</t>
  </si>
  <si>
    <t>522-101-1089-0035</t>
  </si>
  <si>
    <t>Степ-платформа размерами 950 х 350 х 150 мм TF-931</t>
  </si>
  <si>
    <t>522-101-1089-0036</t>
  </si>
  <si>
    <t>Беговая дорожка 258A-B</t>
  </si>
  <si>
    <t>Беговая дорожка 258A-B. Цвет: серебристо-серый. Двигатель переменного тока: мощность: 4,5 л.с. Пиковая мощность: 7 л.с. Скорость: 1-25 км / ч Рабочая поверхность (LW): 1660 * 580 мм Лезвие: 2,4 мм. Дека: 25 мм. Наклон: 0% -15%. Допустимый вес: не более 180 кг. Датчики частоты сердечных сокращений - датчики частоты сердечных сокращений на поручнях. 24 программы - 4 пользовательских, 16-дюймовый TFT-экран, подключение Wi-Fi, 6 скоростей, 6 градусов наклона, разъем для наушников / mp3 / ipod, стерео.</t>
  </si>
  <si>
    <t>522-101-1089-0037</t>
  </si>
  <si>
    <t>Велотренажер TFK-900</t>
  </si>
  <si>
    <t>Велотренажер. Светодиодный дисплей K9001RW. Магнитный маховик - 14 кг. Регулирование нагрузки - электромагнитное,  24 уровня нагрузки.
Датчики сердечного ритма на руле. стерео, вентилятор. Допустимый вес пользователя составляет 150 кг.</t>
  </si>
  <si>
    <t>522-101-1089-0038</t>
  </si>
  <si>
    <t>Велотренажер, размеры тренажёра: 1280×660×1230 мм. Сиденье имеет 4 уровня регулировки. Максимальный вес пользователя — 150 кг</t>
  </si>
  <si>
    <t>Велотренажер AirBike предназначен для высокоинтенсивных тренировок при минимальной ударной нагрузке на ноги. Оснащён монитором, отображающим все основные параметры тренировки: время, дистанцию, количество сожжённых калорий, затраченную энергию, режим зарядки и интервальные программы. Встроенный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Тренажёр позволяет регулировать интенсивность нагрузки; педали вращаются в обе стороны для проработки разных групп мышц. Материалы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t>
  </si>
  <si>
    <t>522-101-1089-0039</t>
  </si>
  <si>
    <t>Тренажер гребной, 10 уровней нагрузки, компенсаторы неровности пола и монохромный ЖК-дисплей. Максимальный вес пользователя — 150 кг. Размеры: 1270×26×900 мм</t>
  </si>
  <si>
    <t>Гребной тренажёр K-Power задействует мышцы ног, корпуса и рук, создавая нагрузку за счёт воздушного сопротивления с плавной регулировкой. Тренировка максимально приближена к реальной гребле, способствуя развитию выносливости и укреплению сердечно-сосудистой системы. Тренажёр оснащён современным монитором, работает с минимальным шумом, складывается для удобства хранения и имеет цепной привод. Предусмотрено 10 уровней нагрузки, компенсаторы неровности пола и монохромный ЖК-дисплей. Максимальный вес пользователя — 150 кг. Материалы: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t>
  </si>
  <si>
    <t>522-101-1089-0040</t>
  </si>
  <si>
    <t>Степбол Босу</t>
  </si>
  <si>
    <t>Материал изготовления: купол — резиновый, жёсткое основание из ударопрочного ABS-пластика, противоскользящее покрытие, размеры 0,8х0,8х0,05м</t>
  </si>
  <si>
    <t>522-101-1090</t>
  </si>
  <si>
    <t>Грифы и диски для штанги</t>
  </si>
  <si>
    <t>522-101-1090-0001</t>
  </si>
  <si>
    <t>Гриф для штанги олимпийский TF-2250, длина 2200мм</t>
  </si>
  <si>
    <t>Гриф для штанги олимпийский TF-2250, хромированный, длина 2200мм, диаметр: 50 мм, максимальная нагрузка 220 кг.</t>
  </si>
  <si>
    <t>522-101-1090-0002</t>
  </si>
  <si>
    <t>Изогнутый гриф TF-050, длина 1200мм</t>
  </si>
  <si>
    <t>Изогнутый гриф TF-050. Гриф и замки хромированные. Длина грифа 1200мм, масса с замками 12,5 кг.</t>
  </si>
  <si>
    <t>522-101-1090-0003</t>
  </si>
  <si>
    <t>Олимпийский диск евро-классик с тройным хватом TFO-0025 черный, 2,5 кг</t>
  </si>
  <si>
    <t>Олимпийский диск евро-классик с тройным хватом TFO-0025 черный. Диаметр 51 мм. (отверстие под гриф). Материал: обрезиненная сталь 2,5 кг.
Диаметр посадочного отверстия - 50 мм. Цвет - черный.</t>
  </si>
  <si>
    <t>522-101-1090-0004</t>
  </si>
  <si>
    <t>Олимпийский диск евро-классик TFO-005 с тройным хватом черный, 5 кг</t>
  </si>
  <si>
    <t>Олимпийский диск евро-классик TFO-005 с тройным хватом черный. Диаметр 51 мм. (отверстие под гриф). Материал: обрезиненная сталь 5 кг. Материал покрытия - резина. Диаметр посадочного отверстия - 50 мм. Цвет
- черный.</t>
  </si>
  <si>
    <t>522-101-1090-0005</t>
  </si>
  <si>
    <t>Олимпийский диск евро-классик TFO-075 с тройным хватом черный, 7,5 кг</t>
  </si>
  <si>
    <t>Олимпийский диск евро-классик с тройным хватом черный TFO-075.
Диаметр 51 мм. (отверстие под гриф). Материал: обрезиненная сталь 7,5 кг.
Материал покрытия - резина. Диаметр посадочного отверстия - 50 мм.
Цвет - черный.</t>
  </si>
  <si>
    <t>522-101-1090-0006</t>
  </si>
  <si>
    <t>Олимпийский диск евро-классик FO-010 с тройным хватом черный, 10 кг</t>
  </si>
  <si>
    <t>Олимпийский диск евро-классик с тройным хватом черный TFO-010.
Диаметр 51 мм. (отверстие под гриф). Материал: обрезиненная сталь 10 кг. Материал покрытия - резина. Диаметр посадочного отверстия - 50 мм. Цвет
- черный.</t>
  </si>
  <si>
    <t>522-101-1090-0007</t>
  </si>
  <si>
    <t>Олимпийский диск евро-классик TFO-015 с тройным хватом, 15 кг</t>
  </si>
  <si>
    <t>Олимпийский диск евро-классик с тройным хватом черный TFO-015.
Диаметр 51 мм. (отверстие под гриф) Материал: обрезиненная сталь 15 кг. Материал покрытия - резина. Диаметр посадочного отверстия - 50 мм. Цвет
- черный.</t>
  </si>
  <si>
    <t>522-101-1090-0008</t>
  </si>
  <si>
    <t>Олимпийский диск евро-классик TFO-020 с тройным хватом черный, 20 кг</t>
  </si>
  <si>
    <t>Олимпийский диск евро-классик с тройным хватом черный TFO-020.
Диаметр 51 мм. (отверстие под гриф). Материал: обрезиненная сталь 20 кг. Материал покрытия - резина. Диаметр посадочного отверстия - 50 мм. Цвет
- черный.</t>
  </si>
  <si>
    <t>522-101-1090-0009</t>
  </si>
  <si>
    <t>Олимпийский диск евро-классик TFO-025 с тройным хватом черный, 25 кг</t>
  </si>
  <si>
    <t>Олимпийский диск евро-классик с тройным хватом черный TFO-025.
Диаметр 51 мм. (отверстие под гриф). Материал: обрезиненная сталь 25 кг. Материал покрытия - резина. Диаметр посадочного отверстия - 50 мм. Цвет
- черный.</t>
  </si>
  <si>
    <t>522-101-1090-0010</t>
  </si>
  <si>
    <t>Торсонатор двойной для грифа, высокопрочная сталь с порошковым антикоррозийным покрытием 200 × 220 ×
180 мм</t>
  </si>
  <si>
    <t>Двойной торсонатор для грифа служит для закрепления T-образного грифа, позволяет пользователям тренироваться сразу в нескольких плоскостях, разрабатывая разные группы мышц.</t>
  </si>
  <si>
    <t>522-101-1091</t>
  </si>
  <si>
    <t>Сетка заградительная</t>
  </si>
  <si>
    <t>522-101-1091-0001</t>
  </si>
  <si>
    <t>Сетка заградительная, размер ячейки 100 х 100 мм</t>
  </si>
  <si>
    <t>Толщина нити 2,6мм. Ячейка 100х100мм. Безузловая. Сетка заградительная, толщина 2,6 мм, ячейка 100 х 100мм. Сетка изготовлена из полимерных материалов — полипропилена</t>
  </si>
  <si>
    <t>522-101-1091-0002</t>
  </si>
  <si>
    <t>Сетка заградительная, размер ячейки 40х40мм RAC-040</t>
  </si>
  <si>
    <t>Сетка заградительная RAC-040. Толщина нити 2,2мм. Ячейка 40х40мм.
Безузловая. Сетка изготовлена из полимерных материалов — полипропилена</t>
  </si>
  <si>
    <t>522-101-1091-0003</t>
  </si>
  <si>
    <t>Стеновой протектор</t>
  </si>
  <si>
    <t>Толщина 30мм. Наполнение: НПЭ 20мм (маты из вспененного полиэтилена), размер одного листа 2000х1000х30мм. Обшивка: тентова ткань 610гр/м2. Подложка: фанера 2000х1000х10мм.</t>
  </si>
  <si>
    <t>522-101-1092</t>
  </si>
  <si>
    <t>Измеритель высоты</t>
  </si>
  <si>
    <t>Предназначен для определения разности высот между несколькими отметками на местности. Имеет миллиметровую шкалу и E-градуировку. Макс.высота не менее 300мм. Материал - алюминий. Миллиметровая шкала и E-градуировка. Тип - телескопическая. Усиленный профиль с ребрами жесткости. Габаритные размеры: длина: не менее 210мм, ширина: не менее 60мм, высота: не менее 160мм</t>
  </si>
  <si>
    <t>522-101-1093</t>
  </si>
  <si>
    <t>Пенек для равновесия</t>
  </si>
  <si>
    <t>522-101-1093-0001</t>
  </si>
  <si>
    <t>Пенек для равновесия, размеры: диаметр
220мм, высота 200мм</t>
  </si>
  <si>
    <t>Пеньки для равновесия. Материал фанера.</t>
  </si>
  <si>
    <t>522-101-1093-0002</t>
  </si>
  <si>
    <t>Пенек для равновесия, размеры: диаметр
220мм, высота 250мм</t>
  </si>
  <si>
    <t>522-101-1093-0003</t>
  </si>
  <si>
    <t>Пенек для равновесия, размеры: диаметр
220мм, высота 300мм</t>
  </si>
  <si>
    <t>522-101-1094</t>
  </si>
  <si>
    <t>Оборудование для единоборств</t>
  </si>
  <si>
    <t>522-101-1094-0001</t>
  </si>
  <si>
    <t>Ринг боксерский 4 х 4 м с помостом 5 х 5 м, помост 1м</t>
  </si>
  <si>
    <t>Ринг боксерский 4 х 4 м с помостом 5 х 5м, помост 1м. Комплектация и характеристика ринга: Металлические стойки, ферма подиума, настил фанерный, настил из матов плотностью не менее 120кДж/м3, покрывало (антискользящее ПВХ), угловые подушки, канаты в чехлах, перемычки, растяжки канатов, защита растяжек канатов, крепеж.</t>
  </si>
  <si>
    <t>522-101-1094-0002</t>
  </si>
  <si>
    <t>Ринг боксерский 4 х 4 м с помостом 5 х 5м, помост 0,5 м</t>
  </si>
  <si>
    <t>Ринг боксерский 4 х 4 м с помостом 5 х 5м,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</si>
  <si>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522-101-1094-0003</t>
  </si>
  <si>
    <t>Ринг боксерский 4 х 4 м напольный</t>
  </si>
  <si>
    <t>Ринг боксерский 4 х 4 м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</si>
  <si>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522-101-1094-0004</t>
  </si>
  <si>
    <t>Ринг боксерский 5 х 5 м с помостом 6,1 х 6,1 помост 1м</t>
  </si>
  <si>
    <t>Ринг боксерский 5 х 5 м с помостом 6,1 х 6,1 помост 1м.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</si>
  <si>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522-101-1094-0005</t>
  </si>
  <si>
    <t>Ринг боксерский 5 х 5 м с помостом 6,1 х 6,1 помост 0,5м</t>
  </si>
  <si>
    <t>Ринг боксерский 5 х 5 м с помостом 6,1 х 6,1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</si>
  <si>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522-101-1094-0006</t>
  </si>
  <si>
    <t>Ринг боксерский 5 х 5 м с помостом 6,1 х 6,1 напольный</t>
  </si>
  <si>
    <t>Ринг боксерский 5 х 5 м с помостом 6,1 х 6,1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</si>
  <si>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522-101-1094-0007</t>
  </si>
  <si>
    <t>Ринг боксерский 6,1 х 6,1 м с помостом 7,8 х 7,8м, помост 1м</t>
  </si>
  <si>
    <t>Ринг боксерский 6,1 х 6,1 м с помостом 7,8 х 7,8м, помост 1м.
Комплектация и характеристика ринга: Металлические стойки, ферма подиума, настил фанерный, настил ПВВ или ППЭ, покрывало (антискользящее ПВХ), угловые подушки, канаты в чехлах, перемычки, растяжки канатов, защита растяжек канатов, крепеж. Сборка ринга производится по принципу ось-втулка.Болтовые соединения отсутствуют.
Канаты ринга имеют трехслойную конструкцию,не имеющию аналогов. Трос заключен в резиновый рукав для ацетиленовой сварки,на которой одета мягкая оболочка с чехлом. Угловые стойки,несущие основную нагрузку, выполнены с запасом прочности и окрашены порошковой краской промышленным способом. Помост: 7,8х7,8х1 м. Боевая зона:
6,1х6,1 м. Три лестницы. Объем: 13 м3</t>
  </si>
  <si>
    <t>522-101-1094-0008</t>
  </si>
  <si>
    <t>Октагон 5х5м,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</si>
  <si>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5х5 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 мм, высота помоста: 500 мм. Боевая зона 3х3 м</t>
  </si>
  <si>
    <t>522-101-1094-0009</t>
  </si>
  <si>
    <t>Октагон 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</si>
  <si>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6.1х6.1м.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4.1м</t>
  </si>
  <si>
    <t>522-101-1094-0010</t>
  </si>
  <si>
    <t>Октагон 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</si>
  <si>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7.3х7.3м.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5.3м</t>
  </si>
  <si>
    <t>522-101-1094-0011</t>
  </si>
  <si>
    <t>Октагон 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</si>
  <si>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9.1х9.1м.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7.1м</t>
  </si>
  <si>
    <t>522-101-1095</t>
  </si>
  <si>
    <t>Гиря</t>
  </si>
  <si>
    <t>522-101-1095-0001</t>
  </si>
  <si>
    <t>Гиря 8 кг, материал изготовления: чугун, винил</t>
  </si>
  <si>
    <t>Гиря 8кг - спортивный снаряд для силовых упражнений. Гиря тежелоатлетическая изготовленный из серого чугуна и покрытый винилом.
Размеры 0,35х0,28х0,3 м</t>
  </si>
  <si>
    <t>522-101-1095-0002</t>
  </si>
  <si>
    <t>Гиря 12 кг, материал изготовления: чугун, винил</t>
  </si>
  <si>
    <t>Гиря 12кг - спортивный снаряд для силовых упражнений. Гиря тежелоатлетическая изготовленный из серого чугуна и покрытый винилом.
Размеры 0,35х0,38х0,3 м</t>
  </si>
  <si>
    <t>522-101-1095-0003</t>
  </si>
  <si>
    <t>Гиря 16 кг, материал изготовления: чугун, винил</t>
  </si>
  <si>
    <t>Гиря 16кг - спортивный снаряд для силовых упражнений. Гиря тежелоатлетическая изготовленный из серого чугуна и покрытый винилом.
Размеры 0,38х0,38х0,3 м</t>
  </si>
  <si>
    <t>522-101-1095-0004</t>
  </si>
  <si>
    <t>Гиря 20 кг, материал изготовления: чугун, винил</t>
  </si>
  <si>
    <t>Гиря 20кг - спортивный снаряд для силовых упражнений. Гиря тежелоатлетическая изготовленный из серого чугуна и покрытый винилом.
Размеры 0,35х0,48х0,3 м</t>
  </si>
  <si>
    <t>522-101-1095-0005</t>
  </si>
  <si>
    <t>Гиря 24 кг, материал изготовления: чугун, винил</t>
  </si>
  <si>
    <t>Гиря 24кг - спортивный снаряд для силовых упражнений. Гиря тежелоатлетическая изготовленный из серого чугуна и покрытый винилом.
Размеры 0,38х0,48х0,3 м</t>
  </si>
  <si>
    <t>522-101-1095-0006</t>
  </si>
  <si>
    <t>Гиря 32 кг, материал изготовления: чугун, винил</t>
  </si>
  <si>
    <t>Гиря 32кг - спортивный снаряд для силовых упражнений. Гиря тежелоатлетическая изготовленный из серого чугуна и покрытый винилом.
Размеры 0,4х0,48х0,32 м</t>
  </si>
  <si>
    <t>522-101-1096</t>
  </si>
  <si>
    <t>Инвентарь для плавания</t>
  </si>
  <si>
    <t>522-101-1096-0001</t>
  </si>
  <si>
    <t>Доска для плавания, размеры:
650х400х200мм</t>
  </si>
  <si>
    <t>Приспособление для плавания, представляющее собой поплавок обычно плоской прямоугольной формы со скруглениями для уменьшения сопротивления воды. Предназначена для удержания верхней части туловища и рук на поверхности воды для отрабатывания техники движения ногами. Материал изготовления: вспененный полиэтилен (EPE) или
EVA-пена — лёгкий, водонепроницаемый и плавучий материал.</t>
  </si>
  <si>
    <t>522-101-1096-0003</t>
  </si>
  <si>
    <t>Лопатка для плавания, материал изготовления прочный пластик (PP или ABS), ремешки — мягкий эластичный силикон. Размеры: 200х150х10мм</t>
  </si>
  <si>
    <t>Лопатки для плавания предназначены для развития мощности гребка и совершенствования силовой выносливости спортсмена. Поверхность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Мягкие силиконовые ремешки обеспечивают отличную фиксацию лопаток на руках, а их расположение каждый спортсмен может настроить индивидуально.</t>
  </si>
  <si>
    <t>522-101-1096-0004</t>
  </si>
  <si>
    <t>Фиксатор ног для плавания, материал изготовления нейлон, размеры 0,08х0,05х0,05м</t>
  </si>
  <si>
    <t>Контролирует ваши ноги во время тренировок. Ремень крепится на щиколотки, не нарушая вашего комфорта и не отвлекая от тренировок. Материал изготовления: нейлоновый ремень с мягкими неопреновыми вставками, пластиковые регулировочные пряжки.</t>
  </si>
  <si>
    <t>522-101-1096-0005</t>
  </si>
  <si>
    <t>Мяч для водного поло №3, внешняя оболочка — прочная резина с нескользящим рельефным покрытием, внутренняя камера
— бутилкаучук</t>
  </si>
  <si>
    <t>Предназначен для тренировок и соревнований по водному поло. Размеры 0,38х0,38х0,38м</t>
  </si>
  <si>
    <t>522-101-1096-0006</t>
  </si>
  <si>
    <t>Мяч для водного поло №5, внешняя оболочка — прочная резина с нескользящим рельефным покрытием, внутренняя камера
— бутилкаучук</t>
  </si>
  <si>
    <t>522-101-1096-0007</t>
  </si>
  <si>
    <t>Ласты короткие. Материал: мягкий силикон. Размер: 360×200×30 мм</t>
  </si>
  <si>
    <t>Ласты выполнены из мягкого и прочного силикона, комфортны в носке, не натирают и не сдавливают стопу. Обладают лёгким весом и хорошим сцеплением, снижают риск соскальзывания. Открытый мысок и закрытая пятка обеспечивают удобную посадку.</t>
  </si>
  <si>
    <t>522-101-1096-0009</t>
  </si>
  <si>
    <t>Пояс для аквааэробики. Вспененный EVA-материал (этиленвинилацетат). Размеры: 800х280х35мм</t>
  </si>
  <si>
    <t>Пояс для аквааэробики и плавания это средство для поддержки баланса на воде. Применяется для занятий аквафитнесом, обучению плаванию.
Вспененный EVA-материал (этиленвинилацетат) — лёгкий, плавучий, водонепроницаемый и устойчивый к деформации.</t>
  </si>
  <si>
    <t>522-101-1096-0010</t>
  </si>
  <si>
    <t>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</si>
  <si>
    <t>Круг служит для оказания помощи человеку, оказавшемуся в воде. Имеются светоотражающие полоски и веревка для удержания.</t>
  </si>
  <si>
    <t>522-101-1100</t>
  </si>
  <si>
    <t>522-101-1103</t>
  </si>
  <si>
    <t>Цифровое пианино</t>
  </si>
  <si>
    <t>522-101-1112</t>
  </si>
  <si>
    <t>Доска классная "Нотный стан"</t>
  </si>
  <si>
    <t>522-101-1112-0001</t>
  </si>
  <si>
    <t>Доска классная с нотным станом</t>
  </si>
  <si>
    <t>Доска классная "Нотный стан". Размер не менее 900х1200 мм. Настенная магнитно-маркерная доска с нотным станом и знаками музыкальной нотации, размер 860х750мм, с магнитными карточками.</t>
  </si>
  <si>
    <t>522-101-1113</t>
  </si>
  <si>
    <t>Стул к фортепиано</t>
  </si>
  <si>
    <t>522-101-1200</t>
  </si>
  <si>
    <t>522-101-1201</t>
  </si>
  <si>
    <t>Стол компьютерный</t>
  </si>
  <si>
    <t>522-101-1201-0001</t>
  </si>
  <si>
    <t>Стол компьютерный с выдвижной полкой. ЛДСП 16мм, размеры 800х600х750 мм.</t>
  </si>
  <si>
    <t>Стол компьютерный с выдвижной полкой. ЛДСП 16мм, размеры 800х600х750 мм. Боковые стенки имеют полимерные не регулируемые подпятники.</t>
  </si>
  <si>
    <t>522-101-1201-0002</t>
  </si>
  <si>
    <t>Стол компьютерный с выдвижной полкой и отсеком под системный блок. ЛДСП 16мм, размеры 1000х600х750 мм</t>
  </si>
  <si>
    <t>Стол компьютерный с выдвижной полкой и отсеком под системный блок.
ЛДСП 16мм, размеры 1000х600х750 мм. Боковые стенки имеют полимерные не регулируемые подпятники.</t>
  </si>
  <si>
    <t>522-101-1201-0003</t>
  </si>
  <si>
    <t>Стол компьютерный с выдвижной полкой, отсеком под системный блок, тумбой с дверцей. ЛДСП 16мм, размеры 1400х650х750 мм</t>
  </si>
  <si>
    <t>Стол компьютерный с выдвижной полкой, отсеком под системный блок, тумбой с дверцей. ЛДСП 16мм, размеры1400х650х750 мм</t>
  </si>
  <si>
    <t>522-101-1201-0004</t>
  </si>
  <si>
    <t>Стол компьютерный с выдвижной полкой и тумбой с дверцей. ЛДСП 16мм, размеры 1200х600х750 мм</t>
  </si>
  <si>
    <t>522-101-1201-0005</t>
  </si>
  <si>
    <t>Стол компьютерный выдвижной полкой и отсеком под системный блок. ЛДСП 16мм, размеры 900х600х760мм</t>
  </si>
  <si>
    <t>Стол компьютерный выдвижной полкой и отсеком под системный блок.
ЛДСП 16мм, размеры 900х600х760мм</t>
  </si>
  <si>
    <t>522-101-1201-0006</t>
  </si>
  <si>
    <t>Стол с выдвижной полкой и отсеком под системный блок, закрытый с трех сторон, спереди оргстекло, размер 900х600х750мм</t>
  </si>
  <si>
    <t>Стол для лингафонного кабинета. Ширина - 900мм, глубина - 600мм, высота - 750мм. Столешница - толщина 22мм, выполнен из ЛДСП. Торцы облицованы ударопрочной кромкой ПВХ толщиной 2мм. Столы учащихся выполнен как в виде кабин закрытых с трех сторон (спереди оргстекло), так и в виде парт без высоких перегородок.</t>
  </si>
  <si>
    <t>522-101-1201-0007</t>
  </si>
  <si>
    <t>Стол компьютерный двухместный, ЛДСП 32мм, каркас металлический, с полками для системного блока и розетками, размер 1300х600х750 мм</t>
  </si>
  <si>
    <t>Столешница выполненая из ЛДСП, толщиной 32 мм с закругленными углами. Оборудован четырьмя розетками на задней панели - по две для каждого пользователя. Под столешницей предусмотрены полки для системных блоков miniPC. Кромки деталей облицованы полимерным кромочным материалам (ПВХ), толщиной 2 мм.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и интернет кабеля.
В столе отверстие для провода на каждого пользователя.</t>
  </si>
  <si>
    <t>522-101-1201-0008</t>
  </si>
  <si>
    <t>Стол компьютерный ученический, столешница ЛДСП 32мм, каркас металлический, с полкой для системного блока и розетками, размер 800х600х750мм</t>
  </si>
  <si>
    <t>На металлической основе с возможностью скрытой проводки электрических и интернет кабелей, с креплением к полу, с двумя встроенными розетками со шторками. Розетки располагаются на внутренней стороне металлических опор. Столешница изготавливается из ЛДСП 32 мм с закругленными углами, предусмотрены отверстия для проводов. Под столешницей полка для системного блока miniPC. Кромки деталей облицованы полимерным кромочным материалом (ПВХ), толщиной 1,5 мм. На металлической основе с лицевой стороны имеется крючок для портфелей.</t>
  </si>
  <si>
    <t>522-101-1201-0009</t>
  </si>
  <si>
    <t>Стол компьютерный с выдвижной полкой и отсеком под системный блок. ЛДСП 16мм, размеры 1200х700х750мм</t>
  </si>
  <si>
    <t>Ширина - 1200мм, глубина - 700мм, высота - 750мм. Столешница из ЛДСП 16мм, каркас выполнен из ЛДСП 16мм. Торцы облицованы  кромкой ПВХ толщиной 2мм.</t>
  </si>
  <si>
    <t>522-101-1201-0010</t>
  </si>
  <si>
    <t>Стол компьютерный одноместный 900х650х760мм. Столешница ЛДСП 22 мм, кромка ПВХ 2 мм</t>
  </si>
  <si>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размеры глубина 456 мм, ширина 200 мм. Имеются технологические отверстия для крепежа системного блока ПК к полке с помощью ремней.</t>
  </si>
  <si>
    <t>522-101-1201-0011</t>
  </si>
  <si>
    <t>Стол компьютерный с выдвижной полкой, отсеком под системный блок, тумбой с дверцей. ЛДСП 32 мм, размеры 1400х650х750мм</t>
  </si>
  <si>
    <t>Стол компьютерный с выдвижной полкой, отсеком под системный блок, тумбой с дверцей и выдвижным ящиком. Материал корпуса, выдвижных ящкиов ЛДСП, толщина материала 32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ля предотвращения воздействия воды и влаги боковые стенки имеют полимерные не регулируемые подпятники. Размеры 1400х650х750 мм</t>
  </si>
  <si>
    <t>522-101-1205</t>
  </si>
  <si>
    <t>Стол для преподавателя однотумбовый</t>
  </si>
  <si>
    <t>522-101-1205-0001</t>
  </si>
  <si>
    <t>Стол преподавателя 1350х650х750 мм с мобильной тумбой. Столешница ЛДСП, основание металлокаркас</t>
  </si>
  <si>
    <t>Стол преподавателя 1350х650х750 мм с мобильной тумбой размером 400x500x750мм и 3 выдвижными ящиками. Столешница ЛДСП 22мм, основание металлокаркас</t>
  </si>
  <si>
    <t>522-101-1205-0002</t>
  </si>
  <si>
    <t>Стол преподавателя 1350х650х750 мм с полиуретановой кромкой с мобильной тумбой. Столешница ЛСДП, основание металлокаркас</t>
  </si>
  <si>
    <t>Стол преподавателя 1350х650х750 мм с полиуретановой кромкой с мобильной тумбой размером 400x500x750мм и 3 выдвижными ящиками.
Столешница ЛДСП 22мм, основание металлокаркас</t>
  </si>
  <si>
    <t>522-101-1205-0003</t>
  </si>
  <si>
    <t>Стол преподавателя 1600х600х760мм/1600х650х760мм с мобильной тумбой. Столешница ЛДСП, основание металлокаркас</t>
  </si>
  <si>
    <t>522-101-1205-0004</t>
  </si>
  <si>
    <t>Стол преподавателя 1500х700х750 мм с мобильной тумбой. Материал ЛДСП</t>
  </si>
  <si>
    <t>Стол преподавателя 1500х700х750 мм с мобильной тумбой. Материал ЛДСП 16мм. Столешница ЛДСП 32мм.</t>
  </si>
  <si>
    <t>522-101-1205-0005</t>
  </si>
  <si>
    <t>Стол преподавателя 2340х1500х750 мм с тумбой. Материал ЛДСП</t>
  </si>
  <si>
    <t>Стол преподавателя 2340х1500х750 мм с тумбой. Тумба  стационарная имеет выдвижные ящики. Материал ЛДСП 16мм, столешница 25мм.</t>
  </si>
  <si>
    <t>522-101-1205-0006</t>
  </si>
  <si>
    <t>Стол письменный для преподавателя, тумба с двумя выдвижными ящиками, размер 1200х600мм</t>
  </si>
  <si>
    <t>Габаритные размеры: высота:750мм длина:1200мм ширина:600мм. Столешница – ЛДСП белого цвета толщиной 22 мм. Несущие части, различные элементы – ЛДСП белого цвета толщиной не менее 16 мм. Под столешницей - выкатная панель для
клавиатуры. Слева тумба с двумя выдвижными ящиками. Размер тумбы 384х540 мм. Иммется полка для блока питания с отверстием Ф60мм под кабелегон размером 1120х200мм. Лицевая сторона стола закрыта царгой.
Царга перфорированная размером 1610х620 мм. В правом углу столешницы предусмотрено отверстие с крышкой для соединительных проводов. Тумба под оргтехнику  прикреплена к основной части.</t>
  </si>
  <si>
    <t>522-101-1205-0007</t>
  </si>
  <si>
    <t>Стол преподавателя 1650х800х750 мм со встроенной тумбой. Столешница ЛДСП типа EGGER, основание металлокаркас</t>
  </si>
  <si>
    <t>Размер 1650*800*750 мм. Цвет по согласованию. Материал - ЛДСП. Каркас
- металл. Каркас разборный.  Цвет каркаса белый (порошковая краска для запекания в печи). Каркас из профильной трубы размером 80*25*2,0мм и 25*25*1,5мм. Толщина столешницы 32мм (двойной лист ЛДСП типа EGGER). Кромка ПВХ. Количество ящиков - 3 (встроенная тумба с ящиками).</t>
  </si>
  <si>
    <t>522-101-1205-0008</t>
  </si>
  <si>
    <t>Стол преподавателя, подвесная тумба с выдвижными ящиками, металлический каркас, размер 1600х700х750мм</t>
  </si>
  <si>
    <t>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Царга металлическая изготовлена из квадратного перфорационного листа, толщиной 1,2мм. Толщина столешницы 25 мм. Торцы закатаны кромочным материалом ПВХ 1,5 мм, столешница без острых углов. Тумба подвесная имеет выдвижные ящики.
Размер тумбы 400х450х400мм. Материал: ЛДСП, толщиной 16 мм. Фурнитура: конфирмат, стяжка типа BLUM, роликовые направляющие,
ручка вырезная без острых углов, навес мебельный типа.</t>
  </si>
  <si>
    <t>522-101-1205-0009</t>
  </si>
  <si>
    <t>Стол преподавателя 1400х720х750 мм с мобильной тумбой, кромка ПВХ. Столешница ЛСДП 16мм, каркас из ЛДСП 16мм</t>
  </si>
  <si>
    <t>Размеры стола учителя: ширина - 1400мм, глубина - 720мм, высота - 750мм.
Столешница из ЛДСП 16мм, каркас выполнен из ЛДСП 16мм. Торцы облицованы  кромкой ПВХ толщиной 2мм. Размеры тумбы мобильной: 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</si>
  <si>
    <t>522-101-1205-0010</t>
  </si>
  <si>
    <t>Стол преподавателя угловой 1800*1600х600х750мм со встроенной тумбой с выдвижными ящиками. Материал ЛДСП 16мм</t>
  </si>
  <si>
    <t>Стол преподавателя угловой 1800*1600х600х750мм. Столешница из ЛДСП 16 мм, торцы обрамлены кантом из ПВХ толщина 1мм. Габаритные размеры: 1800*1600х600х750мм. Конструкцией стола предусмотрена полка на роликовых направляющих под клавиатуру, а также встроенную тумбу с выдвижными ящиками. На столешнице имеется отверстие с заглушкой под кабель-канал. Вертикальные стенки стола имеет полимерные подпятники, предотвращающие повреждение поверхности напольных покрытий.</t>
  </si>
  <si>
    <t>522-101-1205-0012</t>
  </si>
  <si>
    <t>Стол преподавателя с тумбой и 4 выдвижными ящиками, размеры 1600х650х760 мм, столешница из ЛДСП 22 мм, кромка ПВХ</t>
  </si>
  <si>
    <t>Материал столешницы ЛДСП толщиной не менее 22 мм, торцы отделаны кромкой ПВХ толщиной 2 мм. Столешница крепится к металлокаркасу саморезами. Стол состоит из двух боковых опор, которые представляют собой прямоугольник, изготовленный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Лицевая сторона стола закрыта царгой. В правом углу столешницы предусмотрено отверстие с крышкой для соединительных проводов. Tумба габаритные размеры: глубина 507 мм х ширина 424 мм х высота 650 мм, с 4 выдвижными ящиками на направляющих полного выдвижения. Боковые опоры  изготовлены с применением технологии исключающейобразования видимых стыков профильной трубы.</t>
  </si>
  <si>
    <t>522-101-1206</t>
  </si>
  <si>
    <t>Стол однотумбовый</t>
  </si>
  <si>
    <t>522-101-1206-0001</t>
  </si>
  <si>
    <t>Стол однотумбовый с 3 ящиками и нишей. Размер 1200х650х750 мм</t>
  </si>
  <si>
    <t>Стол однотумбовый с 3 ящиками и нишей. Размер 1200х650х750 мм. ЛДСП 16мм.</t>
  </si>
  <si>
    <t>522-101-1206-0002</t>
  </si>
  <si>
    <t>Стол однотумбовый с 3 направляющими выдвижными ящиками. Размер 1400х700х750 мм</t>
  </si>
  <si>
    <t>Стол однотумбовый с 3 направляющими выдвижными ящиками. Размер 1400х700х750 мм. ЛДСП 16мм</t>
  </si>
  <si>
    <t>522-101-1206-0003</t>
  </si>
  <si>
    <t>Стол однотумбовый с направляющим выдвижным ящиком и тумбой. Размер 1200х600х750 мм, ЛДСП 16 мм</t>
  </si>
  <si>
    <t>Стол однотумбовый с направляющим выдвижным ящиком и тумбой.
Размер 1200х600х750 мм. ЛДСП 16мм</t>
  </si>
  <si>
    <t>522-101-1206-0004</t>
  </si>
  <si>
    <t>Стол однотумбовый с 2 выдвижными ящиками, ЛДСП 16 мм, размер 1200х600х760мм</t>
  </si>
  <si>
    <t>Стол однотумбовым с 2 выдвижными полками, ЛДСП 16 мм, размер 1200х600х760мм</t>
  </si>
  <si>
    <t>522-101-1206-0005</t>
  </si>
  <si>
    <t>Стол однотумбовый с 2 направляющими выдвижными ящиками. Размер 1500х700х750 мм. ЛДСП 18мм</t>
  </si>
  <si>
    <t>Стол однотумбовый с 2 направляющими выдвижными ящиками. Размер 1500х700х750 мм. ЛДСП 18мм, облицованной кромкой ПВХ толщиной 1,5мм.</t>
  </si>
  <si>
    <t>522-101-1206-0006</t>
  </si>
  <si>
    <t>Стол однотумбовый с направляющим выдвижным ящиком и тумбой. Размер 1200х600х750 мм, ЛДСП 16 мм, столешница 32 мм</t>
  </si>
  <si>
    <t>ЛДСП толщиной 16мм., столешница 32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Фурнитура: конфирмат, стяжка типа BLUM, полкодержатель металлический (без пластиковых элементов), роликовые направляющие, ручка, навес мебельный типа BLUM.</t>
  </si>
  <si>
    <t>522-101-1206-0007</t>
  </si>
  <si>
    <t>Стол однотумбовый с направляющим выдвижным ящиком и дверью. Размер 1500х600х750мм</t>
  </si>
  <si>
    <t>Материал: ЛДСП толщиной 16мм., столешница не менее 25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на 128 мм (без острых углов), навес мебельный типа BLUM.</t>
  </si>
  <si>
    <t>522-101-1206-0008</t>
  </si>
  <si>
    <t>Стол однотумбовый с 3 выджвижными ящиками и нишей. Размер 1200х680х750мм, ЛДСП 16мм</t>
  </si>
  <si>
    <t>Стол однотумбовый с 3 выджвижными ящиками и нишей. Материал корпуса, выдвижных ящиков ЛДСП, толщина материала 16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Имеются пластиковые подпятники. Габариты 1200х680х750 мм</t>
  </si>
  <si>
    <t>522-101-1206-0009</t>
  </si>
  <si>
    <t>Стол однотумбовый с 2 выдвижными ящиками, ЛДСП 16 мм, размер 1200х700х750мм</t>
  </si>
  <si>
    <t>Стол письменный 1-тумбовый с замком. Ширина - 1200мм, глубина - 700мм, высота - 750мм. Столешница из ЛДСП 16мм, каркас выполнен из ЛДСП 16мм. Торцы облицованы  кромкой ПВХ толщиной 2мм.
Предусмотрены 2 выдвижных ящика на шариковых направляющих.Предусмотрен замок на верхнем ящике. Ручки металлические.</t>
  </si>
  <si>
    <t>522-101-1206-0010</t>
  </si>
  <si>
    <t>Стол однотумбовый с подвесной тумбой и открытой нишей, ЛДСП 16мм. Размер 1200х600х750мм</t>
  </si>
  <si>
    <t>Стол учителя письменный 1200х600х750мм.       Ширина - 1200мм, глубина
- 600мм, высота - 750мм.Столешница из ЛДСП 16мм, каркас выполнен из ЛДСП 16мм. Торцы облицованы  кромкой ПВХ толщиной 2мм.</t>
  </si>
  <si>
    <t>522-101-1206-0011</t>
  </si>
  <si>
    <t>Стол однотумбовый с 2 выдвижными ящиками и нишей, ЛДСП 16 мм, размер 1200х600х750мм</t>
  </si>
  <si>
    <t>522-101-1206-0012</t>
  </si>
  <si>
    <t>Стол однотумбовый с 3 направляющими выдвижными ящиками. Размер 1500х700х750 мм. ЛДСП 16мм</t>
  </si>
  <si>
    <t>522-101-1206-0015</t>
  </si>
  <si>
    <t>Стол для 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</si>
  <si>
    <t>Габаритные размеры столешницы 1200х750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одной боковой опоры, которая представляет из себя прямоугольник, изготовленный из профильной трубы прямоугольного сечения 50х25х1,2 мм.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тремя выдвижными ящиками на направляющих полного выдвижения, габаритные размеры: глубина 660 мм х ширина 500 мм х высота 605 мм. К тумбе прикреплена секция под системный блок шириной не менее 220 мм. На тумбе расположена опора под столешницу, которая представляет из себя прямоугольник, изготовленный из профильной трубы прямоугольного сечения 50х25х1,2 мм.</t>
  </si>
  <si>
    <t>522-101-1206-0016</t>
  </si>
  <si>
    <t>Стол рабочий с парящей подставкой для системного блока, столешница ЛДСП 22 мм, кромка ПВХ, размеры 1800х700х760 мм</t>
  </si>
  <si>
    <t>Высота верхнего края столешницы над уровнем пола 760 мм. Материал столешницы ЛДСП толщиной не менее 22 мм, торцы отделаны кромкой ПВХ толщиной 2мм. Столешница крепится к металлокаркасу саморезами.
Стол состоит из двух боковых опор, которые представляют собой трапецию, изготовленные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В правом и левом углу столешницы предусмотрено отверстие с крышкой для соединительных проводов. Tумба габаритные размеры: глубина 500 мм х ширина 420 мм х высота 610 мм, с тремя выдвижными ящиками на направляющих полного выдвижения. С левой стороны стола расположена подставка под системный блок, размерами 200х460х508 мм выполнена из прямоугольной трубы 50х25х1,2 и лпсп 22 мм. Монтаж которой осуществляется с помощью саморезов к столешнице и боковой опоре. Боковые опоры и каркас подставки под системный блок изготовлены с применением технологии исключающейобразования видимых стыков профильной трубы.</t>
  </si>
  <si>
    <t>522-101-1206-0017</t>
  </si>
  <si>
    <t>Стол с приставной тумбой, столешница из ЛДСП 22мм, кромка ПВХ, металлокаркас из прямоугольной профильной трубы, размеры 1800х1700х760 мм</t>
  </si>
  <si>
    <t>Столешница выполнена из ЛДСП не менее 22 мм, торцы отделаны кромкой ПВХ толщиной 2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сложной формы, скрепленных между собой 3 усилителя траверсы из профильной трубы 50х25 мм. толщиной не менее 1,2 мм, между опорами. В основании конструкции установлены регулируемые опоры. На столе имеется трапецевидная царга из ЛДСП 16 мм с кромкой ПВХ толщиной 0,4мм. К столу с левой стороны приставляется тумба. Габаритные размеры 900х500х760 мм. Тумба двухсекционная, одна секция с глухой дверью, за которой находится полка. Вторая секция состоит из 4 выдвижных ящиков.
Тумба выполнена из ЛДСП толщиной 16мм. Кромка ПВХ 0,4мм. Крышка из ЛДСП толщиной не менее 22 мм. Кромка ПВХ 2 мм.Сборка должна производиться с помощью конфирматов 6,3х50 и эксцентриковых стяжек.
Петля для дверок должна быть внешняя с европланкой и функцией
«softclose».</t>
  </si>
  <si>
    <t>522-101-1207</t>
  </si>
  <si>
    <t>Стол руководителя</t>
  </si>
  <si>
    <t>522-101-1207-0001</t>
  </si>
  <si>
    <t>Стол руководителя угловой с мобильной тумбой, компьютерной приставкой 2200х1500х750 мм. ЛДСП 16мм,
столешница ЛДСП 32мм.</t>
  </si>
  <si>
    <t>Стол руководителя угловой с мобильной тумбой, компьютерной приставкой 2200х1500х750 мм. Тумба  430*600-630. Столешница из ЛДСП 32 мм, корпус и тумба из ЛДСП 16 мм.  кромка ПВХ с исполькозованием высокотемпературного клея. Ящики собраны на роликовых направляющих с колесиками. направляющие окрашены порошковой электростатической краской.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 Тумба на ножках-колесиках.</t>
  </si>
  <si>
    <t>522-101-1207-0002</t>
  </si>
  <si>
    <t>Стол для конференций 4-х местный. Основание металлокаркас, столешница ЛДСП 25мм, лючки для проводов. Размеры 1380х1380х750мм</t>
  </si>
  <si>
    <t>522-101-1207-0003</t>
  </si>
  <si>
    <t>Стол для конференций 8-ми местный. Основание металлокаркас, столешница ЛДСП 25мм, лючки для проводов. Размеры 2760х1380х750 мм</t>
  </si>
  <si>
    <t>522-101-1207-0004</t>
  </si>
  <si>
    <t>Стол для конференций 12-ти местный. Основание металлокаркас, столешница ЛДСП 25мм, лючки для проводов. Размеры 4140х1380х750 мм</t>
  </si>
  <si>
    <t>Стол для конференций 12-ти местный. Основание металлокаркас, столешница ЛДСП 25мм, лючки для проводов. Размеры  4140х1380х750 мм</t>
  </si>
  <si>
    <t>522-101-1207-0005</t>
  </si>
  <si>
    <t>Стол для конференций 16-ти местный. Основание металлокаркас, столешница ЛДСП 25мм, лючки для проводов. Размеры 5520х1380х750 мм</t>
  </si>
  <si>
    <t>522-101-1207-0006</t>
  </si>
  <si>
    <t>Стол для конференций 20-ти местный. Основание металлокаркас, столешница ЛДСП 25мм, лючки для проводов. Размеры 6900х1380х750 мм</t>
  </si>
  <si>
    <t>Стол для конференций 20-ти местный. Основание металлокаркас, столешница ЛДСП 25мм, лючки для проводов. Размеры  6900х1380х750 мм</t>
  </si>
  <si>
    <t>522-101-1207-0007</t>
  </si>
  <si>
    <t>Стол для конференций 2500х1100х750мм, ЛДСП 16мм</t>
  </si>
  <si>
    <t>Размер: 2500х1100х750мм. Толщина: 16мм. Материал: ЛДСП</t>
  </si>
  <si>
    <t>522-101-1207-0008</t>
  </si>
  <si>
    <t>Стол эргономичный с мобильной тумбой 2200/1400х600х750 мм</t>
  </si>
  <si>
    <t>Стол угловой 2200/1400х600х750 мм с мобильной тумбой. Материал: ЛДСП толщиной 16 мм, столешница 32 мм. Кромки деталей облицованы полимерным кромочным материалам (ПВХ), толщиной 1,5 мм.
Столешница  имеет эргономичную форму. Фурнитура: конфирматы, стяжка типа BLUM</t>
  </si>
  <si>
    <t>522-101-1207-0009</t>
  </si>
  <si>
    <t>Стол приставной 1600х600х750 мм</t>
  </si>
  <si>
    <t>Материал: ЛДСП 16 мм, столешница 32 мм. Кромки деталей облицованы полимерным кромочным материалам (ПВХ), толщиной 1,5 мм. Стяжка типа BLUM.</t>
  </si>
  <si>
    <t>522-101-1207-0010</t>
  </si>
  <si>
    <t>Стол для совещаний 2400х800х750 мм</t>
  </si>
  <si>
    <t>522-101-1207-0011</t>
  </si>
  <si>
    <t>Стол руководителя угловой со встроенной тумбой, компьютерной приставкой. ЛДСП 16мм, столешница из МДФ 16мм. Размер 1600х600х760мм</t>
  </si>
  <si>
    <t>Стол руководителя угловой встроенной тумбой, компьютерной приставкой 1600х600х760 мм. Угловая тумба 1200х500х650мм. Столешница из ламинированного МДФ 16 мм, материал корпуса, выдвижных ящиков из ЛДСП 16 мм. Нижняя часть выдвижных ящиков и задней стенки тумбы из ламинированного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тумбы фрезеруется канал, в которую монтируется задняя стенка.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Ножки и каркас столешницы крепящийся к тумбе, изготавлены из профиля толщиной 2 мм. Окраска изделий производится методом электростатического порошкового напыления. Пластиковык ножки стола высотой 50 мм</t>
  </si>
  <si>
    <t>522-101-1207-0012</t>
  </si>
  <si>
    <t>Стол приставной, размеры не менее
1100х500х700мм</t>
  </si>
  <si>
    <t>Столешница из ЛДСП 32мм, каркас выполнен из ЛДСП 16мм. Торцы облицованы  кромкой ПВХ толщиной 2мм.</t>
  </si>
  <si>
    <t>522-101-1207-0013</t>
  </si>
  <si>
    <t>Стол руководителя 1800х820х775мм. ЛДСП
16мм, столешница ЛДСП 32мм</t>
  </si>
  <si>
    <t>Стол руководителя. Ширина - 1800мм, глубина - 820мм, высота - 775мм. Столешница из ЛДСП 32мм, каркас выполнен из ЛДСП 16мм. Торцы облицованы  кромкой ПВХ толщиной 2мм.</t>
  </si>
  <si>
    <t>522-101-1207-0014</t>
  </si>
  <si>
    <t>Стол 2300х900х750мм. Каркас
металлический, столешница из ЛДСП 16мм</t>
  </si>
  <si>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2300х900х750мм.</t>
  </si>
  <si>
    <t>522-101-1207-0015</t>
  </si>
  <si>
    <t>Стол 2300х1200х750мм. Каркас
металлический, столешница из ЛДСП 16мм</t>
  </si>
  <si>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2300х1200х750мм.</t>
  </si>
  <si>
    <t>522-101-1207-0016</t>
  </si>
  <si>
    <t>Стол для совещаний 2000х900х760мм. Столешница из ЛДСП 22мм, основание металлического профиля</t>
  </si>
  <si>
    <t>522-101-1207-0019</t>
  </si>
  <si>
    <t>Стол для конференций на 12 человек, размеры 3700х1300х760 мм, столешница из ЛДСП 22мм, кромка ПВХ</t>
  </si>
  <si>
    <t>Должен быть рассчитан на 10-12 человек и конструктивно собран из шести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</si>
  <si>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522-101-1207-0020</t>
  </si>
  <si>
    <t>Стол для конференций  на 16 человек, размеры 4900х1300х760 мм, столешница из ЛДСП 22мм, кромка ПВХ</t>
  </si>
  <si>
    <t>Должен быть конструктивно собран из восьми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</si>
  <si>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522-101-1207-0021</t>
  </si>
  <si>
    <t>Стол для конференций  на 20 человек, размеры 6100х1300х760 мм, столешница из ЛДСП 22мм, кромка ПВХ</t>
  </si>
  <si>
    <t>Должен быть конструктивно собран из десяти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</si>
  <si>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522-101-1207-0022</t>
  </si>
  <si>
    <t>Стол для президиума, размеры 3600х800х760 мм, внешняя опора и столешница из ЛДСП 22 мм, внутренняя опора 16 мм</t>
  </si>
  <si>
    <t>Стол выполнен из 2х частей 1800х800х760 мм внешняя опора и столешница выполнены из ЛДСП не менее 22 мм, внутренняя опора 16 мм. На царге расположены декоративные панели в количестве 4 шт так же 16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</si>
  <si>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522-101-1207-0023</t>
  </si>
  <si>
    <t>Стол для конференций, столешница из щита дуба, металлокаркас из прямоугольной профильной трубы, размеры 2000х900х760 мм</t>
  </si>
  <si>
    <t>Столешница выполнена из щита дуба и покрыта защитным составом.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имеются 3 усилителя траверсы из профильной трубы 40х25 мм, толщиной не менее 1,2 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</si>
  <si>
    <t>522-101-1207-0024</t>
  </si>
  <si>
    <t>Стол для конференций, столешница из ЛДСП 22мм, кромка ПВХ, металлокаркас из прямоугольной профильной трубы, размеры 2200х800х760 мм</t>
  </si>
  <si>
    <t>Столешница выполнена из ЛДСП не менее 22мм, торцы отделаны кромкой ПВХ толщиной 2мм. Столешница установлена на металлокаркас из прямоугольной профильной трубы 50х25мм толщиной не менее 1,2мм,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иметься 3 усилителя траверсы из профильной трубы 40х25мм. толщиной не менее 1,2мм,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</si>
  <si>
    <t>522-101-1208</t>
  </si>
  <si>
    <t>Стол преподавателя</t>
  </si>
  <si>
    <t>522-101-1208-0001</t>
  </si>
  <si>
    <t>Стол преподавателя 1200х600х750 мм марки
СУ 07-19</t>
  </si>
  <si>
    <t>Стол однотумбовый. Каркас цельносварная рамочная конструкция. Столешница и тумба из ЛДСП 16 мм. Размеры: 1200х600х750мм.</t>
  </si>
  <si>
    <t>522-101-1208-0002</t>
  </si>
  <si>
    <t>Стол преподавателя 1200х600х750 мм марки
СУ 07-18</t>
  </si>
  <si>
    <t>522-101-1208-0003</t>
  </si>
  <si>
    <t>Стол преподавателя размер с ПВХ кромкой
1350х650х750 мм</t>
  </si>
  <si>
    <t>Стол преподавателя с ПВХ кромкой размер 1350х650х750 мм на 2-х металлических боковинах. Основание металлокаркас</t>
  </si>
  <si>
    <t>522-101-1208-0004</t>
  </si>
  <si>
    <t>Стол преподавателя с полиуретановой
кромкой размерами 1350х650х750 мм</t>
  </si>
  <si>
    <t>Стол на 2-х металлических боковинах, 1350*650*750мм, соединенных между собой столешницей и царгой, изготовленных из ЛДСП. Облицованные полиуретановой кромкой между двумя боковыми опорами, изготовленные из плоскоовальной трубы 50х25х1,4 мм и круглой трубы диаметром 25х1,4 мм основного стола устанавливается царга</t>
  </si>
  <si>
    <t>522-101-1208-0005</t>
  </si>
  <si>
    <t>Стол учителя 1350х650х760мм, столешница ЛДСП 22мм, каркас из профильной трубы 40х40мм, кромка ПВХ</t>
  </si>
  <si>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40х40мм. покрытие полимернопорошковое.</t>
  </si>
  <si>
    <t>522-101-1208-0006</t>
  </si>
  <si>
    <t>Стол учителя 1350х650х760мм, столешница ЛДСП 22мм, каркас из профильной трубы 60х15мм, кромка ПВХ</t>
  </si>
  <si>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60х15мм. покрытие полимернопорошковое.</t>
  </si>
  <si>
    <t>522-101-1208-0007</t>
  </si>
  <si>
    <t>Стол учителя 1350х650х760мм, столешница ЛДСП 22мм, каркас цельносварной из квадратной профильной трубы 25х25мм, кромка ПВХ</t>
  </si>
  <si>
    <t>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Царга состоит из 3-х частей. Имеется кабельканал. На столешнице углы закруглены. Каркас стола цельносварной изготовлен из профильной трубы 25х25мм. покрытие полимернопорошковое.</t>
  </si>
  <si>
    <t>522-101-1208-0008</t>
  </si>
  <si>
    <t>Стол учителя 1350х650х760мм, столешница ЛДСП 22мм, каркас из квадратной профильной трубы 30х30мм, кромка ПВХ</t>
  </si>
  <si>
    <t>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Царга изготовлена из МДФ толщиной 16мм и обтянута пленкой ПВХ.Имеется кабельканал. На столешнице углы закруглены. Каркас стола цельносварной изготовлен из профильной трубы 30х30мм. покрытие полимернопорошковое.</t>
  </si>
  <si>
    <t>522-101-1208-0009</t>
  </si>
  <si>
    <t>Стол учителя 1300х650х760 мм. Столешница
ЛДСП 22 мм, кромка ПВХ 2 мм</t>
  </si>
  <si>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</si>
  <si>
    <t>522-101-1208-0010</t>
  </si>
  <si>
    <t>Стол учителя с полкой для ПК 1300х650х760мм. Столешница ЛДСП 22 мм, кромка ПВХ 2 мм</t>
  </si>
  <si>
    <t>Стол учительский с полкой для ПК. 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 глубина 456 мм, ширина 200 мм. Имеются технологические отверстия для крепежа системного блока ПК к полке с помощью ремней.</t>
  </si>
  <si>
    <t>522-101-1208-0011</t>
  </si>
  <si>
    <t>Стол учителя 1200х600х750мм. Столешница и полки из ЛДСП 16 мм, кромка ПВХ 1мм. Полка под процессор</t>
  </si>
  <si>
    <t>Стол учителя. Стол размером 1200х600х750мм. Столешница стола и полки из ЛДСП 16 мм. Боковые торцы стола облицована кромкой ПВХ 1 мм. Установлена полка под процессор. Каркас и ножки стола изготовлены из профильной трубы окрашенные в полимерно-порошковую краску.</t>
  </si>
  <si>
    <t>522-101-1208-0012</t>
  </si>
  <si>
    <t>Стол с подвесной тумбой, размеры 1200х650х750 мм, столешница из ЛДСП толщиной 22мм, металлический цельносварной каркас</t>
  </si>
  <si>
    <t>Стол с подвесной тумбой 1200х650х750 мм. Габаритные размеры 1200х650х760 мм, столешница ЛДСП не менее 22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Имеется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В опорах установлены регулируемые опоры для избежание повреждения
полового покрытия.</t>
  </si>
  <si>
    <t>522-101-1208-0013</t>
  </si>
  <si>
    <t>Стол преподавателя, размеры 1800х800х780 мм, столешница из ЛДСП толщиной 22мм, металлический каркас</t>
  </si>
  <si>
    <t>Габаритные размеры столешницы 1800х800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г-образной угловой формы, изготовленный из профильной трубы квадратного сечения 40х40х1,2 мм. Также имеется металлическая опора под тумбой.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4 выдвижными ящиками на направляющих полного выдвижения, габаритные размеры: глубина 700 мм х ширина 450 мм. На тумбе расположена опора под столешницу.</t>
  </si>
  <si>
    <t>522-101-1209</t>
  </si>
  <si>
    <t>Стол ученический одноместный</t>
  </si>
  <si>
    <t>522-101-1209-0001</t>
  </si>
  <si>
    <t>Стол ученический одноместный регулируемый по высоте 700х500х580/760мм ШК 85-13 Р-1</t>
  </si>
  <si>
    <t>Стол ученический одноместный регулируемый по высоте. Размер 700х500х580/760мм. Столешница ЛДСП 16мм. Основание металлокаркас.</t>
  </si>
  <si>
    <t>522-101-1209-0002</t>
  </si>
  <si>
    <t>Стол ученический одноместный 700х500х760мм (тр20х20) ШК 85-13-1</t>
  </si>
  <si>
    <t>Стол ученический одноместный. Размер 700х500х760мм. Столешница ЛДСП 16мм. Основание металлокаркас.</t>
  </si>
  <si>
    <t>522-101-1209-0003</t>
  </si>
  <si>
    <t>Стол ученический одноместный регулируемый по высоте с ПВХ кромкой. Столешница ЛДСП 22мм, основание металлокаркас. Размер столешницы 600х500мм</t>
  </si>
  <si>
    <t>Стол состоит сборно-разборного каркаса плоскоовальной трубы 50*25*1,2мм и 40*25*1,4мм регулируемые по высоте и столешницы из ЛДСП толщиной не менее 22 мм с кромкой ПВХ. Столешница имеет размеры 600х500мм. Торцевые края должны быть облицованы материалом кромочным из ПВХ. Окрашена полимерное (порошковая краска) любого цвета.</t>
  </si>
  <si>
    <t>522-101-1209-0004</t>
  </si>
  <si>
    <t>Стол ученический одноместный регулируемый по высоте с полиуретановой кромкой. Столешница ЛДСП 22мм,
основание металлокаркас. Размер столешницы 600х500мм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</si>
  <si>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600х500мм.
Торцевые края должны быть облицованы полиуретановым материалом.
Окрашена полимерное (порошковая краска) любого цвета.</t>
  </si>
  <si>
    <t>522-101-1209-0005</t>
  </si>
  <si>
    <t>Стол ученический одноместный не регулируемый. Столешница ЛДСП 32мм, основание металлокаркас. Размер столешницы 700х500х640/710/760 мм</t>
  </si>
  <si>
    <t>522-101-1209-0006</t>
  </si>
  <si>
    <t>Стол ученический одноместный регулируемый по высоте с ПВХ кромкой. Столешница ЛДСП 16мм, основание металлокаркас. Размер столешницы 630*450мм.</t>
  </si>
  <si>
    <t>522-101-1209-0007</t>
  </si>
  <si>
    <t>Стол ученический одноместный не регулируемый с ПВХ кромкой. Столешница ЛДСП 16мм, основание металлокаркас.
Размер столешницы 630*450мм</t>
  </si>
  <si>
    <t>Стол ученический одноместный не регулируемый с ПВХ кромкой.
Столешница ЛДСП 16мм, основание металлокаркас. Размер столешницы 630*450мм</t>
  </si>
  <si>
    <t>522-101-1209-0008</t>
  </si>
  <si>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</si>
  <si>
    <t>522-101-1209-0009</t>
  </si>
  <si>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</si>
  <si>
    <t>522-101-1209-0010</t>
  </si>
  <si>
    <t>Стол 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</si>
  <si>
    <t>Стол ученический одноместный в основе имеет полностью сварной металлический каркас. Размер столешницы 700х500мм. Высота стола регулируемая не менее 700-760мм и 580-640 мм.  Столешница из ЛДСП имеет размеры 700х500мм и высоту 22 мм , цвет по согласованию с заказчиком. Торцевые части выполнены из полипропиленового пластика серого цвета и толщиной не менее 4 мм, а так же имеет встроенный пенал для карандашей. Вся кромка и пенал имеют монолитную форму без стыков.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заказчика .</t>
  </si>
  <si>
    <t>522-101-1209-0011</t>
  </si>
  <si>
    <t>Стол ученический одноместный регулируемый по высоте с ПВХ кромкой. Столешница ЛДСП 18мм, основание металлокаркас. Размер столешницы 600х500мм</t>
  </si>
  <si>
    <t>Стол ученический одноместный в основе имеет сварной металлический каркас. Размер столешницы 600х500мм. Высота стола регулируемая.
Столешница из ЛДСП имеет размеры 600х500мм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</si>
  <si>
    <t>522-101-1209-0012</t>
  </si>
  <si>
    <t>Стол ученический одноместный, с сиденьем, не регулируемый по высоте с ПВХ кромкой. Столешница ЛДСП 16мм, основание металлокаркас. Размер столешницы
600х500мм, сиденья 600х275мм, спинки 600х250мм</t>
  </si>
  <si>
    <t>Стол ученический одноместный, с сиденьем, в основе имеет сварной металлический каркас. Размер столешницы 600х500мм.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600х275мм. Спинка изготовлена из ЛДСП 16 мм, размер 600х250мм.</t>
  </si>
  <si>
    <t>522-101-1209-0013</t>
  </si>
  <si>
    <t>Стол ученический одноместный не регулируемый по высоте с ПВХ кромкой. Столешница ЛДСП типа EGGER 32мм, основание металлокаркас. Размер столешницы 700х600 мм</t>
  </si>
  <si>
    <t>Размер 700х600х750 мм. Цвет бежевый. Материал - ЛДСП  типа EGGER. Каркас - металл.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Кромка ПВХ. Клепки из нержавейки.</t>
  </si>
  <si>
    <t>522-101-1209-0014</t>
  </si>
  <si>
    <t>Стол ученический одноместный регулируемый по высоте от 640 до 760 мм, с ПВХ кромкой. Столешница ЛДСП 22мм, основание металлокаркас. Размер столешницы 700х500мм</t>
  </si>
  <si>
    <t>Стол ученический одноместный в основе имеет сборно-разборный металлический каркас. Размер столешницы 700х500мм. Высота стола регулируемая от 640 до 760 мм . Столешница из ЛДСП имеет размеры 700х500мм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</si>
  <si>
    <t>522-101-1209-0015</t>
  </si>
  <si>
    <t>Стол ученический одноместный регулируемый по высоте. Столешница верзалит 23мм,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</si>
  <si>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</si>
  <si>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522-101-1209-0016</t>
  </si>
  <si>
    <t>Стол ученический одноместный регулируемый по высоте и наклону столешницы. Столешница верзалит 23мм,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</si>
  <si>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</si>
  <si>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522-101-1209-0017</t>
  </si>
  <si>
    <t>Стол ученический одноместный регулируемый по высоте и наклону столешницы с ПВХ кромкой. Столешница ЛДСП 22мм,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</si>
  <si>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ЛДСП имеет размеры 600*500мм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t>
  </si>
  <si>
    <t>522-101-1209-0018</t>
  </si>
  <si>
    <t>Стол ученический одноместный регулируемый по высоте с ABS кромкой. Столешница МДФ 18мм,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</si>
  <si>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</si>
  <si>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522-101-1209-0019</t>
  </si>
  <si>
    <t>Стол ученический одноместный регулируемый по высоте и наклону столешницы с ABS кромкой. Столешница МДФ 18мм,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</si>
  <si>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</si>
  <si>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522-101-1209-0020</t>
  </si>
  <si>
    <t>Стол ученический одноместный регулируемый по высоте. Столешница HPL 16мм,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</si>
  <si>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HPL имеет размеры 600*500мм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</si>
  <si>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522-101-1209-0021</t>
  </si>
  <si>
    <t>Стол ученический одноместный регулируемый по высоте и наклону столешницы. Столешница HPL 16мм,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</si>
  <si>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HPL имеет размеры 600*450мм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</si>
  <si>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522-101-1209-0022</t>
  </si>
  <si>
    <t>Стол ученический одноместный регулируемый по высоте с полиуретановой кромкой. Столешница ЛДСП 22мм, основание металлокаркас. Размер столешницы 600х450мм</t>
  </si>
  <si>
    <t>Стол ученический одноместный в основе имеет сборно-разборный металлический каркас. Размер столешницы 600х450мм. Высота стола регулируемая согласно 4-6 ростовой группе.  Столешница из ЛДСП имеет размеры 600х450мм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полиуретановой кромкой.
Имеется корзина или пенал для школьных принадлежностей.
Комплектуется по запросу заказчика.</t>
  </si>
  <si>
    <t>522-101-1209-0023</t>
  </si>
  <si>
    <t>Стол ученический одноместный регулируемый по высоте с ПВХ кромкой. Столешница из МДФ 18мм, основание металлокаркас. Размер столешницы 800х500мм</t>
  </si>
  <si>
    <t>Стол ученический двухместный в основе имеет сборно-разборный металлический каркас. Размер столешницы 800х500мм. Высота стола регулируемая от 700 до 760 мм.
Столешница из ламинированного МДФ имеет размеры 800х500мм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</si>
  <si>
    <t>522-101-1209-0024</t>
  </si>
  <si>
    <t>Стол ученический одноместный для групповых работ. Столешница 730*790мм, ламинированный МДФ 18мм. Каркас из стального профиля 30х30мм</t>
  </si>
  <si>
    <t>Стол ученический одноместный для групповых работ. Изделие состоит из столешницы и четырех отдельных опор. Каркас -Ножки стола изготовлены из стального профиля 30х30 мм с толщиной стенки 1,5 мм, окрашенного полимерно-порошковой краской. Ножки стола закрываются пластиковыми заглушками. Ножки соединяются со столешницей через крепления с помощью саморезов Ø4x16 мм. Столешница 730*790 мм выполнена из ламинированного МДФ толщиной 18 мм, кромка ПВХ с использованием высокотемпературного клея.</t>
  </si>
  <si>
    <t>522-101-1209-0025</t>
  </si>
  <si>
    <t>Стол ученический одноместный регулируемый по высоте и наклону столешницы, ПВХ кромка. Столешница ЛДСП 22мм, основание металлокаркас. Размер столешницы 600х500мм</t>
  </si>
  <si>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материалом кромочным из ПВХ, в цвет ЛДСП. Имеется корзина для школьных принадлежностей,
выполненная из металла, ввиде сетки. Комплектуется по запросу заказчика .</t>
  </si>
  <si>
    <t>522-101-1209-0026</t>
  </si>
  <si>
    <t>Стол ученический одноместный регулируемый по высоте и наклону столешницы, полиуретановая антивандальная кромка. Столешница ЛДСП 22мм, основание металлокаркас. Размер столешницы 600х500мм</t>
  </si>
  <si>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 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полиуретановым материалом. Имеется корзина для школьных принадлежностей,
выполненная из металла, ввиде сетки. Комплектуется по запросу заказчика.</t>
  </si>
  <si>
    <t>522-101-1209-0027</t>
  </si>
  <si>
    <t>Стол ученический одноместный 600х500х760мм. Столешница ЛДСП 22мм, царга ЛДСП 16мм, каркас цельносварной из квадратной профильной трубы 25х25мм, кромка ПВХ</t>
  </si>
  <si>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</si>
  <si>
    <t>522-101-1209-0028</t>
  </si>
  <si>
    <t>Стол ученический одноместный 600х500х760мм. Столешница ЛДСП 22мм, царга из МДФ, каркас из квадратной профильной трубы 30х30мм, кромка ПВХ</t>
  </si>
  <si>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</si>
  <si>
    <t>522-101-1209-0029</t>
  </si>
  <si>
    <t>Стол модульный 995х561х760мм. Столешница ЛДСП 22мм, кромка ПВХ, металлический каркас труба круглая</t>
  </si>
  <si>
    <t>Можно составлять в круг или в волну. В круг собирается 8 столов, диаметр стола 2600мм.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2мм. Каркас труба круглая d-60 мм, покрытие полимерно-порошковое</t>
  </si>
  <si>
    <t>522-101-1209-0030</t>
  </si>
  <si>
    <t>Стол модульный 815х500х760мм. Столешница ЛДСП 16мм, кромка ПВХ, каркас стола цельносварной,  труба профильная 25х25мм</t>
  </si>
  <si>
    <t>Можно составлять в круг или в волну. В круг собирается 12 столов, диаметр стола 3040мм. Стол выполнен из высококачественного ЛДСтП, толщиной не менее 16 мм, на основе термореактивных полимеров, класс эмиссии формальдегид Е-1, 1 сорт. Кромка ПВХ толщиной 2мм. Имеет закругление.
Каркас стола цельносварной,  труба профильная 25*25*1,2мм, покрытие полимерно-порошковое.</t>
  </si>
  <si>
    <t>522-101-1209-0031</t>
  </si>
  <si>
    <t>Стол модульный для груп 950х950х760мм. Столешница круглая ЛДСП 16мм, кромка ПВХ, металлический каркас труба профильная</t>
  </si>
  <si>
    <t>Столешница круглая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саморезов.Каркас- труба профильная  d-60
,покрытие полимерно-порошковое цвет.</t>
  </si>
  <si>
    <t>522-101-1209-0032</t>
  </si>
  <si>
    <t>Стол модульный для груп 600х600х760мм. Столешница квадратная ЛДСП 22мм, кромка ПВХ, металлический каркас труба круглая</t>
  </si>
  <si>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</si>
  <si>
    <t>522-101-1209-0033</t>
  </si>
  <si>
    <t>Стол модульный для груп 600х600х760мм. Столешница круглая ЛДСП 22мм, кромка ПВХ, металлический каркас труба круглая</t>
  </si>
  <si>
    <t>522-101-1209-0034</t>
  </si>
  <si>
    <t>Стол 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</si>
  <si>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</si>
  <si>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522-101-1209-0035</t>
  </si>
  <si>
    <t>Стол ученический одноместный нерегулируемый по высоте с ПВХ кромкой. Столешница ЛДСП 22мм, основание металлокаркас. Размер 700х500х760мм</t>
  </si>
  <si>
    <t>Размер столешницы 700х500мм,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</si>
  <si>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522-101-1209-0036</t>
  </si>
  <si>
    <t>Стол 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Размер столешницы 700х500мм</t>
  </si>
  <si>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</si>
  <si>
    <t>522-101-1209-0037</t>
  </si>
  <si>
    <t>Стол ученический одноместный регулируемый по высоте с ПВХ кромкой. Столешница ЛДСП 22мм с наклоном, основание металлокаркас. Размер столешницы 700х500мм</t>
  </si>
  <si>
    <t>Размер столешницы 700х500мм,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</si>
  <si>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522-101-1209-0038</t>
  </si>
  <si>
    <t>Стол ученический одноместный нерегулируемый по высоте с ПВХ кромкой. Столешница ЛДСП 22мм, основание металлокаркас. Размер 700х600х760мм</t>
  </si>
  <si>
    <t>Размер столешницы 700х600мм,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</si>
  <si>
    <t>522-101-1209-0039</t>
  </si>
  <si>
    <t>Стол ученический с перегородкой для индивидуальных занятий. Размеры 600х500х750мм. Бенч система с 3х сторон.</t>
  </si>
  <si>
    <t>Основные элементы стола изготовлены из ДСП толщиной 16 мм с износостойким покрытием, края деталей облицованы кромкой ПВХ 0,8 мм. Металлокаркас изготовлен из электросварной трубы квадратного сечения 25х25 мм с толщиной стенки 1,5 мм. Покрыт полимерно-порошковой краской светло-серого цвета. Торцевые проемы закрываются пластиковыми опорами (заглушками) черного цвета. Перегородка из стекла, толщина стекла - 4 мм. Размер стеклянной перегородки 600х500 мм.  Размеры стола: ширина - 600 мм, глубина - 500 мм, высота - 750 мм</t>
  </si>
  <si>
    <t>522-101-1209-0042</t>
  </si>
  <si>
    <t>Стол 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Размер столешницы 700х500мм</t>
  </si>
  <si>
    <t>4-6 ростовая группа на круглой трубе. Кромка ПВХ 2 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 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600х300 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</si>
  <si>
    <t>522-101-1209-0043</t>
  </si>
  <si>
    <t>Стол модульный овальный 4-х секционный на 10 учеников, размеры 2600х1300х750 мм, столешница каждого модульного стола из ЛДСП 22мм, кромка ПВХ</t>
  </si>
  <si>
    <t>Стол рассчитан на 8-10 учеников и конструктивно собран из четырех модульных столов двух типов. В комплекте два одинаковых модульных стола с двумя разными формами столешниц. Первая столешница в форме полукруга с радиусом 650 мм с одной стороны и волнообразной кривой с сопряженными по центру радиусами 650 мм, с другой стороны. Ширина 1300 мм. Вторая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Ширина 1300 мм. Две другие стороны стола прямые длиной 650 мм. Указанные формы столешниц позволяют производить модульную стыковку столов двух форм без видимых зазоров. Столешница каждого модульного стола изготовлена из ЛДСП толщиной 22 мм. Торцы облицованы кромкой ПВХ толщиной 2 мм.
Каждый стол имеет по 4 опоры, которые изготовлены из металлических профильных труб круглого сечения диаметром 40 мм и 51 мм с толщиной стенки не менее 1,2 мм. К трубе диаметром 40 мм приварен фланец диаметром 80 мм для крепления к столешнице. Труба диаметром 51 мм. оснащена регулируемым пластиковым подпятником с высотой регулировки 0-50 мм. Труба диаметром 40 мм центрируется в трубе диаметром 51 мм при помощи пластиковой втулки. Изменение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640/700/760 мм. Металлический каркас покрыт полимерной краской. Цвет
металлокаркаса по каталогу RAL.</t>
  </si>
  <si>
    <t>522-101-1209-0044</t>
  </si>
  <si>
    <t>Стол модульный трапеция одноместный регулируемый, размеры 970х760х750 мм, столешница из ЛДСП 22мм, кромка ПВХ</t>
  </si>
  <si>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трапеции, в которой основания имеют радиусные изгибы 1200 мм и 520 мм и расположены на расстоянии 650 мм. Боковые стороны в основании должны быть расположены на расстоянии 970 мм и иметь угол наклона 67,5 градусов. При составлении восьми столов должен образоваться замкнутый круг. Основание стола должно состоять их четырех независимых регулируемых телескопических опор.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</si>
  <si>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522-101-1209-0045</t>
  </si>
  <si>
    <t>Стол модульный трехсторонний 3-местный регулируемый, размеры 1200х1300х750 мм, столешница из ЛДСП 22мм, кромка ПВХ</t>
  </si>
  <si>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Основание стола должно состоять из шести регулируемых телескопических опор, которые связываются между собой профильной трубой 20х20 мм толщиной не менее 1,2 мм.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</si>
  <si>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522-101-1209-0046</t>
  </si>
  <si>
    <t>Стол модульный четырехлистник одноместный регулируемый, размеры 810х950х750 мм, столешница из ЛДСП 22 мм, кромка ПВХ</t>
  </si>
  <si>
    <t>Регулируемая 4-6 ростовая группа. Столешница должна быть изготовлена из ЛДСП не менее 22 мм. Торцы должны быть оклеены ударопрочной кромкой ПВХ толщиной не менее 2,0 мм. Столешница должна быть выполнена в форме круга диаметром 950 мм и иметь на расстоянии 140 мм от края вырез в форме полумесяца с радиусом 450 мм. При стыковке четырех столов должна образоваться фигура четырехлистника. Основание стола должна представлять из себя четыре независимые регулируемые телескопические опоры. Опоры должны быть изготовлены из двух труб: диаметром 40 мм и 51 мм, толщиной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припомощи пластиковой втулки. Изменение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</si>
  <si>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522-101-1209-0047</t>
  </si>
  <si>
    <t>Стол ученический одноместный пятиугольный, столешница из ЛДСП 22 мм, кромка ПВХ, размеры 703х603х760 мм, основание металлокаркас</t>
  </si>
  <si>
    <t>Для изготовления стола должна использоваться ЛДСП толщиной не менее 22 мм. Торцы столешницы должны быть отделаны кромкой ПВХ не менее 2 мм. Столешница должна быть выполнена в форме пятиугольника.
Габаритные размеры стола должны быть, не менее 703х603х760 мм.
Основание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1,2мм и окрашена полимерной краской. Две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t>
  </si>
  <si>
    <t>522-101-1209-0048</t>
  </si>
  <si>
    <t>Стол лингафонный, размеры 700х540х1000 мм, ЛДСП 16 мм, столешница закреплена двумя боковыми опорами, отверстие с пластиковой заглушкой для соединительных проводов</t>
  </si>
  <si>
    <t>Размеры столешницы должны быть, не менее 668х505 мм. Высота верхнего края столешницы должна быть над полом не менее 760 мм. Столешница должна быть из ЛДСП толщиной не менее 16 мм. Кромка из ПВХ должна быть толщиной не менее 2 мм. В правом углу столешницы должно быть предусмотрено отверстие с пластиковой заглушкой для соединительных проводов. Столешница должна быть закреплена между двумя боковыми опорами на высоте не менее 760 мм от пола и притоплена относительно верхнего края опор на 248 мм. Для изготовления несущих частей и различных элементов используется ЛДСП толщиной не менее 16 мм.
Кромка из ПВХ должна быть толщиной не менее 0,4 мм. Боковые опоры с рабочей стороны должны иметь радиусное закругление. Лицевая сторона стола должна быть закрыта царгой 668х416 мм. Между боковыми опорами над столешницей установлено оргстекло 244х662 толщиной 4 мм, фиксируется на стеклодержатели.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</si>
  <si>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522-101-1209-0049</t>
  </si>
  <si>
    <t>Стол для занятий с выдвижным ящиком, размеры 900х600х830 мм. Столешница из ЛДСП 16 мм, кромка ПВХ, верхняя планка выступает на 80 мм над столешницей</t>
  </si>
  <si>
    <t>Размеры столешницы должны быть, не менее 900х600 мм. Высота верхнего края столешницы должна быть над полом не менее 760 мм. Столешница должна быть из ЛДСП толщиной не менее 16 мм с кромкой из ПВХ толщиной не менее 2 мм. Для изготовления несущих частей и различных элементов используется ЛДСП толщиной не менее 16 мм. Кромка из ПВХ должна быть толщиной не менее 0,4 мм. Под столешницей располагается выдвижной ящик на шариковых направляющих. Фасад ящика должен быть высотой 120 мм, и иметь сверху эргономичный вырез, используемый для открывания ящика. По заднему краю столешницы крепится две планки высотой 250 мм. Верхняя планка выступает на 80 мм над столешницей.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</si>
  <si>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522-101-1210</t>
  </si>
  <si>
    <t>Стол ученический двухместный</t>
  </si>
  <si>
    <t>522-101-1210-0001</t>
  </si>
  <si>
    <t>Стол  ученический двухместный регулируемый по высоте 1200х500х580/760,ШК 85-13 Р</t>
  </si>
  <si>
    <t>Стол  ученический двухместный регулируемый по высоте. Размер 1200х500х580/760мм. Основание металлокаркас. Столешница ЛДСП 16мм.</t>
  </si>
  <si>
    <t>522-101-1210-0002</t>
  </si>
  <si>
    <t>Стол ученический двухместный 1200х500х760 марки ШК 85-13</t>
  </si>
  <si>
    <t>Стол  ученический двухместный. Размер 1200х500х760мм. Основание металлокаркас квадратного сечения. Столешница ЛДСП 16мм.</t>
  </si>
  <si>
    <t>522-101-1210-0003</t>
  </si>
  <si>
    <t>Стол ученический двухместный 1200х500х760 марки ШК 01-14</t>
  </si>
  <si>
    <t>Стол  ученический двухместный. Размер 1200х500х760мм. Основание металлокаркас круглого сечения. Столешница ЛДСП 16мм.</t>
  </si>
  <si>
    <t>522-101-1210-0004</t>
  </si>
  <si>
    <t>Стол 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</si>
  <si>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 кромкой ПВХ. Столешница имеет размеры 1200х500мм. Торцевые края должны быть облицованы материалом кромочным из ПВХ. Окрашена полимерное (порошковая краска) любого цвета.</t>
  </si>
  <si>
    <t>522-101-1210-0005</t>
  </si>
  <si>
    <t>Стол ученический двухместный регулируемый по высоте с полиуретановой кромкой. Столешница ЛДСП 22мм, основание металлокаркас. Размер столешницы 1200х500мм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</si>
  <si>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1200х500мм.
Торцевые края должны быть облицованы полиуретановым материалом Окрашена полимерное (порошковая краска) любого цвета.</t>
  </si>
  <si>
    <t>522-101-1210-0006</t>
  </si>
  <si>
    <t>Стол ученический двухместный не регулируемый. Столешница ЛДСП 32мм, основание металлокаркас. Размер столешницы  1200х500х640/710/760 мм</t>
  </si>
  <si>
    <t>Стол ученический двухместный не регулируемый. Столешница ЛДСП 32мм, основание металлокаркас. Размер столешницы 1200х500х640/710/760 мм</t>
  </si>
  <si>
    <t>522-101-1210-0007</t>
  </si>
  <si>
    <t>Стол ученический двухместный регулируемый по высоте с ПВХ кромкой. Столешница ЛДСП 16 мм, основание металлокаркас. Размер столешницы 1200*500мм.</t>
  </si>
  <si>
    <t>522-101-1210-0008</t>
  </si>
  <si>
    <t>Стол ученический двухместный не регулируемый. Столешница 1200*500мм, ЛДСП 16 мм.</t>
  </si>
  <si>
    <t>Стол ученический двухместный не регулируемый. Столешница 1200*500мм, ЛДСП 16 мм. Основание металлокаркас</t>
  </si>
  <si>
    <t>522-101-1210-0009</t>
  </si>
  <si>
    <t>Стол 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</si>
  <si>
    <t>Стол ученический двухместный в основе имеет полностью сварной металлический каркас. Размер столешницы 1200х500мм. Высота стола регулируемая не менее 700-760мм и 580-640 мм.  Столешница из ЛДСП имеет размеры 1200х500мм и высоту 22 мм , цвет по согласованию с заказчиком.  Торцевые части выполнены из полипропиленового пластика серого цвета и толщиной не менее 4 мм , а так же имеет встроенный  пенал для карандашей . Вся кромка и пенал имеют монолитную форму без стыков
.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зказкачика .</t>
  </si>
  <si>
    <t>522-101-1210-0010</t>
  </si>
  <si>
    <t>Стол ученический двухместный регулируемый по высоте с полиуретановой кромкой. Столешница ЛДСП 16мм, основание металлокаркас. Размер столешницы 1200х500мм</t>
  </si>
  <si>
    <t>Парта (стол) ученическая двухместная. Столешница ЛДСП, толщина 16мм.
Регулируемый по высоте. Торцы из литого полиуретана. Опора регулируемая, имеет три положения по высоте. Нижняя часть опоры защищена пластиковыми наконечниками. Габаритные размеры: Высота: 760мм, Длина:1200мм, Ширина:500мм</t>
  </si>
  <si>
    <t>522-101-1210-0011</t>
  </si>
  <si>
    <t>Стол ученический двухместный регулируемый по высоте с ПВХ кромкой. Столешница ЛДСП 18мм, основание металлокаркас. Размер столешницы 1200х500мм</t>
  </si>
  <si>
    <t>Стол ученический двухместный в основе имеет сварной металлический каркас. Размер столешницы 1200х500мм. Высота стола регулируемая. Столешница из ЛДСП имеет размеры 1200х500мм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</si>
  <si>
    <t>522-101-1210-0012</t>
  </si>
  <si>
    <t>Стол ученический двухместный, с сиденьем, не регулируемый по высоте с ПВХ кромкой. Столешница ЛДСП 16мм, основание металлокаркас. Размер столешницы 1200х500мм, сиденья 1200х275мм, спинки 1200х250мм</t>
  </si>
  <si>
    <t>Стол ученический двухместный, с сиденьем, в основе имеет сварной металлический каркас. Размер столешницы 1200х500мм.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1200х275мм. Спинка изготовлена из ЛДСП 16 мм, размер 1200х250мм.</t>
  </si>
  <si>
    <t>522-101-1210-0013</t>
  </si>
  <si>
    <t>Стол ученический двухместный не регулируемый по высоте с ПВХ кромкой. Столешница ЛДСП типа EGGER 32мм, основание металлокаркас. Размер столешницы 1200х600 мм</t>
  </si>
  <si>
    <t>Размер 1200х600х750 мм. Цвет бежевый. Материал - ЛДСП  типа EGGER. Каркас - металл. Цвет каркаса белый.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 Кромка ПВХ. Клепки из нержавейки.</t>
  </si>
  <si>
    <t>522-101-1210-0014</t>
  </si>
  <si>
    <t>Стол 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</si>
  <si>
    <t>Стол ученический двухместный в основе имеет сборно-разборный металлический каркас. Размер столешницы 1200х500мм. Высота стола регулируемая от 640 до 760 мм. Столешница из ЛДСП имеет размеры 1200х500мм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</si>
  <si>
    <t>522-101-1210-0015</t>
  </si>
  <si>
    <t>Стол ученический двухместный регулируемый по высоте. Столешница верзалит 23мм,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</si>
  <si>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</si>
  <si>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522-101-1210-0016</t>
  </si>
  <si>
    <t>Стол ученический двухместный регулируемый по высоте и наклону столешницы. Столешница верзалит 23мм,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</si>
  <si>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</si>
  <si>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522-101-1210-0017</t>
  </si>
  <si>
    <t>Стол ученический двухместный регулируемый по высоте и наклону столешницы с ПВХ кромкой. Столешница ЛДСП 22мм,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</si>
  <si>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1200*500мм. Высота стола регулируемая от 640 до 760 мм. Наклон столешницы регулируется от 0 до 45 градусов.
Столешница из ЛДСП имеет размеры 1200*500мм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 .</t>
  </si>
  <si>
    <t>522-101-1210-0018</t>
  </si>
  <si>
    <t>Стол ученический двухместный регулируемый по высоте с ABS кромкой. Столешница МДФ 18мм,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</si>
  <si>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</si>
  <si>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522-101-1210-0019</t>
  </si>
  <si>
    <t>Стол ученический двухместный регулируемый по высоте и наклону столешницы с ABS кромкой. Столешница МДФ 18мм,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</si>
  <si>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</si>
  <si>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522-101-1210-0020</t>
  </si>
  <si>
    <t>Стол ученический двухместный регулируемый по высоте. Столешница HPL 16мм,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</si>
  <si>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</si>
  <si>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522-101-1210-0021</t>
  </si>
  <si>
    <t>Стол ученический двухместный регулируемый по высоте и наклону столешницы. Столешница HPL 16мм,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</si>
  <si>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</si>
  <si>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522-101-1210-0022</t>
  </si>
  <si>
    <t>Стол ученический двухместный регулируемый по высоте с ПВХ кромкой. Столешница из МДФ 18мм, основание металлокаркас. Размер столешницы 1200х500мм</t>
  </si>
  <si>
    <t>Стол ученический двухместный в основе имеет сборно-разборный металлический каркас. Размер столешницы 1200х500мм. Высота стола регулируемая от 700 до 760 мм.
Столешница из ламинированного МДФ имеет размеры 1200х500мм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</si>
  <si>
    <t>522-101-1210-0023</t>
  </si>
  <si>
    <t>Стол ученический двухместный 1200х500х760мм. Столешница ЛДСП 22мм, царга ЛДСП 16мм, каркас цельносварной из квадратной профильной трубы 25х25мм, кромка ПВХ</t>
  </si>
  <si>
    <t>522-101-1210-0024</t>
  </si>
  <si>
    <t>Стол ученический двухместный 1200х500х760мм. Столешница ЛДСП 22мм, царга из МДФ, каркас из квадратной профильной трубы 30х30мм, кромка ПВХ</t>
  </si>
  <si>
    <t>522-101-1210-0025</t>
  </si>
  <si>
    <t>Стол модульный 1400х950х760мм. Столешница ЛДСП 16мм, кромка ПВХ, металлический каркас труба профильная</t>
  </si>
  <si>
    <t>Столешница фигурная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 Каркас- труба профильная
d-60, покрытие полимерно-порошковое цвет.</t>
  </si>
  <si>
    <t>522-101-1210-0026</t>
  </si>
  <si>
    <t>Стол ученический двухместный регулируемый по высоте с ПВХ кромкой. Столешница ЛДСП 16 мм, основание металлокаркас. Размер столешницы 1200х500мм</t>
  </si>
  <si>
    <t>Столешница и царга выполнены из ЛДСП 16мм. Торцы обрамлены кромкой ПВХ толщиной 2мм. Каркас на прямоугольной трубе.
Предусмотрены крючки для сумок. Регулировка высоты осуществляется в соответствие с ростовой группой №1-4: 460/520/580/640мм, №4-6: 640/700/760мм, №5-7: 700/760/820мм</t>
  </si>
  <si>
    <t>522-101-1210-0027</t>
  </si>
  <si>
    <t>Стол 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</si>
  <si>
    <t>Столешница и царга выполнена из ЛДСП 16мм. Торцы обрамлены кромкой ПВХ толщиной 2мм. Наклон столешницы (0-24°), выемка для ручек, углы столешницы закруглены. Каркас на  прямоугольной трубе, цвет: коричневый. Регулировка высоты осуществляется в соответствие с ростовой группой №2-4: 520/580/640мм</t>
  </si>
  <si>
    <t>522-101-1210-0028</t>
  </si>
  <si>
    <t>Стол ученический двухместный нерегулируемый трапеция с ПВХ кромкой. Столешница 1300х590х760мм, ЛДСП 16мм, основание металлокаркас</t>
  </si>
  <si>
    <t>Стол-трапеция нерегулируемый, группа роста №6 (760мм). Каркас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Столешница выполнена из ЛДСП 16 мм в виде трапеции, облицована кромкой ПВХ 2 мм. Все углы закруглены.</t>
  </si>
  <si>
    <t>522-101-1210-0029</t>
  </si>
  <si>
    <t>Стол ученический двухместный регулируемый по высоте 580-700мм, с ПВХ кромкой. Столешница ЛДСП 22мм, основание металлокаркас, размер плоскоовальных труб 50x30x2мм и 45x25x1,5мм. Размер столешницы 1200х500мм</t>
  </si>
  <si>
    <t>Размер столешницы 1200х500мм, толщина ЛДСП 22мм. Высота стола регулируемая 580-700мм.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</si>
  <si>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522-101-1210-0030</t>
  </si>
  <si>
    <t>Стол ученический двухместный нерегулируемый по высоте с ПВХ кромкой. Столешница ЛДСП 22мм, основание металлокаркас. Размер 1200х500х760мм</t>
  </si>
  <si>
    <t>Размер столешницы 1200х500мм,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</si>
  <si>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522-101-1210-0031</t>
  </si>
  <si>
    <t>Стол ученический двухместный регулируемый по высоте 580-700-820мм, с ПВХ кромкой. Столешница ЛДСП 22мм, основание металлокаркас, размер плоскоовальных труб 50x30x2мм и 45x25x1,5мм. Размер столешницы 1200х500мм</t>
  </si>
  <si>
    <t>Размер столешницы 1200х500мм,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</si>
  <si>
    <t>522-101-1210-0032</t>
  </si>
  <si>
    <t>Стол ученический двухместный регулируемый по высоте с ПВХ кромкой. Столешница ЛДСП 22мм с наклоном, основание металлокаркас. Размер столешницы 1200х500мм</t>
  </si>
  <si>
    <t>Размер столешницы 1200х500мм,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</si>
  <si>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522-101-1210-0033</t>
  </si>
  <si>
    <t>Стол ученический двухместный с бортиками, размер 1100х520х700мм, основание металлокаркас</t>
  </si>
  <si>
    <t>Каркас выполнен из профильной трубы, сечением 25х25мм, окрашенной в порошковую краску. Столешница выполнена из ЛДСП, толщиной 16мм, кромка ПВХ. Царга выполнена из ЛДСП. Маталлические части стола изготовлены из профиля 25x25x1,5мм,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стола 1100х520х700мм</t>
  </si>
  <si>
    <t>522-101-1210-0037</t>
  </si>
  <si>
    <t>Стол ученический двухместный регулируемый по высоте с ПВХ кромкой. Столешница ЛДСП 22 мм, основание металлокаркас. Размер столешницы 1200х500 мм</t>
  </si>
  <si>
    <t>4-6 ростовая группа на круглой трубе. Кромка ПВХ 2мм.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1000х300мм.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</si>
  <si>
    <t>522-101-1210-0038</t>
  </si>
  <si>
    <t>Стол ученический двухместный нерегулируемый по высоте с ПВХ кромкой. Столешница ЛДСП 22 мм, основание металлокаркас. Размер столешницы 1200х600 мм</t>
  </si>
  <si>
    <t>Высота верхнего края столешницы над полом должна быть 760 мм.
Столешница должна быть эргономичной формы и изготовлена из ЛДСП не менее 22 мм, с кромкой ПВХ не менее 2 мм. Все углы должны иметь радиусные закругления радиусом 50 мм. С посадочной стороны столешница должна иметь вид равнобедренной трапеции с основанием в 400 мм и ребра под углом 170 градусов. С фасадной стороны на всю длину должна быть царга из ЛДСП толщиной не менее 16 мм, шириной не менее 260 мм, с кромкой ПВХ 0,4 мм. Металлический каркас должен быть из профильной трубы круглого сечения диаметром 32 мм, толщиной не менее 1,2мм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К опорам изнутри приварены кронштейны, к которым в свою очередь крепятся с помощью болтов М6 с плоской головкой траверсы выполненные из квадратной трубы сечением 25х25х1,2 мм, которые соединяют боковые опоры и служат элементом усиления. Столешница монтируется на траверсы и находится выше боковых опор в горизонтальной плоскости. Также к опорам приварены пластины эргономичной формы размером 200х30мм к которым крепиться царга с помощью болтов М6 с плоской головкой и футорок. На каждой опоре должен быть травмобезопасный крючок для портфеля. В основаниях опор должен быть пластиковый подпятник.
Крепление столешницы и царги должно осуществляться через монтажные пластины из металлической полосы шириной 30 мм и толщиной 2 мм саморезами 4,0х16 мм. Металлический каркас должен быть с полимерным
покрытием по каталогу RAL.</t>
  </si>
  <si>
    <t>522-101-1210-0039</t>
  </si>
  <si>
    <t>Стол ученический двухместный нерегулируемый по высоте. Столешница ЛДСП 22 мм, основание металлокаркас. Размер столешницы 1200х500 мм</t>
  </si>
  <si>
    <t>Стол ученический нерегулируемый 2-местный перфорированный усилитель 1200х500х760 мм. 6 ростовая группа. Состоит из металлического каркаса и столешницы из ЛДСП 22мм. Каркас парты изготавливается из стальных плоскоовальных труб 50х25х1,2 мм, и представляет собой две боковые стойки с-образной формы, согнутых под углом 105 градусов и 75 градусов, и траверсып-образной формы гнутой под прямым углом. Боковые стойки гнутся по узкой стороне трубы, а траверсы по широкой стороне. Траверсы крепятся к боковым стойкам посредством болтового соединения. Открытые концы труб закрыты пластиковыми заглушками. На концах боковых опор имеются пластиковые торцевые заглушки, а на сгибе трубы пластиковая опора, устанавливаемая во фронтальной части. На фронтальной части каркаса расположена царга из металлического перфорированного листа толщиной не менее 1,2 мм 1000х290 мм. Для крепления столешницы используются металлические пластины. Металлический каркас окрашен эпоксидно-полиэфирной порошковой краской. Цвет по согласованию с заказчиком по каталогу RAL.</t>
  </si>
  <si>
    <t>522-101-1210-0040</t>
  </si>
  <si>
    <t>Стол с бортиками двухместный, столешница из ЛДСП 22 мм, кромка ПВХ, металлический каркас, размеры 1300х600х760 мм</t>
  </si>
  <si>
    <t>Стол должен быть рассчитан на 2 посадочных места. Размер столешницы должен быть не менее 1300х600 мм. Высота верхнего края столешницы над полом должна быть 760 мм. Столешница должна быть изготовлена из ЛДСП не менее 22 мм с кромкой ПВХ не менее 2 мм. Столешница должна быть эргономичной формы, все углы должны иметь радиусные закругления радиусом 50 мм. С фронтальной стороны столешница должна иметь вид равнобедренной трапеции с основанием в 900 мм и ребра под углом 135 градусов. На столешнице по периметру, в виде трапеции, должны быть размещены бортики высотой не менее 60 мм. Отступ от края столешницы должен быть не более 30 мм. Бортики должны располагаться с трех сторон, на стороне ученика углы бортиков должны иметь радиусное закругление радиусом 50 мм. Крепление к столешнице должно производиться конфирматами. Металлический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50х25х1,2 мм. Вертикальные стойки должны быть высотой не менее 730 мм. Горизонтальные стойки должны быть длиной не менее 400 мм. Должны быть предусмотрены регулируемые подпятники для компенсации неровностей пола. С фронтальной стороны боковые опоры должны быть соединены между собой болтовыми соединениями, двумя царгами 1060х150 мм. Крепление столешницы к боковым опорам осуществляется саморезами путем скрытого монтажа.
Металлокаркас должен быть с полимерным покрытием.</t>
  </si>
  <si>
    <t>522-101-1211</t>
  </si>
  <si>
    <t>Стол ученический лабораторный без раковины</t>
  </si>
  <si>
    <t>522-101-1211-0001</t>
  </si>
  <si>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</si>
  <si>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</si>
  <si>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t>522-101-1211-0002</t>
  </si>
  <si>
    <t>Стол 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</si>
  <si>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t>Стол ученический двухместный лабораторный 1400*600*750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К парте подведены две розетки.</t>
  </si>
  <si>
    <t>522-101-1211-0003</t>
  </si>
  <si>
    <t>Стол ученический лабораторный с розетками, двумя боковыми опорами. Столешница из химически стойкой плиты постформинг 25 мм. Основание металлокаркас, размер стола 1200х600х750мм.</t>
  </si>
  <si>
    <t>Стол лабораторный учинический двухместный. Размер столешницы 1200х600мм.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розетки IP56 с защитной шторкой.</t>
  </si>
  <si>
    <t>522-101-1211-0004</t>
  </si>
  <si>
    <t>Стол 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</si>
  <si>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Лицевая сторона стола закрыта царгой. Царга перфорированная размером 1350х350 мм. В середине стола имеется тумба размером 728х380мм. Закрывается на ключ.</t>
  </si>
  <si>
    <t>522-101-1211-0005</t>
  </si>
  <si>
    <t>Стол 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</si>
  <si>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t>С бортиками с трёх сторон. Столешница из химически стойкой плиты постформинг 25 мм, бортики из ЛДСП 16 мм, отверстия для проводов. С внутренних сторон опор розетки с защитными шторками 2 шт. Подвод электричества скрыт в коробе опор. Кромки деталей облицованы полимерным кромочным материалам (ПВХ), толщиной 1,5 мм. Фурнитура: конфирмат, стяжка BLUM, розетки со шторкой. Каркас металлический состоит из двух опор. Покраска полимерно-порошковая краска.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t>
  </si>
  <si>
    <t>522-101-1211-0006</t>
  </si>
  <si>
    <t>Стол ученический лабораторный с розетками, двумя боковыми опорами. Столешница из химстойкой панели HPL12 мм. Основание металлокаркас, размер стола 1400х600х750мм.</t>
  </si>
  <si>
    <t>Стол лабораторный 2-х местный. На столешнице расположен лючок на 3 модуля: 2 розетки IP 44 и сетевой разъем. Столешница выполнена из химстойкой панели HPL12 мм. Металлические опоры выполнены из овального профиля толщиной 1,5 мм,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В нижней части гибкий кабель канал для скрытия кабелей. Поверхность стола крепится к металлическому каркасу на евровинты.</t>
  </si>
  <si>
    <t>522-101-1211-0009</t>
  </si>
  <si>
    <t>Стол 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</si>
  <si>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t>
  </si>
  <si>
    <t>522-101-1211-0010</t>
  </si>
  <si>
    <t>Стол 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</si>
  <si>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25х25х1,2 мм, стянутых между собой двумя ребрами жесткости путем болтового соединения. Ребра жесткости должны быть изготовлены из профильной трубы квадратного сечения 25х25х1,2 мм на всю длину стола.
На высоте 400 и 700 мм на них должны крепиться две полки размером
1200х200 мм, изготовленные из ЛДСП толщиной не менее 16 мм. Торцы полок должны быть отделаны кромкой ПВХ толщиной не менее 0,4 мм. Полки должны крепиться к металлокаркасу саморезами методом скрытого соединения.</t>
  </si>
  <si>
    <t>522-101-1212</t>
  </si>
  <si>
    <t>Стол для кабинета</t>
  </si>
  <si>
    <t>522-101-1212-0001</t>
  </si>
  <si>
    <t>Стол с бенч-системой одноместный 1180х680х750 мм</t>
  </si>
  <si>
    <t>522-101-1212-0002</t>
  </si>
  <si>
    <t>Стол с бенч-системой одноместный 1380х680х750 мм</t>
  </si>
  <si>
    <t>522-101-1212-0003</t>
  </si>
  <si>
    <t>Стол с бенч-системой одноместный 1580х680х750 мм</t>
  </si>
  <si>
    <t>522-101-1212-0004</t>
  </si>
  <si>
    <t>Стол с бенч-системой одноместный 1780х680х750 мм</t>
  </si>
  <si>
    <t>522-101-1212-0005</t>
  </si>
  <si>
    <t>Стол с бенч-системой одноместный 1180х780х750 мм</t>
  </si>
  <si>
    <t>522-101-1212-0006</t>
  </si>
  <si>
    <t>Стол с бенч-системой одноместный 1380х780х750 мм</t>
  </si>
  <si>
    <t>522-101-1212-0007</t>
  </si>
  <si>
    <t>Стол с бенч-системой одноместный 1580х780х750 мм</t>
  </si>
  <si>
    <t>522-101-1212-0008</t>
  </si>
  <si>
    <t>Стол с бенч-системой одноместный 1780х780х750 мм</t>
  </si>
  <si>
    <t>522-101-1212-0009</t>
  </si>
  <si>
    <t>Стол с бенч-системой 2-х местный 1180х1380х750 мм</t>
  </si>
  <si>
    <t>522-101-1212-0010</t>
  </si>
  <si>
    <t>Стол с бенч-системой 2-х местный 1380х1380х750 мм</t>
  </si>
  <si>
    <t>522-101-1212-0011</t>
  </si>
  <si>
    <t>Стол с бенч-системой 4-х местный 2360х1380х750 мм</t>
  </si>
  <si>
    <t>522-101-1212-0012</t>
  </si>
  <si>
    <t>Стол с бенч-системой 4-х местный 2760х1380х750 мм</t>
  </si>
  <si>
    <t>522-101-1212-0013</t>
  </si>
  <si>
    <t>Стол с бенч-системой 6-ти местный 3540х1380х750 мм</t>
  </si>
  <si>
    <t>522-101-1212-0014</t>
  </si>
  <si>
    <t>Стол с бенч-системой 6-ти местный 4140х1380х750 мм</t>
  </si>
  <si>
    <t>522-101-1212-0015</t>
  </si>
  <si>
    <t>Угловой сегмент 700х700х750мм, ЛДСП 16мм</t>
  </si>
  <si>
    <t>Столешница из ЛДСП 16мм, каркас выполнен из ЛДСП ированной ДСП 16мм. Торцы облицованы  кромкой ПВХ толщиной 2мм.</t>
  </si>
  <si>
    <t>522-101-1212-0016</t>
  </si>
  <si>
    <t>Стол гримировальный с зеркалом 1200х600х750/1200мм. ЛДСП 16мм, 2
выдвижных ящика</t>
  </si>
  <si>
    <t>Гримировальный стол. Габаритные размеры: 1200х600х750/1200мм. Выполнен из ЛДСП толщиной 16мм, торцы обработаны кромкой ПВХ толщиной 2мм. Предусмотрены 2 выдвижных ящика на шариковых направляющих, зеркало 1100х450мм, ручки металлические.</t>
  </si>
  <si>
    <t>522-101-1212-0017</t>
  </si>
  <si>
    <t>Стол гримировальный с зеркалом 1200х600х875мм. Столешница из ЛДСП 16мм, основание металло-каркас, выдвижной ящик</t>
  </si>
  <si>
    <t>Основание металло-каркас, покрашенный в полимерно порошковую краску по выбору. Столешница ЛДСП 16 мм с кромкой ПВХ 1200х600х875мм. Размер зеркала 800х900мм. Металлические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</si>
  <si>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522-101-1213</t>
  </si>
  <si>
    <t>Стол читательский рабочий</t>
  </si>
  <si>
    <t>522-101-1213-0001</t>
  </si>
  <si>
    <t>Стол читательский одноместный 900х600х870 мм. Материал ЛДСП 16 мм</t>
  </si>
  <si>
    <t>Стол читательский одноместный. Материал ЛДСП 16 мм. Боковые стенки имеют полимерные не регулируемые подпятники. Размеры: 900х600х870мм</t>
  </si>
  <si>
    <t>522-101-1213-0002</t>
  </si>
  <si>
    <t>Стол читательский, ЛДСП 16мм, размеры 1400х500х750мм</t>
  </si>
  <si>
    <t>Стол читательский, ЛДСП 16мм. Размеры 1400х500х750мм. Стол имеет подпятники. Материал ЛДСП. Основание ЛДСП/металлокаркас, толщина стенки не менее 1,0 мм. Без острых углов. Торцы закатаны кромочным материалом ПВХ не менее 1,0 мм.</t>
  </si>
  <si>
    <t>522-101-1213-0003</t>
  </si>
  <si>
    <t>Стол читательский 2-местный, ЛДСП 32мм, каркас металлический, розетки, размер 1800х800х750 мм</t>
  </si>
  <si>
    <t>Столешница выполненая из ЛДСП с закругленными углами, толщиной 32 мм. Оборудован двумя розетками (двух групповая) - по две на каждой из металлических опор на внутренней стороне. Кромки деталей облицованы полимерным кромочным материалам (ПВХ), толщиной 1,5 мм. Карас металлический состоит из двух зеркально изготовленных опор (левой и правой). Покраска полимерно-порошковой краской. Опорная площадка имеет отверстие для возможности подведения электрического и интернет кабеля. В столе отверстие для провода на каждого пользователя.</t>
  </si>
  <si>
    <t>522-101-1214</t>
  </si>
  <si>
    <t>Стол ученический лабораторный с раковиной</t>
  </si>
  <si>
    <t>522-101-1214-0001</t>
  </si>
  <si>
    <t>Стол ученический лабораторный с раковиной, розетками и автоматическим выключателем дифференциального тока.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</si>
  <si>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t>Стол ученический лабораторный с раковиной, розетками и автоматическим выключателем дифференциального тока. Вся проводка изолирована в металл рукаве.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</si>
  <si>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t>522-101-1214-0002</t>
  </si>
  <si>
    <t>Стол 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</si>
  <si>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t>Стол ученический двухместный лабораторный 1400*600*750мм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Раковина сделана из полипропилена,
размером 300х150мм.</t>
  </si>
  <si>
    <t>522-101-1214-0003</t>
  </si>
  <si>
    <t>Стол ученический лабораторный с раковиной, розетками, двумя боковыми опорами и тумбой для скрытия коммуникаций. Столешница из химически стойкой плиты постформинг 25 мм.
Основание металлокаркас, размер стола
1200х600х750мм.</t>
  </si>
  <si>
    <t>Стол ученический лабораторный двухместный с мойкой и лабораторным краном 1200х600х750 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все коммуникации, розетки IP56 с защитной шторкой, с краном и раковиной.</t>
  </si>
  <si>
    <t>522-101-1214-0004</t>
  </si>
  <si>
    <t>Стол ученический лабораторный с раковиной, розетками, двумя боковыми опорами и тумбой для скрытия коммуникаций. Столешница из ЛДСП 22 мм. Основание металлокаркас, размер стола 1500х600*750мм</t>
  </si>
  <si>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Раковина установлена по центру, вровень со столешницей с сифоном и гибким гофрированным шлангом для подключения к канализации квадратной формы. Специальный кран для холодной воды. Лицевая сторона стола закрыта царгой. Царга перфорированная размером 1350х350 мм. В середине стола имеется тумба размером 728х380. Закрывается на ключ.</t>
  </si>
  <si>
    <t>522-101-1214-0005</t>
  </si>
  <si>
    <t>Стол 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</si>
  <si>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t>Стол ученический лабораторный 1200х600х750 мм. Материал: столешница выполнена из химически стойкой плиты постформинг, толщиной 25 мм, предусмотрены отверстия для проводов для каждого пользователя. Кромки деталей облицованы полимерным кромочным материалом (ПВХ), толщиной 1,5 мм. По центру столешницы имеется смеситель с раковиной из химически стойкого пластика диаметром 14 см, глубиной (до сливного отверстия) 12 см. Для скрытия коммуникаций снизу предусмотрен короб с мебельным замком. Фурнитура: конфирмат, стяжка BLUM, розетка со шторкой на каждого пользователя, кран лабораторный, мойка дабораторная.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кабеля.</t>
  </si>
  <si>
    <t>522-101-1214-0006</t>
  </si>
  <si>
    <t>Стол ученический лабораторный с раковиной, розетками, двумя боковыми опорами и коробом для скрытия коммуникаций. Столешница из химически стойкой плиты постформинг 25мм, с бортиками. Основание металлокаркас, размер стола 1200х600х700/760мм</t>
  </si>
  <si>
    <t>Столешница выполнена из химически стойкой плиты постформиг, толщиной 25 мм. Оборудован двумя розетками со шторками. Кромки деталей облицованы полимерным кромочным материалам (ПВХ), толшиной 1.5 мм. Каркас металлический состоит из двух зеркально изготовленных опор (левой и правой), покрытый полимерно-порошковой краской.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Высота стола зависит от группы роста и соответствует следующим значениям: группа роста 5: высота 700мм, группа роста 6: высота 760мм</t>
  </si>
  <si>
    <t>522-101-1214-0007</t>
  </si>
  <si>
    <t>Стол ученический лабораторный с раковиной, розетками, двумя боковыми опорами и тумбой для скрытия коммуникаций. Столешница из химического стойкого пластика HPL панели12 мм.
Основание металлокаркас, размер
стола1400х600х750мм.</t>
  </si>
  <si>
    <t>Стол лабораторный 2-х местный.  Лабораторный стол ученика с раковиной, смесителем, с розеткой, двумя боковыми опорами и шкафом для скрытия коммуникаций.  - Электрическая панель с 2 розетками 220 В (IP54, с закрытым корпусом, с защитой контактов);  Раковина  из полипропилена (установлена по центру переда стола ). размерами 180*180*220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 замок 1 шт ( ключ универсальный). Лабораторный смеситель: твердый латунный химически стойкий кран с одним выходом, покрытый полимерно-порошковой краской Столешница выполнена из химстойкой панели HPL Fundermax12 мм для лабораторных поверхностей.
Металлические детали выполнены из овального профиля толщиной 1,5 мм. Металлические детали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Размеры стола составляют 1400х600х750 мм.</t>
  </si>
  <si>
    <t>522-101-1214-0009</t>
  </si>
  <si>
    <t>Стол 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</si>
  <si>
    <t>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На столешнице должен быть вырез диаметром 140мм, для установки раковины полипропиленовой.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Под столешницей должен располагаться короб для скрытия коммуникаций размером 200х330 мм, с глухой дверкой и врезным замком.
Должны быть регулируемые металлические подпятники для компенсации
неровностей пола.</t>
  </si>
  <si>
    <t>522-101-1215</t>
  </si>
  <si>
    <t>Стол демонстрационный без раковины</t>
  </si>
  <si>
    <t>522-101-1215-0001</t>
  </si>
  <si>
    <t>Стол демонстрационный без раковины, составной из двух столов однотумбовых, с бортом, розеткой. Столешница, тумбы и стенки ЛДСП 16мм. Размер 2400х750х900 мм.</t>
  </si>
  <si>
    <t>522-101-1215-0002</t>
  </si>
  <si>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</si>
  <si>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</si>
  <si>
    <t>522-101-1215-0003</t>
  </si>
  <si>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</si>
  <si>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</si>
  <si>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t>522-101-1215-0004</t>
  </si>
  <si>
    <t>Стол демонстрационный лабораторный без раковины со встроенными тумбами и двумя розетками. Столешница из химического стойкого пластика 16мм, основание металлокаркас, размер 1800х750х900мм.</t>
  </si>
  <si>
    <t>Стол демонстрационный для кабинета физики 1800*750*900мм.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химически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в столе установлены 2 розетки на боковой панели</t>
  </si>
  <si>
    <t>522-101-1215-0005</t>
  </si>
  <si>
    <t>Стол 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</si>
  <si>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t>Рабочая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Цельсию. На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Х/К толщина 0,8 мм окрашенные порошковым методом эпоксиполиэфирной краской пепельного цвета RAL 7035. Сервисные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RAL
7035</t>
  </si>
  <si>
    <t>522-101-1215-0008</t>
  </si>
  <si>
    <t>Стол демонстрационный размеры 1600х750х910 мм, столешница из ЛДСП толщиной 22 мм</t>
  </si>
  <si>
    <t>Высота верхнего края столешницы над уровнем пола должна быть не менее 900 мм. Материал столешницы должен быть ЛДСП толщиной не менее 22 мм, покрытая пластиком толщиной не менее 0,5 мм. Кромка должна быть из ПВХ не менее 2 мм. Должны быть две боковые опоры, глухая передняя панель. Внутренние полки должны быть изготовлены из ЛДСП толщиной не менее 16 мм. Дверцы должны быть изготовлены из цветного ЛДСП толщиной не менее 16 мм. Внутри стола должна быть полка и вертикальная перегородка на всю высоту. Внутреннее пространство стола должно быть поделено на 4 отдела.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</si>
  <si>
    <t>522-101-1215-0009</t>
  </si>
  <si>
    <t>Стол демонстрационный мобильный на колесах, размеры 1500х640х900 мм, столешница ЛДСП 22мм, кромка ПВХ</t>
  </si>
  <si>
    <t>Высота верхнего края столешницы над уровнем пола должна быть 900 мм. Материал столешницы ЛДСП должен быть толщиной не менее 22 мм, покрытая пластиком толщиной не менее 0,5 мм. Кромка должна быть из ПВХ не менее 2 мм. Каркас стола должен состоять из двух боковых опор, изготовленных из труб квадратного сечения 40х40, толщиной не менее 1,2мм,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Дверцы должны быть изготовлены из цветного ЛДСП толщиной не менее 16 мм. Фасады должны быть снабжены металлическими ручками и петлями с быстросъемным механизмом, и функцией «softclose».</t>
  </si>
  <si>
    <t>522-101-1216</t>
  </si>
  <si>
    <t>Стол лабораторный</t>
  </si>
  <si>
    <t>522-101-1216-0001</t>
  </si>
  <si>
    <t>Стол лабораторный, столешница постформинг 28мм, основание металлокаркас, ящики, размер 1000х600х850мм (постформиг) СЛ-2</t>
  </si>
  <si>
    <t>522-101-1216-0002</t>
  </si>
  <si>
    <t>Стол лабораторный, столешница постформинг 28мм, основание металлокаркас, декоративные панели, ящик, размер 1500х600х850мм (постформинг)
СЛ-3 (П)</t>
  </si>
  <si>
    <t>Стол лабораторный, столешница постформинг 28мм, основание металлокаркас, декоративные панели, ящик, размер 1500х600х850мм (постформинг) СЛ-3 (П)</t>
  </si>
  <si>
    <t>522-101-1216-0003</t>
  </si>
  <si>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</si>
  <si>
    <t>522-101-1216-0004</t>
  </si>
  <si>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</si>
  <si>
    <t>522-101-1216-0005</t>
  </si>
  <si>
    <t>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</si>
  <si>
    <t>Стол учителя 1200*750*750 выполнен из металлического корпуса, со встроенной тумбой.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к столу подведены две розетки.</t>
  </si>
  <si>
    <t>522-101-1216-0007</t>
  </si>
  <si>
    <t>Стол лабораторный двухсторонний для STEM лабораторий, размеры 1500х1300х960 мм, две столешницы с надстройкой, ЛДСП 22 мм, основание металлокаркас</t>
  </si>
  <si>
    <t>Лабораторный стол состоит из двух одинаковых столов, соединяющихся верхней надстройкой. Высота верхнего края столешницы над уровнем пола должна быть 760 мм. Материал столешницы должен быть ЛДСП толщиной 22 мм. Торцы столешницы должны быть отделаны кромкой ПВХ толщиной не менее 2мм. Столешница должна крепиться к металлокаркасу саморезами методом скрытого соединения. Металлический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Конструкция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50х25х1,2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должна представлять из себя две боковые опоры стянутых между собой двумя ребрами жесткости. Крышка надстройки имеет размер 1500х200.
Надстройка крепится к столам с помощью конфирматов.</t>
  </si>
  <si>
    <t>522-101-1216-0008</t>
  </si>
  <si>
    <t>Стол ученический двухместный лабораторный, размеры столешницы 1200х600 мм, ЛДСП 22 мм, кромка ПВХ, основание металлокаркас</t>
  </si>
  <si>
    <t>Высота верхнего края столешницы над полом 760 мм. 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Должны быть регулируемые металлические
подпятники для компенсации неровностей пола.</t>
  </si>
  <si>
    <t>522-101-1217</t>
  </si>
  <si>
    <t>Стол письменный</t>
  </si>
  <si>
    <t>522-101-1217-0001</t>
  </si>
  <si>
    <t>Стол письменый open space 1250х650х750 мм, с эффектом «парящей» столешницы из ЛДСП 22 мм, на сварных П-образных опорах, труба сечением 60х30 мм</t>
  </si>
  <si>
    <t>522-101-1217-0002</t>
  </si>
  <si>
    <t>Стол письменый open space 1250х750х1320 мм, с эффектом «парящей» столешницы из ЛДСП 22 мм, на сварных П-образных опорах, труба сечением 60х30 мм</t>
  </si>
  <si>
    <t>522-101-1217-0003</t>
  </si>
  <si>
    <t>Стол письменый open space 1350х750х1320 мм, с эффектом «парящей» столешницы из ЛДСП 22 мм, на сварных П-образных опорах, труба сечением 60х30 мм</t>
  </si>
  <si>
    <t>522-101-1217-0004</t>
  </si>
  <si>
    <t>Стол письменый open space 1250х750х650 мм, с эффектом «парящей» столешницы из ЛДСП 22 мм, на сварных П-образных опорах, труба сечением 60х30 мм</t>
  </si>
  <si>
    <t>522-101-1217-0005</t>
  </si>
  <si>
    <t>Стол письменый open space 1350х750х650 мм, с эффектом «парящей» столешницы из ЛДСП 22 мм, на сварных П-образных опорах, труба сечением 60х30 мм</t>
  </si>
  <si>
    <t>522-101-1217-0006</t>
  </si>
  <si>
    <t>Стол письменый open space 1600х750х650 мм, с эффектом «парящей» столешницы из ЛДСП 22 мм, на сварных П-образных опорах, труба сечением 60х30 мм</t>
  </si>
  <si>
    <t>522-101-1217-0007</t>
  </si>
  <si>
    <t>Стол письменый open space 1250х750х650 мм,со столешницей из ЛДСП 22мм и царгой не менее 18мм, с эффектом «парящей» столешницы на сварных П-образных опорах, труба сечением 40х40 мм.</t>
  </si>
  <si>
    <t>522-101-1217-0008</t>
  </si>
  <si>
    <t>Стол письменый open space 1350х750х650 мм, со столешницей из ЛДСП 22мм и царгой не менее 18мм, с эффектом «парящей» столешницы на сварных П-образных опорах, труба сечением 40х40 мм.</t>
  </si>
  <si>
    <t>522-101-1217-0009</t>
  </si>
  <si>
    <t>Стол письменый open space 1600х750х650 мм, с эффектом «парящей» столешницы из ЛДСП 22 мм, на сварных П-образных опорах, труба сечением 40х40 мм</t>
  </si>
  <si>
    <t>522-101-1217-0010</t>
  </si>
  <si>
    <t>Стол письменый open space 900х750х650 мм, с эффектом «парящей» столешницы из ЛДСП 22 мм, на сварных П-образных опорах, труба сечением 40х40 мм</t>
  </si>
  <si>
    <t>522-101-1217-0011</t>
  </si>
  <si>
    <t>Стол письменый open space 1000х750х650 мм, с эффектом «парящей» столешницы из ЛДСП 22 мм, на сварных П-образных опорах, труба сечением 40х40 мм</t>
  </si>
  <si>
    <t>522-101-1217-0012</t>
  </si>
  <si>
    <t>Стол письменый open space 1100х750х650 мм, с эффектом «парящей» столешницы из ЛДСП 22 мм, на сварных П-образных опорах, труба сечением 40х40 мм</t>
  </si>
  <si>
    <t>522-101-1217-0013</t>
  </si>
  <si>
    <t>Стол письменый open space 1250х750х650 мм, с эффектом «парящей» столешницы из ЛДСП 22 мм, на сварных П-образных опорах, труба сечением 40х40 мм</t>
  </si>
  <si>
    <t>522-101-1217-0014</t>
  </si>
  <si>
    <t>Стол письменый open space 1350х750х650 мм, с эффектом «парящей» столешницы из ЛДСП 22 мм, на сварных П-образных опорах, труба сечением 40х40 мм</t>
  </si>
  <si>
    <t>522-101-1217-0015</t>
  </si>
  <si>
    <t>Стол письменый open space 1250х750х1320 мм,  с эффектом «парящей» столешницы из ЛДСП 22 мм, на сварных П-образных опорах, труба сечением 40х40 мм</t>
  </si>
  <si>
    <t>522-101-1217-0016</t>
  </si>
  <si>
    <t>Стол письменый open space 1350х750х1320 мм,с эффектом «парящей» столешницы из ЛДСП 22 мм, на сварных П-образных опорах труба сечением 40х40 мм.</t>
  </si>
  <si>
    <t>522-101-1217-0017</t>
  </si>
  <si>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60х15 мм</t>
  </si>
  <si>
    <t>522-101-1217-0018</t>
  </si>
  <si>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60х15 мм</t>
  </si>
  <si>
    <t>522-101-1217-0019</t>
  </si>
  <si>
    <t>Стол письменный 1200х600х750мм. Столешница ЛДСП 22мм, царга ЛДСП 16мм, боковые опоры из профильной трубы сечением 40х20мм</t>
  </si>
  <si>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</si>
  <si>
    <t>522-101-1217-0020</t>
  </si>
  <si>
    <t>Стол письменный 1350х600х750мм. Столешница ЛДСП 22мм, царга ЛДСП 16мм, боковые опоры из профильной трубы сечением 40х20мм</t>
  </si>
  <si>
    <t>522-101-1217-0021</t>
  </si>
  <si>
    <t>Стол письменый open space 1250х750х1320 мм, со столешницей и царгой из ЛДСП 22мм, с эффектом «парящей» столешницы, на сварных О-образных опорах со вставками из ЛДСП, труба сечением 60х15 мм</t>
  </si>
  <si>
    <t>522-101-1217-0022</t>
  </si>
  <si>
    <t>Стол письменый open space 1350х750х1320 мм, со столешницей и царгой из ЛДСП 22мм, с эффектом «парящей» столешницы, на сварных О-образных опорах со вставками из ЛДСП, труба сечением 60х15 мм.</t>
  </si>
  <si>
    <t>522-101-1217-0023</t>
  </si>
  <si>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60х30 мм</t>
  </si>
  <si>
    <t>522-101-1217-0024</t>
  </si>
  <si>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60х30 мм</t>
  </si>
  <si>
    <t>522-101-1217-0025</t>
  </si>
  <si>
    <t>Стол письменый open space 1600х750х650 мм, со столешницей и царгой из ЛДСП 22мм, с эффектом «парящей» столешницы, на сварных О-образных опорах со вставками из ЛДСП, труба сечением 60х30 мм</t>
  </si>
  <si>
    <t>522-101-1217-0028</t>
  </si>
  <si>
    <t>Стол письменый open space 1600х750х1320 мм, с эффектом «парящей» столешницы из ЛДСП 22 мм, на сварных П-образных опорах, труба сечением 40х40 мм</t>
  </si>
  <si>
    <t>522-101-1217-0029</t>
  </si>
  <si>
    <t>Стол письменный 1500х600х750 мм</t>
  </si>
  <si>
    <t>Стол письменный 1500х600х750 мм. ЛДСП 16мм.</t>
  </si>
  <si>
    <t>522-101-1217-0030</t>
  </si>
  <si>
    <t>Стол письменный 1200х600х750 мм,
материал ЛДСП 16мм, кромка ПВХ</t>
  </si>
  <si>
    <t>Материал корпуса и столешницы из ЛДСП 16мм, кромка ПВХ. Для предотвращения воздействия воды и влаги на стол предусмотрены пластиковые подпятники.</t>
  </si>
  <si>
    <t>522-101-1217-0031</t>
  </si>
  <si>
    <t>Стол письменный 1000х600х750 мм</t>
  </si>
  <si>
    <t>Стол письменный 1000х600х750 мм. ЛДСП 16мм.</t>
  </si>
  <si>
    <t>522-101-1217-0032</t>
  </si>
  <si>
    <t>Стол письменный 1000х500х750 мм</t>
  </si>
  <si>
    <t>Стол письменный 1000х500х750 мм. ЛДСП 16мм.</t>
  </si>
  <si>
    <t>522-101-1217-0033</t>
  </si>
  <si>
    <t>Стол офисный складной типа Suno
1200х600мм</t>
  </si>
  <si>
    <t>Стол Офисный Люкс модель складной Office Table-Orange: Материал холоднокатаная сталь, электростатическая окраска. Верхняя доска Меламин МДФ 22мм, стандарт Е1 ОЭМ или ОДМ. Боковое основание: холоднокатаная сталь толщиной 1,5 мм, электростатическая окраска.
Колонна и балка: холоднокатаная сталь толщиной 1,5 мм, электростатическая окраска. Ролик: нейлоновый ролик
Размер: высота 750мм, глубина 600мм, ширина 1200мм</t>
  </si>
  <si>
    <t>522-101-1217-0034</t>
  </si>
  <si>
    <t>Стол письменный 1200х600х750 мм. Материал ЛДСП толщиной 16мм, столешница 32 мм</t>
  </si>
  <si>
    <t>Стол письменный 1200х600х750 мм. Материал ЛДСП толщиной 16мм, столешница 32 мм. Кромки деталей облицованы полимерным кромочным материалам (ПВХ), толщиной 1,5 мм. Фурнитура: конфирмат, стяжка BLUM</t>
  </si>
  <si>
    <t>522-101-1217-0035</t>
  </si>
  <si>
    <t>Стол письменный 1200х700х750мм</t>
  </si>
  <si>
    <t>522-101-1217-0036</t>
  </si>
  <si>
    <t>Стол 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</si>
  <si>
    <t>Стол письменый open space 1250х750х1320 мм, труба сечением 60х30 мм Стол со столешницей и царгой из ЛДСП толщина 16.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</si>
  <si>
    <t>522-101-1217-0037</t>
  </si>
  <si>
    <t>Стол письменый open space 1250х650х750 мм, с эффектом «парящей» столешницы из ЛДСП 16 мм, на сварных
О-образныхопорах, труба сечением 60х20х2 мм</t>
  </si>
  <si>
    <t>Стол письменый open space 1250х650х750 мм, труба сечением 60х30 мм. Стол со столешницей и царгой из ЛДСП 16мм.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</si>
  <si>
    <t>522-101-1217-0038</t>
  </si>
  <si>
    <t>Стол рабочий, размеры 1200х600х750 мм, столешница из ЛДСП толщиной 32 мм, металлический цельносварной каркас</t>
  </si>
  <si>
    <t>Столешница ЛДСП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ПК 220х560 мм. Расположенные на высоте 120 мм. В опорах установлены регулируемые опоры для избежания повреждения полового покрытия.</t>
  </si>
  <si>
    <t>522-101-1217-0039</t>
  </si>
  <si>
    <t>Стол рабочий с приставной тумбой, размеры 1950х1500х760 мм, столешница из ЛДСП 22 мм, кромка ПВХ, каркас из профильной трубы</t>
  </si>
  <si>
    <t>Стол с приставной тумбой справа или слева по согласованию. Габаритные размеры столешницы 1850х700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 мм.
Столешница крепится к металлокаркасу саморезами методом скрытого соединения. Стол состоит из двух боковых л-образных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1500х500х550 мм. В тумбе имеется 3 выдвижных ящика, две ниши с глухими дверками за которыми располагается полка и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</si>
  <si>
    <t>522-101-1217-0040</t>
  </si>
  <si>
    <t>Стол с надстройкой, столешница из ЛДСП 22 мм, кромка ПВХ, размеры 1200х1400х1134 мм</t>
  </si>
  <si>
    <t>Высота верхнего края столешницы должна быть над полом не менее 760 мм. Стол состоит из двух столов, соединенных сверху надстройкой.
Надстройка имеет нишу и глухую панель со стороны сидящего. Глубина надстройки не менее 350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 должны быть пластиковые подпятники.</t>
  </si>
  <si>
    <t>522-101-1217-0041</t>
  </si>
  <si>
    <t>Стол рабочий, столешница из ЛДСП 22 мм, кромка ПВХ, металлический каркас, размеры 1400х1000х760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</si>
  <si>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t>
  </si>
  <si>
    <t>522-101-1217-0042</t>
  </si>
  <si>
    <t>Стол рабочий с тумбой, столешница из ЛДСП 22 мм, кромка ПВХ, металлический каркас, размеры 1400х700х760 мм</t>
  </si>
  <si>
    <t>Стол с тумбой справа или слева по согласованию. Габаритные размеры столешницы 1400х700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500х700х636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пластиковые подпятники.</t>
  </si>
  <si>
    <t>522-101-1217-0043</t>
  </si>
  <si>
    <t>Стол с двумя мобильными тумбами, тремя опорами, бенч система, столешница из ЛДСП 22 мм, кромка ПВХ, каркас металлический, размеры 2750х700х1160 мм</t>
  </si>
  <si>
    <t>Стол состоит из двух мобильных тумб, трех опор, столешницы и бенч системы. Столешница состоит из двух частей, каждая габаритными размерами1375х700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трех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 Бенч система высотой не менее 400мм, и изготавливается из ЛДСП 16мм и стекла толщиной не менее 4мм.</t>
  </si>
  <si>
    <t>522-101-1217-0044</t>
  </si>
  <si>
    <t>Стол рабочий с мобильной тумбой, столешница из ЛДСП 22 мм, кромка ПВХ, металлический каркас, размеры 1400х700х760 мм</t>
  </si>
  <si>
    <t>Стол состоит из мобильной тумбы, двух опор и столешницы.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боковыхл-образных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t>
  </si>
  <si>
    <t>522-101-1217-0045</t>
  </si>
  <si>
    <t>Стол универсальный, столешница из ЛДСП 22 мм, кромка ПВХ, металлический каркас, размеры 1400х700х760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</si>
  <si>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t>
  </si>
  <si>
    <t>522-101-1217-0046</t>
  </si>
  <si>
    <t>Стол с бенч системой, столешница из ЛДСП 22 мм, кромка ПВХ, металлический каркас, размеры 4100х1400х1160 мм</t>
  </si>
  <si>
    <t>Стол состоит из четырех опор, шести столешниц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четырех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Бенч система высотой не менее 400мм, и изготавливается из ЛДСП 16мм и
стекла толщиной не менее 4мм.</t>
  </si>
  <si>
    <t>522-101-1217-0047</t>
  </si>
  <si>
    <t>Стол с бенч системой, мобильной тумбой, столешница из ЛДСП 22 мм, кромка ПВХ, размеры 1400х700х1160 мм</t>
  </si>
  <si>
    <t>Стол состоит из мобильной тумбы, двух опор, столешницы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опоры.Бенч система высотой не менее 400мм, и изготавливается из ЛДСП 16мм и
стекла толщиной не менее 4мм.</t>
  </si>
  <si>
    <t>522-101-1217-0048</t>
  </si>
  <si>
    <t>Стол с бенч системой, двумя тумбами, двумя столешницами, соединяющей тумбой, столешница из ЛДСП 22 мм, кромка ПВХ, размеры 3180х680х1150 мм</t>
  </si>
  <si>
    <t>Стол состоит из двух тумб, металлического каркаса, столешницы и соединяющей тумбы. Каждая столешница габаритными размерами 1350х680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укороченной опоры, которая опирается на тумбу,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500х675х586 мм. В тумбе имеется 3 выдвижных ящика и открытая ниша для системного блока. Шариковые направляющие с функцией pushtoopen. Соединяющая тумба габаритными размерами 180х680х1150 мм. В ней имеются отверстие с заглушкой кабель-канал для соединительных проводов. К тумбе крепятся металлокаркас стола.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 с ящиками
должны быть регулируемые опоры, для компенсации неровностей пола.</t>
  </si>
  <si>
    <t>522-101-1217-0049</t>
  </si>
  <si>
    <t>Стол с брифинг приставкой, двумя тумбами, столешница из ЛДСП 22 мм, кромка ПВХ, размеры 2100х1500х760 мм</t>
  </si>
  <si>
    <t>Стол состоит из двух тумб, металлического каркаса, столешницы и брифинг стола. Столешница габаритными размерами1600х700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боковых укороченных опор, которые опирается на тумбы,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Тумбы с габаритными размерами: 500х700х636 мм. В одной тумбе имеется 3 выдвижных ящика, а вторая закрыта глухой дверцей, за которой находится полка. Ручки должны быть металлические, шариковые направляющие и петли с функцией Soft-Close.Для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Брифинг стол габаритными размерами 800х600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которая изготовлена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t>
  </si>
  <si>
    <t>522-101-1217-0050</t>
  </si>
  <si>
    <t>Стол с перфорацией, приставной тумбой, столешница из ЛДСП 22 мм, кромка ПВХ, размеры 1600х1400х760 мм</t>
  </si>
  <si>
    <t>Стол с приставной тумбой справа или слева по согласованию. Габаритные размеры столешницы 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1400х500х550 мм. В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</si>
  <si>
    <t>522-101-1217-0051</t>
  </si>
  <si>
    <t>Стол с перфорацией,  столешница из ЛДСП 22 мм, кромка ПВХ, металлический каркас, размеры 1400х700х760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</si>
  <si>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каждой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t>
  </si>
  <si>
    <t>522-101-1217-0052</t>
  </si>
  <si>
    <t>Стол с тумбой, столешница из ЛДСП 22мм, размеры 1600х1400х760 мм</t>
  </si>
  <si>
    <t>Столешница – ЛДСП не менее 22 мм. В левой части основного стола должна быть тумба. Размер тумбы должен быть не менее: 1400х500х630 мм. В тумбе имеется 3 выдвижных ящика, одна ниши с глухой дверкой, за которой располагается полка и одна открытая ниша с 4 ячейками. Ручки должны быть металлические, шариковые направляющие и петли с функцией Soft-Close. Лицевая сторона стола должна быть закрыта царгой. В углу столешницы предусмотрено отверстие с заглушкой кабель-канал для соединительных проводов.Для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t>
  </si>
  <si>
    <t>522-101-1217-0053</t>
  </si>
  <si>
    <t>Стол ведущего телестудии на колесиках, размеры 1800х600х780 мм, столешница из ЛДСП 22 мм, две боковые опоры ЛДСП 32 мм</t>
  </si>
  <si>
    <t>Материал ЛДСП 16 мм и 32 мм, кромка ПВХ 0,4 мм и 2 мм. Столешница выполнена из ЛДСП 22 мм. Стол имеет две боковые опоры толщиной 32 мм, выполнены комбинированным цветом. Боковые опоры снабжены колесами, которые крепятся на металлические пластины. Царга также выполнена в двух цветовых решениях и имеет трапециевидный элемент 600х118х650, который монтируется с наружной части царги.</t>
  </si>
  <si>
    <t>522-101-1217-0054</t>
  </si>
  <si>
    <t>Стол ведущего телестудии с планками, размер 1800х600х780мм, столешница из ЛДСП 22 мм, две боковые опоры ЛДСП 32 мм</t>
  </si>
  <si>
    <t>Размеры столешницы должны быть, не менее 1800х600 мм. Высота верхнего края столешницы должна быть над полом не менее 780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одну из боковых опор толщиной 32 мм. Лицевая сторона стола должна быть закрыта планками шириной не менее 50мм, а также панелью усилителем и панелью со скошенным углом. Данные панели имеют комбинированный цвет. Столешница с лицевой стороны закрыта фальш-панелью с переходом на одну из боковин, которая внешне увеличивает толщину столешницы и боковой опоры.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</si>
  <si>
    <t>522-101-1218</t>
  </si>
  <si>
    <t>Стол детский</t>
  </si>
  <si>
    <t>522-101-1218-0001</t>
  </si>
  <si>
    <t>Стол детский «Квадратик» М 700х700хН580 (каркас-мет) (3рг)</t>
  </si>
  <si>
    <t>Столешница из  ДСП 16 мм, все углы закруглены. Основание металлокаркас. Размеры: 700х700х Н580мм</t>
  </si>
  <si>
    <t>522-101-1218-0002</t>
  </si>
  <si>
    <t>Стол детский «Квадратик», регулируемый по высоте 700х700х520-640 (2-4рг)</t>
  </si>
  <si>
    <t>Столешница из  ЛДСП 16 мм, все углы закруглены. Стол игровой регулируемый по высоте. Размеры: 700х700хН520-640мм</t>
  </si>
  <si>
    <t>522-101-1218-0003</t>
  </si>
  <si>
    <t>Стол детский размерами 500х700х520 мм</t>
  </si>
  <si>
    <t>Столешница ДСП 16мм. Металлический каркас. Размер 600*800*620мм</t>
  </si>
  <si>
    <t>522-101-1218-0004</t>
  </si>
  <si>
    <t>Стол детский размерами 600х800х620 мм</t>
  </si>
  <si>
    <t>Столешница ДСП 16мм. Металлический каркас. Размер 500*700*520мм</t>
  </si>
  <si>
    <t>522-101-1218-0005</t>
  </si>
  <si>
    <t>Стол детский размерами 750х520 мм</t>
  </si>
  <si>
    <t>Столешница ДСП 16мм. Металлический каркас. Размер 750*520мм</t>
  </si>
  <si>
    <t>522-101-1219</t>
  </si>
  <si>
    <t>Стул полумягкий</t>
  </si>
  <si>
    <t>522-101-1219-0001</t>
  </si>
  <si>
    <t>Основание металлокаркас. Сидение и спинка стула сделаны из фанеры, облицованы мебельной тканью – гобелен</t>
  </si>
  <si>
    <t>522-101-1219-0002</t>
  </si>
  <si>
    <t>Стул полумягкий (Винилискожа)</t>
  </si>
  <si>
    <t>Основание металлокаркас. Сидение и спинка стула сделаны из фанеры, облицованы мебельной тканью – винилискожа</t>
  </si>
  <si>
    <t>522-101-1219-0003</t>
  </si>
  <si>
    <t>Стул полумягкий (ткань меб)</t>
  </si>
  <si>
    <t>Основание металлокаркас. Сидение и спинка стула сделаны из фанеры, облицованы мебельной тканью</t>
  </si>
  <si>
    <t>522-101-1219-0004</t>
  </si>
  <si>
    <t>Стул полумягкий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</si>
  <si>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t>Стул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</si>
  <si>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t>522-101-1219-0005</t>
  </si>
  <si>
    <t>Стул полумягкий. Сиденье и спинка из монолитного пластика, мягкая накидка для сиденья съёмное, металлический каркас из круглой трубы. Размеры 550*835*560 мм</t>
  </si>
  <si>
    <t>Стул полумягкий. Сиденье и спинка из монолитного пластика, мягкая накидка для сиденья съёмное, металлический каркас из круглой трубы.
Размеры 550*835*560 мм</t>
  </si>
  <si>
    <t>522-101-1219-0006</t>
  </si>
  <si>
    <t>Стул полумягкий. Металлический каркас. Размер: 400х465х800мм</t>
  </si>
  <si>
    <t>Металлический каркас. Материал обивки и цвет по согласованию с заказчиком.</t>
  </si>
  <si>
    <t>522-101-1219-0007</t>
  </si>
  <si>
    <t>Стул полумягкий. Каркас металлический. Размер: 460х520х830мм</t>
  </si>
  <si>
    <t>Каркас металлический, цвет черный.  Материал обивки и цвет по согласованию с заказчиком.</t>
  </si>
  <si>
    <t>522-101-1219-0008</t>
  </si>
  <si>
    <t>Стул полумягкий. Каркас металлический крашенный. Размер: 550x600x830мм</t>
  </si>
  <si>
    <t>Каркас металлический крашенный.  Материал обивки и цвет по согласованию с заказчиком.</t>
  </si>
  <si>
    <t>522-101-1219-0009</t>
  </si>
  <si>
    <t>Стул полумягкий. Хромированный каркас. Размер: 550x600x830мм</t>
  </si>
  <si>
    <t>Хромированный каркас. Материал обивки и цвет по согласованию с заказчиком.</t>
  </si>
  <si>
    <t>522-101-1219-0010</t>
  </si>
  <si>
    <t>Стул полумягкий. Материал обивки ткань/эко кожа. Металлический каркас, окрашен порошковой полимерной краской. Размер:410х560х940мм</t>
  </si>
  <si>
    <t>Цвет по согласованию с заказчиком. Допустимая нагрузка до 180 кг.</t>
  </si>
  <si>
    <t>522-101-1219-0011</t>
  </si>
  <si>
    <t>Стул полумягкий. Хромированный каркас, без подлокотников. Материал обивки: экокожа. Размер: 490x500x840мм</t>
  </si>
  <si>
    <t>522-101-1219-0012</t>
  </si>
  <si>
    <t>Стул полумягкий. Металлический каркас черный. Материал обивки- эко кожа. Размер: 510x510x735мм</t>
  </si>
  <si>
    <t>522-101-1219-0013</t>
  </si>
  <si>
    <t>Стул полумягкий. Металлический каркас, хром. Материал обивки- эко кожа. Размер: 510x510x735мм</t>
  </si>
  <si>
    <t>522-101-1219-0014</t>
  </si>
  <si>
    <t>Стул полумягкий. Полозья металлические разборные, крашеные черные. Подлокотники пластиковые.  Материал обивки: спинка – сетка, сиденье – ткань. Размер: 475х395х925мм</t>
  </si>
  <si>
    <t>Ограничение по весу: 120 кг.
Материал обивки: Спинка – сетка, сиденье – ткань</t>
  </si>
  <si>
    <t>522-101-1219-0015</t>
  </si>
  <si>
    <t>Стул полумягкий. Хромированный каркас. Металлические подлокотники с накладками из эко кожи/дерева</t>
  </si>
  <si>
    <t>Хромированный каркас. Устойчивая металлическая рама. Металлические подлокотники с накладками из эко кожи/дерево. Материал обивки и цвет по согласованию с заказчиком.</t>
  </si>
  <si>
    <t>522-101-1219-0016</t>
  </si>
  <si>
    <t>Стул полумягкий. Металлический каркас, цвет черный. Металлические подлокотники с накладками из дерева/эко.кожи. Размер: 600x560x860мм</t>
  </si>
  <si>
    <t>Металлический каркас, цвет черный. Устойчивая металлическая рама. Металлические подлокотники с накладками из дерева/эко.кожи. Материал обивки и цвет по согласованию с заказчиком.</t>
  </si>
  <si>
    <t>522-101-1219-0017</t>
  </si>
  <si>
    <t>Стул полумягкий. Материал обивки эко.кожа. Каркас металлический, подлокотники с пластиковыми накладками, полозья черные. Размер: 510х475х870мм</t>
  </si>
  <si>
    <t>Каркас металлический. Пластиковые накладки на подлокотники. Цвет полозьев: черный. Ограничение по весу: 120 кг. Материал обивки: эко.кожа</t>
  </si>
  <si>
    <t>522-101-1219-0018</t>
  </si>
  <si>
    <t>Стул полумягкий. Материал обивки: ткань/эко кожа. Металлические ножки. Размер: 470х420х890мм</t>
  </si>
  <si>
    <t>Металлические ножки с пластиковыми заглушками. Материал обивки: ткань/эко кожа, цвет по согласованию с заказчиком. Ограничение по весу: 120 кг</t>
  </si>
  <si>
    <t>522-101-1219-0019</t>
  </si>
  <si>
    <t>Стул полумягкий. Хромированный каркас, металлические подлокотники с  накладками из эко кожи. Материал обивки: экокожа.
Размер: 620х680х1020мм</t>
  </si>
  <si>
    <t>Хромированный каркас, металлические подлокотники с  накладками из эко кожи. Материал обивки: экокожа</t>
  </si>
  <si>
    <t>522-101-1219-0020</t>
  </si>
  <si>
    <t>Стул полумягкий. Сиденье и спинка из литого полипропиленового пластика, каркас из металлического прута.</t>
  </si>
  <si>
    <t>Стул эргономичный штабилируемый. Сиденье и спинка из литого крепкого и износостойкого  полипропиленового пластика. Металлокаркас выполнен из металического прута. Изделия окрашены методом электростатического порошкового напыления. Для предотвращения воздействия воды и влаги на ножки стула предусмотрены пластиковые подпятники.</t>
  </si>
  <si>
    <t>522-101-1219-0021</t>
  </si>
  <si>
    <t>Стул полумягкий с подлокотниками. Спинка из сетчатой ткани. Сиденье из ткани или искусственной кожи. Металлические
U-образные ножки.</t>
  </si>
  <si>
    <t>Спинка из сетчатой ткани. Сиденье из ткани или искусственной кожи.
Металлические U-образные ножки. Механизм спинки и опора подлокотника фиксированная. Подлокотники металлические с пластиковыми вставками.</t>
  </si>
  <si>
    <t>522-101-1219-0022</t>
  </si>
  <si>
    <t>Стул полумягкий. Материал основания и спинки пластик, ножки металлические. Размеры 710х570х500 мм</t>
  </si>
  <si>
    <t>Размеры: 710х570х500мм. Стул с пластиковым основанием и порошковым покрытием</t>
  </si>
  <si>
    <t>522-101-1219-0023</t>
  </si>
  <si>
    <t>Стул полумягкий на колесах с пюпитром. Размеры 675*677*710 мм</t>
  </si>
  <si>
    <t>Материал основания: металлическое. Материал сиденья: формованная пена высокой плотности. Цвета: зеленый, оранжевый, синий, черный, серый с пюпитром.</t>
  </si>
  <si>
    <t>522-101-1219-0024</t>
  </si>
  <si>
    <t>Стул полумягкий. Материал сиденья и спинки ткань, ножки хромированные</t>
  </si>
  <si>
    <t>Размеры: 730*400*400 мм.  Цвет по согласованию</t>
  </si>
  <si>
    <t>522-101-1219-0025</t>
  </si>
  <si>
    <t>Стул полумягкий, материал кожзам. Каркас металлический. Размер сиденья: 400х380мм. Размер спинки: 380х390мм</t>
  </si>
  <si>
    <t>Каркас стула: стальная труба D22, толщина стенки 1,2 мм. Покрытие - порошковая полиэфирная краска. Сидение, спинка: фанерные заготовки. Наполнитель: мебельный поролон, плотностью 25/36. Высота от пола до сидения: 460 мм. Высота стула: 860 мм.</t>
  </si>
  <si>
    <t>522-101-1219-0026</t>
  </si>
  <si>
    <t>Стул полумягкий типа Изо. Каркас металлический цветной. Размер: 435х440х840мм</t>
  </si>
  <si>
    <t>Каркас металлический цветной. Материал обивки и цвет по согласованию с заказчиком.</t>
  </si>
  <si>
    <t>522-101-1219-0027</t>
  </si>
  <si>
    <t>Стул полумягкий типа СМ-7. Каркас металлический цветной. Размер: 460х350х820мм</t>
  </si>
  <si>
    <t>Высота от пола до сиденья 470мм. Каркас металлический цветной.
Заглушки стандартные заглушки</t>
  </si>
  <si>
    <t>522-101-1219-0028</t>
  </si>
  <si>
    <t>Стул полумягкий типа СМ-А. Каркас металлический цветной. Обивка гобелен. Размер: 440х410х970мм</t>
  </si>
  <si>
    <t>Высота от пола до сиденья 460мм. Каркас металлический цветной.</t>
  </si>
  <si>
    <t>522-101-1219-0029</t>
  </si>
  <si>
    <t>Стул полумягкий типа Нино. Каркас металлический цветной. Обивка экокожа. Подлокотники с деревянными накладками. Размер: 420х380х850мм</t>
  </si>
  <si>
    <t>Каркас металлический цветной. Подлокотники деревянные "Винтаж"</t>
  </si>
  <si>
    <t>522-101-1219-0030</t>
  </si>
  <si>
    <t>Стул полумягкий типа Реймс. Каркас металлический цветной. Обивка экокожа. Размер: 520х500х880мм</t>
  </si>
  <si>
    <t>522-101-1219-0031</t>
  </si>
  <si>
    <t>Стул полумягкий типа Пиаф. Каркас металлический цветной. Обивка сетка. Размер: 470х450х840мм</t>
  </si>
  <si>
    <t>Высота от пола до сиденья 470мм. Каркас металлический цветной</t>
  </si>
  <si>
    <t>522-101-1219-0033</t>
  </si>
  <si>
    <t>Стул на металлических круглях ногах, сиденье выполнено из полипропилена, размеры 460х500х780 мм</t>
  </si>
  <si>
    <t>Стул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мм с помощью полуавтоматической сварки.</t>
  </si>
  <si>
    <t>522-101-1219-0034</t>
  </si>
  <si>
    <t>Стул на металлических полозьях, сиденье выполнено из полипропилена, размеры 520х530х780 мм</t>
  </si>
  <si>
    <t>Стул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с помощью полуавтоматической сварки.</t>
  </si>
  <si>
    <t>522-101-1220</t>
  </si>
  <si>
    <t>Стул детский</t>
  </si>
  <si>
    <t>522-101-1220-0001</t>
  </si>
  <si>
    <t>Стул детский марки Д-13</t>
  </si>
  <si>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</si>
  <si>
    <t>522-101-1220-0002</t>
  </si>
  <si>
    <t>Стул детский марки Д-21</t>
  </si>
  <si>
    <t>522-101-1220-0003</t>
  </si>
  <si>
    <t>Стул детский марки Д-22</t>
  </si>
  <si>
    <t>522-101-1220-0004</t>
  </si>
  <si>
    <t>Стул детский марки Д02-31</t>
  </si>
  <si>
    <t>Материал : лакированная фанера. Высота 340мм</t>
  </si>
  <si>
    <t>522-101-1220-0005</t>
  </si>
  <si>
    <t>Стул детский «Балакай» размерами 280х230х500 мм</t>
  </si>
  <si>
    <t>Металлический каркас, полимерно-порошковое покрытие, основание фанера, 280*230*580мм</t>
  </si>
  <si>
    <t>522-101-1220-0006</t>
  </si>
  <si>
    <t>Стул детский «Жастар» размерами 320х320х600 мм</t>
  </si>
  <si>
    <t>Металлический каркас, полимерно-порошковое покрытие, основание фанера 320*320*600мм</t>
  </si>
  <si>
    <t>522-101-1221</t>
  </si>
  <si>
    <t>Стул ученический</t>
  </si>
  <si>
    <t>522-101-1221-0001</t>
  </si>
  <si>
    <t>Стул ученический рег ШК2018-100(Р), размер спинки и сиденья согласно ГОСТ СТ РК EN 1729-1-2019</t>
  </si>
  <si>
    <t>Стул ученический регулируемый. Основание металлокаркас. Сиденье и спинка из гнутоклеенной фанеры.</t>
  </si>
  <si>
    <t>522-101-1221-0002</t>
  </si>
  <si>
    <t>Стул ученический рег ШК2020-100(Р), размер спинки и сиденья согласно ГОСТ СТ РК EN 1729-1-2019</t>
  </si>
  <si>
    <t>522-101-1221-0003</t>
  </si>
  <si>
    <t>Стул ученический регулируемый по высоте, основание металлокаркас, размер плоскоовальной трубы 40х20х1,2-1,4 мм и 30х15х1,2-1,4 мм, сиденье и спинка из полипропилена путем выдувного формования, размер спинки и сиденья согласно ГОСТ СТ РК EN 1729-1-2019</t>
  </si>
  <si>
    <t>Стул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ГОСТа СТ РК EN 1729-1-2019. Ученический стул в основе имеет сборно-разборный металлический каркас. Высота сиденья стула от пола до нижнего края регулируемая от 380 до 460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40х20х1,2-1,4 мм и 30х15х1,2-1,4 мм окрашенной
полимерно-порошковой краской, цвет по согласованию с заказчиком . Сиденье и спинка стула, изготовлены из прочного полипропилена путем выдувного формования,цвет по согласованию с заказчиком . Сиденье стула изготавливается эргономичной формой и имеет эффект воздушной
«подушки». В спинке имеется отверстие для руки. Имеются ударопрочные пластиковые подпятники на основание стула. На спинке стула имеется
национальный узор</t>
  </si>
  <si>
    <t>522-101-1221-0004</t>
  </si>
  <si>
    <t>Стул ученический, сиденье и спинка из полипропилена, каркас металлический</t>
  </si>
  <si>
    <t>Стул ученический, сиденье и спинка из полипропилена (для средних и старших классов). Высота сиденья от пола 460 мм. Глубина и ширина сиденья стула не менее 400мм. Края имеют округленную форму. Имеет выемку для ручки.</t>
  </si>
  <si>
    <t>522-101-1221-0005</t>
  </si>
  <si>
    <t>Стул ученический лабораторный с регулирующим механизмом, сиденье и спинка из полипропилена</t>
  </si>
  <si>
    <t>522-101-1221-0006</t>
  </si>
  <si>
    <t>Стул ученический, основание металлокаркас, сиденье и спинка из фанеры, размер спинки и сиденья согласно ГОСТ СТ РК EN 1729-1-2019</t>
  </si>
  <si>
    <t>Стул ученический, основание металлокаркас, сиденье и спинка из фанеры</t>
  </si>
  <si>
    <t>522-101-1221-0007</t>
  </si>
  <si>
    <t>Стул ученический регулируемый по высоте не менее 420-460мм и 340-380 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</si>
  <si>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t>Ученический стул в основе имеет полностью сварной металлический каркас. Высота сиденья стула регулируемая не менее 420-460мм и 340-380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окрашенной полимерно-порошковой краской, цвет по согласованию с заказчиком. Сиденье и спинка стула, изготовлены из прочного полипропилена путем выдувного формования, сиденье имеет 4 гайки с фланцем и насечкой М6 и крепяться к каркасу стула при помощи винта М 6*20 мм, цвет по согласованию с заказчиком. В спинке имеется отверстие для руки. Имеются ударопрочные пластиковые подпятники на основание стула.</t>
  </si>
  <si>
    <t>522-101-1221-0008</t>
  </si>
  <si>
    <t>Стул ученический типа Suno, сиденье и спинка из высокопрочного пластика. Каркас из металической трубы плоскоовального сечения</t>
  </si>
  <si>
    <t>Сиденье и спинка стула выполнены из высокопрочного пластика. Каркас изготовлен из металической трубы плоскоовального сечения и окрашен износостойкой порошковой краской. Габаритные размеры: ширина 430мм, глубина 430 мм, высота сидения 450 мм, высота с учетом спинки 810 мм</t>
  </si>
  <si>
    <t>522-101-1221-0011</t>
  </si>
  <si>
    <t>Стул ученический нерегулируемый по высоте, основание металлокаркас, сиденье и спинка из фанеры, размер спинки и сиденья согласно ГОСТ СТ РК EN 1729-1-2019</t>
  </si>
  <si>
    <t>Ученический стул в основе имеет сварной металлический каркас, который изготовлен из плоскоовальных труб размером 25х25мм, толщина стенки трубы не менее 1,4мм, окрашенной порошковой краской, цвет по согласованию с заказчиком. Сиденье и спинка стула изготовлены из фанеры, толщиной 10мм. Количество ножек 2шт.</t>
  </si>
  <si>
    <t>522-101-1221-0012</t>
  </si>
  <si>
    <t>Стул ученический, сиденье и спинка из высокопрочного пластика. Каркас из металической трубы плоскоовального сечения</t>
  </si>
  <si>
    <t>Материал спинки и сиденья: пластик. Материал каркаса: металл. Размеры: (Ш х В х Г): 380x750x380мм.</t>
  </si>
  <si>
    <t>522-101-1221-0013</t>
  </si>
  <si>
    <t>Стул ученический регулируемый по высоте, основание металлокаркас, размер плоскоовальной трубы 50х25-1,4 мм и 40х20-1,4 мм, сиденье и спинка из полипропилена путем выдувного формования, размер спинки и сиденья согласно ГОСТ СТ РК EN 1729-1-2019</t>
  </si>
  <si>
    <t>Стул ученический состоит из сборно-разборного металлического каркаса регулируемый, изготовленных из полипропилена путем выдувного формования. Сборно-разборный каркас стула состоит их верхней и нижней части. Верхняя часть каркаса стула изготавливается из плоскоовальной трубы 50х25мм и 40х20мм, толщина стенки трубы не менее 1,4мм, окрашенной полимерно-порошковой краской, цвет по согласованию с заказчиком. Сиденье стула изготавливается эргономичной формой и имеет эффект воздушной «подушки». Толщина сиденья без нагрузки 45мм.
Поверхность сиденья имеет перфорацию в виде отверстий диаметром 1мм. Передние углы сидения скруглены радиусом 80мм. В середине спинки стула имеется отверстие в форме ручки для подъема и переноса стула. Цвет металлического каркаса по согласованию. Заглушки на основании ножек и
переходник пластиковые черного цвета.</t>
  </si>
  <si>
    <t>522-101-1221-0014</t>
  </si>
  <si>
    <t>Стул ученический, сиденье и спинка из полипропилена, сиденье 400х400мм, металлический каркас</t>
  </si>
  <si>
    <t>Стул школьный. Ножки из круглого профиля из гнутой стали диаметром 21,3 мм, толщиной 2,8 мм, ножки имеют Z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Сиденье – полипропилен 60 мм с двойными стенками и надутой подушкой, сиденье имеет перфорацию 2 мм для воздухонепроницаемости.
Глубина и ширина сиденья стула 400 мм, края округленой формы. Спинка имеет отверстия 80 мм, ширина спинки 400мм, высота спинки от сидения
400мм, высота спинки от пола 860мм.</t>
  </si>
  <si>
    <t>522-101-1221-0016</t>
  </si>
  <si>
    <t>Стул 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</si>
  <si>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t>Ученический стул в основе имеет полностью сварной металлический каркас. Высота сиденья стула регулируемая 420-460мм.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Металлические детали окрашены методом электростатического порошкового напыления. Сиденье и спинка стула, изготовлены из прочного полипропилена путем выдувного формования, устойчивы к УФ-лучам и не обесцвечиваются. Толщина пластика 3 мм. В спинке имеется отверстие для руки. Имеются ударопрочные пластиковые литьевые заглушки стула.
Сиденье крепится к каркасу с помощью винта M6x25мм, вкручивая его в
отверстия каркаса.</t>
  </si>
  <si>
    <t>522-101-1221-0017</t>
  </si>
  <si>
    <t>Стул ученический регулируемый по высоте, основание металлокаркас, сиденье и спинка из фанеры, размер спинки и сиденья согласно ГОСТ СТ РК EN 1729-1-2019</t>
  </si>
  <si>
    <t>Стул ученический. Сиденье и спинка из гнутоклееной фанеры. Каркас на прямоугольной трубе. Регулировка высоты осуществляется в соответствие с ростовыми группами №1-4, №3-5, №3-6, №5-7</t>
  </si>
  <si>
    <t>522-101-1221-0018</t>
  </si>
  <si>
    <t>Стул ученический, сиденье и спинка из полипропилен, стальные смешанные
V-образные, металлические ножки</t>
  </si>
  <si>
    <t>Стул ученический типа Моноблок, полипропилен, надувной пластиковый моноблок. Стальные смешанные V-образные, металлические ножки, окрашенные электростатическим порошком, цвет пластика и ножек по согласованию. Размеры: ширина сиденья: 430мм, глубина сиденья: 468мм, высота сиденья: 435мм, высота стула: 860мм</t>
  </si>
  <si>
    <t>522-101-1221-0019</t>
  </si>
  <si>
    <t>Стул ученический регулируемый по высоте, основание металлокаркас, сиденье и спинка из пластика, размер спинки и сиденья согласно ГОСТ СТ РК EN 1729-1-2019</t>
  </si>
  <si>
    <t>Высота сиденья стула от пола до нижнего края регулируемая 420-460-500мм в соответствие с ростовой группой №5-7.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пластика. Сиденье с выжимом и изгибом переднего края. Спинка радиусная с поясничным изгибом в нижней части. Крепятся к каркасу с помощью винтов.</t>
  </si>
  <si>
    <t>522-101-1221-0020</t>
  </si>
  <si>
    <t>Стул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</si>
  <si>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t>Высота сиденья стула от пола до нижнего края регулируемая 340-380мм в соответствие с ростовой группой №3-4.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</si>
  <si>
    <t>522-101-1221-0021</t>
  </si>
  <si>
    <t>Стул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</si>
  <si>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t>Высота стула фиксируемая 380мм.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</si>
  <si>
    <t>522-101-1221-0022</t>
  </si>
  <si>
    <t>Стул ученический лабораторный винтовой. Сиденье из ABS пластика диаметром 300мм, каркас из овальной трубы</t>
  </si>
  <si>
    <t>Стул лабораторный. Стул диаметром 300мм и высотой 450-500мм. Сиденье из ABS пластика. Каркас из овальной трубы размером 40 х 20 х 1.5 мм, окрашенной порошковой светло-серой краской</t>
  </si>
  <si>
    <t>522-101-1221-0026</t>
  </si>
  <si>
    <t>Стул ученический регулируемый по высоте, основание металлокаркас, спинка и сиденье изготовлены из гнутоклеенной фанеры</t>
  </si>
  <si>
    <t>Стул ученический регулируемый на круглой трубе, регулируемый (гр.3-5). Высота стула регулируется и соответствует ростовой группе: 3-5. Нижняя часть каркаса сделана из трубы диаметром 25 мм, толщиной стенки 1,2 мм. Верхняя часть регулировочного механизма, сделана из трубы диаметром 28 мм, толщиной стенки 1,2 мм., а верхняя часть каркаса стула изготовлена из трубы диаметром 25 мм и толщиной 1,2 мм. Жесткость каркаса обеспечивается перемычкой из металлического прута диаметром 10 мм. под сидением. Опорная часть ноги имеет дугообразную форму с внутренним радиусом изгиба.   Фиксирование по высоте должно происходить болтовым соединением, путем совмещения отверстий, соответствующих ростовой группе. Спинка и сиденье изготовлены из гнутоклеенной фанеры эргономичной формы, с многослойным покрытием бесцветным лаком. Все углы притуплены и имеют радиус закругления. Крепеж спинки и сидушки осуществляется с помощью заклепки, а регулировка металлокаркаса с помощью винта и гайки.
Насвободныхконцахтрубустановленызаглушкиизударопрочныхполимеров.</t>
  </si>
  <si>
    <t>522-101-1221-0027</t>
  </si>
  <si>
    <t>Стул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</si>
  <si>
    <t>Стул по высоте соответствует 6 ростовой группе. Стул состоит из металлического каркаса, спинка и сиденье эргономичной формы, толщиной не менее 20 мм из полиэтилена высокой плотности. Размер сидения 400х400 мм. На сидении имеются отверстия. Передние углы скруглены.
Каркас стула изготавливается из стальных плоскоовальных труб размерами, 40х20х1,2 мм и 30х15х1,2 мм. Боковые опоры из плоскоовальной трубы по двум углам 148 и 78 градусов.  Основание крепятся к боковым стойкам посредством сварки и выполнено из трубы 30х15х1,2 мм. Между боковыми опорами  устанавливается два усилителя перемычки.   Все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Для крепления сиденья имеются металлические пластины, через которые с помощью винтов М6 крепится сиденье. Спинка одевается на боковые опоры и крепится с помощью саморезов. Металлический каркас окрашен эпоксидно-полиэфирной порошковой краской. Цвет по
согласованию с заказчиком по каталогу RAL.</t>
  </si>
  <si>
    <t>522-101-1223</t>
  </si>
  <si>
    <t>Стул или кресло для президиума</t>
  </si>
  <si>
    <t>522-101-1223-0001</t>
  </si>
  <si>
    <t>Кресло для конференц-зала типа Suno, крестовина хром, подголовник нерегулируемый, подлокотники хромированные</t>
  </si>
  <si>
    <t>Рекомендованная максимальная нагрузка до 120 кг. Цвет подлокотника и каркаса: белый. Материал обивки: ткань/сетка</t>
  </si>
  <si>
    <t>522-101-1224</t>
  </si>
  <si>
    <t>Кресло руководителя</t>
  </si>
  <si>
    <t>522-101-1224-0001</t>
  </si>
  <si>
    <t>Кресло, модель "FB-555". Высота: 1090-1190 мм, высота от пола до сидения: 460-560 мм, высота спинки: 645 мм, ширина: 510 мм, глубина: 480 мм, материал: крестовина-d700+JL, подлокотники – пластик 303
(эко-кожа), обивка – эко-кожа</t>
  </si>
  <si>
    <t>522-101-1224-0002</t>
  </si>
  <si>
    <t>Кресло, модель "FB-555". Высота: 1090-1190 мм, высота от пола до сидения: 460-560 мм, высота спинки: 645 мм, ширина: 510 мм, глубина: 480 мм, материал: крестовина-пластик, подлокотники – пластик Сенатор, обивка – эко-кожа</t>
  </si>
  <si>
    <t>522-101-1224-0003</t>
  </si>
  <si>
    <t>Кресло, модель "FB-88". Высота: 1160 мм, высота спинки: 700 мм, ширина: 480 мм, глубина: 480 мм, материал: крестовина - хром металл + JL; подлокотники – хром 196/506; обивка – сетка, гобелен</t>
  </si>
  <si>
    <t>522-101-1224-0004</t>
  </si>
  <si>
    <t>Кресло, модель "FB-888". Высота: 1200-1300 мм, высота от пола до сидения: 480-580 мм, высота спинки: 770 мм, ширина: 500 мм, глубина: 490 мм, подлокотники AL-01DFS, крестовина хромированная</t>
  </si>
  <si>
    <t>522-101-1224-0005</t>
  </si>
  <si>
    <t>Кресло, модель "FB-888". Высота: 1200-1300 мм, высота от пола до сидения: 480-580 мм, высота спинки: 770 мм, ширина: 500 мм, глубина: 490 мм, подлокотники хромированные А-16/А-17, крестовина хромированная</t>
  </si>
  <si>
    <t>522-101-1224-0006</t>
  </si>
  <si>
    <t>Кресло, модель "Азат". Высота спинки: 760 мм, ширина: 500 мм, длина: 510 мм, материал: крестовина- пластик, подлокотники – пластик Сенатор, обивка – эко-кожа</t>
  </si>
  <si>
    <t>522-101-1224-0007</t>
  </si>
  <si>
    <t>Кресло, модель "Азат". Высота спинки: 760 мм, ширина: 500 мм, глубина: 510 мм, материал: полозья - металл, подлокотники – пластик 818 (эко-кожа), обивка – гобелен, эко-кожа</t>
  </si>
  <si>
    <t>522-101-1224-0008</t>
  </si>
  <si>
    <t>Кресло, модель "Азат". Высота спинки: 760 мм, ширина: 500 мм, глубина: 510 мм, материал: крестовина - пластик d680, подлокотники – пластик 818/1 (эко-кожа), обивка – гобелен, эко-кожа</t>
  </si>
  <si>
    <t>522-101-1224-0009</t>
  </si>
  <si>
    <t>Кресло, модель "Азат". Высота спинки: 760 мм, ширина: 500 мм, глубина: 510 мм, материал: крестовина - пластик d680+JL, подлокотники – пластик 818/1 (эко-кожа), обивка – эко-кожа</t>
  </si>
  <si>
    <t>522-101-1224-0010</t>
  </si>
  <si>
    <t>Кресло, модель "Азат". Высота спинки: 760 мм, ширина: 500 мм, глубина: 510 мм, материал: крестовина - хром, подлокотники – хром, эко-кожа 420, обивка – гобелен,
эко-кожа</t>
  </si>
  <si>
    <t>522-101-1224-0011</t>
  </si>
  <si>
    <t>Кресло, модель "Альберт". Высота спинки: 770 мм, ширина: 500 мм, глубина: 500 мм, материал: крестовина - хром, подлокотники – хром, эко-кожа 420</t>
  </si>
  <si>
    <t>522-101-1224-0012</t>
  </si>
  <si>
    <t>Кресло, модель "Альберт". Высота спинки: 770 мм, ширина: 500 мм, глубина: 500 мм,
материал: крестовина-пластик 680, подлокотники – пластик 818 (эко-кожа)</t>
  </si>
  <si>
    <t>522-101-1224-0013</t>
  </si>
  <si>
    <t>Кресло, модель "Арлан". Высота спинки: 750 мм, ширина: 510 мм, глубина: 535 мм, материал: крестовина –пластик d680+JL 011, подлокотники – пластик 818 (эко-кожа, двойная строчка), обивка –  эко-кожа, двойная строчка</t>
  </si>
  <si>
    <t>522-101-1224-0014</t>
  </si>
  <si>
    <t>Кресло, модель "Артур №2". Высота спинки: 670 мм, ширина: 500 мм, глубина: 500 мм, материал: крестовина d680, подлокотники – пластик (эко-кожа), обивка –  эко-кожа</t>
  </si>
  <si>
    <t>522-101-1224-0015</t>
  </si>
  <si>
    <t>Кресло, модель "Артур №2". Высота спинки: 670 мм, ширина: 500 мм, глубина: 500 мм, материал: крестовина d680, подлокотники – пластик 818/1 (эко-кожа), обивка –  эко-кожа</t>
  </si>
  <si>
    <t>522-101-1224-0016</t>
  </si>
  <si>
    <t>Кресло экокожа, подлокотники дерево+хром, крестовина хром, высота сиденья регулируется, модель ZETA 879</t>
  </si>
  <si>
    <t>522-101-1224-0017</t>
  </si>
  <si>
    <t>Кресло, модель "Б Директор (мет.каркас)". Высота спинки: 640 мм, ширина: 500 мм, глубина: 480 мм, материал:
крестовина-пластик d660, подлокотники – пластик Сенатор, обивка – гобелен</t>
  </si>
  <si>
    <t>522-101-1224-0018</t>
  </si>
  <si>
    <t>Кресло, модель "Б Директор №2". Высота спинки: 640 мм, ширина: 520 мм, глубина: 490 мм, материал: крестовина – пластик, подлокотники – пластик Сенатор, обивка – гобелен</t>
  </si>
  <si>
    <t>522-101-1224-0019</t>
  </si>
  <si>
    <t>Кресло, модель "Б Директор №2". Высота: 1040-1140 мм, высота от пола до сидения: 470-570 мм, высота спинки: 620 мм, ширина: 530 мм, глубина: 500 мм, материал: крестовина – пластик №350-10/№350-8, подлокотники – пластик 603/609/613/627, обивка –  эко-кожа уплотненная</t>
  </si>
  <si>
    <t>522-101-1224-0020</t>
  </si>
  <si>
    <t>Кресло, модель "Б Директор №2". Высота: 1040-1140 мм, высота от пола до сидения: 470-570 мм, высота спинки: 620 мм, ширина: 530 мм, глубина: 500 мм, материал: крестовина – пластик, подлокотники – пластик Сенатор, обивка –  эко-кожа</t>
  </si>
  <si>
    <t>522-101-1224-0021</t>
  </si>
  <si>
    <t>Кресло кожзам с деревянными подлокотниками, крестовина дерево, модель Честерфилд</t>
  </si>
  <si>
    <t>522-101-1224-0022</t>
  </si>
  <si>
    <t>Кресло, модель "Батыр". Высота спинки: 760 мм, ширина: 580 мм, глубина: 550 мм, материал: крестовина – дерево, подлокотники – дерево Ромб, обивка –
эко-кожа</t>
  </si>
  <si>
    <t>522-101-1224-0023</t>
  </si>
  <si>
    <t>Кресло кожзам с пластиковыми подлокотниками, крестовина пластик, модель Уркер 818/1</t>
  </si>
  <si>
    <t>522-101-1224-0024</t>
  </si>
  <si>
    <t>Кресло, модель "Бахыт". Высота спинки: 790 мм, ширина: 510 мм, глубина: 490 мм, материал: крестовина - хром, подлокотники – хром 420, обивка – эко-кожа</t>
  </si>
  <si>
    <t>522-101-1224-0025</t>
  </si>
  <si>
    <t>Кресло, модель "Бахыт". Высота спинки: 790 мм, ширина: 510 мм, глубина: 490 мм, материал: обивка – эко-кожа</t>
  </si>
  <si>
    <t>522-101-1224-0026</t>
  </si>
  <si>
    <t>Кресло, модель "Бахыт". Высота спинки: 790 мм, ширина: 510 мм, глубина: 490 мм, материал: подлокотники – 420 (эко-кожа)</t>
  </si>
  <si>
    <t>522-101-1224-0027</t>
  </si>
  <si>
    <t>Кресло, модель "Белла". Высота: 1260-1360 мм, высота от пола до сидения: 550-650 мм, высота спинки: 770 мм, ширина: 540 мм, глубина: 490 мм, материал:
крестовина-хром, подлокотники – 420 хром, эко-кожа, обивка - эко-кожа</t>
  </si>
  <si>
    <t>522-101-1224-0028</t>
  </si>
  <si>
    <t>Кресло, модель "Вильгельм". Высота спинки: 770 мм, ширина: 500 мм, глубина: 500 мм, материал: крестовина - хром, подлокотники – пластик Сенатор</t>
  </si>
  <si>
    <t>522-101-1224-0029</t>
  </si>
  <si>
    <t>Кресло, модель "Вильгельм". Высота спинки: 700 мм, ширина: 520 мм, глубина: 480 мм, материал: крестовина - пластик d680, колёсики JL, подлокотники – пластик 818 (эко-кожа), обивка –  эко-кожа</t>
  </si>
  <si>
    <t>522-101-1224-0030</t>
  </si>
  <si>
    <t>Кресло, модель "Гермес". Высота спинки: 720 мм, ширина: 520 мм, глубина: 490 мм, материал: крестовина - хром+JL, подлокотники – пластик 351/410, обивка – эко-кожа</t>
  </si>
  <si>
    <t>522-101-1224-0031</t>
  </si>
  <si>
    <t>Кресло, модель "Гермес". Высота спинки: 720 мм, ширина: 520 мм, глубина: 490 мм, материал: крестовина - пластик d680+JL, подлокотники – пластик 818/1 (эко-кожа), обивка –  эко-кожа</t>
  </si>
  <si>
    <t>522-101-1224-0032</t>
  </si>
  <si>
    <t>Кресло, модель "Гермес". Высота спинки: 720 мм, ширина: 520 мм, глубина: 490 мм, материал: крестовина - пластик
350-10/350-8, подлокотники – пластик 603/609/613/811, обивка –  эко-кожа</t>
  </si>
  <si>
    <t>522-101-1224-0033</t>
  </si>
  <si>
    <t>Кресло, модель "Гермес". Высота спинки: 720 мм, ширина: 520 мм, глубина: 490 мм, материал: крестовина - пластик
350-10/350-8, подлокотники – пластик 627 (хром вставка), обивка –  эко-кожа</t>
  </si>
  <si>
    <t>522-101-1224-0034</t>
  </si>
  <si>
    <t>Кресло, модель "Деко №2". Высота спинки: 760 мм, ширина: 510 мм, глубина: 500 мм, материал: крестовина - пластик d680+JL 011, подлокотники – пластик 818 (гобелен), обивка – гобелен</t>
  </si>
  <si>
    <t>522-101-1224-0035</t>
  </si>
  <si>
    <t>Кресло, модель "Деко №3 с кантом". Высота спинки: 760 мм, ширина: 510 мм, глубина: 500 мм, материал: крестовина - пластик d680+JL, подлокотники – пластик 818 (гобелен), обивка – гобелен</t>
  </si>
  <si>
    <t>522-101-1224-0036</t>
  </si>
  <si>
    <t>Кресло, модель "Деко №3". Высота спинки: 760 мм, ширина: 510 мм, глубина: 500 мм, материал: крестовина - пластик d680+JL 011, подлокотники – пластик 818 (гобелен)</t>
  </si>
  <si>
    <t>522-101-1224-0037</t>
  </si>
  <si>
    <t>Кресло, модель "Деко №2". Высота спинки: 760 мм, ширина: 510 мм, глубина: 500 мм, материал: крестовина - пластик d680+JL081, подлокотники – пластик 818 (эко-кожа), обивка – эко-кожа</t>
  </si>
  <si>
    <t>522-101-1224-0038</t>
  </si>
  <si>
    <t>Кресло, модель "Деко". Высота спинки: 760 мм, ширина: 510 мм, глубина: 500 мм, материал: крестовина - пластик d680+JL, подлокотники – пластик 818/1 (эко-кожа), обивка – эко-кожа / гобелен</t>
  </si>
  <si>
    <t>522-101-1224-0039</t>
  </si>
  <si>
    <t>Кресло, модель "Деко". Высота спинки: 760 мм, ширина: 510 мм, глубина: 500 мм, материал: крестовина – пластик, хром, дерево; подлокотники – пластик, хром, дерево; обивка – гобелен, эко-кожа, кожа</t>
  </si>
  <si>
    <t>522-101-1224-0040</t>
  </si>
  <si>
    <t>Кресло, модель "Зевс". Высота спинки: 730 мм, ширина: 510 мм, глубина: 500 мм, материал: крестовина - хром; подлокотники – хром (эко-кожа) 420; обивка - эко-кожа</t>
  </si>
  <si>
    <t>522-101-1224-0041</t>
  </si>
  <si>
    <t>Кресло, модель "Зевс". Высота спинки: 730 мм, ширина: 510 мм, глубина: 500 мм, материал: крестовина - пластик 680+рк; подлокотники – 818 (эко-кожа); обивка - эко-кожа</t>
  </si>
  <si>
    <t>522-101-1224-0042</t>
  </si>
  <si>
    <t>Кресло, модель "Зевс". Высота спинки: 730 мм, ширина: 510 мм, глубина: 500 мм, материал: крестовина - пластик d680+JL; подлокотники – 818/1 (эко-кожа); обивка - эко-кожа</t>
  </si>
  <si>
    <t>522-101-1224-0043</t>
  </si>
  <si>
    <t>Кресло, модель "Зевс". Высота спинки: 730 мм, ширина: 510 мм, глубина: 500 мм, материал: крестовина - пластик
№350-10/№350-8, 818; подлокотники – пластик, 603/609/613/811; обивка - эко-кожа</t>
  </si>
  <si>
    <t>522-101-1224-0044</t>
  </si>
  <si>
    <t>Кресло, модель "Каспий". Высота спинки: 800 мм, ширина: 470 мм, глубина: 540 мм, материал: крестовина - хром, обивка – эко кожа</t>
  </si>
  <si>
    <t>522-101-1224-0045</t>
  </si>
  <si>
    <t>Кресло, модель "Консул №2". Высота спинки: 770 мм, длина 520 мм, ширина 535 мм, высота 1230 мм, материал: крестовина – деревянная, подлокотники – дерево Ромб, обивка – уплотненная эко-кожа</t>
  </si>
  <si>
    <t>522-101-1224-0046</t>
  </si>
  <si>
    <t>Кресло, модель ""Консул №2"". Высота спинки: 770 мм,длина 500 мм, ширина 490 мм, материал: крестовина – деревянная, подлокотники – дерево Ромб, обивка
–натуральная кожа, задняя часть из эко-кожи</t>
  </si>
  <si>
    <t>522-101-1224-0047</t>
  </si>
  <si>
    <t>Кресло, модель "Консул №2". Высота спинки: 770 мм, длина 520 мм, ширина 535 мм, высота 1230 мм, материал: крестовина – "680" (чёрная), подлокотники –  "818/1", обивка – уплотненная эко-кожа</t>
  </si>
  <si>
    <t>522-101-1224-0048</t>
  </si>
  <si>
    <t>Кресло, модель "Ленайс". Высота от пола до сидения: 500 мм, высота спинки: 800 мм, ширина: 470 мм, глубина: 450 мм, материал каркаса: пластик, материал сиденья: сетка, гобелен</t>
  </si>
  <si>
    <t>522-101-1224-0049</t>
  </si>
  <si>
    <t>Кресло, модель "М Шери". Высота: 1070 мм, высота от пола до сидения: 500 мм, высота спинки: 610 мм, ширина: 500 мм, глубина: 490 мм, материал: полозья - цветной металл, подлокотники –  пластик Сенатор, обивка – гобелен</t>
  </si>
  <si>
    <t>522-101-1224-0050</t>
  </si>
  <si>
    <t>Кресло, модель "М Шери". Высота:
1040-1140 мм, высота от пола до сидения: 500-600 мм, высота спинки: 610 мм, ширина: 510 мм, глубина: 480 мм, материал: крестовина  – пластик №350-10/№350-8 +JL, подлокотники - пластик 603/609/613/811 (эко-кожа); обивка – эко-кожа</t>
  </si>
  <si>
    <t>522-101-1224-0051</t>
  </si>
  <si>
    <t>Кресло, модель "Маджестик". Высота: 1090-1190 мм, высота от пола до сидения:
480-580 мм, высота спинки: 660 мм, ширина: 520 мм, глубина: 490 мм, материал: крестовина - пластик d700+JL, подлокотники –  пластик 303 (гобелен), обивка – гобелен</t>
  </si>
  <si>
    <t>522-101-1224-0052</t>
  </si>
  <si>
    <t>Кресло, модель "Маджестик"  . Высота спинки: 660 мм, ширина: 520 мм, глубина: 490 мм, материал: полозья - металл, подлокотники –  пластик Сенатор, обивка – гобелен</t>
  </si>
  <si>
    <t>522-101-1224-0053</t>
  </si>
  <si>
    <t>Кресло, модель "Малибу". Высота спинки: 750 мм, ширина: 520 мм, глубина: 480 мм, материал: крестовина - пластик; подлокотники – пластик Сенатор,906,606; обивка – эко-кожа</t>
  </si>
  <si>
    <t>522-101-1224-0054</t>
  </si>
  <si>
    <t>Кресло, 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</si>
  <si>
    <t>Механизм качания с регулировкой под вес и фиксацией в вертикальном положении. Ограничение по весу: 181 кг</t>
  </si>
  <si>
    <t>522-101-1224-0055</t>
  </si>
  <si>
    <t>Кресло, 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</si>
  <si>
    <t>Кресло офисное. Механизм качания с регулировкой под вес и фиксацией в вертикальном положении. Ограничение по весу: 120 кг.</t>
  </si>
  <si>
    <t>522-101-1224-0056</t>
  </si>
  <si>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</si>
  <si>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</si>
  <si>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t>522-101-1224-0057</t>
  </si>
  <si>
    <t>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</si>
  <si>
    <t>Подголовник: мягкий из износостойкого материала DL, комплектуется дополнительной подушкой, увеличивающей объем подголовника. Спинка: замкнутая высокая, черное полимерное покрытие каркаса с хромированным молдингом, ширина 510 мм.  Вид обивки спинки: сетка натяжная без прошивки (X2)8. Регулируемый поясничный подпор: стальной хромированный с ремнем из экокожи. Подлокотники: стальные хромированные, с мягкими накладками из износостойкого материала кожзам. Сиденье: мягкое объемное на столярном каркасе с хромированным молдингом без прошивки, ширина 510 мм. Вид обивки сиденья: износостойкий материал кожзам без прошивки Пятилучье: стальное хромированное, с прямоугольным сечением лучей. Ролики: с полиуретановым ободком,  D - 50 мм</t>
  </si>
  <si>
    <t>522-101-1224-0058</t>
  </si>
  <si>
    <t>Кресло, регулировка высоты. Крестовина пластик. Подлокотники пластиковые.
Спинка сетчатая. Размер: 490х460х1240мм</t>
  </si>
  <si>
    <t>Высота регулируется. Крестовина черная пластиковая. Ортопедическое сиденье. Подголовник. Подлокотники пластиковые. Сетчатая спинка. Угол наклона регулируется.</t>
  </si>
  <si>
    <t>522-101-1224-0059</t>
  </si>
  <si>
    <t>Кресло, регулировка высоты. Крестовина пластик. Подлокотники пластиковые.
Спинка сетчатая, сиденье ортопедическое. Размер: 500х450х1300мм</t>
  </si>
  <si>
    <t>Металлический каркас, сиденье ортопедическое из уплотненной эко-кожи, сетка. Высота регулируется. Крестовина платиковая. Ортопедическое сиденье. Подголовник. Подлокотники пластиковые. Сетчатая спинка. Угол наклона регулируется</t>
  </si>
  <si>
    <t>522-101-1224-0060</t>
  </si>
  <si>
    <t>Кресло, регулировка высоты. Крестовина пластик. Подлокотники пластиковые.
Спинка сетчатая, сиденье ортопедическое. Размер: 450х480х990мм</t>
  </si>
  <si>
    <t>Высота регулируется. Крестовина пластик. Ортопедическое сиденье. Подлокотники пластиковые. Сетчатая спинка. Угол наклона регулируется</t>
  </si>
  <si>
    <t>522-101-1224-0061</t>
  </si>
  <si>
    <t>Кресло, регулировка высоты. Крестовина пластик. Подлокотники пластиковые.
Спинка сетчатая, сиденье ортопедическое. Размер: 500х460х1050мм</t>
  </si>
  <si>
    <t>Высота регулируется. Крестовина пластик. Ортопедическое сиденье.
Подголовник. Подлокотники пластиковые. Сетчатая спинка. Угол наклона регулируется</t>
  </si>
  <si>
    <t>522-101-1225</t>
  </si>
  <si>
    <t>Кресло секционное</t>
  </si>
  <si>
    <t>522-101-1225-0001</t>
  </si>
  <si>
    <t>Кресло для конференц залов Трио мод.СМ82/2</t>
  </si>
  <si>
    <t>Кресло для конференц залов Трио мод.СМ82/2. Трехместная секция.</t>
  </si>
  <si>
    <t>522-101-1225-0002</t>
  </si>
  <si>
    <t>Кресло для конференц залов Тракт мод.СМ82/6</t>
  </si>
  <si>
    <t>Кресло для конференц залов Тракт мод.СМ82/6. Трехместная секция.</t>
  </si>
  <si>
    <t>522-101-1225-0003</t>
  </si>
  <si>
    <t>Кресло для конференц залов Принт мод.СМ82/3</t>
  </si>
  <si>
    <t>Кресло для конференц залов Принт мод.СМ82/3. Трехместная секция.</t>
  </si>
  <si>
    <t>522-101-1225-0004</t>
  </si>
  <si>
    <t>Кресло для конференц залов ИЗО 3-х местн. на раме</t>
  </si>
  <si>
    <t>Кресло для конференц залов ИЗО 3-х местн. на раме. Трехместная секция.
Материал обивки экокожа.</t>
  </si>
  <si>
    <t>522-101-1225-0005</t>
  </si>
  <si>
    <t>Скамья типа Дафне (2-х местная). Каркас металлический цветной, подлокотники с деревянной накладкой, обивка - гобелен. Размер: 1100х440х950мм</t>
  </si>
  <si>
    <t>Каркас металлический цветной, подлокотники с деревянной накладкой, обивка - гобелен. Размер: 1100х440х950мм. Высота от пола до сиденья
500мм.</t>
  </si>
  <si>
    <t>522-101-1225-0006</t>
  </si>
  <si>
    <t>Скамья двухместная, размеры 1250х530х720 мм. Каркас цельносварной, рама из профильной стальной трубы сечением 60х30 мм и толщиной стенки не менее 1,5 мм.
Габариты сиденья: 500 х 650 х 420 мм</t>
  </si>
  <si>
    <t>Рама изготовлена из профильной стальной трубы сечением 60х30 мм и толщиной стенки не менее 1,5 мм. К раме приварены усиленные кронштейны из листовой стали толщиной 3 мм. К кронштейнам, через винтовые соединения М8, крепятся сиденья. Перемычка между боковыми опорами выполнена из плоскоовальной трубы 50х25 мм. Боковые опоры изготовлены из плоскоовальной трубы 50х25 мм толщиной не менее 1,2 мм.
В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Боковые торцы труб аккуратно закрыты пластиковыми заглушками, придающими завершённость внешнему виду и предотвращающими попадание влаги внутрь профиля. Мягкие элементы сидений и спинок выполнены с применением износостойкого материала, устойчивого к истиранию и легко очищаемого. Из ВПУ. Цвет по запросу заказчика. Скамья имеет полимерно порошковое покрытие, устойчивое к внешним воздействиям. Возможно изменение цвета по согласованию с
заказчиком.</t>
  </si>
  <si>
    <t>522-101-1225-0007</t>
  </si>
  <si>
    <t>Скамья 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</si>
  <si>
    <t>Рама выполнена из профильной стальной трубы сечением 60×30 мм и толщиной стенки не менее 1,5 мм. К раме приварены усиленные гнутые кронштейны из листовой стали толщиной 3 мм. Боковые опоры изготовлены из плоскоовальной трубы 50х25 мм толщиной не менее 1,2 мм.
В нижней части опор установлены регулируемые подпятники, компенсирующие неровности пола. Каркас сидений выполнен из плоскоовальной трубы 30х15 мм с толщиной стенки 1,5 мм. Элементы каркаса соединяются между собой при помощи перемычек 30х15 мм. К каркасу приваривается усиленное сиденье и спинка, выполненные из холоднокатанного стального листа толщиной 1,2 мм с перфорацией. На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1,5 мм. Все торцевые концы труб оснащены пластиковыми заглушками. Скамья имеет полимерно порошковое покрытие, устойчивое к внешним воздействиям. Возможно
изменение цвета по согласованию с заказчиком.</t>
  </si>
  <si>
    <t>522-101-1225-0008</t>
  </si>
  <si>
    <t>Скамья трёхместная, размеры 1830х680х845 мм. Каркас скамьи цельносварной. Мягкие элементы сидений и спинок выполнены с применением износостойкого материала</t>
  </si>
  <si>
    <t>Каркас скамьи цельносварной. 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t>
  </si>
  <si>
    <t>522-101-1225-0009</t>
  </si>
  <si>
    <t>Скамья трёхместная, размеры 1750х680х780 мм. Каркас скамьи цельносварной. Мягкие элементы сидений и спинок выполнены с применением износостойкого материала</t>
  </si>
  <si>
    <t>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Каркас/балка: стальная трубка/уголок, толщина 2.5 мм, обработка антикоррозия + порошковая покраска Сиденье и спинка: нержавеющая/стальная перфорированная пластина, толщина 1.2-1.5 мм Подлокотники/ножки: металл или алюминиевый сплав, толщина 1.1-1.2 мм,
финиш – полировка или хром.</t>
  </si>
  <si>
    <t>522-101-1227</t>
  </si>
  <si>
    <t>Кресло на колесиках</t>
  </si>
  <si>
    <t>522-101-1227-0001</t>
  </si>
  <si>
    <t>Кресло для персонала PRESTIGE GTP RU Q</t>
  </si>
  <si>
    <t>Офисное кресло Prestige GTP с подлокотниками "самба". Крестовина и газ-лифт пластиковые, обивка тканевая.  Регулировка высоты сиденья.
Регулировка наклона спинки.</t>
  </si>
  <si>
    <t>522-101-1227-0002</t>
  </si>
  <si>
    <t>Кресло офисное МЕТТА SU-BK-8 Pl</t>
  </si>
  <si>
    <t>Каркас кресла: стальной, покрытый  износостойким полимерным материалом. Подлокотники: хромированные стальные,  с мягкими накладками, обитыми Эко кожей</t>
  </si>
  <si>
    <t>522-101-1227-0003</t>
  </si>
  <si>
    <t>Кресло офисное PARMA</t>
  </si>
  <si>
    <t>Механизм подъёма без функции качания. Подлокотник, крестовина и ролики - пластик.</t>
  </si>
  <si>
    <t>522-101-1227-0004</t>
  </si>
  <si>
    <t>Кресло офисное. Материал спинки сетка, сиденье из ткани, крестовина из пластика, подлокотники из мягкого пластика. Размеры 588х920-1020х640 мм</t>
  </si>
  <si>
    <t>Максимальная нагрузка: 120 кг. Наполнитель: пенополиуретан. Цвет черный.</t>
  </si>
  <si>
    <t>522-101-1227-0005</t>
  </si>
  <si>
    <t>Кресло офисное типа Suno, обивка гобелен</t>
  </si>
  <si>
    <t>Высота сиденья регулируемая. Материал: крестовина - пластик; подлокотники – пластик;  обивка – гобелен.</t>
  </si>
  <si>
    <t>522-101-1227-0006</t>
  </si>
  <si>
    <t>Кресло красно-черное типа Suno</t>
  </si>
  <si>
    <t>Основа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Материалы отделки: искусственная кожа, полиуретановые колеса.</t>
  </si>
  <si>
    <t>522-101-1227-0007</t>
  </si>
  <si>
    <t>Кресло офисное типа Suno, обивка эко-кожа</t>
  </si>
  <si>
    <t>Кресло регулиреумое по высоте. Обивка эко-кожа. Высота спинки - не более 670мм</t>
  </si>
  <si>
    <t>522-101-1227-0008</t>
  </si>
  <si>
    <t>Кресло офисное. Ролик из полиуретана, черный газлифт, сетчатый пластиковый подголовник + сетчатая спинка + сиденье из вспененного пенополиуретана. Размеры 660*1290*660мм</t>
  </si>
  <si>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</si>
  <si>
    <t>522-101-1227-0009</t>
  </si>
  <si>
    <t>Кресло офисное. Ролик из полиуретана, черный газлифт, сетчатая спинка + сиденье из пенополиуретана. Размеры 660 мм*990*660 мм</t>
  </si>
  <si>
    <t>Кресло офисное. Ролик из полиуретана, нейлоновая основа, черный газлифт, поворотный механизм наклона, статичный подлокотник, сетчатая спинка + сиденье из пенополиуретана. Размеры 660 мм*990*660 мм</t>
  </si>
  <si>
    <t>522-101-1227-0010</t>
  </si>
  <si>
    <t>Кресло офисное. Регулировка высоты (газлифт), крестовина и подлокотники пластиковые. Материал обивки: спинка-
сетка, сиденье- ткань. Размер: 480х440х890 мм</t>
  </si>
  <si>
    <t>Пластиковая крестовина. Подлокотники пластиковые. Ограничение по весу: 120 кг.
Материал обивки: спинка- сетка, сиденье- ткань</t>
  </si>
  <si>
    <t>522-101-1227-0011</t>
  </si>
  <si>
    <t>Кресло офисное. Регулировка высоты (газлифт). Подлокотники, крестовина и колеса пластиковые. Материал обивки: эко кожа. Размер: 440х440х870мм.</t>
  </si>
  <si>
    <t>Ограничение по весу: 120 кг.  Материал обивки: эко кожа, цвет черный.</t>
  </si>
  <si>
    <t>522-101-1227-0012</t>
  </si>
  <si>
    <t>Кресло 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</si>
  <si>
    <t>Кресло офисное. Механизм качания. Регулировка высоты (газлифт). Подлокотники металлические с пластиковыми накладками. Крестовина металлическая разборная. Пластиковые колеса. Ограничение по весу: 120 кг</t>
  </si>
  <si>
    <t>522-101-1227-0013</t>
  </si>
  <si>
    <t>Кресло 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Размер: 490х390х1090мм</t>
  </si>
  <si>
    <t>Механизм качания с регулировкой под вес и возможностью фиксации в вертикальном положении. Поддержка поясницы (2 резиновые ленты).
Ограничение по весу: 120 кг.</t>
  </si>
  <si>
    <t>522-101-1227-0014</t>
  </si>
  <si>
    <t>Кресло офисное. Механизм качания. Регулировка высоты (газлифт). Крестовина и подлокотники пластиковые. Материал обивки: эко кожа, цвет черный. Размер: 540х460х1080мм</t>
  </si>
  <si>
    <t>Механизм качания с возможностью фиксации в рабочем положении.
Ограничение по весу: 120 кг.</t>
  </si>
  <si>
    <t>522-101-1227-0015</t>
  </si>
  <si>
    <t>Кресло офисное. Механизм качания. Регулировка высоты (газлифт). Материал обивки: эко.кожа. Размер: 545х475х1140мм</t>
  </si>
  <si>
    <t>Кресло офисное. Механизм качания с регулировкой под вес и фиксацией в вертикальном положении. Регулировка высоты (газлифт). Ограничение по весу: 120 кг. Материал обивки: эко.кожа. Размер: 545х475х1140мм</t>
  </si>
  <si>
    <t>522-101-1227-0016</t>
  </si>
  <si>
    <t>Кресло офисное. Механизм качания. Регулировка высоты (газлифт). Пластиковая крестовина, подлокотники металлические крашеные с накладками из эко кожи. Спинка сетчатая, сиденье тканевое, подголовник из эко кожи. Размер: 490х470х1160мм</t>
  </si>
  <si>
    <t>Механизм качания с регулировкой под вес и фиксацией в вертикальном положении. Ограничение по весу: 120 кг.</t>
  </si>
  <si>
    <t>522-101-1227-0017</t>
  </si>
  <si>
    <t>Кресло офисное. Механизм качания. Регулировка высоты (газлифт).
Подлокотники металлические с накладками из искусственной кожи. Крестовина хром. Материал обивки: эко.кожа/сетка. Размер: 490х470х1200мм</t>
  </si>
  <si>
    <t>522-101-1227-0018</t>
  </si>
  <si>
    <t>Кресло офисное. Регулировка высоты (газлифт). Крестовина и подлокотники пластиковые. Материал обивки: спинка – сетка, сиденье – ткань. Размер: 480х440х890мм</t>
  </si>
  <si>
    <t>Крестовина белый пластик. Подлокотники белые пластиковые. Материал обивки: Спинка – сетка, сиденье – ткань. Ограничение по весу: 120 кг</t>
  </si>
  <si>
    <t>522-101-1227-0019</t>
  </si>
  <si>
    <t>Кресло офисное. Механизм качания, регулировка высоты (газлифт), подлокотники и кретовина пластиковые, материал обивки: ткань. Размер: 480х450х1100мм</t>
  </si>
  <si>
    <t>Механизм качания с регулировкой под вес и фиксацией в вертикальном положении. Ограничение по весу: 120 кг</t>
  </si>
  <si>
    <t>522-101-1227-0020</t>
  </si>
  <si>
    <t>Кресло 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</si>
  <si>
    <t>Пружинно-винтовой механизм качания спинки. Крестовина металлическая разборная. Ограничение по весу: 120 кг</t>
  </si>
  <si>
    <t>522-101-1227-0021</t>
  </si>
  <si>
    <t>Кресло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</si>
  <si>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Регулируемый по высоте подлокотник из полиуретана, высота от пола до плеча 620-690мм.
Регулируемый подголовник в черной тканевой обивке. Высота спинки 810мм, регулируемая по весу и подвижная сетчатая спинка. Столбчатая поясничная поддержка на спинке. Ширина сиденья 510мм, глубина 490мм, литая губка. Двойной рычаг, механизм наклона спинки назад. Пластиковые
колеса.</t>
  </si>
  <si>
    <t>522-101-1227-0022</t>
  </si>
  <si>
    <t>Кресло офисное регулируемое по высоте, крестовина пластик, материал сиденья ткань, регулируемый подголовник, пластиковые подлокотники</t>
  </si>
  <si>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Пластиковые подлокотники. Регулируемый подголовник в черной тканевой обивке.
Высота спинки 810мм, регулируемая по весу и подвижная сетчатая спинка.
Ширина сиденья 510мм, глубина 490мм, литая губка. Двойной рычаг, механизм наклона спинки назад. Пластиковые колеса.</t>
  </si>
  <si>
    <t>522-101-1227-0023</t>
  </si>
  <si>
    <t>Кресло офисное. Материал спинки сетка, сиденье из ткани, крестовина из пластика, подлокотники из мягкого пластика, регулировка высоты. Размеры 650х660х1080 мм</t>
  </si>
  <si>
    <t>Размеры: глубина 660мм, ширина 650мм, высота 1080мм. Без подголовника. Максимальная нагрузка: 120 кг. Наполнитель: пена полиуритан. Цвет: черный. Регулировка высоты.</t>
  </si>
  <si>
    <t>522-101-1227-0024</t>
  </si>
  <si>
    <t>Кресло офисное. Материал спинки сетка, сиденье из ткани, крестовина из пластика, подлокотники из мягкого пластика</t>
  </si>
  <si>
    <t>Без подголовника. Максимальная нагрузка: 120 кг. Наполнитель: пена полиуритан. Цвет: черный</t>
  </si>
  <si>
    <t>522-101-1227-0025</t>
  </si>
  <si>
    <t>Кресло офисное. Материал спинки и подголовника сетка, сиденье из ткани, крестовина из пластика, подлокотники из мягкого пластика</t>
  </si>
  <si>
    <t>С подголовником. Максимальная нагрузка: 140 кг. Наполнитель: пена полиуритан. Цвет: черный</t>
  </si>
  <si>
    <t>522-101-1227-0026</t>
  </si>
  <si>
    <t>Кресло офисное типа SU - CS - 9. Регулировка высоты, крестовина и подлокотники пластиковые. Материал обивки: спинка- сетка, сиденье- ткань</t>
  </si>
  <si>
    <t>Пластиковая крестовина. Подлокотники пластиковые. Ограничение по весу: 90 кг. Материал обивки: спинка- сетка, сиденье- ткань.</t>
  </si>
  <si>
    <t>522-101-1229</t>
  </si>
  <si>
    <t>Шкаф для одежды</t>
  </si>
  <si>
    <t>522-101-1229-0001</t>
  </si>
  <si>
    <t>Шкаф для одежды двухсекционный с вытяжным патрубком 800х500х2000 мм</t>
  </si>
  <si>
    <t>522-101-1229-0002</t>
  </si>
  <si>
    <t>Шкаф для одежды 800х540х1930 мм</t>
  </si>
  <si>
    <t>Шкаф для одежды 800х540х1930 мм. Несущие части, полки, фасадная часть – ЛДСП 16 мм</t>
  </si>
  <si>
    <t>522-101-1229-0003</t>
  </si>
  <si>
    <t>Шкаф для одежды 800х540х1950 мм</t>
  </si>
  <si>
    <t>522-101-1229-0004</t>
  </si>
  <si>
    <t>Шкаф для одежды 800х450х1800 мм</t>
  </si>
  <si>
    <t>Шкаф для одежды 800х450х1800 мм. ЛДСП 16мм. Полки для одежды и головного убора.</t>
  </si>
  <si>
    <t>522-101-1229-0005</t>
  </si>
  <si>
    <t>Шкаф для одежды 600х450х1800 мм</t>
  </si>
  <si>
    <t>Шкаф для одежды 600х450х1800 мм. ЛДСП 16мм. Полка для головного убора и перекладина.</t>
  </si>
  <si>
    <t>522-101-1229-0006</t>
  </si>
  <si>
    <t>Шкаф для одежды 1000х450х1800 мм</t>
  </si>
  <si>
    <t>Шкаф для одежды 1000х450х1800 мм. ЛДСП 16мм. Полка для головного убора и перекладина.</t>
  </si>
  <si>
    <t>522-101-1229-0007</t>
  </si>
  <si>
    <t>Шкаф для одежды 4-х секционный 1200х400х1450 мм</t>
  </si>
  <si>
    <t>Шкаф 4-х секционный для одежды детей. Размер: 1200х400х1450мм.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</si>
  <si>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522-101-1229-0008</t>
  </si>
  <si>
    <t>Шкаф для одежды 5-ти секционный 1500х400х1450 мм</t>
  </si>
  <si>
    <t>Шкаф 5-ти секционный для одежды учащихся. Размер: 1500х400х1450мм.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</si>
  <si>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522-101-1229-0009</t>
  </si>
  <si>
    <t>Шкаф для одежды 849х376х1835 мм</t>
  </si>
  <si>
    <t>Шкаф для одежды 849х376х1835 мм. ЛДСП 16мм. Полка для головного убора, перекладина, полки для одежды, 2 дверцы</t>
  </si>
  <si>
    <t>522-101-1229-0010</t>
  </si>
  <si>
    <t>Шкаф металлический для одежды двухсекционный, размер 600x500x1860 мм</t>
  </si>
  <si>
    <t>Съемная полка для головного убора, перекладина для вешалки и крючки для одежды. Шкаф оснащен врезным замком. Комплектация:
2 перекладины, 4 крючка, 2 врезных замка</t>
  </si>
  <si>
    <t>522-101-1229-0011</t>
  </si>
  <si>
    <t>Шкаф для одежды 600х400х2000 мм</t>
  </si>
  <si>
    <t>Шкаф имеет две вставные полки для головных уборов и для обуви, ЛДСП 16 мм, кромки деталей облицованы полимерным кромочным материалам (ПВХ), толщиной 1,5 мм.  Фурнитура: конфирматы, стяжка типа BLUM, полкодержатель металл. (без пластиковых элементов). Навес мебельный типа BLUM, ножка мебельная, ручки</t>
  </si>
  <si>
    <t>522-101-1229-0012</t>
  </si>
  <si>
    <t>Шкаф для одежды, верхняя секция с двумя полками, нижняя секция с четырьмя ящиками, размер 850х450х2000мм</t>
  </si>
  <si>
    <t>Шкаф для одежды изготовлен из ЛДСП 16мм, задняя стенка - ДВП 4мм. Верхняя секция с двумя полками, нижняя секция с четырьмя ящиками. Фурнитура: конфирматы, стяжка типа BLUM, кромка - ПВХ 2мм, ручка кнопка без острых углов, навес мебельный типа BLUM, ножка мебельная.
Цвет ЛДСП по согласованию с заказчиком.</t>
  </si>
  <si>
    <t>522-101-1229-0013</t>
  </si>
  <si>
    <t>Шкаф для одежды 13-ти секционный, размеры одной секции 500х450х1200мм</t>
  </si>
  <si>
    <t>Толщина ЛДСП по внешнему периметру, межперегородки, полки, задняя стенка, двери 16 мм. Материал по внешнему периметру, межперегородки, полки, задняя стенка из ЛДСП, двери из МДФ плёнка. Двери закреплены на 2-х петлях, без замков, со стопором внутри сверху и снизу, разрезом посередине для открывания. Нижняя полка для обуви, высота от нижнего пола 300мм. Высота для одежды 900мм. Шкаф держится на 4-х железных ножках. В каждом шкафу предусмотрены 3 двухрожковых крючка на 3-х стенах, где крючки крепятся на болты с полной резьбой. Общее кол-во шкафов в одном ряду 13. Общий размер 13 секционного шкафа 6500х450х1200мм</t>
  </si>
  <si>
    <t>522-101-1229-0014</t>
  </si>
  <si>
    <t>Шкаф для одежды 300х500х1860 мм на металлокаркасе (секционный)</t>
  </si>
  <si>
    <t>Основание металлокаркас 40х40мм (толщина стенки 1,2 мм.), корпус ЛДСП 16 мм. Имеются две полки (для головного убора и обуви). Кромки деталей облицованы полимерным кромочным материалам (ПВХ), толщиной 1,5 мм. Фурнитура: конфирматы, стяжка BLUM, полкодержатель металлический (без пластиковых элементов), штанга для вешалок, ручка (без острых углов), навес мебельный типа BLUM</t>
  </si>
  <si>
    <t>522-101-1229-0015</t>
  </si>
  <si>
    <t>Шкаф для одежды 5-ти секционный, ЛДСП 16мм, металиический каркас, размер 1375х500х1250мм</t>
  </si>
  <si>
    <t>Изготавливается из ЛДСП 16 мм. Состоит из пяти секций, в каждой по две полки (для головного убора и обуви), имеется перекладина (штанга) для одежды. Каждая секция за глухой дверью с ручкой.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ручки (без острых углов), навес мебельный типа BLUM, ножка мебельная</t>
  </si>
  <si>
    <t>522-101-1229-0016</t>
  </si>
  <si>
    <t>Шкаф для одежды 4-хсекционный 1200х400х1450 мм, материал корпуса, полок и дверей ЛДСП 16мм, задняя стенка МДФ 5мм</t>
  </si>
  <si>
    <t>Шкаф для одежды, закрыт 4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1200х400х1450 мм</t>
  </si>
  <si>
    <t>522-101-1229-0017</t>
  </si>
  <si>
    <t>Шкаф для одежды 5-тисекционный 1500х400х1450 мм, материал корпуса, полок и дверей ЛДСП 16мм, задняя стенка МДФ 5мм</t>
  </si>
  <si>
    <t>Шкаф для одежды, закрыт 5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1500х400х1450 мм</t>
  </si>
  <si>
    <t>522-101-1229-0018</t>
  </si>
  <si>
    <t>Шкаф для одежды 800х540х1930 мм, материал корпуса, полок и дверей ЛДСП 16мм, задняя стенка МДФ 5мм</t>
  </si>
  <si>
    <t>Шкаф для одежды, закрыт 2 дверьми, полками для головного убора и обуви и перекладина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800х540х1930 мм</t>
  </si>
  <si>
    <t>522-101-1229-0019</t>
  </si>
  <si>
    <t>Шкаф для одежды 600х380х2100мм</t>
  </si>
  <si>
    <t>Шкаф для одежды. Ширина 600мм, глубина - 380мм, высота 2 100мм. Шкаф выполнен из ЛДСП 16мм. Торцы облицованы кромкой ПВХ толщиной 2мм. Ручка металлическая. Предусмотрен турникет. Имеется полка для головного убора.</t>
  </si>
  <si>
    <t>522-101-1229-0020</t>
  </si>
  <si>
    <t>Шкаф для одежды 800х500х1970мм</t>
  </si>
  <si>
    <t>Ширина - 800мм, глубина - 500мм, высота 1970мм. Шкаф выполнен из ЛДСП 16мм. Торцы облицованы ударопрочной кромкой ПВХ толщиной 2мм. Ручки металлические.</t>
  </si>
  <si>
    <t>522-101-1229-0021</t>
  </si>
  <si>
    <t>Шкаф для одежды 4-х секционный 1296х352х1365 мм</t>
  </si>
  <si>
    <t>Шкаф 4-х секционный для одежды детей. Размер: 1296х352х1365мм.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</si>
  <si>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522-101-1229-0022</t>
  </si>
  <si>
    <t>Шкаф для одежды 800х500х2000мм</t>
  </si>
  <si>
    <t>Шкаф поделен на две части, первая часть состоит из полок, вторая часть состоит из штанги для хранения одежды на плечиках и выдвижных ящиков.
Регулируемые по высоте ножки для корректировки неровности пола. Материал ЛДСП 16мм. Цвет по согласованию с заказчиком. Дверцы распашные.</t>
  </si>
  <si>
    <t>522-101-1229-0023</t>
  </si>
  <si>
    <t>Шкаф для одежды 4-хсекционный 1500х600х1800мм, материал корпуса, полок и дверей ЛДСП 16мм</t>
  </si>
  <si>
    <t>В конструкции предусмотрены два отделения со стационарными штангами и два отделения – с полками для головного убора и обуви. Материал корпуса: ЛДСП 16 мм. Материал фасада: ЛДСП 16 мм. Цвет корпуса по согласованию. Цвет задней стенки: белый ЛХДФ 4 мм.</t>
  </si>
  <si>
    <t>522-101-1229-0025</t>
  </si>
  <si>
    <t>Шкаф для одежды 800х420х1930 мм. ЛДСП 16мм. Полки закрытые. Задняя стенка из ламинированного МДФ 5 мм</t>
  </si>
  <si>
    <t>Шкаф закрыт 2 дверьми, с полками для головного убора и обуви, перекладина для одежды. Материал корпуса, полок и дверей из ЛДСП 16 мм. Задняя стенка из ламинированного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800х420х1930 мм</t>
  </si>
  <si>
    <t>522-101-1229-0026</t>
  </si>
  <si>
    <t>Шкаф для одежды 800х430х1800мм. Материал корпуса, полок и дверей ЛДСП 16 мм. Задняя стенка из ламинированного МДФ 5 мм</t>
  </si>
  <si>
    <t>Закрыт 2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см.Под цвет шкафов для хранения.</t>
  </si>
  <si>
    <t>522-101-1229-0027</t>
  </si>
  <si>
    <t>Шкаф для одежды. Размер 800х540х1930. Материал корпуса, полок и дверей из ЛДСП 16 мм. Задняя стенка из МДФ 5мм</t>
  </si>
  <si>
    <t>Размер 800х540х1930мм. Закрыт 2 дверьми. Полки для головного убора и обуви, перекладина. Материал корпуса, полок и дверей из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Под цвет шкафов для хранения.</t>
  </si>
  <si>
    <t>522-101-1229-0029</t>
  </si>
  <si>
    <t>Шкаф для одежды 2-х дверный, ЛДСП 16 мм, размеры 800х540х1930 мм</t>
  </si>
  <si>
    <t>Несущие части, полки, фасадная часть – ЛДСП толщиной не менее 16 мм, задняя стенка – ХДФ не менее 3 мм. Кромка из ПВХ не менее 0,4 мм.
Вверху должно быть отделение для головных уборов. Под ним должна быть штанга для одёжных плечиков. Сборка должна производиться с помощью конфирматов 6,3х50 и эксцентриковых стяжек. Петля для дверок должна быть внешняя с европланкой. Мебельные ножки должны быть регулируемые по высоте для компенсации неровностей пола.</t>
  </si>
  <si>
    <t>522-101-1229-0030</t>
  </si>
  <si>
    <t>Шкаф для одежды, размеры 600х450х1950 мм. ЛДСП 16 мм, кромка ПВХ, одна дверь</t>
  </si>
  <si>
    <t>Корпус, толщина 16мм выполнены из ЛДСП, кромка ПВХ не менее 1мм в цвет ЛДСП. Задняя стенка ДВПО. Ножки черные пластиковые регулируемые H-27мм.</t>
  </si>
  <si>
    <t>522-101-1229-0031</t>
  </si>
  <si>
    <t>Шкаф для одежды, размеры 600х580х1950 мм. ЛДСП 16 мм, кромка ПВХ</t>
  </si>
  <si>
    <t>522-101-1229-0032</t>
  </si>
  <si>
    <t>Шкаф для одежды, размеры 800х450х1950 мм. ЛДСП 16 мм, кромка ПВХ, две двери</t>
  </si>
  <si>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</si>
  <si>
    <t>522-101-1229-0033</t>
  </si>
  <si>
    <t>Шкаф для одежды, размеры 800х580х1950 мм. ЛДСП 16 мм, кромка ПВХ, две двери</t>
  </si>
  <si>
    <t>522-101-1229-0034</t>
  </si>
  <si>
    <t>Шкаф-локер, размеры 400х450х1598 мм, 4 распашные двери, ЛДСП 16 мм, кромка ПВХ</t>
  </si>
  <si>
    <t>Корпус, толщина 16мм выполнены из ЛДСП, кромка ПВХ не менее 1мм в цвет ЛДСП. Задняя стенка ЛДСП. распашные двери</t>
  </si>
  <si>
    <t>522-101-1231</t>
  </si>
  <si>
    <t>Шкаф закрытый</t>
  </si>
  <si>
    <t>522-101-1231-0001</t>
  </si>
  <si>
    <t>Шкаф закрытый 800х420х1930 мм. ЛДСП
16мм. Полки закрытые</t>
  </si>
  <si>
    <t>522-101-1231-0002</t>
  </si>
  <si>
    <t>Шкаф закрытый 800х400х1802 мм. ЛДСП
16мм. Полки закрытые</t>
  </si>
  <si>
    <t>522-101-1231-0003</t>
  </si>
  <si>
    <t>Шкаф закрытый 800х400х1452 мм. ЛДСП
16мм. Полки закрытые</t>
  </si>
  <si>
    <t>522-101-1231-0004</t>
  </si>
  <si>
    <t>Шкаф закрытый 800х400х750мм. ЛДСП
16мм. Полки закрытые</t>
  </si>
  <si>
    <t>Шкаф закрытый 800х400х750мм. ЛДСП 16мм. Полки закрытые</t>
  </si>
  <si>
    <t>522-101-1231-0005</t>
  </si>
  <si>
    <t>Шкаф инструментальный 1000х500х2000
мм. ЛДСП 16мм. Полки закрытые</t>
  </si>
  <si>
    <t>Шкаф имеет вставные полки за двумя глухими дверками. В производстве используется материал ЛДСП 16 мм, торцы закатаны кромочным материалом ПВХ 1,5 мм.  Фурнитура: конфирматы, стяжка BLUM, полкодержатель металлический (без пластиковых элементов), ручка 128 мм (без острых углов), навес мебельный BLUM, ножка мебельная.</t>
  </si>
  <si>
    <t>522-101-1231-0006</t>
  </si>
  <si>
    <t>Шкаф закрытый для плакатов (карт) низкий
1200х400х800мм. ЛДСП 16мм</t>
  </si>
  <si>
    <t>Шкаф для плакатов (карт) низкий, корпус ЛДСП 16 мм, кромка ПВХ, поделен на 2 секции.  Ручки металлические с хромированным покрытием. Предназначена для хранения пособий, карт, плакатов и других учебных принадлежностей. Размеры: ширина — 1200 мм, глубина — 400 мм, высота
— 800 мм. На дверях по 2 петли и по 1 металлической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</si>
  <si>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522-101-1231-0007</t>
  </si>
  <si>
    <t>Шкаф для документов закрытый
400х450х422мм, ЛДСП 16мм</t>
  </si>
  <si>
    <t>Корпус выполнен из ЛДСП, толщиной 16мм, кромка ПВХ не менее 1мм в цвет ЛДСП. Фасады ЛДСП 16мм. Задняя стенка ДВПО. Ножки черные плас. рег. H-27мм. Фасад на двух петлях имеет правое или левое открывание</t>
  </si>
  <si>
    <t>522-101-1231-0008</t>
  </si>
  <si>
    <t>Шкаф для документов закрытый
800х450х422мм, ЛДСП 16мм</t>
  </si>
  <si>
    <t>Корпус выполнен из ЛДСП, толщиной 16мм, кромка ПВХ не менее 1мм в цвет ЛДСП. Фасады  ЛДСП 16мм. Задняя стенка ДВПО. Ножки черные плас. рег. H-27мм. Шкаф имеет две распашные двери на двух петлях с каждой стороны</t>
  </si>
  <si>
    <t>522-101-1231-0009</t>
  </si>
  <si>
    <t>Шкаф для документов закрытый 800х450х422мм, 4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</si>
  <si>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</si>
  <si>
    <t>522-101-1231-0010</t>
  </si>
  <si>
    <t>Шкаф для документов закрытый 800х450х422мм, 1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</si>
  <si>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выдвижной ящик</t>
  </si>
  <si>
    <t>522-101-1231-0011</t>
  </si>
  <si>
    <t>Шкаф для документов закрытый 1200х450х422мм, 3 распашные двери,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</si>
  <si>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</si>
  <si>
    <t>522-101-1231-0012</t>
  </si>
  <si>
    <t>Шкаф для документов закрытый 1200х450х422мм, две распашные двери, два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</si>
  <si>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с двух сторон и два выдвижных ящика по центру</t>
  </si>
  <si>
    <t>522-101-1231-0013</t>
  </si>
  <si>
    <t>Шкаф для документов закрытый 1200х450х422мм,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</si>
  <si>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ящика</t>
  </si>
  <si>
    <t>522-101-1231-0014</t>
  </si>
  <si>
    <t>Шкаф для документов закрытый 800х450х814мм, четыре выдвижных ящика, ЛДСП 16мм</t>
  </si>
  <si>
    <t>522-101-1231-0015</t>
  </si>
  <si>
    <t>Шкаф для документов закрытый 800х450х814мм, восемь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</si>
  <si>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8 выдвижных ящика</t>
  </si>
  <si>
    <t>522-101-1231-0016</t>
  </si>
  <si>
    <t>Шкаф для документов закрытый 1200х450х814мм, три распашные двери,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</si>
  <si>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</si>
  <si>
    <t>522-101-1231-0017</t>
  </si>
  <si>
    <t>Шкаф для документов закрытый 400х450х1200мм, 3 распашные двери, ЛДСП 16мм</t>
  </si>
  <si>
    <t>522-101-1231-0018</t>
  </si>
  <si>
    <t>Шкаф для документов закрытый 800х450х1200мм,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</si>
  <si>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ящиков</t>
  </si>
  <si>
    <t>522-101-1231-0019</t>
  </si>
  <si>
    <t>Шкаф для документов закрытый 1200х450х1206мм, 9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</si>
  <si>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 имеет 9 распашных дверей</t>
  </si>
  <si>
    <t>522-101-1231-0020</t>
  </si>
  <si>
    <t>Шкаф для документов закрытый 400х450х1598мм,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</si>
  <si>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полки ЛДСП 16мм</t>
  </si>
  <si>
    <t>522-101-1231-0021</t>
  </si>
  <si>
    <t>Шкаф для документов закрытый 800х450х1598мм,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</si>
  <si>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</si>
  <si>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522-101-1231-0022</t>
  </si>
  <si>
    <t>Шкаф для документов закрытый 800х450х1598мм, 4 распашные двери, полки, ЛДСП 16мм</t>
  </si>
  <si>
    <t>522-101-1231-0023</t>
  </si>
  <si>
    <t>Шкаф для документов закрытый 800х450х1598мм, 8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</si>
  <si>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 имеет 8 распашных дверей</t>
  </si>
  <si>
    <t>522-101-1231-0024</t>
  </si>
  <si>
    <t>Шкаф для документов закрытый 1200х450х1598мм, 12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</si>
  <si>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t>
  </si>
  <si>
    <t>522-101-1231-0025</t>
  </si>
  <si>
    <t>Шкаф для документов закрытый 400х450х1990мм, 1 распашная дверь,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</si>
  <si>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</si>
  <si>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522-101-1231-0026</t>
  </si>
  <si>
    <t>Шкаф для документов закрытый 800х450х1990мм,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</si>
  <si>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</si>
  <si>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522-101-1231-0027</t>
  </si>
  <si>
    <t>Шкаф для документов закрытый 800х450х1990мм, 4 распашные двери, полки, ЛДСП 16мм</t>
  </si>
  <si>
    <t>522-101-1231-0028</t>
  </si>
  <si>
    <t>Шкаф для документов закрытый 800х380х1970мм. ЛДСП 16мм</t>
  </si>
  <si>
    <t>Шкаф для документов. Ширина - 800мм, глубина - 380мм, высота 1970мм.
Шкаф выполнен из ламинированной ДСП 16мм. Торцы облицованы ударопрочной кромкой ПВХ толщиной 2мм. Ручки металлические.</t>
  </si>
  <si>
    <t>522-101-1231-0029</t>
  </si>
  <si>
    <t>Шкаф для хранения игрушек и пособий закрытый 600х500х1850мм, снизу четыре выдвижные полки, сверху две распашные двери, ЛДСП 16 мм</t>
  </si>
  <si>
    <t>Шкаф для хранения игрушек и пособий 600х500х1850мм, ЛДСП 16 мм, кромка ПВХ. Снизу четыре выдвижные полки, сверху 2 распашные двери (4 полки).</t>
  </si>
  <si>
    <t>522-101-1231-0030</t>
  </si>
  <si>
    <t>Шкаф для хранения игрушек и пособий. Размеры 600х500х1860мм. Снизу четыре выдвижные полки, сверху 2 распашные двери (4 полки). Материал корпуса, полок, выдвижных ящиков ЛДСП 16 мм. Задняя стенка и нижняя часть выдвижных ящиков из ламинированного МДФ 5 мм</t>
  </si>
  <si>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Нижняя часть ящиков соединяется таким же способом канала Для предотвращения воздействия воды и влаги на шкаф предусмотрены 4
ножки высотой 5 см</t>
  </si>
  <si>
    <t>522-101-1231-0031</t>
  </si>
  <si>
    <t>Шкаф для документов закрытый 1240х600х3500мм, 2 распашные двери, корпус, полки и двери из ЛДСП 16мм, задняя стенка из ламинированного МДФ 5 мм</t>
  </si>
  <si>
    <t>Шкаф для документов, закрыт 2 дверьми c полками.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длина 1240мм, глубина 600мм, высота 3500мм</t>
  </si>
  <si>
    <t>522-101-1231-0036</t>
  </si>
  <si>
    <t>Шкаф для плакатов и карт (низкий), 5 вертикальных отделов, ЛДСП 16 мм, размеры 1100х445х1630 мм</t>
  </si>
  <si>
    <t>Предназначен для размещения учебных плакатов, малогабаритных карт и прочей листовой продукции. Габаритные размеры должны быть, не менее: ширина 1100 мм, глубина 420 мм, высота 1630 мм. Шкаф должен иметь две распашные дверцы на всю высоту шкафа. Внутри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Данные вертикальные отделы должны быть изготовлены из вертикальных планок (или полок) из ЛДСП толщиной не менее 16 мм размерами не менее: 1060х328 мм – 1 штука, которая должна крепиться к боковым стенкам каркаса шкафа с помощью минификс (эксцентрик), и 160х498 мм - 3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Планки должны крепиться на высоте не менее 150 мм от дна шкафа. Также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Несущие части, полки, фасадная часть – ЛДСП не менее 16 мм, задняя стенка – ХДФ не менее 3 мм. Кромка из ПВХ не менее 0,4 мм.
Сборка должна производиться с помощью конфирматов 6,3х50 и
эксцентриковых стяжек. Петля для дверок должна быть шарнирная накладная. Мебельные ножки должны регулироваться по высоте для компенсации неровностей пола.</t>
  </si>
  <si>
    <t>522-101-1232</t>
  </si>
  <si>
    <t>Шкаф закрытый полуостекленный</t>
  </si>
  <si>
    <t>522-101-1232-0001</t>
  </si>
  <si>
    <t>Шкаф закрытый полуостекленный 800х400х1800 мм</t>
  </si>
  <si>
    <t>Шкаф закрытый полуостекленный 800х400х1800 мм. Корпус ЛДСП 16мм. Фасады верх - стекло, прозрачное, в рамке МДФ.  Полки - ЛДСП 16мм</t>
  </si>
  <si>
    <t>522-101-1232-0002</t>
  </si>
  <si>
    <t>Шкаф закрытый полуостекленный 800х400х1450 мм</t>
  </si>
  <si>
    <t>Шкаф закрытый полуостекленный 800х400х1450 мм. Корпус ЛДСП 16мм. Фасады верх - стекло, прозрачное, в рамке МДФ.  Полки - ЛДСП 16мм</t>
  </si>
  <si>
    <t>522-101-1232-0003</t>
  </si>
  <si>
    <t>Шкаф закрытый полуостекленный 849х376х1835мм , полуоткрытый со стеклом,4 полки, 4 дверцы, регулируемые ножки, ЛДСП 16мм</t>
  </si>
  <si>
    <t>Шкаф закрытый полуостекленный 849х376х1835мм. Корпус ЛДСП 16мм.
Верх стекло, низ закрытый. Полки - ЛДСП 16мм</t>
  </si>
  <si>
    <t>522-101-1232-0004</t>
  </si>
  <si>
    <t>Шкаф закрытый полуостекленный
755х356х2000мм</t>
  </si>
  <si>
    <t>Несущие части, полки, фасадная часть – ЛДСП 16мм, задняя стенка - ДВП 4мм. Верхняя секция с тремя полками, с двумя полуостекленными
дверцами и двумя ручками. Стекло в раме.</t>
  </si>
  <si>
    <t>522-101-1232-0005</t>
  </si>
  <si>
    <t>Шкаф закрытый полуостекленный
850х400х2000 мм</t>
  </si>
  <si>
    <t>Шкаф для документов изготовлен из ЛДСП 16мм, задняя стенка - ДВП 4мм. Верхняя секция с тремя полками, с двумя полуостекленными дверцами и двумя ручками. Нижняя секция с двумя дверцами и двумя полками. Замки на нижних дверцах и две ручки. Стекло в раме. Фурнитура: конфирманты, кромка - ПВХ 2мм, стяжка типа BLUM, полкодержатель металлический без пластиковых элементов, ручка 128 мм без острых углов, навес мебельный типа BLUM, ножка мебельная.</t>
  </si>
  <si>
    <t>522-101-1232-0006</t>
  </si>
  <si>
    <t>Шкаф закрытый полуостекленный 800х400х1800мм. ЛДСП 16мм. Верхние двери в алюминиевом профиле, стекло бесцветное. Задняя стенка из МДФ 5мм</t>
  </si>
  <si>
    <t>Шкаф закрытый полуостекленный 800х400х1800 мм.Корпус, двери и полки из ЛДСП 16мм, верхняя часть - закрытые полки с фасадом Стекло.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Верхние двери в алюминиевом профиле, стекло бесцветное.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</si>
  <si>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522-101-1232-0008</t>
  </si>
  <si>
    <t>Шкаф полуостекленный, стело в рамке, материал ЛДСП 16 мм, размеры 800х420х1930 мм</t>
  </si>
  <si>
    <t>Верхняя секция должна быть с тремя полками, с двумя остекленными дверцами. Стекло в рамке, ширина рамки 55 мм. Дверцы с ручками и внутренним замком. Высота остеклённой части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ПВХ – 0,4 мм. Сборка должна производиться с помощью конфирматов 6,3х50 и эксцентриковых стяжек. Петля для дверок внешняя с европланкой. Мебельные ножки должны регулироваться по высоте для компенсации неровностей пола.</t>
  </si>
  <si>
    <t>522-101-1233</t>
  </si>
  <si>
    <t>Шкаф для учебно-наглядных пособий</t>
  </si>
  <si>
    <t>522-101-1233-0001</t>
  </si>
  <si>
    <t>Шкаф для учебно-наглядных пособий полуоткрытый с открытыми верхними полками и закрытой нижней частью. Размер 600х350х1400мм. ЛДСП 16мм.</t>
  </si>
  <si>
    <t>Шкаф для учебно-наглядных пособий полуоткрытый с открытыми верхними полками и закрытой нижней частью. Размер 600х350х1400мм.
ЛДСП 16мм.</t>
  </si>
  <si>
    <t>522-101-1233-0002</t>
  </si>
  <si>
    <t>Шкаф книжный полуоткрытый с открытыми верхними полками и закрытой нижней частью. Размер 800х520х1800мм. ЛДСП 16мм.</t>
  </si>
  <si>
    <t>522-101-1233-0003</t>
  </si>
  <si>
    <t>Шкаф для документов с полками закрытый,
размер 800х450х1800мм, ЛДСП 16мм.</t>
  </si>
  <si>
    <t>Шкаф для документов с полками закрытый, размер 800х450х1800мм, ЛДСП 16мм.</t>
  </si>
  <si>
    <t>522-101-1233-0004</t>
  </si>
  <si>
    <t>Шкаф для учебно-наглядных пособий полуоткрытый. Размер 800х400х2050мм/800х450х2050мм. ЛДСП
16мм.</t>
  </si>
  <si>
    <t>Шкаф для учебно-наглядных пособий полуоткрытый. Размер 800х400х2050мм/800х450х2050мм. ЛДСП 16мм.</t>
  </si>
  <si>
    <t>522-101-1233-0005</t>
  </si>
  <si>
    <t>Шкаф книжный полуоткрытый с открытыми верхними полками и закрытой нижней частью. Размер 800х380х2000мм. ЛДСП 16мм.</t>
  </si>
  <si>
    <t>522-101-1233-0006</t>
  </si>
  <si>
    <t>Шкаф для документов с полками закрытый, размер 849х376х1835мм, ЛДСП 16мм</t>
  </si>
  <si>
    <t>Шкаф для документов с полками закрытый, размер 849х376х1835мм, ЛДСП 16мм. 4 глухие двери.</t>
  </si>
  <si>
    <t>522-101-1233-0007</t>
  </si>
  <si>
    <t>Шкаф для документов с полками закрытый, размер 800х380х2000мм, ЛДСП 16мм</t>
  </si>
  <si>
    <t>Шкаф имеет четыре вставные полки за двумя глухими фасадами. В производстве используется материал ЛДСП 16 мм, торцы закатаны кромочным материалом ПВХ 1,5 мм. Фурнитура: конфирматы, стяжка BLUM, полкодержатель металл. (без пластиковых элементов), ручка 128 мм. (без острых углов), навес мебельный BLUM, ножка мебельная.</t>
  </si>
  <si>
    <t>522-101-1233-0008</t>
  </si>
  <si>
    <t>Шкаф многофункциональный с открытыми верхними полками и закрытой нижней частью. Размер 1200х400х2300мм. ЛДСП 16мм.</t>
  </si>
  <si>
    <t>Шкаф изготовлен из ЛДСП 16мм, задняя стенка - ДВП 4мм. Верхняя часть разделена на квадратные отсеки имеет 9 открытых полок. Нижняя секция имеет 3 закрытых полок с дверьми. Фурнитура: конфирматы,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</si>
  <si>
    <t>522-101-1233-0009</t>
  </si>
  <si>
    <t>Шкаф полуоткрытый с открытыми верхними полками и закрытой нижней частью. Размер 850х400х2000мм. ЛДСП 16мм.</t>
  </si>
  <si>
    <t>Шкаф изготовлен из ЛДСП 16мм, задняя стенка - ДВП 4мм. Верхняя секция с тремя полками, нижняя секция с двумя полками и двумя дверцами. Замки на нижних дверцах и две ручки. Фурнитура: конфирманты,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</si>
  <si>
    <t>522-101-1233-0010</t>
  </si>
  <si>
    <t>Шкаф закрытый 800х432х2050мм. ЛДСП 16мм, задняя стенка МДФ 5мм</t>
  </si>
  <si>
    <t>Корпус, фасад верхний и нижний из ЛДСП 16мм, средняя секция - полка для бумаг без фасада,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</si>
  <si>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522-101-1233-0011</t>
  </si>
  <si>
    <t>Шкаф для документов полуоткрытый 800х450х422мм, одна из двух частей закрыта распашной дверью, ЛДСП 16мм</t>
  </si>
  <si>
    <t>Корпус, толщ 16мм выполнены из ЛДСП, кромка ПВХ не менее 1мм в цвет ЛДСП. Фасады  ЛДСП 16мм Задняя стенка ДВПО. Ножки черные плас. рег. H-27мм 800*450*422. Шкаф разделен на 2 части одна из них  закрыта на распашную дверь</t>
  </si>
  <si>
    <t>522-101-1233-0012</t>
  </si>
  <si>
    <t>Шкаф для документов полуоткрытый 1200х450х814мм, четыре открытые полки, один распашной фасад по центру, ЛДСП 16мм</t>
  </si>
  <si>
    <t>Корпус выполнен из ЛДСП, толщиной 16мм, кромка ПВХ не менее 1мм в цвет ЛДСП. Фасады  ЛДСП 16мм Задняя стенка ДВПО. Ножки черные плас. рег. H-27мм, разделен на 3 части, в центре имеется 1 распашной фасад</t>
  </si>
  <si>
    <t>522-101-1233-0013</t>
  </si>
  <si>
    <t>Шкаф для документов полуоткрытый 1200х450х814мм, верхние полки открытые, в нижней части распашные двери, ЛДСП 16мм</t>
  </si>
  <si>
    <t>Корпус выполнен из ЛДСП, толщиной 16мм, кромка ПВХ не менее 1мм в цвет ЛДСП. Фасады  ЛДСП 16мм. Задняя стенка ДВПО. Ножки черные плас. рег. H-27мм, в нижней части распашные двери</t>
  </si>
  <si>
    <t>522-101-1233-0014</t>
  </si>
  <si>
    <t>Шкаф для документов полуоткрытый 1200х450х814мм, по центру открытые полки, по двум сторонам 4 полки за распашными фасадами, ЛДСП 16мм</t>
  </si>
  <si>
    <t>Корпус выполнен из ЛДСП, толщиной 16мм, кромка ПВХ не менее 1мм в цвет ЛДСП. Фасады  ЛДСП 16мм. Задняя стенка ДВПО. Ножки черные плас. рег. H-27мм, по центру открытые полки, по двум сторонам 4 полки за распашными фасадами</t>
  </si>
  <si>
    <t>522-101-1233-0015</t>
  </si>
  <si>
    <t>Шкаф для документов полуоткрытый 400х450х1200мм, верхняя часть открытая, в нижней части два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</si>
  <si>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2 штуки</t>
  </si>
  <si>
    <t>522-101-1233-0016</t>
  </si>
  <si>
    <t>Шкаф для документов полуоткрытый 400х450х1200мм, верхняя часть открытая, в нижней части один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</si>
  <si>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1 штука</t>
  </si>
  <si>
    <t>522-101-1233-0017</t>
  </si>
  <si>
    <t>Шкаф для документов полуоткрытый 400х450х1200мм, верхняя часть одна распашная дверь, по центру открытая полка и в нижней части один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</si>
  <si>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1 распашная дверь, по центру открытая полка и в нижней части один выдвижной ящик</t>
  </si>
  <si>
    <t>522-101-1233-0018</t>
  </si>
  <si>
    <t>Шкаф для документов полуоткрытый 800х450х1200мм, одна часть с открытыми полками, вторая часть закрыта тремя распашными дверями, ЛДСП 16мм</t>
  </si>
  <si>
    <t>Корпус выполнен из ЛДСП, толщиной 16мм, кромка ПВХ не менее 1мм в цвет ЛДСП. Фасады  ЛДСП 16мм. Задняя стенка ДВПО. Ножки черные плас. рег. H-27мм, шкаф состоит из 2х частей одна сторона открытые полки. Вторая часть распашные двери в количестве 3 штук</t>
  </si>
  <si>
    <t>522-101-1233-0019</t>
  </si>
  <si>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</si>
  <si>
    <t>Корпус выполнен из ЛДСП, толщиной 16мм, кромка ПВХ не менее 1мм в цвет ЛДСП. Фасады ЛДСП 16мм. Задняя стенка ДВПО. Ножки черные плас. рег. H-27мм, в нижней части 1 широкий выдвижной ящик, с правой стороны 2 распашные двери в верхней части и в центральной</t>
  </si>
  <si>
    <t>522-101-1233-0020</t>
  </si>
  <si>
    <t>Шкаф для документов полуоткрытый 1200х450х1206мм, шесть распашных дверей 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</si>
  <si>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t>
  </si>
  <si>
    <t>522-101-1233-0021</t>
  </si>
  <si>
    <t>Шкаф для документов полуоткрытый 1200х450х1206мм, имеет сверху и снизу шесть распашных дверей, по центру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</si>
  <si>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сверху и снизу 6 распашных верей</t>
  </si>
  <si>
    <t>522-101-1233-0022</t>
  </si>
  <si>
    <t>Шкаф для документов полуоткрытый 1200х450х1206мм, имеет три распашные двери, расположенные по диагонали,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</si>
  <si>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 расположенные по диагонали</t>
  </si>
  <si>
    <t>522-101-1233-0023</t>
  </si>
  <si>
    <t>Шкаф для документов полуоткрытый 1200х450х1206мм, пять распашных дверей в шахматном порядке,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</si>
  <si>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в шахматном порядке</t>
  </si>
  <si>
    <t>522-101-1233-0024</t>
  </si>
  <si>
    <t>Шкаф для документов полуоткрытый 400х450х1598мм, имеет два выдвижных ящика в нижней части, открытые верхние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</si>
  <si>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выдвижных ящика в нижней части шкафа</t>
  </si>
  <si>
    <t>522-101-1233-0025</t>
  </si>
  <si>
    <t>Шкаф для документов полуоткрытый 400х450х1598мм, один распашной фасад в верхней части, один выдвижной ящик в нижней части, открытые полки по центру,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</si>
  <si>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распашной фасад в верхней части, и 1 выдвижной ящик в нижней части шкафа</t>
  </si>
  <si>
    <t>522-101-1233-0026</t>
  </si>
  <si>
    <t>Шкаф для документов полуоткрытый 800х450х1598мм, две распашные двери в нижней части, верхние открытые полки, ЛДСП 16мм</t>
  </si>
  <si>
    <t>Корпус, толщ 16мм выполнены из ЛДСП, кромка ПВХ не менее 1мм в цвет ЛДСП. Фасады  ЛДСП 16мм Задняя стенка ДВПО. Ножки черные плас. рег.
H-27мм, имеет 2 распашные двери в нижней части шкафа</t>
  </si>
  <si>
    <t>522-101-1233-0027</t>
  </si>
  <si>
    <t>Шкаф для документов полуоткрытый 800х450х1598мм, две распашные двери в нижней части шкафа, четыре верхних открытых отделения, ЛДСП 16мм</t>
  </si>
  <si>
    <t>Корпус выполнен из ЛДСП, толщиной 16мм, кромка ПВХ не менее 1мм в цвет ЛДСП. Фасады  ЛДСП 16мм. Задняя стенка ДВПО. Ножки черные плас. рег. H-27мм 8</t>
  </si>
  <si>
    <t>522-101-1233-0028</t>
  </si>
  <si>
    <t>Шкаф для документов полуоткрытый 800х450х1598мм, четыре распашных двери и четыре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</si>
  <si>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4 распашных двери распаложенные в шахматном порядке</t>
  </si>
  <si>
    <t>522-101-1233-0029</t>
  </si>
  <si>
    <t>Шкаф для документов полуоткрытый 800х450х1598мм, одна распашная дверь, два выдвижных ящика, две открытые полки, ЛДСП 16мм</t>
  </si>
  <si>
    <t>Корпус, толщ 16мм выполнены из ЛДСП, кромка ПВХ не менее 1мм в цвет ЛДСП. Фасады  ЛДСП 16мм Задняя стенка ДВПО. Ножки черные плас. рег. H-27мм, имеет с одной стороны 1 распашную дверь и 2 выдвижных ящика с другой стороны</t>
  </si>
  <si>
    <t>522-101-1233-0030</t>
  </si>
  <si>
    <t>Шкаф для документов полуоткрытый 1200х450х1598мм, две распашные двери, полки открытые, ЛДСП 16мм</t>
  </si>
  <si>
    <t>Корпус, толщ 16мм выполнены из ЛДСП, кромка ПВХ не менее 1мм в цвет ЛДСП. Фасады  ЛДСП 16мм Задняя стенка ДВПО. Ножки черные плас. рег.
H-27мм</t>
  </si>
  <si>
    <t>522-101-1233-0031</t>
  </si>
  <si>
    <t>Шкаф локер для документов полуоткрытый 1200х450х1598мм, шесть распашных дверей и шесть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</si>
  <si>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 расположенные в шахматном порядке</t>
  </si>
  <si>
    <t>522-101-1233-0032</t>
  </si>
  <si>
    <t>Шкаф для документов полуоткрытый 400х450х1990мм, один фасад распашной и два выдвижных ящика в нижней части,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</si>
  <si>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фасад распашной и 2 выдвижных ящика в нижней части</t>
  </si>
  <si>
    <t>522-101-1233-0033</t>
  </si>
  <si>
    <t>Шкаф для документов полуоткрытый 800х450х1990мм, две распашные двери в нижней части, верхние открытые полки, ЛДСП 16мм</t>
  </si>
  <si>
    <t>522-101-1233-0034</t>
  </si>
  <si>
    <t>Шкаф для документов полуоткрытый 800х450х1990мм, пять распашных дверей и пять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</si>
  <si>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расположенных в шахматном порядке</t>
  </si>
  <si>
    <t>522-101-1233-0035</t>
  </si>
  <si>
    <t>Шкаф для бумаг полуоткрытый 800х380х2100мм. Верхние полки открытые, в нижней части распашные двери, ЛДСП 16мм</t>
  </si>
  <si>
    <t>Шкаф для бумаг. Ширина - 800мм, глубина - 380мм, высота 2 100мм. Шкаф выполнен из ламинированной ДСП 16мм. Торцы облицованы ударопрочной кромкой ПВХ толщиной 2мм. Ручки металлические.</t>
  </si>
  <si>
    <t>522-101-1233-0036</t>
  </si>
  <si>
    <t>Шкаф под файлы полуоткрытый 800х380х1970мм. Верхние полки открытые, в нижней части распашные двери, ЛДСП 16мм</t>
  </si>
  <si>
    <t>Ширина - 800мм, глубина - 380мм, высота 1970мм. Шкаф выполнен из ЛДСП 16мм. Торцы облицованы ударопрочной кромкой ПВХ толщиной 1,5-2мм. Ручки металлические.</t>
  </si>
  <si>
    <t>522-101-1233-0037</t>
  </si>
  <si>
    <t>Шкаф для учебно-наглядных пособий полуоткрытый 1300х420х1200мм, по центру открытые полки, по бокам две распашные двери, ЛДСП 16мм</t>
  </si>
  <si>
    <t>Ширина -1 300мм, глубина - 420мм, высота 1 200мм. Шкаф выполнен из ЛДСП 16мм. Торцы облицованы ударопрочной кромкой ПВХ толщиной 2мм. Ручки металлические.</t>
  </si>
  <si>
    <t>522-101-1233-0038</t>
  </si>
  <si>
    <t>Шкаф полуоткрытый 800х400х1000мм, две распашные двери в нижней части, верхняя открытая полка, ЛДСП 16мм</t>
  </si>
  <si>
    <t>Шкаф полуоткрытый. Выполнен из ЛДСП 16 мм. Размер шкафа: ВхШхГ 1000х800х400 мм. Нижняя часть шкафа закрыта глухими распашными дверьми. В нижней закрытой части шкафа имеется полка. На дверях шкафа устанавливается удобная металлическая ручка-профиль. Цвет
ручки-профиль по желанию заказчика, в самых разнообразных цветовых решениях. Верх часть шкафа открытая полка. Ножки шкафа высотой 100 мм, изготовлена из хромированной трубы с регулируемой пластиковой заглушкой. Цвет шкафа: светло-серый.</t>
  </si>
  <si>
    <t>522-101-1233-0039</t>
  </si>
  <si>
    <t>Шкаф полуоткрытый 1050х500х2400мм, две распашные двери в нижней части, верхние открытые полки, ЛДСП 16мм. Задняя стенка из ламинированного МДФ 5 мм</t>
  </si>
  <si>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</si>
  <si>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522-101-1233-0040</t>
  </si>
  <si>
    <t>Шкаф для учебно-наглядных пособий полуоткрытый с открытыми верхними полками и закрытой нижней частью. Размер 600х350х1400мм. ЛДСП 16мм, задняя стенка МДФ 5мм</t>
  </si>
  <si>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</si>
  <si>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522-101-1233-0041</t>
  </si>
  <si>
    <t>Шкаф многофункциональный с открытыми верхними полками и закрытой нижней частью. Размер 1200х500х1800мм. ЛДСП 16мм, задняя стенка ламинированный МДФ 5 мм</t>
  </si>
  <si>
    <t>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</si>
  <si>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522-101-1233-0044</t>
  </si>
  <si>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</si>
  <si>
    <t>Материал ЛДСП 16 мм, кромка ПВХ 0,4 мм. Стенка состоит из четырех секций. Левая длиной 1200 мм, представляет собой закрытый шкаф, поделенный вертикальной перегородкой на две секции, в каждой из которых находится по 4 полки. С верху имеется открытая ниша, высотой 470 мм. Правый шкаф длиной 1200 мм, для одежды, имеет штангу для плечиков, а также открытую нишу высотой 470 мм. Два средних шкафа имеют одинаковую конструкцию, каждый длинной 1690 мм. Средние шкафы состоят из четырех ящиков, высотой 294 мм, с жестким дном на направляющих полного выдвижения. Над ящиками находится открытая ниша с полкой из крашенного МДФ, с прорезями для хранения домбр. Над полкой также присутствуют две открытые ниши, одна высотой 278 мм, а вторая 470 мм. Сборка должна производиться с помощью конфирматов 6,3х50 и эксцентриковых стяжек. Петля для дверок должна быть шарнирная накладная с функцией «softclose». Мебельные ножки должны регулироваться по высоте для компенсации неровностей пола.</t>
  </si>
  <si>
    <t>522-101-1233-0045</t>
  </si>
  <si>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</si>
  <si>
    <t>Для изготовления шкафа должна использоваться ЛДСП толщиной не менее 16 мм. Должен состоять из трех шкафов, каждый шириной не менее 800 мм. Два из них должны быть закрытыми, один – полуоткрытый. Каждый шкаф должен иметь 2 полки, разделяющие его на три равные по высоте горизонтальные секции. Общие габаритные размеры шкафа, не менее: длина 2400 мм, глубина 420 мм, высота 1230 мм. Дверцы должны быть с ручками и иметь внутренние врезные мебельные замки. Шкаф должен стоять на ножках высотой не более 30 мм, имеющих регулировку для компенсации неровностей пола. Между собой шкафы должны быть скреплены межсекционными стяжками. Задняя стенка должна быть из ХДФ не менее 3 мм. Кромка должна быть из ПВХ не менее 0,4 мм.</t>
  </si>
  <si>
    <t>522-101-1233-0046</t>
  </si>
  <si>
    <t>Шкаф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</si>
  <si>
    <t>Верхняя секция должна быть с 4 нишами закрытыми 4 глухими дверцами с ручками. Нижняя секция должна быть с двумя открытыми нишами и 1 выдвижным ящиком с ручкой.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</si>
  <si>
    <t>522-101-1233-0047</t>
  </si>
  <si>
    <t>Шкаф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</si>
  <si>
    <t>Верхняя секция должна быть с 4 открытыми нишами. Нижняя секция должна быть с 4 нишами закрытыми 4 глухими дверцами с ручкой и 1 выдвижным ящиком.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</si>
  <si>
    <t>522-101-1233-0048</t>
  </si>
  <si>
    <t>Шкаф комбинированный, два боковые закрытые, один с пятью полками, второй плательный с полкой для головных уборов и выдвижной вешалкой, размеры 2400х420х1930 мм</t>
  </si>
  <si>
    <t>Должен состоять из 3 шкафов. Два боковых должны быть закрытые, один с пятью полками, а второй плательный с полкой для головных уборов и выдвижной вешалкой. Дверцы должны быть с ручками и внутренним замком. Габаритные размеры каждой шкафа не менее: длина – 800 мм, глубина – 420 мм, высота – 1930 мм. Средняя секция должна быть с тремя открытыми и двумя закрытыми полками, двумя глухими дверцами, ручками и внутренним замком. Габаритные размеры не менее: длина – 800 мм, глубина – 420 мм, высота – 1930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</si>
  <si>
    <t>522-101-1233-0049</t>
  </si>
  <si>
    <t>Шкаф для документов на 8 ячеек, 4 из которых закрыты внутренними дверками, материал ЛДСП 16 мм, размеры 800х450х1600 мм</t>
  </si>
  <si>
    <t>Шкаф представляет из себя стеллаж, поделенный вертикальными и горизонтальными стойками на 8 ячеек, 4 из которых закрыты внутренними дверками. В дверях предусмотрен эргономический вырез, служащий в качестве ручки.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внутренняя с европланкой и функцией «softclose». Мебельные ножки должны регулироваться по высоте для компенсации неровностей пола.</t>
  </si>
  <si>
    <t>522-101-1233-0050</t>
  </si>
  <si>
    <t>Шкаф пристенный со столом лабораторный, корпус шкафов, полки из ЛДСП 16 мм, размеры 2000х470х2000 мм</t>
  </si>
  <si>
    <t>Общие габаритные размеры шкафа должны быть, не менее: ширина 2000 мм, глубина 470 мм, высота 2000 мм. Конструктивно шкаф должен быть выполнен из двух шкафов шириной 1000 мм, скрепленных между собой межсекционными стяжками. Для изготовления шкафа используется ЛДСП. Кромка должна быть из ПВХ не менее 0,4 мм. Каждый шкаф должен состоять из двух отделений. Верхнее и нижнее отделение каждого шкафа должно быть разделено на четыре одинаковые ниши. Нижнее отделение каждого шкафа должно быть закрыто двумя дверцами, имеющими ручки и врезной мебельный замок. Высота нижнего отделения каждого шкафа 900 мм. Шкафы должны стоять на ножках высотой не более 30 мм, имеющих регулировку для компенсации неровностей пола. Верхняя крышка закрытого отделения каждого шкафа должна быть изготовлена из ЛДСП не менее 32 мм. Корпус шкафов, полки – из ЛДСП не менее 16 мм. К шкафу должен крепиться приставной стол, габаритные размеры стола: длина не менее 1200 мм, ширина не менее 960 мм, высота над полом 900 мм.
Материал столешницы – ЛДСП толщиной не менее 32 мм с ударопрочной
поверхностью. Кромка из ПВХ не менее 2 мм. Материал стойки стола – ЛДСП толщиной не менее 32 мм.</t>
  </si>
  <si>
    <t>522-101-1233-0051</t>
  </si>
  <si>
    <t>Шкаф для учебно-наглядных пособий полуоткрытый с открытыми верхними полками и закрытой нижней частью. Размер 800х420х930 мм. ЛДСП 16мм.</t>
  </si>
  <si>
    <t>Верхняя секция должна быть открытая с тремя полками. Высота открытой секции - 1080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из ПВХ на торцах 0,4 мм. Сборка должна производиться с помощью конфирматов 6,3х50 и эксцентриковых стяжек. Петля для дверок
- внешняя с европланкой. Мебельные ножки должны регулироваться по высоте для компенсации неровностей пола.</t>
  </si>
  <si>
    <t>522-101-1233-0052</t>
  </si>
  <si>
    <t>Шкаф для 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</si>
  <si>
    <t>Для изготовления шкафа должна использоваться ЛДСП комбинированного декора. Кромка должна быть из ПВХ не менее 0,4 мм. Конструктивно шкаф должен иметь сверху два ряда открытых ячеек для маленьких лотков, по четыре ячейки в ряду, каждая размером 320х100 мм. Под ними слева должны располагаться три открытые вертикальные ячейки размером 320х250 мм для больших лотков. В нижней правой части шкафа за двумя распашными дверцами должны быть три ряда ячеек. Верхний ряд - одна ячейка размером 992х250 мм, второй и третий ряд по две ячейки размером 488х250 мм. Боковые стенки шкафа наверху должны иметь радиусные закругления. Крышка шкафа должна быть притоплена относительно стенок на 50 мм для образования рабочей поверхности с бортиками. Шкаф должен опираться на 6 колесных опор диаметром 50 мм.</t>
  </si>
  <si>
    <t>522-101-1233-0053</t>
  </si>
  <si>
    <t>Шкаф для музыкальных инструментов, размеры 2400х460х2030 мм, ЛДСП 16 мм, кромка ПВХ, 3 секции</t>
  </si>
  <si>
    <t>Материал ЛДСП 16 мм, кромка ПВХ 0,4 мм. Стенка состоит из 3 секций. Первая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Вторая секция состоит из верхней ниши за стеклянными фасадами в рамке ЛДСП, за которыми находится штанга с крючками, для хранения домбр. Ниже расположен выдвижной ящик. Под ним расположена одна глухая секция с полкой и одна открытая ниша с выдвижной полкой. Третья секция является зеркальным отображением второй, за исключением нижней открытой секции, которая поделена горизонтально полкой.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Петля для дверок должна быть шарнирная с быстросъемным механизмом и газовым доводчиком. Ручки металлические с межцентровым расстоянием 128 мм. Мебельные ножки должны регулироваться по высоте для компенсации неровностей пола.</t>
  </si>
  <si>
    <t>522-101-1235</t>
  </si>
  <si>
    <t>Шкаф открытый</t>
  </si>
  <si>
    <t>522-101-1235-0001</t>
  </si>
  <si>
    <t>Шкаф открытый 800х420х1930 мм. ЛДСП
16мм.</t>
  </si>
  <si>
    <t>Шкаф открытый 800х420х1930 мм. ЛДСП 16мм.</t>
  </si>
  <si>
    <t>522-101-1235-0002</t>
  </si>
  <si>
    <t>Шкаф стеллаж открытый 849х360х1835мм.
ЛДСП 16мм</t>
  </si>
  <si>
    <t>Шкаф стеллаж открытый 849х360х1835мм. ЛДСП 16мм. Открытые полки</t>
  </si>
  <si>
    <t>522-101-1235-0003</t>
  </si>
  <si>
    <t>Шкаф стеллаж открытый 1000х400х2100мм. Корпус, полки из ЛДСП 16мм, задняя стенка из МДФ 5мм</t>
  </si>
  <si>
    <t>Открытый стеллаж состоит из 4 полок. Материал корпуса, полок открытые из ЛДСП 16 мм. Задняя стенка из ламинированного МДФ 1го класса толщиной 5 мм. Кромка ПВХ с использованием высокотемпературного клея. Корпус и фиксированные полки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</si>
  <si>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522-101-1235-0004</t>
  </si>
  <si>
    <t>Шкаф стеллаж открытый для документов 400х430х1200мм,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</si>
  <si>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 открытый шкаф, с открытыми полками</t>
  </si>
  <si>
    <t>522-101-1235-0005</t>
  </si>
  <si>
    <t>Шкаф стеллаж открытый для документов 1200х430х1206мм,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</si>
  <si>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 открытые полки не сквозные</t>
  </si>
  <si>
    <t>522-101-1235-0006</t>
  </si>
  <si>
    <t>Шкаф стеллаж открытый для документов 400х430х1598мм, с открытыми полками ЛДСП 16мм</t>
  </si>
  <si>
    <t>522-101-1235-0007</t>
  </si>
  <si>
    <t>Шкаф стеллаж открытый для документов 800х430х1598мм,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</si>
  <si>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t>
  </si>
  <si>
    <t>522-101-1235-0008</t>
  </si>
  <si>
    <t>Шкаф стеллаж открытый для документов 800х450х1598мм, с открытыми полками ЛДСП 16мм</t>
  </si>
  <si>
    <t>522-101-1235-0009</t>
  </si>
  <si>
    <t>Шкаф стеллаж открытый для документов 1200х430х1598мм, с открытыми полками ЛДСП 16мм</t>
  </si>
  <si>
    <t>522-101-1235-0010</t>
  </si>
  <si>
    <t>Шкаф стеллаж открытый для документов 400х430х1990мм, с открытыми полками ЛДСП 16мм</t>
  </si>
  <si>
    <t>522-101-1235-0011</t>
  </si>
  <si>
    <t>Шкаф стеллаж открытый для документов 800х430х1990мм, с открытыми полками ЛДСП 16мм</t>
  </si>
  <si>
    <t>522-101-1235-0012</t>
  </si>
  <si>
    <t>Шкаф стеллаж открытый для документов 800х430х1990мм, с открытыми полками, разделенными на две секции, ЛДСП 16мм</t>
  </si>
  <si>
    <t>522-101-1235-0013</t>
  </si>
  <si>
    <t>Шкаф стеллаж открытый для документов 1200х430х1990мм, с открытыми полками ЛДСП 16мм</t>
  </si>
  <si>
    <t>522-101-1235-0014</t>
  </si>
  <si>
    <t>Шкаф стеллаж открытый 700х350х1500мм, с полками ЛДСП 16мм</t>
  </si>
  <si>
    <t>Выполнен из ЛДСП 16 мм, торцы обрамлены кромкой ПВХ. Конструкцией шкафа предусмотрены 4 полки на полкодержателях. Шкаф снабжен регулируемыми опорами, позволяющими компенсировать неровности пола.</t>
  </si>
  <si>
    <t>522-101-1235-0015</t>
  </si>
  <si>
    <t>Шкаф стеллаж открытый 350х450х2530мм, с полками ЛДСП 16мм</t>
  </si>
  <si>
    <t>Шкаф с открытыми полками выполнен из ЛДСП 16 мм. Размер шкафа: ВхШхГ 2530х350х450 мм. Боковые торцы шкафа облицована кромкой ПВХ 1 мм. Задняя стенка шкафа по желанию заказчика может быть открытая, либо закрытая. Ножки шкафа высотой 100 мм, изготовлена из хромированной трубы с регулируемой пластиковой заглушкой.</t>
  </si>
  <si>
    <t>522-101-1235-0016</t>
  </si>
  <si>
    <t>Шкаф стеллаж открытый 800х420х1930мм. Корпус, полки из ЛДСП 16мм, задняя стенка из МДФ 5мм</t>
  </si>
  <si>
    <t>Шкаф открытый 800х420х1930 мм, 5 открытых полок.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</si>
  <si>
    <t>522-101-1235-0017</t>
  </si>
  <si>
    <t>Шкаф стеллаж открытый 2000х300х1000мм. Корпус, полки из ЛДСП 16мм, 20 ячеек, задняя стенка из МДФ 5мм</t>
  </si>
  <si>
    <t>Шкаф для обуви с 20 ячейками, 2000х300х1000(h). Кромка ПВХ 1мм с использованием высокотемпературного клея. Задняя стенка из ламинированного МДФ 1го класса, толщиной 5 мм.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</si>
  <si>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522-101-1235-0018</t>
  </si>
  <si>
    <t>Шкаф стеллаж открытый экспозиционный 400х400х1500мм, с открытыми полками ЛДСП 16мм, задняя стенка из МДФ 5 мм</t>
  </si>
  <si>
    <t>Стеллаж экспозиционный 400х400х1500 мм, 10 открытых полок.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</si>
  <si>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522-101-1235-0019</t>
  </si>
  <si>
    <t>Шкаф стеллаж открытый 1000х320х2250мм. Корпус, полки наклонные из ЛДСП 16мм, задняя стенка из МДФ 5мм</t>
  </si>
  <si>
    <t>Стеллаж библиотечный экспозиционный на 4 наклонных полках.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</si>
  <si>
    <t>522-101-1235-0020</t>
  </si>
  <si>
    <t>Шкаф стеллаж открытый 2050х460х2050мм. Корпус, полки из ЛДСП 16мм, 20 ячеек, задняя стенка из МДФ 5мм</t>
  </si>
  <si>
    <t>Шкаф модульный для хранения принадлежностей и выставки работ с индивидуальными ячейками в четыре уровня по высоте. Изготовлен из ЛДСП 16 мм, кромка ПВХ. Задняя стенка из ламинированного МДФ 1го класса, толщиной 5 мм. Размеры - 2050*460*2050мм. Полки открытые.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</si>
  <si>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522-101-1235-0021</t>
  </si>
  <si>
    <t>Шкаф стеллаж открытый 1600х400х1800мм. Материал корпуса, полок ЛДСП 16 мм, полки открытые. Задняя стенка ламинированный МДФ 5 мм</t>
  </si>
  <si>
    <t>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1800(h)*1600*400</t>
  </si>
  <si>
    <t>522-101-1237</t>
  </si>
  <si>
    <t>Тумба под телевизор</t>
  </si>
  <si>
    <t>522-101-1237-0001</t>
  </si>
  <si>
    <t>Тумба под телевизор 640х450х561 мм. ЛДСП 16мм</t>
  </si>
  <si>
    <t>Тумба с выдвижным ящиком и открытыми секциями. Размеры: 640х450х561мм. ЛДСП 16мм</t>
  </si>
  <si>
    <t>522-101-1237-0002</t>
  </si>
  <si>
    <t>Тумба под телевизор 640х450х600 мм. ЛДСП 16мм</t>
  </si>
  <si>
    <t>Тумба с 2-мя дверьми и открытой нишей. Размеры 640х450х600 мм. ЛДСП 16мм</t>
  </si>
  <si>
    <t>522-101-1237-0003</t>
  </si>
  <si>
    <t>Тумба мобильная на колесах, 3 выдвижных ящика, ЛДСП 16 мм, размер 442х534х628мм</t>
  </si>
  <si>
    <t>522-101-1237-0004</t>
  </si>
  <si>
    <t>Стол-тумба 800х600х860мм</t>
  </si>
  <si>
    <t>Материал: ЛДСП, толщиной 16 мм. Фурнитура: конфирматы, стяжка BLUM, полкодержатель металлический (без пластиковых элементов), роликовые направляющие, ручка. Кромки деталей облицованы полимерным кромочным материалам (ПВХ), толщиной 1,5 мм, с 3-мя выдвижными ящиками.</t>
  </si>
  <si>
    <t>522-101-1237-0005</t>
  </si>
  <si>
    <t>Тумба под музыкальный центр 1000х500х500 мм</t>
  </si>
  <si>
    <t>Материал: ЛДСП. толщиной 16 мм. Кромки деталей облицованы полимерным кромочным материалам (ПВХ), толщиной 1,5 мм., с 2-мя дверями и открытой полкой. Фурнитура: конфирматы, стяжка BLUM, полкодержатель металл. (без пластиковых элементов), ручка 128 мм. (без острых углов), навес мебельный BLUM, ножка мебельная. Имеется два отделения</t>
  </si>
  <si>
    <t>522-101-1237-0006</t>
  </si>
  <si>
    <t>Тумба универсальная 1180х490х660мм. 3 выдвижных ящика, одна дверь распашная</t>
  </si>
  <si>
    <t>Тумба универсальная. Ширина - 1180мм, глубина - 490мм, высота - 660мм. Топ из ЛДСП 32мм, каркас выполнен из ЛДСП 16мм. Торцы облицованы кромкой ПВХ толщиной 2мм. Ручки металлические.</t>
  </si>
  <si>
    <t>522-101-1237-0007</t>
  </si>
  <si>
    <t>Тумба мобильная на колесах 400х500х640мм, 3 выдвижных ящика, центральный замок, ЛДСП 16мм</t>
  </si>
  <si>
    <t>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</si>
  <si>
    <t>522-101-1237-0008</t>
  </si>
  <si>
    <t>Тумба мобильная на колесах 400х500х550мм, 3 выдвижных ящика, ЛДСП 18мм</t>
  </si>
  <si>
    <t>Тумба мобильная на колесах 400х500х550мм, 3 выдвижных ящика, ЛДСП 18мм. Торцевые кромки облицованы материалом кромочным из ПВХ толщиной 1 мм в цвет.</t>
  </si>
  <si>
    <t>522-101-1237-0009</t>
  </si>
  <si>
    <t>Тумба мобильная на колесах 600х600х500мм, 3 выдвижных ящика, ЛДСП 16мм</t>
  </si>
  <si>
    <t>Тумба мобильная на колесах 600х600х500мм. Тумба изготовлена из ЛДСП толщиной 16 мм. Габаритные размеры тумбы 600х600х500 мм. Тумба имеет 4 колесиков для передвижения.</t>
  </si>
  <si>
    <t>522-101-1237-0012</t>
  </si>
  <si>
    <t>Место дневального. Тумбочка 602х450х1000мм, подставка 450х450х150мм. Материал корпуса, полок и дверей из ЛДСП 16 мм. Задняя стенка из ламинированного МДФ 5 мм</t>
  </si>
  <si>
    <t>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2 петли и по 1 ручке+ замок.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</si>
  <si>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522-101-1238</t>
  </si>
  <si>
    <t>Индивидуальный шкаф для хранения учебников, сменной обуви и спортивных принадлежностей</t>
  </si>
  <si>
    <t>522-101-1238-0001</t>
  </si>
  <si>
    <t>Шкаф локер в 2 уровня на 8 ячеек 1600х400х752 мм</t>
  </si>
  <si>
    <t>522-101-1238-0002</t>
  </si>
  <si>
    <t>Шкаф локер в 3 уровня на 12 ячеек 1600х400х1102 мм</t>
  </si>
  <si>
    <t>522-101-1238-0003</t>
  </si>
  <si>
    <t>Шкаф локер в 4 уровня на 16 ячеек 1600х400х1452 мм</t>
  </si>
  <si>
    <t>522-101-1238-0004</t>
  </si>
  <si>
    <t>Шкаф локер в 5 уровней на 20 ячеек 1600х400х1802 мм</t>
  </si>
  <si>
    <t>522-101-1238-0005</t>
  </si>
  <si>
    <t>Шкаф локер металлический с электронным замком, размер 300х500х1900мм</t>
  </si>
  <si>
    <t>Габаритный размер: высота-1900мм, ширина-300мм, глубина-500мм. Корпус и двери выполнены из пракатоной стали толщиной 1,2 мм, двери оснащены электронными замками. Внутри шкафа имеются полки для головных уборов, под обувь, а также крючки для одежды. На верхней и нижней части двери имеются винтеляционные отверстия. Покрытие шкафа полимерно порошковая краска. Цвет по согласованию с заказчиком.</t>
  </si>
  <si>
    <t>522-101-1238-0006</t>
  </si>
  <si>
    <t>Шкаф локер металлический с электронным замком в 2 уровня на 8 секций, размер 1200х500х1900мм</t>
  </si>
  <si>
    <t>Габаритный размер: высота-1900мм, ширина-1200мм, глубина-500мм. Шкаф имеет восемь секции, разделенные на два яруса. Каждый ярус разделен на два отсека. Верхний отсек предназначен для хранения головных уборов и личных предметов. Нижний отсек оснащен четырьмя крючками для хранения одежды. Металлический шкаф, предназначен для хранения одежды или спецодежды и других личных предметов и вещей.
Шкафы оснащены электронными замками. На верхней и нижней части двери имеются винтеляционные отверстия. Покрытие шкафа полимерно
порошковая краска.</t>
  </si>
  <si>
    <t>522-101-1238-0007</t>
  </si>
  <si>
    <t>Шкаф локер 4 уровня на 16 ячеек 1200х500х1800мм</t>
  </si>
  <si>
    <t>Каркас ЛДСП 16 мм, кромка ПВХ 2 мм, задняя стенка ХДФ, UEF печать. Опоры 3 см, мебельные замки, внутри петли. Цвета: серый, красный, желтый, синий. Габариты Д/Г/В 1200/500/1800 мм состоит из 16 ящиков в четыре уровня. Размер каждого ящика Д/Г/В 300/500/450мм. Присутствует УФ-печать на дверях</t>
  </si>
  <si>
    <t>522-101-1238-0008</t>
  </si>
  <si>
    <t>Шкаф локер для одежды металлический на 16 ячеек, размер 1200х500х1800мм</t>
  </si>
  <si>
    <t>Локеры в четыре уровня из 16 ячеек. Габаритные размеры: длина 1200мм, высота1800мм, ширина 500мм. Цвет основание и боковые панели Ral 7044. Цвет панели ячеек Ral 7044; Ral 5012; Ral 102. Изделие производится из холодно катонного металла толщиной 0,7мм и 0,8 мм с ребрами жесткости.
Детали из х/к 0,8 мм: каркас; боковые панели; нижняяпанель(дно); дверь. Детали из х/к 0,7мм: внутренняя панель(промежуточная); задняя панель и верхняя панель. Элементы конструкции изготавливаются с ребрами жесткости, деталь как нижняя панель (дно) конструкции имеет дополнительные сварные усилители. Изделие изготавливается из отдельных сегментов, сборку конструкции производится на объекте. Покрытие основания и боковых панелей полимерной порошковой краской Ral 7044.
Покрытие ячеек двери полимерной порошковой краской Ral 7044; Ral 5012; Ral 1021. Замок металлический двери ячеек с высокой секретностью 1:2000 с 2-мя ключами. Опознавательная печать на самоклеящемся материале орокале в виде текстов неправильных глаголов, Химические элементы, флаги стран, ноты и музыкальные произведения. Каркас шкафа
цельно-листовой. Впереди шкафа каркас цельно -листовой. Ячейка рамки из листового металла, производится из холодного катоннового маталла.
Размер каждой ячейки 300х450мм</t>
  </si>
  <si>
    <t>522-101-1238-0009</t>
  </si>
  <si>
    <t>Шкаф металлический четырехсекционный 1230х1250х500мм</t>
  </si>
  <si>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1230*1250*500 мм, имеется перекладина для верхгей отежды, а так жде полка под головные уборы</t>
  </si>
  <si>
    <t>522-101-1238-0010</t>
  </si>
  <si>
    <t>Шкаф металлический восьмисекционный 1900х1250х500 мм</t>
  </si>
  <si>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1900*1250*500 мм, имеется перекладина для верхгей отежды, а так жде полка под головные уборы</t>
  </si>
  <si>
    <t>522-101-1238-0011</t>
  </si>
  <si>
    <t>Шкаф локер 4 уровня на 16 ячеек 1200х500х1800мм. Материал корпуса, полок, дверей ЛДСП 16 мм. Задняя стенка из ламинированного МДФ 5мм</t>
  </si>
  <si>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Дно ящиков соединятется таким же способом фрезерования канала канала. Для предотвращения воздействия воды и влаги на шкаф предусмотрены 4 ножки высотой 5 см. Габариты Д/Ш/В 1200/500/1800мм состоит из 16 ящиков  в четыре уровня. Размер каждого ящика Д/Ш/В 300/500/450мм</t>
  </si>
  <si>
    <t>522-101-1238-0012</t>
  </si>
  <si>
    <t>Шкаф локер 4 уровня на 28 ячеек 5500х500х1800мм. Материал корпуса, полок, дверей ЛДСП 16 мм. Задняя стенка из ламинированного МДФ 5мм</t>
  </si>
  <si>
    <t>Шкаф с индивидуальными ячейками в четыре уровня по высоте.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замок. Корпус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1800(h)*5500*500</t>
  </si>
  <si>
    <t>522-101-1238-0013</t>
  </si>
  <si>
    <t>Шкаф локер 4 уровня на 36 ячеек с замками, размеры 3600х400х1630 мм</t>
  </si>
  <si>
    <t>Должен состоять из 3 шкафов. Два боковых должны иметь 12 ячеек, закрытых дверками. Дверцы должны быть сзакругленными углами, иметь ручки и внутренний замок. Габаритные размеры каждой шкафа не менее: длина – 1200 мм, глубина – 400 мм, высота – 1630 мм. Средняя секция должна быть с 4 открытыми и 8 закрытыми ячейкам, дверцы которых также с закругленными углами, ручками и внутренним замком. Габаритные размеры не менее: длина – 1200 мм, глубина – 400 мм, высота – 1630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</si>
  <si>
    <t>522-101-1238-0014</t>
  </si>
  <si>
    <t>Шкаф локер металлический на четыре отсека вертикальной и горизонтальной панелью, размеры 570х500х1840 мм</t>
  </si>
  <si>
    <t>Материал изготовления листовой металл толщиной не менее 0,5 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четыре отсека вертикальной и горизонтальной панелью, которые закрываются дверью. На дверях имеются вентиляционные вырезы, а также внутренняя панель усилитель, которая крепится к двери с помощью точечной сварки. Каждая дверь оснащена механическим замком и петлями. В каждом отдели имеется штанга для одежды.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</si>
  <si>
    <t>522-101-1239</t>
  </si>
  <si>
    <t>Рабочее место библиотекаря</t>
  </si>
  <si>
    <t>522-101-1239-0001</t>
  </si>
  <si>
    <t>Стол рабочий библиотекаря 1500х620х918 мм</t>
  </si>
  <si>
    <t>Стол двухтумбовый с барьером. Стол с двумя тумбами подвесными.
Каждая с двумя ящиками под формуляры. Стол выполнен из ЛДСП 16 мм.
Размеры: 1500х620х918мм</t>
  </si>
  <si>
    <t>522-101-1239-0002</t>
  </si>
  <si>
    <t>Стол-ресепшн библиотекаря, с выдвижной полкой, ЛДСП 16мм, размер 1200х746х996мм</t>
  </si>
  <si>
    <t>Стол-ресепшн библиотекаря. Кафедра выдачи. Размер: 1200х746х996мм. Выполнен из ЛДСП 16 мм, торцы обработаны кромкой ПВХ. Стол-барьер библиотечный имеет подвесную тумбу с двумя выдвижными ящиками, расположенными на роликовых направляющих. На вертикальных стойках стола установлены полимерные подпятники, предотвращающие повреждение напольных покрытий.</t>
  </si>
  <si>
    <t>522-101-1239-0003</t>
  </si>
  <si>
    <t>Стол-кафедра выдачи литературы 1200х700х750мм</t>
  </si>
  <si>
    <t>Оснащен подвесной тумбой с 2-мя ящиками и надставкой. В производстве используется материал ЛДСП 16мм., торцы закатаны кромочным материалом ПВХ 1,5 мм. столешница - ЛДСП 16 мм. Фурнитура: конфирматы, стяжка BLUM, роликовые направляющие, ручки, без острых углов.</t>
  </si>
  <si>
    <t>522-101-1239-0005</t>
  </si>
  <si>
    <t>Ресепшн размеры 1800х600х900 мм, столешница из ЛДСП толщиной 22 мм</t>
  </si>
  <si>
    <t>Высота верхнего края столешницы должна быть над полом не менее 760 мм. Столешница должна быть из ЛДСП толщиной не менее 22 мм с кромкой из ПВХ толщиной не менее 2мм.Для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боковые опоры толщиной 32мм. Лицевая сторона стола должна быть закрыта панелями разной геометрической формы. Данные панели имеют комбинированный цвет.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</si>
  <si>
    <t>522-101-1239-0006</t>
  </si>
  <si>
    <t>Тумба библиотечная для периодики, размеры 1000х520х965 мм, ЛДСП 16 мм. Столешница крепиться к тумбе, в тумбе 5 выдвижных ящиков</t>
  </si>
  <si>
    <t>Размеры столешницы должны быть, не менее 1000х520 мм. Высота верхнего края столешницы должна быть над полом не менее 965 мм.
Столешница должна быть из ЛДСП толщиной не менее 16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Столешница крепиться к тумбе с помощью металлических рамок в форме прямоугольников, выполненных из трубы размером 40х20 мм толщиной не менее 1,2мм, и покрашенных полимерной краской. В тумбе располагаются 5 выдвижных ящиков на шариковых направляющих. Фасад ящика изготавливаются разной высотой, и имеют сверху эргономичный вырез, используемый для открывания ящика.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Мебельные ножки должны регулироваться по высоте для компенсации неровностей пола.</t>
  </si>
  <si>
    <t>522-101-1240</t>
  </si>
  <si>
    <t>Шкаф для читательских формуляров</t>
  </si>
  <si>
    <t>522-101-1240-0001</t>
  </si>
  <si>
    <t>Шкаф для формуляров 1048х450х1150 мм (на 8 ящиков)</t>
  </si>
  <si>
    <t>Шкаф с 8 ящиками под формуляры. Шкаф выполнен из ЛДСП 16 мм.
Размеры: 1048х450х1150мм</t>
  </si>
  <si>
    <t>522-101-1240-0002</t>
  </si>
  <si>
    <t>Шкаф-стеллаж для картотечных карт, размер 849х376х1835мм, ЛДСП 16мм</t>
  </si>
  <si>
    <t>Шкаф-стеллаж для картотечных карт, 4 двери и 4 выдвижные полки, ЛДСП 16 мм размер 849х376х1835мм</t>
  </si>
  <si>
    <t>522-101-1240-0003</t>
  </si>
  <si>
    <t>Шкаф для формуляров 1048х450х1150 мм (на 8 ящиков), материал корпуса, полок, выдвижных ящиков ЛДСП 16 мм, задняя стенка и нижняя часть выдвижных ящиков из МДФ 5 мм.</t>
  </si>
  <si>
    <t>Шкаф для читательских формуляров с 8 выджвижными ящиками. 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Нижняя часть ящиков соединятется таким же способом канала Для предотвращения воздействия воды и влаги на шкаф предусмотрены 4 ножки высотой 5 см. Габариты 1048х450х1150мм</t>
  </si>
  <si>
    <t>522-101-1241</t>
  </si>
  <si>
    <t>Шкаф-картотека</t>
  </si>
  <si>
    <t>522-101-1241-0001</t>
  </si>
  <si>
    <t>Шкаф-картотека на 48 ячеек, ЛДСП 16 мм, размеры 1170х440х1230мм</t>
  </si>
  <si>
    <t>522-101-1241-0002</t>
  </si>
  <si>
    <t>Шкаф-картотека на 48 ячеек, ЛДСП 16мм, размеры 1170х440х1230мм, задняя стенка и нижняя часть выдвижных ящиков из ламинированного МДФ 5 мм</t>
  </si>
  <si>
    <t>522-101-1242</t>
  </si>
  <si>
    <t>Стеллаж библиотечный</t>
  </si>
  <si>
    <t>522-101-1242-0001</t>
  </si>
  <si>
    <t>Стеллаж библиотечный односторонний 920х250х2100 мм. Каркас из профильной трубы, полки из гнутого листа, краска полимерно-порошковая.</t>
  </si>
  <si>
    <t>522-101-1242-0002</t>
  </si>
  <si>
    <t>Стеллаж библиотечный выставочный</t>
  </si>
  <si>
    <t>Стеллаж библиотечный выставочный 5 скошенных полок.  Нагрузка на полку не менее 30 кг. Материал ЛДСП 16мм. Размеры/форма по согласованию. Размеры не менее 1000х320х2000 мм</t>
  </si>
  <si>
    <t>522-101-1242-0003</t>
  </si>
  <si>
    <t>Стеллаж библиотечный 1000х320х2250 мм. С открытыми полками для книг. ЛДСП 16мм.</t>
  </si>
  <si>
    <t>522-101-1242-0004</t>
  </si>
  <si>
    <t>Стеллаж библиотечный односторонний 800х380х2000 мм. Каркас изготовлен из стального профиля. Полки ЛДСП 16 мм.</t>
  </si>
  <si>
    <t>522-101-1242-0005</t>
  </si>
  <si>
    <t>Стеллаж библиотечный двухсторонний 800х600х2000 мм. Каркас изготовлен из стального профиля. Полки ЛДСП 16 мм.</t>
  </si>
  <si>
    <t>Стеллаж библиотечный двухсторонний  800х600х2000 мм. Каркас изготовлен из стального профиля. Полки ЛДСП 16 мм.</t>
  </si>
  <si>
    <t>522-101-1242-0006</t>
  </si>
  <si>
    <t>Стеллаж деревянный односторонний 800х380х2000 мм. Каркас изготовлен из ЛДСП, толщиной 16 мм</t>
  </si>
  <si>
    <t>Стеллаж деревянный односторонний. Размеры 800х380х2000 мм. Каркас изготовлен из ЛДСП, толщиной 16 мм. Класс эмиссии Е-1. Облицованной кромкой ПВХ толщиной 1,5 мм. Четыре съемные полки, ЛДСП 16мм.</t>
  </si>
  <si>
    <t>522-101-1242-0007</t>
  </si>
  <si>
    <t>Модуль библиотечный (стеллаж), материал ЛДСП типа EGGER, размер 1000х1000х2800мм</t>
  </si>
  <si>
    <t>Тип установки напольный. Размеры: 1000*1000* 2800мм. Металлокаркас из профильной трубы размером 80*25*2,0мм и 25*25*1,5мм. Материал ЛДСП типа EGGER . Количество полок 10. Максимальная нагрузка на полку 25 кг. Толщина стойки 16 мм. Вращающийся механизм. Металлический каркас.
Подсветка полок. Шелфстокеры на полках для наименования книг.</t>
  </si>
  <si>
    <t>522-101-1242-0008</t>
  </si>
  <si>
    <t>Модуль интерактивный библиотечный (стеллаж), материал ЛДСП типа EGGER, размер 2500х2500х2000 мм</t>
  </si>
  <si>
    <t>Тип установки напольный. Размеры 2500х2500х2000 мм. Металлокаркас c лестницей из профильной трубы размером 80*25*2,0мм и 25*25*1,5мм. Полки из ЛДСП типа Egger. Сочетает в себя стеллаж и сенсорное рабочее место- В модуль входит 4 рабочих интерактивных места  Весь модуль является единой конструкцией. Рабочее место состит из:                   1) Встроенный компьютер (CPU Intel Core i3 9100 Оперативная память 8GB DDR4 Твердотельный накопитель 128GB SSD)  2) Сенсорный монитор 21,5 дюйма 10 касаний, 1920:1080. 60Гц 3) Корпус системный блок внешними портами USB, mini Jack, кнопка запуска, дополнительное охлаждение, OS Windows 10Pro,  4) Розетки 2 по 220В и 2 USB встроены в стол,  5) Компьютерная мышь, клавиатура, веб камера.                 6) ПО с офлайн библиотекой из 3000 книг отечественной и мировой литературы.</t>
  </si>
  <si>
    <t>522-101-1242-0009</t>
  </si>
  <si>
    <t>Стеллаж двухсторонний 1200х500х1800мм. Каркас изготовлен из стального профиля. Полки ЛДСП 16 мм</t>
  </si>
  <si>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</si>
  <si>
    <t>522-101-1242-0010</t>
  </si>
  <si>
    <t>Стеллаж двухсторонний 1500х500х1800мм. Каркас изготовлен из стального профиля. Полки ЛДСП 16 мм</t>
  </si>
  <si>
    <t>522-101-1242-0011</t>
  </si>
  <si>
    <t>Стеллаж библиотечный односторонний 800х380х2000мм. Каркас изготовлен из стального профиля. Полки из МДФ 16мм</t>
  </si>
  <si>
    <t>Стеллаж библиотечный двусторонний 800х380х2000мм.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Для предотвращения воздействия воды и влаги на стеллаж предусмотрены 4 пластиковые ножки.</t>
  </si>
  <si>
    <t>522-101-1242-0012</t>
  </si>
  <si>
    <t>Стеллаж библиотечный двусторонний 800х600х2000мм. Каркас изготовлен из стального профиля. Полки из МДФ 16мм</t>
  </si>
  <si>
    <t>Стеллаж библиотечный двусторонний 800х600х2000мм.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Полки крепятся к стальному каркасу болтами М6  Для предотвращения воздействия воды и влаги на стеллаж предусмотрены 4 пластиковые ножки.</t>
  </si>
  <si>
    <t>522-101-1242-0013</t>
  </si>
  <si>
    <t>Стеллаж библиотечный демонстрационный 1000х320х2250 мм. С 6 открытыми наклонными полками для книг. ЛДСП 16мм, задняя стенка из МДФ 5мм</t>
  </si>
  <si>
    <t>Шкаф открытый. Материал корпуса, полок ЛДСП, толщина ЛДСП 16 мм, Полки открытые, наклонные 6 штук с защитным бордюром 50 м.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1000х320х2250 мм</t>
  </si>
  <si>
    <t>522-101-1242-0014</t>
  </si>
  <si>
    <t>Стелаж книжный двухсторонний 1000х450х2000мм. Каркас выполнен из профильной трубы. Полки из ЛДСП 16 мм</t>
  </si>
  <si>
    <t>Стеллаж металлический книжный 2-сторонний. Размер (ВхШхД) 2000х1000х450. Каркас выполнен из профильной трубы 20х20мм, окрашенный порошковой краской RAL. Полки изготовлены из ЛДСП 16 мм</t>
  </si>
  <si>
    <t>522-101-1242-0018</t>
  </si>
  <si>
    <t>Стеллаж двусторонний, 3 полки, размер не
менее 800х600х1100 мм</t>
  </si>
  <si>
    <t>Несущие части и полки должны быть изготовлены из ЛДСП толщиной не менее 16 мм. Кромка из ПВХ не менее 0,4 мм. Стеллаж должен быть разделен по горизонтали на три, одинаковых по высоте, полки.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</si>
  <si>
    <t>522-101-1242-0019</t>
  </si>
  <si>
    <t>Стеллаж двусторонний, 5 полки, размер не
менее 800х600х1830 мм</t>
  </si>
  <si>
    <t>Несущие части и полки должны быть изготовлены из ЛДСП толщиной не менее 16 мм. Кромка ПВХ не менее 0,4 мм. Стеллаж должен быть разделен по горизонтали на пять, одинаковых по высоте, полок.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</si>
  <si>
    <t>522-101-1242-0020</t>
  </si>
  <si>
    <t>Стеллаж выставочный, 5 скошенных полок,
размер не менее 800х120х1800 мм</t>
  </si>
  <si>
    <t>Несущие части, полки, фасадная часть – ЛДСП толщиной не менее 16 мм. Кромка из ПВХ не менее 0,4 мм. пять скошенных под углом 80 градусов полок с бортиками, для размещения книг, на расстоянии по высоте 340 мм друг от друга. Сборка должна производиться с помощью конфирматов 6,3х50 и эксцентриковых стяжек. Стеллаж выполнен в двух цветах ЛДСП. Полки расположены по цвету в шахматном порядке. Должны быть в комплекте 2 уголка для крепления к стене.</t>
  </si>
  <si>
    <t>522-101-1242-0021</t>
  </si>
  <si>
    <t>Стеллаж с наклонными полками, размер 1200х450х2380 мм. Каркас из профильной трубы, полки из ЛДСП толщиной не менее 16 мм</t>
  </si>
  <si>
    <t>Каркас выполнен из профильной трубы размером не менее 25х25 мм толщиной не менее 1,2 мм, и окрашенной полимерной краской. Состоит из не менее 2 боковых рамок и 8 наклонных полок. Полка из ЛДСП толщиной не менее 16 мм крепится в металлическую раму через пластину, шурупом не менее 4х16 мм. Боковые опоры регулируемые.</t>
  </si>
  <si>
    <t>522-101-1242-0022</t>
  </si>
  <si>
    <t>Стеллаж библиотечный двусторонний, каркас из профильной трубы, 3 полки из ЛДСП толщиной не менее 16 мм, размер не менее 800х600х1120 мм</t>
  </si>
  <si>
    <t>Каркас выполнен из профильной трубы размером не менее 25х25 мм толщиной не менее 1,2мм, окрашенной полимерной краской. Состоит из 2 боковых рамок размером не менее 1095х450 мм. В рамках должны быть вертикально закреплены 2 трубы размером не менее 25х25 мм толщиной не менее 1,2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</si>
  <si>
    <t>522-101-1242-0023</t>
  </si>
  <si>
    <t>Стеллаж библиотечный двусторонний, каркас из профильной трубы, 5 полок из ЛДСП толщиной не менее 16 мм, размер не менее 800х600х1840 мм</t>
  </si>
  <si>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1814х450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</si>
  <si>
    <t>522-101-1242-0024</t>
  </si>
  <si>
    <t>Стеллаж библиотечный односторонний, каркас из профильной трубы, 5 полок из ЛДСП толщиной не менее 16 мм, размер не менее 800х350х1840 мм</t>
  </si>
  <si>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1814х350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694х294 мм к рамке через металлическую пластину шурупом не менее 4х20 мм. Боковые опоры должны иметь регулируемые опоры.</t>
  </si>
  <si>
    <t>522-101-1242-0025</t>
  </si>
  <si>
    <t>Стеллаж полукруглый библиотечный, размер
1970х985х1450 мм</t>
  </si>
  <si>
    <t>Модуль представляет собой односторонний стеллаж выполненный в виде полукруга. Высота верхнего края должна быть над полом не менее 1450 мм.
Стеллаж состоит из 3 модулей разной высоты с открытыми нишами, расстояние между которыми должно быть не менее 336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</si>
  <si>
    <t>522-101-1242-0026</t>
  </si>
  <si>
    <t>Стеллаж полукруглый библиотечный, размер
2980х1490х1200 мм</t>
  </si>
  <si>
    <t>Модуль представляет собой односторонний стеллаж выполненный в виде полукруга. Высота верхнего края должна быть над полом не менее 1200 мм.
Стеллаж состоит из 4 модулей, одного с 3 нишами и трех с двумя нишами.Расстояние между полками должно быть не менее 368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</si>
  <si>
    <t>522-101-1242-0027</t>
  </si>
  <si>
    <t>Стеллаж с 8 открытыми ячейками, в 4 из которых установлены квадратные короба из ЛДСП 16 мм, размер 1445х350х755 мм</t>
  </si>
  <si>
    <t>Каркас должен быть выполнен из профильной трубы размером не менее 25х25 мм толщиной не менее 1,2мм, окрашенной полимерной краской. Стеллаж выполнен в виде 8 открытых ячеек, в четырех из которых установлены квадратные короба из ЛДСП толщиной не менее 16 мм, разных цветов. Кромка из ПВХ должна быть толщиной не менее 0,4 мм.
Металлический каркас должен иметь регулируемые опоры.</t>
  </si>
  <si>
    <t>522-101-1242-0028</t>
  </si>
  <si>
    <t>Стеллаж модульный полукруглый с мягким
элементом, размер 1490х1490х1200 мм</t>
  </si>
  <si>
    <t>Стеллааж состоит из 2 модулей. Первый модуль представляет собой двухсторонний стеллаж выполненный в виде октанты окружности. Высота верхнего края должна быть над полом не менее 460 мм. Сиденье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должна быть перегородка, для увеличения жесткости.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 Второй модуль представляет собой двухсторонний стеллаж выполненный в виде октанты окружности. Высота верхнего края должна быть над полом не менее 1200 мм. Стеллаж имеет по 3 открытые полки с каждой стороны, расстояние между которыми должно быть не менее 360мм.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</si>
  <si>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522-101-1242-0029</t>
  </si>
  <si>
    <t>Стеллаж односторонний модульный для хранения с мягким элементом, размер 1100х940х1820 мм</t>
  </si>
  <si>
    <t>Модуль представляет собой односторонний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две дверки с ручками.
Петля для дверок должна быть внешняя с европланкой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</si>
  <si>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522-101-1242-0030</t>
  </si>
  <si>
    <t>Стеллаж  двухсторонний модульный с мягким элементом, размер 1100х520х1820 мм</t>
  </si>
  <si>
    <t>Модуль представляет собой двухсторонний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жесткая тумба.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</si>
  <si>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522-101-1242-0031</t>
  </si>
  <si>
    <t>Стеллаж для литературы, материал ЛДСП 32 мм, наклонные г-образные полки из оргстекла толщиной не менее 4 мм, кромка из ПВХ не менее 2 мм, размеры 520х350х1500 мм</t>
  </si>
  <si>
    <t>Стеллаж выполнен в форме стелы из ЛДСП не менее 32 мм и имеет в сзади ребро жесткости. Наклонные г-образные полки изготовлены из оргстекла толщиной не менее 4 мм. Кромка из ПВХ не менее 2 мм. В основании имеются пластиковые подпятники. Сборка должна производиться с помощью конфирматов 6,3х50 и эксцентриковых стяжек.</t>
  </si>
  <si>
    <t>522-101-1242-0032</t>
  </si>
  <si>
    <t>Стеллаж для документов, шесть ниш, три из которых не закрыты задней стенкой, размеры 800х420х1230 мм</t>
  </si>
  <si>
    <t>Стеллаж открытый с шестью нишами, три из которых не закрыты задней стенкой. Одна боковина изготовлена из профильной квадратной трубы 20х20мм толщиной не менее 1,2мм и покрыта порошковой полимерной краской. Несущие части, полки, задняя стенка изготовлены из ЛДСП толщиной не менее 16 мм. Кромка из ПВХ не менее 0,4 мм. Сборка должна производиться с помощью конфирматов 6,3х50 и эксцентриковых стяжек.
Места установки крепёжных изделий должны быть закрыты заглушками.Мебельные ножки должны регулироваться по высоте для
компенсации неровностей пола.</t>
  </si>
  <si>
    <t>522-101-1242-0033</t>
  </si>
  <si>
    <t>Система модульная настенная 6 секций, размеры 1130х250х1300 мм, ЛДСП 16 мм, кромка ПВХ. Шесть открытых секций в виде прямоугольника размером 350х350 мм</t>
  </si>
  <si>
    <t>Несущие части, полки – ЛДСП толщиной не менее 16 мм. Кромка из ПВХ не менее 0,4 мм. Сборка должна производиться с помощью стяжки эксцентриковая и шкант буковый 8х30 мм. Модуль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Предусмотрено крепление модуля к стене.</t>
  </si>
  <si>
    <t>522-101-1242-0034</t>
  </si>
  <si>
    <t>Система модульная настенная 8 секций, размеры 1670х250х1310 мм, ЛДСП 16 мм, кромка ПВХ. Восемь открытых секций в виде прямоугольника размером 350х350 мм</t>
  </si>
  <si>
    <t>Несущие части, полки – ЛДСП толщиной не менее 16 мм. Кромка из ПВХ не менее 0,4 мм. Сборка должна производиться с помощью  стяжка эксцентриковая и шкант буковый 8х30 мм. Модуль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Предусмотрено крепление модуля к стене.</t>
  </si>
  <si>
    <t>522-101-1242-0035</t>
  </si>
  <si>
    <t>Система модульная настенная Лесенка 3 секции, размеры 1018х266х768 мм, ЛДСП 16 мм, кромка ПВХ.</t>
  </si>
  <si>
    <t>Система модульная настенная Лесенка 3 секции Габаритные размеры должны быть, не менее 1018х266х768 мм. Несущие части, полки – ЛДСП толщиной не менее 16 мм. Кромка из ПВХ не менее 0,4 мм. Сборка должна производиться с помощью конфирматов 6,3х50 и эксцентриковых стяжек. Модуль состоит из 3 секций, 2 секции имею 2 полки с боковыми опорами, а третья три полки, также с боковыми опорами. Предусмотрено крепление модуля к стене.</t>
  </si>
  <si>
    <t>522-101-1243</t>
  </si>
  <si>
    <t>Трибуна лекторская</t>
  </si>
  <si>
    <t>522-101-1243-0001</t>
  </si>
  <si>
    <t>Трибуна 600х500х1200мм. ЛДСП 16мм</t>
  </si>
  <si>
    <t>Трибуна для выступлений 600х500х1200мм. Материал корпуса ЛДСП, толщина материала 16 мм. Кромка ПВХ с использованием высокотемпературного клея. Для предотвращения воздействия воды и влаги предусмотрены пластиковые подпятники.</t>
  </si>
  <si>
    <t>522-101-1243-0002</t>
  </si>
  <si>
    <t>Трибуна 700х490х1240 мм. ЛДСП 16мм</t>
  </si>
  <si>
    <t>522-101-1243-0003</t>
  </si>
  <si>
    <t>Спич-трибуна 600х500х1195 мм</t>
  </si>
  <si>
    <t>Материал: ЛДСП, толщиной 16 мм.   Кромки деталей облицованы полимерным кромочным материалам (ПВХ), толщиной 1,5 мм. Фурнитура: конфирматы, стяжка типа BLUM</t>
  </si>
  <si>
    <t>522-101-1243-0004</t>
  </si>
  <si>
    <t>Трибуна 640х470х1125мм. ЛДСП 16мм, 2 полки</t>
  </si>
  <si>
    <t>Трибуна. Материал ЛДСП, толщина материала 16 мм, кромка ПВХ с исполькозованием высокотемпературного клея. Для предотвращения воздействия воды и влаги на стол предусмотрены пластикоые подпятники.
Корпус соединяется с помощью системой Minifiх. имеются 2 зафиксированные полки. НА верхней полке имеется бортик в 40 мм, для удержания жокументов. Габариты 640*470*1125мм с полкой, бортами</t>
  </si>
  <si>
    <t>522-101-1243-0005</t>
  </si>
  <si>
    <t>Спич-трибуна 550х500х1200мм. ЛДСП 16мм</t>
  </si>
  <si>
    <t>Спич-трибуна выполнена из ЛДСП 16мм, торцы обработаны кромкой ПВХ толщиной 2мм.</t>
  </si>
  <si>
    <t>522-101-1245</t>
  </si>
  <si>
    <t>Доска классная</t>
  </si>
  <si>
    <t>522-101-1245-0001</t>
  </si>
  <si>
    <t>Доска классная настенная магнитно-меловая. Размер 1500х1000мм.</t>
  </si>
  <si>
    <t>522-101-1245-0002</t>
  </si>
  <si>
    <t>Доска классная настенная магнитно-меловая. Размер 1700х1000мм.</t>
  </si>
  <si>
    <t>522-101-1245-0003</t>
  </si>
  <si>
    <t>Доска магнитно-маркерная и
магнитно-меловая, размер 1500х1000мм</t>
  </si>
  <si>
    <t>Доска классная, меловая и маркерная, покрытие магнитное. Цвет зеленый и белый. Доска из стали с прочным эмалевым антибликовым покрытием, устойчивая к царапанию и стиранию. В комплект входит лоток для маркеров. Записи на доску наносятся при помощи цветных маркеров и удаляются специальной губкой, входящих в комплект поставки. В комплекте: набор цветных маркеров, губка для стирания, крепежные и декоративные элементы.</t>
  </si>
  <si>
    <t>522-101-1247</t>
  </si>
  <si>
    <t>Доска магнитная/пробковая</t>
  </si>
  <si>
    <t>522-101-1247-0001</t>
  </si>
  <si>
    <t>Доска магнитно-маркерная/пробковая Comix BM4560L, 560х410 мм, White</t>
  </si>
  <si>
    <t>522-101-1247-0002</t>
  </si>
  <si>
    <t>Доска магнитно-маркерная/пробковая Comix BM4560V, 560х410 мм, White</t>
  </si>
  <si>
    <t>522-101-1248</t>
  </si>
  <si>
    <t>Доска настенная аудиторная</t>
  </si>
  <si>
    <t>522-101-1248-0001</t>
  </si>
  <si>
    <t>Доска настенная аудиторная трехстворчатая
размерами 1000x3000 мм, мел+маркер</t>
  </si>
  <si>
    <t>Доска настенная аудиторная трехстворчатая размерами 1000x3000 мм, мел+маркер</t>
  </si>
  <si>
    <t>522-101-1249</t>
  </si>
  <si>
    <t>Доска магнитно-маркерная на треноге.
Размер 900х1000мм.</t>
  </si>
  <si>
    <t>Доска магнитно-маркерная на треноге. Размер 900х1000мм.</t>
  </si>
  <si>
    <t>522-101-1251</t>
  </si>
  <si>
    <t>Шкаф металлический</t>
  </si>
  <si>
    <t>522-101-1251-0001</t>
  </si>
  <si>
    <t>Шкаф металлический, взломостойкий, размеры 900х440х355мм</t>
  </si>
  <si>
    <t>Цельная конструкция, из листового металла. Полка и запирающий отсек "трейзер"- сталь листовая, толщинной 2мм. Размеры запирающего отсека "трейзер" -107,5х297мм. Покрытие полимерно-порошковой краски. Класс взломостойкости- SI.</t>
  </si>
  <si>
    <t>522-101-1251-0002</t>
  </si>
  <si>
    <t>Шкаф металлический, размер 800х500х1830мм, 2 распашные двери, ригельный замок</t>
  </si>
  <si>
    <t>Шкаф металлический, размер 800х500х1830мм, 2 распашные двери, ригельный замок, 3 полки, цвет серый</t>
  </si>
  <si>
    <t>522-101-1251-0003</t>
  </si>
  <si>
    <t>Шкаф с 6 ящиками для хранения документов, материал изготовления листовой металл толщиной не менее 0,5 мм, размеры 570х600х1335 мм</t>
  </si>
  <si>
    <t>Материал изготовления листовой металл толщиной не менее 0,5мм,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шесть горизонтальных закрытых отсеков.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</si>
  <si>
    <t>522-101-1252</t>
  </si>
  <si>
    <t>Вешалка гардеробная</t>
  </si>
  <si>
    <t>522-101-1252-0001</t>
  </si>
  <si>
    <t>Вешалка гардеробная двухсторонняя на 40 крючков</t>
  </si>
  <si>
    <t>Размеры не менее длина 1800мм, высота 1770мм. Металлический каркас.</t>
  </si>
  <si>
    <t>522-101-1252-0002</t>
  </si>
  <si>
    <t>Вешалка гардеробная на 18/24/32 крючка</t>
  </si>
  <si>
    <t>Вешалка гардеробная напольная, металлический каркас, ЛДСП 16 мм, 18/24/32 крючка, размеры не менее 1184х862х1600мм.</t>
  </si>
  <si>
    <t>522-101-1252-0003</t>
  </si>
  <si>
    <t>Скамья гардеробная со спинкой и встроенной вешалкой с крючками</t>
  </si>
  <si>
    <t>Цвет синий. Обивка искусственная кожа. Материал ЛДСП. Материал каркаса металл. Размер (ДхШхВ): 1500 x 360 x 1690мм.</t>
  </si>
  <si>
    <t>522-101-1252-0004</t>
  </si>
  <si>
    <t>Вешалка гардеробная металлическая, 6 крючков</t>
  </si>
  <si>
    <t>Цвет белый. Материал металл. Количество крючков: 6. Ширина 500мм, высота 1750мм.</t>
  </si>
  <si>
    <t>522-101-1253</t>
  </si>
  <si>
    <t>Стол двухтумбовый</t>
  </si>
  <si>
    <t>522-101-1253-0001</t>
  </si>
  <si>
    <t>Стол двухтумбовый с 2 направляющими выдвижными ящиками и тумбой с дверью. Размер 1500х700х750 мм. ЛДСП 18мм</t>
  </si>
  <si>
    <t>Стол двухтумбовый с 2 направляющими выдвижными ящиками и тумбой с дверью. Размер 1500х700х750 мм. ЛДСП 18мм, класс эмиссии Е-1, облицованной кромкой ПВХ толщиной 1,5мм.</t>
  </si>
  <si>
    <t>522-101-1253-0002</t>
  </si>
  <si>
    <t>Стол двухтумбовый с 4 направляющими выдвижными ящиками и тумбой с дверью. Размер 1500х600х750 мм</t>
  </si>
  <si>
    <t>Материал: ЛДСП толщиной 16мм., столешница 32 мм. Кромки деталей облицованы полимерным кромочным материалом (ПВХ), толщиной 1,5 мм.
Тумбы стационарные, одна из них имеет 4 выдвижных ящика, вторая - вставную полку за глухой дверцей.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(без острых углов), навес мебельный типа BLUM.</t>
  </si>
  <si>
    <t>522-101-1253-0003</t>
  </si>
  <si>
    <t>Стол двухтумбовый с 4 направляющими выдвижными ящиками и тумбой с дверью. Размер 1800х800х750 мм. ЛДСП 16мм</t>
  </si>
  <si>
    <t>522-101-1254</t>
  </si>
  <si>
    <t>Комплект мебели для руководителя</t>
  </si>
  <si>
    <t>522-101-1254-0001</t>
  </si>
  <si>
    <t>Комплект мебели для руководителя. Стол руководителя 2150х1600х750мм, стеллаж 2450х400х2100мм</t>
  </si>
  <si>
    <t>Комплект мебели для руководителя состоит из стола и стеллажа.  Стол руководителя, размер: 2150х1600х750мм. Материал: ЛДСП 18мм. Цвет по согласованию. Стеллаж, размер: 2450х400х2100мм. Материал: ЛДСП 18мм.
Цвет по согласованию.  На ножках установлены пластиковые пятки.</t>
  </si>
  <si>
    <t>522-101-1255</t>
  </si>
  <si>
    <t>522-101-1255-0001</t>
  </si>
  <si>
    <t>Кровать односпальная, материал ЛДСП 18мм, размер 900х2000мм</t>
  </si>
  <si>
    <t>Кровать односпальная без матраса. Изголовье твердое. Основание в комплекте. Материал ЛДСП 18 мм. Размер кровати: 900х2000 мм.</t>
  </si>
  <si>
    <t>522-101-1256</t>
  </si>
  <si>
    <t>522-101-1256-0001</t>
  </si>
  <si>
    <t>Кровать двухъярусная металлическая с лестницей, размер 2000х900х1800мм</t>
  </si>
  <si>
    <t>Кровать двухъярусная металлическая с четырьмя металлическими ребрами жесткости, ограничителями на втором ярусе и лестницей. Размер спального места: 800х1900мм. Основание кроватей: сварная сетка, с ячейками 50х100мм. Способ крепежа: клин. Профиль: металлическая труба 20х40мм.
Спинка: круглая труба. Тип покраски: порошковая. Габариты кровати: 2000х900х1800мм.</t>
  </si>
  <si>
    <t>522-101-1257</t>
  </si>
  <si>
    <t>Картотека металлическая</t>
  </si>
  <si>
    <t>522-101-1257-0001</t>
  </si>
  <si>
    <t>Картотека металлическая напольная с четырьмя выдвижными ящиками типа Практик AFC-04. Размер: 1330х470х630мм. Тип замка ключевой. Покрытие шкафа полимерно-порошковая краска</t>
  </si>
  <si>
    <t>522-101-1258</t>
  </si>
  <si>
    <t>Кресло мягкое</t>
  </si>
  <si>
    <t>522-101-1258-0001</t>
  </si>
  <si>
    <t>Кресло офисное мягкое, без боковин, размеры: не менее 550х790х815мм</t>
  </si>
  <si>
    <t>Каркас деревянный, опоры дерево, материал обивки: ткань или экокожа.
Габаритные размеры: не менее 550х790х815мм</t>
  </si>
  <si>
    <t>522-101-1258-0002</t>
  </si>
  <si>
    <t>Кресло офисное мягкое, размеры: 900х700х750мм</t>
  </si>
  <si>
    <t>Каркас деревянный, опоры массив дерева, материал обивки: ткань или экокожа. Габаритные размеры: 900х700х750мм</t>
  </si>
  <si>
    <t>522-101-1258-0003</t>
  </si>
  <si>
    <t>Кресло офисное мягкое, размеры: 900х800х750мм</t>
  </si>
  <si>
    <t>Каркас деревянный, опоры металл, материал обивки: ткань или экокожа.
Габаритные размеры: 900х800х750мм</t>
  </si>
  <si>
    <t>522-101-1258-0004</t>
  </si>
  <si>
    <t>Кресло офисное мягкое, размеры: 750х650х800мм</t>
  </si>
  <si>
    <t>Каркас деревянный, опоры пластик, материал обивки: ткань или экокожа.
Габаритные размеры:   750х650х800мм</t>
  </si>
  <si>
    <t>522-101-1258-0005</t>
  </si>
  <si>
    <t>Кресло модульное. Материал ткань. Размер 920х650мм</t>
  </si>
  <si>
    <t>522-101-1259</t>
  </si>
  <si>
    <t>Диван модульный</t>
  </si>
  <si>
    <t>522-101-1259-0001</t>
  </si>
  <si>
    <t>Диван офисный 3-х секционный, без боковин, размеры: 2830х830х1150мм</t>
  </si>
  <si>
    <t>Не трансформируемый без боковин. Состоит из 3х секций. Высота спинки 1150мм. Каркас деревянный, опоры пластик, материал обивки: ткань или экокожа. Габаритные размеры:       2830х830х1150мм</t>
  </si>
  <si>
    <t>522-101-1259-0002</t>
  </si>
  <si>
    <t>Диван офисный 4-х секционный, размеры: 3500х2500х780мм</t>
  </si>
  <si>
    <t>Не трансформируемый, каркас деревянный . Опоры металл, материал обивки: ткань или экокожа. Габаритные размеры: 3500х2500х780мм</t>
  </si>
  <si>
    <t>522-101-1259-0003</t>
  </si>
  <si>
    <t>Диван офисный 3-х секционный, размеры: 2000х700х750мм</t>
  </si>
  <si>
    <t>Не трансформируемый, каркас деревянный, опоры металл, материал обивки: ткань или экокожа. Габаритные размеры:  2000х700х750мм</t>
  </si>
  <si>
    <t>522-101-1260</t>
  </si>
  <si>
    <t>Диван 2-х местный</t>
  </si>
  <si>
    <t>522-101-1260-0001</t>
  </si>
  <si>
    <t>Диван 2-х местный офисный без боковин,
размеры: 1100х700х1000мм</t>
  </si>
  <si>
    <t>Не трансформируемый, каркас деревянный, опоры пластик, материал обивки: ткань или экокожа. Габаритные размеры: 1100х700х1000мм</t>
  </si>
  <si>
    <t>522-101-1260-0002</t>
  </si>
  <si>
    <t>Диван 2-х местный офисный без боковин,
размеры: 600х950х1150мм</t>
  </si>
  <si>
    <t>Не трансформируемый, каркас деревянный, опоры пластик, материал обивки: ткань или экокожа. Габаритные размеры:  600х950х1150мм</t>
  </si>
  <si>
    <t>522-101-1260-0003</t>
  </si>
  <si>
    <t>Диван 2-х местный офисный без боковин,
подушки спинки, размеры: 1400х900х750мм</t>
  </si>
  <si>
    <t>Не трансформируемый, каркас деревянный, опоры металл, подушки спинки, материал обивки: ткань или экокожа. Габаритные размеры: 1400х900х750мм</t>
  </si>
  <si>
    <t>522-101-1260-0004</t>
  </si>
  <si>
    <t>Диван 2-х местный офисный без боковин,
размеры: 1400х900х750мм</t>
  </si>
  <si>
    <t>Не трансформируемый, каркас деревянный, опоры металл, материал обивки: ткань или экокожа. Габаритные размеры: 1400х900х750мм</t>
  </si>
  <si>
    <t>522-101-1260-0005</t>
  </si>
  <si>
    <t>Диван 2-х местный офисный, размеры:
1560х950х850мм</t>
  </si>
  <si>
    <t>Не трансформируемый. Каркас деревянный.  Опоры металл. Материал обивки: ткань или экокожа. Габаритные размеры:             1560х950х850</t>
  </si>
  <si>
    <t>522-101-1260-0006</t>
  </si>
  <si>
    <t>Диван 2-х местный офисный, размеры:
1600х700х750мм</t>
  </si>
  <si>
    <t>Не трансформируемый. Каркас деревянный, опоры металл, материал обивки: ткань или экокожа. Габаритные размеры:         1600х700х750мм</t>
  </si>
  <si>
    <t>522-101-1260-0007</t>
  </si>
  <si>
    <t>Диван 2-х местный офисный без боковин,
размеры: 1700х660х450мм</t>
  </si>
  <si>
    <t>Не трансформируемый. Каркас деревянный, опоры пластик, материал обивки: ткань или экокожа. Габаритные размеры: 1700х660х450мм</t>
  </si>
  <si>
    <t>522-101-1260-0008</t>
  </si>
  <si>
    <t>Диван 2-х местный офисный, высота спинки с трех сторон 1400мм, габаритные размеры: 1600х750х1400мм</t>
  </si>
  <si>
    <t>Не трансформируемый. Каркас деревянный, опоры металл, материал обивки: ткань или экокожа. Высота спинки с трех сторон 1400мм, 2 подушки. Габаритные размеры: 1600х750х1400мм</t>
  </si>
  <si>
    <t>522-101-1260-0009</t>
  </si>
  <si>
    <t>Диван офисный, зонированный, высота спинки 1230мм, габаритные размеры: 1090х1850х1230мм</t>
  </si>
  <si>
    <t>Не трансформируемый. Каркас деревянный, опоры пластик, материал обивки: ткань или экокожа. Мобильная перегородка при перемещении позволяет создать закрытое со всех сторон пространство, зона с монтированным диваном и подставкой под ноги. Высота спинки 1230мм.
Габаритные размеры: 1090х1850х1230мм</t>
  </si>
  <si>
    <t>522-101-1261</t>
  </si>
  <si>
    <t>Диван 3-х местный</t>
  </si>
  <si>
    <t>522-101-1261-0001</t>
  </si>
  <si>
    <t>Диван 3-х местный офисный, размеры: 1800х850х700мм</t>
  </si>
  <si>
    <t>Не трансформируемый. Каркас деревянный, опоры металл, материал обивки: ткань или экокожа. Габаритные размеры: 1800х850х700мм</t>
  </si>
  <si>
    <t>522-101-1261-0002</t>
  </si>
  <si>
    <t>Диван 3-х местный офисный, размеры: 2000х900х900мм</t>
  </si>
  <si>
    <t>Не трансформируемый. Каркас деревянный, опоры металл, материал обивки: ткань или экокожа. Габаритные размеры: 2000х900х900мм</t>
  </si>
  <si>
    <t>522-101-1261-0003</t>
  </si>
  <si>
    <t>Диван 3-х местный офисный, размеры: 1800х700х750мм</t>
  </si>
  <si>
    <t>Не трансформируемый. Каркас деревянный, опоры металл, материал обивки: ткань или экокожа. Габаритные размеры: 1800х700х750мм</t>
  </si>
  <si>
    <t>522-101-1261-0004</t>
  </si>
  <si>
    <t>Диван 3-х местный офисный, размеры: 2100х850х700мм</t>
  </si>
  <si>
    <t>Не трансформируемый. Каркас деревянный, опоры металл, материал обивки: ткань или экокожа. Габаритные размеры: 2100х850х700мм</t>
  </si>
  <si>
    <t>522-101-1261-0005</t>
  </si>
  <si>
    <t>Диван 3-х местный офисный, опоры пластик, размеры: 2200х950х840мм</t>
  </si>
  <si>
    <t>Не трансформируемый. Каркас деревянный, опоры пластик, материал обивки: ткань или экокожа. Габаритные размеры: 2200х950х840мм</t>
  </si>
  <si>
    <t>522-101-1261-0006</t>
  </si>
  <si>
    <t>Диван 3-х местный офисный, опоры металл, размеры: 2200х950х840мм</t>
  </si>
  <si>
    <t>Не трансформируемый. Каркас деревянный, опоры металл, материал обивки: ткань или экокожа. Габаритные размеры: 2200х950х840мм</t>
  </si>
  <si>
    <t>522-101-1261-0007</t>
  </si>
  <si>
    <t>Диван 3-х местный офисный, размеры: 2170х950х850мм</t>
  </si>
  <si>
    <t>Механизм трансформации "Книжка". Каркас деревянный, опоры металл, материал обивки: ткань или экокожа. Габаритные размеры: 2170х950х850мм</t>
  </si>
  <si>
    <t>522-101-1261-0008</t>
  </si>
  <si>
    <t>Диван 3-х местный офисный, размеры: 2000х800х750мм</t>
  </si>
  <si>
    <t>Не трансформируемый. Каркас деревянный, опоры металл, материал обивки: ткань или экокожа. Габаритные размеры: 2000х800х750мм</t>
  </si>
  <si>
    <t>522-101-1261-0009</t>
  </si>
  <si>
    <t>Диван 3-х местный офисный, размеры: 1800х650х800мм</t>
  </si>
  <si>
    <t>Не трансформируемый. Каркас деревянный, опоры пластик, материал обивки: ткань или экокожа. Габаритные размеры: 1800х650х800мм</t>
  </si>
  <si>
    <t>522-101-1261-0010</t>
  </si>
  <si>
    <t>Диван 3-х местный офисный, размеры: 2000х700х750мм</t>
  </si>
  <si>
    <t>Не трансформируемый. Каркас деревянный, опоры металл, материал обивки: ткань или экокожа. Габаритные размеры: 2000х700х750мм</t>
  </si>
  <si>
    <t>522-101-1261-0011</t>
  </si>
  <si>
    <t>Диван 3-х местный, размеры: 2200х530х780мм</t>
  </si>
  <si>
    <t>Диван трёхместный, длина 2200 мм, высота спинки от пола 780 мм, глубина посадочного места 530 мм. Каркас имеет жесткий каркас изготовленный  из ЛДСП, обит ППУ (пенополиуретан) различных толщин (10-40 мм). Ткань - экокожа. Фурнитура: конфирматы, шурупы, скобы мебельные. Диван имеет пластиковые ножки, защищающие пол от повреждений.</t>
  </si>
  <si>
    <t>522-101-1261-0012</t>
  </si>
  <si>
    <t>Диван 3-х местный. Сиденье и спинка из полиуретана, ПВХ/кожи, ПВХ. Черные ножки из нержавеющей стали. Размер: 1900х750х790мм</t>
  </si>
  <si>
    <t>Пена высокой плотности 40#. Каркас из дерева. Стальная параллельная внутренняя пружина. Черный полиуретан A70-40.</t>
  </si>
  <si>
    <t>522-101-1261-0013</t>
  </si>
  <si>
    <t>Диван 3-х местный. Сиденье и спинка из полиуретана, ПВХ/кожи, ПВХ. Черные ножки из нержавеющей стали. Размер: 1930х760х720мм</t>
  </si>
  <si>
    <t>Пена высокой плотности 40#. Каркас из дерева. Стальная параллельная внутренняя пружина.  Оранжевый полиуретан A70-28.</t>
  </si>
  <si>
    <t>522-101-1261-0014</t>
  </si>
  <si>
    <t>Диван 3-х местный. Сиденье и спинка из полиуретана, ПВХ/кожи, ПВХ. Каркас из металла. Размер: 1800х750х700мм</t>
  </si>
  <si>
    <t>Пена высокой плотности. Цвет: Жёлтый, синий</t>
  </si>
  <si>
    <t>522-101-1262</t>
  </si>
  <si>
    <t>Пуф</t>
  </si>
  <si>
    <t>522-101-1262-0001</t>
  </si>
  <si>
    <t>Пуф 500*400мм</t>
  </si>
  <si>
    <t>Пуф 500*400мм. Подходит для зоны рекреации и офиса, учебного заведения. Материал по согласованию</t>
  </si>
  <si>
    <t>522-101-1262-0002</t>
  </si>
  <si>
    <t>Пуф мягкий квадратный, размеры: 450х450х450мм</t>
  </si>
  <si>
    <t>Пуф мягкий квадратный. Каркас деревянный, опоры пластик, материал обивки: ткань или  экокожа. Габаритные размеры:450х450х450мм</t>
  </si>
  <si>
    <t>522-101-1262-0003</t>
  </si>
  <si>
    <t>Пуф мягкий круглый, размеры: диаметр 450мм, высота 450мм</t>
  </si>
  <si>
    <t>Пуф мягкий круглый. Каркас деревянный, опоры пластик, материал обивки: ткань или экокожа. Габаритные размеры: диаметр 450мм, высота 450мм</t>
  </si>
  <si>
    <t>522-101-1262-0004</t>
  </si>
  <si>
    <t>Пуф мягкий в форме камня, размеры: диаметр 520мм, высота 450мм</t>
  </si>
  <si>
    <t>Пуф мягкий в форме камня. Каркас деревянный, опоры пластик, материал обивки: ткань или экокожа. Габаритные размеры: диаметр 520мм, высота 450мм</t>
  </si>
  <si>
    <t>522-101-1262-0005</t>
  </si>
  <si>
    <t>Пуф мягкий прямоугольный, размеры: 1500х450х450мм</t>
  </si>
  <si>
    <t>Пуф мягкий прямоугольный. Каркас деревянный, опора пластик, материал обивки: ткань или экокожа. Габаритные размеры: 1500х450х450мм</t>
  </si>
  <si>
    <t>522-101-1262-0006</t>
  </si>
  <si>
    <t>Пуф мягкий прямоугольный,  размеры: 1000х400х450мм</t>
  </si>
  <si>
    <t>Пуф мягкий прямоугольный. Каркас деревянный, опора пластик, материал обивки: ткань или экокожа. Габаритные размеры: 1000х400х450мм</t>
  </si>
  <si>
    <t>522-101-1262-0007</t>
  </si>
  <si>
    <t>Пуф мягкий прямоугольный,  размеры: 1200х400х450мм</t>
  </si>
  <si>
    <t>Пуф мягкий прямоугольный. Каркас деревянный, опора пластик, материал обивки: ткань или экокожа. Габаритные размеры: 1200х400х450мм</t>
  </si>
  <si>
    <t>522-101-1262-0008</t>
  </si>
  <si>
    <t>Пуф мягкий в виде фигуры молекулы, размеры: радиус 750мм, высота 450мм</t>
  </si>
  <si>
    <t>Пуф мягкий в виде фигуры молекулы. Каркас деревянный, опора пластик, материал обивки: ткань или экокожа. Габаритные размеры: радиус 750мм, высота 450мм</t>
  </si>
  <si>
    <t>522-101-1262-0009</t>
  </si>
  <si>
    <t>Пуф мягкий со спинкой, размеры: 550х500х400мм</t>
  </si>
  <si>
    <t>Пуф мягкий со спинкой. Каркас деревянный, опора пластик, материал обивки: ткань или экокожа. Габаритные размеры: 550х500х400мм</t>
  </si>
  <si>
    <t>522-101-1262-0010</t>
  </si>
  <si>
    <t>Пуф мягкий со спинкой, размеры: 720х720х650мм</t>
  </si>
  <si>
    <t>Пуф мягкий со спинкой. Каркас деревянный, опора пластик, материал обивки: ткань или экокожа. Габаритные размеры: 720х720х650мм</t>
  </si>
  <si>
    <t>522-101-1262-0011</t>
  </si>
  <si>
    <t>Пуф мягкий со спинкой,  размеры: 600х700х880мм</t>
  </si>
  <si>
    <t>Пуф мягкий со спинкой. Каркас деревянный, опора металл, материал обивки: ткань или экокожа. Габаритные размеры: 600х700х880мм</t>
  </si>
  <si>
    <t>522-101-1262-0012</t>
  </si>
  <si>
    <t>Пуф мягкий со спинкой, размеры: 530х500х750мм</t>
  </si>
  <si>
    <t>Пуф мягкий со спинкой. Каркас деревянный, опора металл, материал обивки: ткань или экокожа. Габаритные размеры: 530х500х750мм</t>
  </si>
  <si>
    <t>522-101-1262-0013</t>
  </si>
  <si>
    <t>Набор пуфов мягкий (4 шт.), размеры общего набора: 1000х1300х450мм</t>
  </si>
  <si>
    <t>Набор состоит из 4 пуфов мягких. Каркас деревянный, опора пластик, материал обивки: ткань или экокожа. Габаритные размеры общего набора: 1000х1300х450мм</t>
  </si>
  <si>
    <t>522-101-1262-0014</t>
  </si>
  <si>
    <t>Набор пуфов мягкий (не менее 8 шт.), размеры общего набора: не менее 610х700х450мм</t>
  </si>
  <si>
    <t>Набор состоит из не менее 8 пуфов мягких. Каркас деревянный, опора пластик, материал обивки: ткань или экокожа. Габаритные размеры общего набора: не менее 610х700х450мм</t>
  </si>
  <si>
    <t>522-101-1262-0015</t>
  </si>
  <si>
    <t>Набор пуфов со спинкой мягкий (3 шт.), размеры общего набора:  1650х500х750мм</t>
  </si>
  <si>
    <t>Набор состоит из 3 пуфов мягких со спинкой. Каркас деревянный, опора металл, материал обивки: ткань или экокожа. Габаритные размеры общего набора: 1650х500х750мм</t>
  </si>
  <si>
    <t>522-101-1262-0016</t>
  </si>
  <si>
    <t>Набор пуфов со спинкой мягкий (3 шт.), размеры общего набора: 1800х700х880мм</t>
  </si>
  <si>
    <t>Набор состоит из 3 пуфов мягких со спинкой. Каркас деревянный, опора металл, материал обивки: ткань или экокожа. Габаритные размеры общего набора: 1800х700х880мм</t>
  </si>
  <si>
    <t>522-101-1262-0017</t>
  </si>
  <si>
    <t>Набор пуфов со спинкой мягкий (5 шт.), размеры общего набора: 1500х1300х810мм</t>
  </si>
  <si>
    <t>Набор состоит из 5 пуфов мягких. Каркас деревянный, опора металл, материал обивки: ткань или экокожа. Габаритные размеры общего набора: 1500х1300х810мм</t>
  </si>
  <si>
    <t>522-101-1262-0018</t>
  </si>
  <si>
    <t>Пуф модульный. Размер 497х623х400мм</t>
  </si>
  <si>
    <t>Выполнен из ппу самой высотокой плотности, плотной ткани, которая не принимает форму тела, возвращается в исходную форму.</t>
  </si>
  <si>
    <t>522-101-1263</t>
  </si>
  <si>
    <t>Кресло для актового, медиа и конференц залов</t>
  </si>
  <si>
    <t>522-101-1263-0001</t>
  </si>
  <si>
    <t>Кресло типа Спутник. Основа металлокаркас, обивка синтетический велюр, низковорсовый, спинка из пенополиуретана, подлокотники из цельного бруса, материал бук.</t>
  </si>
  <si>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</si>
  <si>
    <t>522-101-1263-0002</t>
  </si>
  <si>
    <t>Кресло типа Мега. Основа металлокаркас, наполнитель эластичный поролон холодного вспеивания, подлокотники из цельного бруса, материал бук.</t>
  </si>
  <si>
    <t>Размеры: ширина 520 мм, высота 920 мм, глубина в слож. 550 мм, глубина в разлож.
700 мм</t>
  </si>
  <si>
    <t>522-101-1263-0003</t>
  </si>
  <si>
    <t>Кресло типа Премьер. Основа металлокаркас, наполнитель ППУ, подлокотники из цельного бруса, материал бук.</t>
  </si>
  <si>
    <t>Размеры: ширина 520 мм, высота 860 мм, глубина в слож. 440 мм, глубина в разлож. 600 мм</t>
  </si>
  <si>
    <t>522-101-1263-0004</t>
  </si>
  <si>
    <t>Кресло типа Соло. Основа металлокаркас, наполнитель эластичный поролон холодного вспеивания, подлокотники из цельного бруса, материал бук.</t>
  </si>
  <si>
    <t>Размеры: межцентровое расстояние - 580 мм, высота 960 мм, глубина 700 мм</t>
  </si>
  <si>
    <t>522-101-1263-0005</t>
  </si>
  <si>
    <t>Кресло типа Уно. Наполнение эластичный пенополиуретан ППУ,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t>
  </si>
  <si>
    <t>Размеры: высота — 900 мм, ширина — 520 мм, глубина в сложенном состоянии — 225 мм, глубина в разложенном состоянии — 655 мм</t>
  </si>
  <si>
    <t>522-101-1263-0006</t>
  </si>
  <si>
    <t>Кресло типа Каскад КД-123. Основа металлокаркас, обивка синтетический велюр, низковорсовый, спинка из пенополиуретана, подлокотники из цельного бруса, материал бук.</t>
  </si>
  <si>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</si>
  <si>
    <t>522-101-1263-0007</t>
  </si>
  <si>
    <t>Кресло типа Каскад КД-126. Основа металлокаркас, наполнитель эластичный поролон холодного вспеивания, подлокотники из цельного бруса, материал бук.</t>
  </si>
  <si>
    <t>Размеры: ширина 520 мм, высота 920 мм, глубина в слож. 550 мм, глубина в разлож. 700 мм</t>
  </si>
  <si>
    <t>522-101-1263-0008</t>
  </si>
  <si>
    <t>Кресло типа Каскад КД-124. Основа металлокаркас, наполнитель ППУ, подлокотники из цельного бруса, материал бук.</t>
  </si>
  <si>
    <t>522-101-1263-0009</t>
  </si>
  <si>
    <t>Кресло типа Каскад КД-113. Основа металлокаркас, наполнитель эластичный поролон холодного вспеивания, подлокотники из цельного бруса, материал бук.</t>
  </si>
  <si>
    <t>522-101-1263-0010</t>
  </si>
  <si>
    <t>Кресло театральное, мягкие элементы спинки и сидения обтянуты мебельной тканью, подлокотники МДФ, опоры металл, с откидывающимся сидением</t>
  </si>
  <si>
    <t>Габаритные размеры: 655х690х850мм. Каркас  выполнен из калиброванного хвойного бруса 1 категории и березовой  фанеры класс эмиссии Е1. Соединения шиповые, на клее ПВА (водная основа) и мебельной скобе, опоры металл. Подлокотники МДФ цвет Венге. Мягкие элементы сиденья и спинки изготовлены из эластичного и прочного пенополиуритана. Усиленный каркас спинки и сиденья с возможностью консольного крепления или анкерного крепления к полу, с откидывающимся сидением. Мягкие элементы спинки и сидения обтянуты мебельной тканью.  Цвет по согласованию с заказчиком. Подлокотники из мдф с отделкой пленкой ПВХ.</t>
  </si>
  <si>
    <t>522-101-1263-0011</t>
  </si>
  <si>
    <t>Кресло театральное, обивочный материал велюр, накладки на подлокотники из цельного массива дерева, опоры металл, с откидывающимся сидением</t>
  </si>
  <si>
    <t>Габаритные размеры: 620х700х1000мм. Каркас  выполнен из калиброванного  хвойного бруса 1 категории и березовой  фанеры класс эмиссии Е1. Соединения шиповые , на клее ПВА( водная основа) и мебельной скобе, опоры металл.  Мягкие элементы сиденья  и спинки изготовлены из эластичного и прочного пенополиуритана. С откидывающимся сидением, накладки на подлокотники выполнены из цельного массива дерева, покрыты высококачественными полиуретановыми лаками. Обивочный материал велюр, цвет по
согласованию с заказчиком. Максимальная нагрузка 120кг</t>
  </si>
  <si>
    <t>522-101-1263-0012</t>
  </si>
  <si>
    <t>Кресло театральное, металлокаркас высокой прочности из толстостенных труб, подлокотники из высококачественной фанеры, ткань - триплированная износостойкая, подушки из пенополиуретана повышенной плотности</t>
  </si>
  <si>
    <t>Размеры: высота 880мм, ширина 500-550мм, глубина в сложенном состоянии 525мм, глубина в разложенном состоянии 690мм. Металлокаркас высокой прочности из толстостенных труб, полимерная окраска.
Подлокотники из высококачественной фанеры. Ткань - триплированная износостойкая. Подушки из пенополиуретана повышенной плотности. Толщина ППУ 50 мм. Плотная ткань устойчивая к износу, триплированная сеткой и ППУ, возможность изготовления чехлов на молниях для удобства
их чистки.</t>
  </si>
  <si>
    <t>522-101-1263-0013</t>
  </si>
  <si>
    <t>Кресло для актового зала. Сидение и спинка мягкие обитые. Сиденье откидывается. Рама металлическая чёрного цвета. Обивка: искусственная кожа, ткань</t>
  </si>
  <si>
    <t>Кресло для актового зала. Сидение и спинка мягкие обитые. Рама металлическая чёрного цвета. Габаритные размеры: Длина 1800мм. Ширина 560мм. Высота 785мм. Обивка: искусственная кожа, ткань</t>
  </si>
  <si>
    <t>522-101-1263-0014</t>
  </si>
  <si>
    <t>Кресло театральное, каркас металлический цветной, подлокотники с деревянной накладкой, обивка - гобелен. Размер: 480х420х670мм</t>
  </si>
  <si>
    <t>Кресло театральное, каркас металлический цветной, подлокотники с деревянной накладкой, обивка - гобелен. Размер: 480х420х670мм. Высота
от пола до сиденья 460мм.</t>
  </si>
  <si>
    <t>522-101-1263-0015</t>
  </si>
  <si>
    <t>Кресло театральное, каркас металлический цветной, подлокотники с деревянной накладкой, обивка - гобелен</t>
  </si>
  <si>
    <t>Кресло театральное, каркас металлический цветной, подлокотники с деревянной накладкой, обивка - гобелен. Высота спинки 590мм. Высота от
пола до сиденья 490мм.</t>
  </si>
  <si>
    <t>522-101-1263-0017</t>
  </si>
  <si>
    <t>Кресло для 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</si>
  <si>
    <t>Кресло для актового зала на металлокаркасе. Спинка размером 700 × 440 × 140 мм и сиденье размером 440 × 460 × 130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</si>
  <si>
    <t>522-101-1263-0018</t>
  </si>
  <si>
    <t>Кресло для 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</si>
  <si>
    <t>Кресло для актового зала на металлокаркасе. Спинка размером 700 × 440 × 130 мм и сиденье размером 470 × 460 × 160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сиденья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</si>
  <si>
    <t>522-101-1263-0019</t>
  </si>
  <si>
    <t>Кресло для 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</si>
  <si>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Сиденье размером 450 × 450 × 150 мм и спинка размером 685 × 450 × 120 мм изготовлены из пенополиуретана высокой плотности (≥ 50 кг/м³). В комплект поставки входит высококачественная холоднокатаная стальная пластина толщиной 1,5 мм, обеспечивающая жёсткость и прочность конструкции.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что улучшает акустические характеристики и вентиляцию. В комплект входит откидная доска для письма. Подлокотники изготовлены из натурального дуба. Механизм возврата пружинного типа обеспечивает автоматическое и плавное возвращение сиденья в исходное положение.Обивка кресла изготовлена из износостойкой полиэстеровой ткани, устойчивой к выцветанию. Боковая панель выполнена из деревянных досок, покрытых пенополиуретаном и обтянутых износостойкой тканью с внутренним переплетением. Крепление кресла к полу осуществляется с
помощью анкерных элементов</t>
  </si>
  <si>
    <t>522-101-1263-0020</t>
  </si>
  <si>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</si>
  <si>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Спинка 715×470×120 мм из полиуретана (≥ 600 кг/м³) и сиденье 485×480×140 мм из полиуретана (≥ 45 кг/м³). Задняя внутренняя панель спинки выполнена из формованной фанеры размером 660×410×6 мм. Задняя наружная панель изготовлена из многослойной доски из твёрдых пород древесины высокой плотности и имеет размеры 725 × 520 × 15 мм. Внешняя панель сиденья выполнена из многослойной древесины лиственных пород размером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изготовлена из натурального дуба толщиной 20 мм. В комплект входит откидной столик для письма. Обивочная ткань устойчива к образованию пятен и выцветанию, отличается высокой износостойкостью. Боковая панель выполнена из прочного полипропилена. Рама подлокотника изготовлена из горячекатаной стали толщиной 2,0 мм, нижняя опорная пластина — из
холоднокатаной штампованной стали толщиной 2,0 мм.</t>
  </si>
  <si>
    <t>522-101-1263-0021</t>
  </si>
  <si>
    <t>Кресло для 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</si>
  <si>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Сиденье размером 460 × 450 × 150 мм и спинка размером 710 × 460 × 130 мм изготовлены из пенополиуретана высокой плотности (≥ 50 кг/м³).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способствующими дополнительной вентиляции и улучшению акустики. В конструкцию кресла входит откидная доска для письма.
Поверхность подлокотника изготовлена из натурального дуба. Обивка выполнена из прочной износостойкой полиэстеровой ткани, устойчивой к выцветанию и загрязнениям. Механизм возврата пружинного типа обеспечивает автоматическое и плавное возвращение сиденья в исходное положение.Боковая панель выполнена из деревянных досок, покрытых пенополиуретаном и обтянутых износостойкой тканью с внутренним переплетом. Крепление кресла к полу осуществляется с помощью анкерных
элементов</t>
  </si>
  <si>
    <t>522-101-1263-0022</t>
  </si>
  <si>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</si>
  <si>
    <t>Кресло для актового зала на металлокаркасе. Спинка изготовлена из пенополиуретана высокой плотности размерами 715 × 470 × 120 мм и плотностью 60 кг/м³. Сиденье выполнено из пенополиуретана высокой плотности размером 485 × 480 × 140 мм и плотностью 45 кг/м³. Задняя внутренняя панель спинки изготовлена из формованной под давлением фанеры размером 660 × 410 × 6 мм. Задняя наружная панель выполнена из многослойной доски из твёрдых пород древесины высокой плотности, размерами 725 × 520 × 15 мм. Внешняя панель сиденья выполнена из многослойной лиственной древесины с размерами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выполнена из натурального дуба толщиной 20 мм. В комплект входит откидной столик для письма. Боковая панель изготовлена из прочного полипропилена. Рама подлокотника выполнена из горячекатаной стали толщиной 2,0 мм, а нижняя опорная пластина — из холоднокатаной штампованной стали такой же толщины.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</si>
  <si>
    <t>522-101-1263-0023</t>
  </si>
  <si>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</si>
  <si>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с основанием из алюминия. Спинка выполнена из пенополиуретана высокой плотности размерами 710 × 465 × 140 мм и плотностью 45 кг/м³. Сиденье — также из пенополиуретана высокой плотности, размером 500 × 450 × 140 мм, с плотностью 55 кг/м³. Задняя наружная панель спинки изготовлена из многослойной плиты древесины лиственных пород (750 × 515 × 15 мм), внутренняя панель — из фанеры (680 × 480 × 6 мм). Внешняя панель сиденья выполнена из многослойной доски из твёрдых пород древесины размером 460 × 430 × 14 мм. Механизм возврата — демпфирующий, обеспечивает плавное поднятие сиденья.
Подлокотники изготовлены из натурального дуба (245 × 60 × 20 мм). В комплект входит откидная доска для письма из алюминиевого сплава с ПВХ-панелью.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</si>
  <si>
    <t>522-101-1263-0024</t>
  </si>
  <si>
    <t>Кресло для актового зала. Основа металлокаркас, спинка размером 700×465×85 мм и сиденье размером 450×455×150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</si>
  <si>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Спинка размером 700
× 465 × 85 мм и сиденье размером 450 × 455 × 150 мм изготовлены из пенополиуретана высокой плотности. Внутренняя панель спинки выполнена из фанеры, внешняя — из многослойного шпона толщиной 15 мм. Поверхность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Боковая панель выполнена из древесноволокнистой плиты средней плотности (МДФ), отформованной методом литья под давлением, с наружной отделкой из пенополиуретана и износостойкой тканевой обивки. Механизм возврата пружинного типа обеспечивает автоматическое и плавное возвращение сиденья в исходное положение. Крепление кресла к полу осуществляется с помощью анкерных элементов.</t>
  </si>
  <si>
    <t>522-101-1263-0025</t>
  </si>
  <si>
    <t>Кресло для 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</si>
  <si>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Сиденье размером 470 × 450 × 170 мм и спинка размером 700 × 430 × 120 мм изготовлены из пенополиуретана высокой плотности (≥ 50 кг/м³). Внутренние и внешние панели сиденья и спинки выполнены из фанеры твёрдых пород, облицованные износостойкой текстурированной тканью. Механизм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Несущая конструкция корпуса сиденья изготовлена из холоднокатаной стальной пластины толщиной 1,5 мм. Крепление кресла к полу осуществляется с помощью анкерных элементов.</t>
  </si>
  <si>
    <t>522-101-1263-0026</t>
  </si>
  <si>
    <t>Кресло для 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</si>
  <si>
    <t>Кресло для актового зала на металлокаркасе. Межосевое расстояние составляет 580 мм. Высота спинки — 1080–1090 мм, высота посадочного места — 575 мм. Сиденье и спинка выполнены из пенополиуретана высокой плотности (≥ 55 кг/м³. Наружные панели спинки и сиденья изготовлены из прочного полипропилена. Обивка выполнена из износостойкой ткани, устойчивой к выцветанию. Подлокотник изготовлен из стальной пластины и трубы, верхняя накладка — из чёрного полипропилена. Боковая панель выполнена из фанеры и обтянута снаружи хлопчатобумажной тканью толщиной 5 мм. Сиденье оснащено пружинным механизмом автоматического возврата, обеспечивающим надёжное и плавное возвращение в исходное положение.</t>
  </si>
  <si>
    <t>522-101-1263-0027</t>
  </si>
  <si>
    <t>Кресло для 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</si>
  <si>
    <t>Кресло для актового зала с основанием из алюминия. Спинка размером 700
× 450 × 150 мм и сиденье размером 450 × 460 × 170 мм выполнены из пенополиуретана высокой плотности ( ≥ 55 кг/м3). Наружные панели сиденья и спинки изготовлены многослойных досок твёрдых пород древесины, внутренняя панель спинки — из фанеры. Обивка выполнена из влагостойкой, пылезащитной и противообрастающей ткани, устойчивой к износу и выцветанию. Подлокотник выполнен из натурального дуба или бука. Встроенный столик для письма изготовлен из прочного композитного материала ABS. Сиденье оснащено пружинным механизмом автоматического возврата, обеспечивающим плавное и бесшумное возвращение в исходное положение. Крепление кресла к полу осуществляется с помощью анкерных элементов.</t>
  </si>
  <si>
    <t>522-101-1263-0028</t>
  </si>
  <si>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</si>
  <si>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Спинка размером 710
× 465 × 140 мм выполнена из пенополиуретана высокой плотности (45 кг/м³). Сиденье размером 500 × 450 × 140 мм изготовлено из полиуретана с плотностью 55 кг/м³. Задняя наружная панель спинки выполнена из многослойной плиты лиственных пород (750 × 515 × 15 мм), внутренняя панель — из формованной фанеры (680 × 480 × 6 мм). Внешняя панель сиденья изготовлена из многослойной доски твёрдых пород древесины, размерами 460 × 430 × 14 мм. Сиденье оснащено пружинным механизмом автоматического возврата, обеспечивающим плавное и надёжное возвращение в исходное положение. Подлокотник выполнен из натурального дуба и имеет размеры 245 × 60 × 20 мм. Обивочная ткань выполнена из полиэстра , отличается высокой износостойкостью и устойчивостью к выцветанию. Крепление кресла к полу осуществляется с помощью анкерных элементов.</t>
  </si>
  <si>
    <t>522-101-1263-0029</t>
  </si>
  <si>
    <t>Кресло VIP для 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</si>
  <si>
    <t>Кресло VIP с электроприводом и основанием из цельной древесины.
Размеры: расстояние между центрами сидений составляет 600 мм; глубина сиденья — 850 мм, высота спинки — 1000 мм, высота сиденья — 610 мм, а в разложенном положении — до 1640 мм. Подлокотник оснащён чехлом с глубокой декоративной утяжкой и матовой крышкой для чашки.
Поручень-бокс фиксируется с применением высококачественного полиуретана толщиной 10 мм, наружный слой выполнен из прочного и износостойкого материала. Обивка может быть выполнена из натуральной кожи любого цвета по выбору заказчика либо из высококачественной мебельной ткани. Внутренним наполнителем служит огнестойкий пенополиуретан. Электропривод основан на встроенной стойке с бесшумным механизмом действия и не требует технического
обслуживания. Крепление кресла к полу не требуется</t>
  </si>
  <si>
    <t>522-101-1263-0030</t>
  </si>
  <si>
    <t>Кресло VIP для актового зала. Каркас из массива древесины, основание из алюминия, обивка из микрофибровой кожи, устойчивой к износу</t>
  </si>
  <si>
    <t>Кресло VIP для актового зала с основанием из алюминия. Одноместное (длиной от 800 до 1200 мм), двухместное (от 1500 до 1800 мм), а также в раскладной модификации — по индивидуальному заказу. Глубина сиденья составляет 500–600 мм. Высота сиденья от пола — 400–450 мм, высота спинки — 500–700 мм, ширина подлокотника — от 100 до 200 мм.
Допустимая нагрузка на одно посадочное место — не менее 150 кг. Каркас кресла выполнен из массива древесины. В качестве наполнителя используются пенополиуретан с плотностью не менее 35 кг/м³, а также, при необходимости, пенополиуретан с эффектом памяти или слой латекса — для повышенного комфорта. В конструкции основания может применяться пружинная система или пенопласт высокой плотности. Обивка выполнена из микрофибровой кожи, устойчивой к износу. Все используемые материалы соответствуют требованиям пожарной безопасности, предусмотренным для зрительных залов, актовых помещений и
кинотеатров. Крепление кресла к полу не требуется</t>
  </si>
  <si>
    <t>522-101-1263-0031</t>
  </si>
  <si>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</si>
  <si>
    <t>Кресло-реклайнер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Глубина сиденья составляет 500–600 мм и обеспечивает надёжную поддержку ног. Высота сиденья от пола — 400–450 мм, высота спинки — 500–700 мм. Ширина подлокотников варьируется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Для повышения уровня комфорта возможны варианты с пеной с эффектом памяти или латексным слоем. Опорная часть конструкции включает пружинную систему либо пенопласт высокой плотности. Обивка кресла выполнена из микрофибровой кожи, отличающейся высокой износостойкостью и простотой в уходе. Все материалы соответствуют требованиям пожарной безопасности, предусмотренным для кинотеатров,
актовых и общественных залов. Крепление кресла к полу не требуется</t>
  </si>
  <si>
    <t>522-101-1263-0032</t>
  </si>
  <si>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</si>
  <si>
    <t>Кресло-реклайнер с откидной спинкой и выдвижной подставкой ног. Каркас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Глубина сиденья составляет 500–600 мм, обеспечивая надёжную опору для ног; высота сиденья от пола
— 400–450 мм, высота спинки — 500–700 мм, ширина подлокотников —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По желанию возможна комплектация слоем латекса или пеной с эффектом памяти для повышения комфорта. В основании кресла может применяться пружинная система либо пенопласт высокой плотности, в зависимости от модели. Обивка выполнена из микрофибровой кожи, устойчивой к износу и простотой в уходе. Все применяемые материалы соответствуют требованиям пожарной безопасности, установленным для кинотеатров и общественных учреждений. Крепление кресла к полу не
требуется</t>
  </si>
  <si>
    <t>522-101-1263-0033</t>
  </si>
  <si>
    <t>Кресло для актового зала, опора каркаса изготавливается из стальных квадратных труб, поворотный механизм, обивка из ткани, размеры 600х600х990 мм</t>
  </si>
  <si>
    <t>Опора каркаса изготавливается из стальных квадратных труб 50х50х1,2 мм, к которому приварен прямоугольный фланец для крепления к полу изготовленный из листового металла толщиной 3 мм. Кресла крепятся на опорную балку из квадратной трубы 60х60 мм. толщиной не менее 3 мм.
Каркас подлокотников и спинки изготовлен из плоскоовальной трубы 50х25 толщиной не менее 1,2 мм и 40х20 мм толщиной не менее 1,2 мм, которые гнутся по узкой плоскости. Подлокотник изготовлен из щитовой сосны. Все соединения спинки и подлокотника выполнены по методу выреза сквозного отверстия по профилю трубы и дальнейшего соединения с помощью сварки. Также на балке имеется пластина толщиной 2 мм для крепления спинки. Механизм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Поворотный механизм имеет 2 рабочих положения, которые позволяют придать сиденью горизонтальное или вертикальное положение. Ответные элементы механизма поворота крепятся к сиденью при помощи болтов. Основание спинки и сидушки выполнено из фанеры, на которую в последующем приклеивается вторично вспененный ППУ высокой плотности и одевается чехол из ткани. Возможно
изготовление 2-х, 3-х и 4-х секционных кресел.</t>
  </si>
  <si>
    <t>522-101-1264</t>
  </si>
  <si>
    <t>Кресло для спортивного зала</t>
  </si>
  <si>
    <t>522-101-1264-0001</t>
  </si>
  <si>
    <t>Кресло типа Каскад КД-22У. Полумягкое кресло со складывающимся сиденьем, обивка износоустойчивая высококачественная ткань, каркас из металлической трубы</t>
  </si>
  <si>
    <t>С возможностью штабелироваться близко друг к другу. Каркас из металлической трубы прямоугольного и квадратного сечения, эластичный поролон плотность 25 кг/м3,
обивка ткань износоустойчивая ткань. Спинка кресла имеет радиусную форму. Металлоконструкции покрыты полимерно-порошковой эмалью.
Каркас выполнен из металлической трубы методом дорновой гибки, не допускается гофрирование (сморщивание) трубы в месте гибки.</t>
  </si>
  <si>
    <t>522-101-1264-0002</t>
  </si>
  <si>
    <t>Кресло типа Каскад КД-15. Материал пластик, основание металлический каркас, сиденье откидывается</t>
  </si>
  <si>
    <t>Размеры: высота 915мм, глубина в разложенном состоянии – 550 мм, глубина в сложенном состоянии – 230 мм, межцентровое расстояние кресел от 470 до 520 мм</t>
  </si>
  <si>
    <t>522-101-1264-0003</t>
  </si>
  <si>
    <t>Кресло типа Каскад КД-05. Материал пластик, основание металлический каркас, пружинный механизм возврата сиденья в сложенное положение</t>
  </si>
  <si>
    <t>522-101-1264-0004</t>
  </si>
  <si>
    <t>Кресло типа Каскад КД-02. Материал пластик, основание металлический каркас, сиденье с механизмом возврата гравитационным</t>
  </si>
  <si>
    <t>Сиденье и спинка повышенной ударопрочности. Размеры: высота 870 мм, глубина в разложенном состоянии – 540 мм, глубина в сложенном состоянии – 230 мм, межцентровое расстояние кресел от 470 до 520 мм</t>
  </si>
  <si>
    <t>522-101-1264-0005</t>
  </si>
  <si>
    <t>Кресло типа Каскад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t>
  </si>
  <si>
    <t>Размеры: ширина 520мм, высота 840 мм, глубина в сложенном 250мм, в разложенном 680 мм</t>
  </si>
  <si>
    <t>522-101-1264-0006</t>
  </si>
  <si>
    <t>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</si>
  <si>
    <t>Сиденье складное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Эргономичная форма сиденья.
Основа для сидения: изготовлен из металла, порошковое покрытие для обработки поверхности после защиты от ржавчины в помещении.
Складной механизм: гравитационная складная система.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Напольное крепление.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450 ширина, 390 высота, 500 глубина, мм.</t>
  </si>
  <si>
    <t>522-101-1264-0007</t>
  </si>
  <si>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</si>
  <si>
    <t>Сиденье статичное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Основа для сидения: ножки, отлитые из алюминиевого пресса с помощью металлических крепежных элементов.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Установка: установка на пол/подступенок.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446/458 ширина, 400 высота, 467/478 глубина, мм.
Несколько способов установки отвечают сложным требованиям к установке на объекте.</t>
  </si>
  <si>
    <t>522-101-1264-0008</t>
  </si>
  <si>
    <t>Кресло пластиковое складное, размер 550х480х840мм, металлокаркас с полимерно-порошковым покрытием</t>
  </si>
  <si>
    <t>Складное пластмассовое кресло в комлекте с кронштейном. Кресло предназначено для установки на открытых и закрытых спортивных сооружениях (стадионы, ледовые дворцы, спортивные комплексы). Антивандальное исполнение. Эргономичный, стильный дизайн.
Металлокаркас защищен полимерно-порошковым покрытием либо методом горячего оцинкования. Испытано на прочность, долговечность, статичную нагрузку и износоустойчивость. Температурный режим эксплуатации от – 40 С до + 50 С. Защищено от воздействия ультрафиолетовых лучей.
Выполнено из материалов, замедляющих процесс горения. Габариты :
Глубина 550мм. Ширина 480мм. Высота от пола 840мм. (430мм. от пола до сидения)</t>
  </si>
  <si>
    <t>522-101-1264-0009</t>
  </si>
  <si>
    <t>Скамья зрительская для спортивных сооружений на 5 мест (пластиковые сиденья). Размеры: длина - 2500 мм, высота сидения - 450 мм, со спинкой - 725 мм; глубина - 423 мм</t>
  </si>
  <si>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</si>
  <si>
    <t>522-101-1264-0010</t>
  </si>
  <si>
    <t>Скамья зрительская для спортивных сооружений на 3 места (пластиковые сиденья). Размеры: длина - 1425 мм, высота сидения - 450 мм, со спинкой - 725 мм; глубина - 423 мм</t>
  </si>
  <si>
    <t>522-101-1265</t>
  </si>
  <si>
    <t>Стол журнальный</t>
  </si>
  <si>
    <t>522-101-1265-0001</t>
  </si>
  <si>
    <t>Столик круглой формы, столешница  из ЛДСП 16мм, ножки металл, размеры: диаметр 500мм, высота 750мм</t>
  </si>
  <si>
    <t>Столешница выполнена из ЛДСП 16 мм, кромка ПВХ с исполькозованием высокотемпературного клея. Маталлические части стола изготовлены из листового металла толщиной 8 мм. Изделия окрашены методом электростатического порошкового напыления. Торцы профилей закрыты пластиковыми заглушками для предотвращения повреждения потребителей</t>
  </si>
  <si>
    <t>522-101-1265-0002</t>
  </si>
  <si>
    <t>Стол журнальный прямоугольной формы, столешница из ЛДСП 32мм, каркас из ЛДСП 16мм, размер 1000х700х500мм</t>
  </si>
  <si>
    <t>Ширина - 1000мм, глубина - 700мм, высота - 500мм. Столешница из ЛДСП 32мм, каркас выполнен из ЛДСП 16мм. Торцы облицованы  кромкой ПВХ толщиной 2мм.</t>
  </si>
  <si>
    <t>522-101-1265-0003</t>
  </si>
  <si>
    <t>Стол журнальный с двумя круглыми столешницами, радиус 600мм, высота 400мм, радиус 800мм, высота 450мм, столешница из HPL пластика 12мм, основание металлическое</t>
  </si>
  <si>
    <t>Стол журнальный с двумя круглыми столешницами, радиус 600мм, высота 400мм, радиус 800мм, высота 450мм. Основание металлическое, покрашено методом электростатического порошкового напыления. Материал рабочей поверхности стола: химически стойкий пластик HPL толщиной 12 мм (комплект  из 2 столиков)</t>
  </si>
  <si>
    <t>522-101-1266</t>
  </si>
  <si>
    <t>Тумба лабораторная</t>
  </si>
  <si>
    <t>522-101-1266-0001</t>
  </si>
  <si>
    <t>Тумба лабораторная 500х600х780мм</t>
  </si>
  <si>
    <t>Тумба с лабораторной раковиной. Тумба выполнена из листового металла. Лабораторная раковина изготовлена   из полипропиленового пластика, устойчивая к щелочам, кислотам и высоким температурам. Смеситель для лаборатории изготовлен из латуни. На поверхность нанесено многослойное эпоксидное покрытие, устойчивое к щелочам и кислотам</t>
  </si>
  <si>
    <t>522-101-1266-0002</t>
  </si>
  <si>
    <t>Тумба лабораторная с раковиной, смесителем и сушкой. Размер 500х500х850 мм</t>
  </si>
  <si>
    <t>Стол-мойка производственный со смесителем. Размеры 500х500х850мм. Материал ЛДСП, толщина материала 16 мм, кромка ПВХ с использованием высокотемпературного клея. Столешница выполнена из химстойкой панели HPL12 мм. Раковина из полипропиленового химически стойкого пластика, размером 390х290х260мм. Настенная сушка 550х400х120мм, сифон, смеситель в комплекте из пропилена для холодной и горячей воды.
Канализация - комплектующие к подключению. Установлены пластиковые подпятники, регулируемые.</t>
  </si>
  <si>
    <t>522-101-1266-0004</t>
  </si>
  <si>
    <t>Тумба лабораторная на колесах с одной дверцей, ЛДСП 16 мм, размеры 500х400х650 мм</t>
  </si>
  <si>
    <t>Тумба лабораторная на колесах с одной дверцей Габаритные размеры тумбы должны быть, не менее: ширина 500 мм, глубина 400 мм, высота 650 мм. Материал изготовления корпуса, фасада и задней стенки должна быть ЛДСП толщиной не менее 16 мм. Торцы должны быть отделаны кромкой из ПВХ толщиной не менее 0,4 мм. Конструктивно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Сборка должна производиться с помощью конфирматов 6,4х50 мм и эксцентриковых стяжек. Тумба должна опираться на роликовые опоры высотой не менее 50 мм.</t>
  </si>
  <si>
    <t>522-101-1266-0005</t>
  </si>
  <si>
    <t>Тумба лабораторная на колесах с выдвижными ящиками, ЛДСП 16 мм, размеры 500х440х600 мм</t>
  </si>
  <si>
    <t>Тумба лабораторная на колесах с выдвижными ящиками. Габаритные размеры тумбы не менее: ширина 500 мм, глубина 440 мм, высота 600 мм. Материал изготовления корпуса и фасада ЛДСП толщиной не менее 16 мм. Торцы обработаны кромкой из ПВХ толщиной не менее 0,4 мм., а крышки тумбы не менее 2 мм. Конструктивно тумба состоит из четырех ящиков высотой 142 мм, с жестким дном и направляющими полного выдвижения с доводчиком, имеющий мебельную ручку-скобу. Сборка производиться с помощью конфирматов 6,4х50 мм и эксцентриковых стяжек. Тумба опирается на колесные опоры.</t>
  </si>
  <si>
    <t>522-101-1267</t>
  </si>
  <si>
    <t>Шкаф металлический односекционный</t>
  </si>
  <si>
    <t>522-101-1267-0001</t>
  </si>
  <si>
    <t>типа GUARD с одной ячейкой, размеры 300х500х1830 мм, индивидуальный замок "Вертушка"</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</si>
  <si>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</si>
  <si>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522-101-1267-0002</t>
  </si>
  <si>
    <t>типа GUARD с одной ячейкой, размеры 300х400х1800 мм, индивидуальный замок "Вертушка"</t>
  </si>
  <si>
    <t>522-101-1267-0003</t>
  </si>
  <si>
    <t>типа GUARD с одной ячейкой, размеры 300х500х1860 мм, индивидуальный замок "Вертушка"</t>
  </si>
  <si>
    <t>522-101-1267-0004</t>
  </si>
  <si>
    <t>типа GUARD с одной ячейкой, размеры 325х500х1800 мм, индивидуальный замок "Вертушка"</t>
  </si>
  <si>
    <t>522-101-1267-0005</t>
  </si>
  <si>
    <t>типа GUARD с одной ячейкой, размеры 400х500х1830 мм, индивидуальный замок "Вертушка"</t>
  </si>
  <si>
    <t>522-101-1267-0006</t>
  </si>
  <si>
    <t>типа GUARD с одной ячейкой, размеры 400х500х1860 мм, индивидуальный замок "Вертушка"</t>
  </si>
  <si>
    <t>522-101-1267-0007</t>
  </si>
  <si>
    <t>типа GUARD с одной ячейкой, размеры 460х380х1830 мм, индивидуальный замок "Вертушка"</t>
  </si>
  <si>
    <t>522-101-1267-0008</t>
  </si>
  <si>
    <t>типа GUARD с одной ячейкой, размеры 500х550х2000 мм, индивидуальный замок "Вертушка"</t>
  </si>
  <si>
    <t>522-101-1267-0009</t>
  </si>
  <si>
    <t>типа GUARD с одной ячейкой, размеры 300х500х1830 мм, индивидуальный замок "Практик"</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</si>
  <si>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</si>
  <si>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522-101-1267-0010</t>
  </si>
  <si>
    <t>типа GUARD с одной ячейкой, размеры 300х400х1800 мм, индивидуальный замок "Практик"</t>
  </si>
  <si>
    <t>522-101-1267-0011</t>
  </si>
  <si>
    <t>типа GUARD с одной ячейкой, размеры 300х500х1860 мм, индивидуальный замок "Практик"</t>
  </si>
  <si>
    <t>522-101-1267-0012</t>
  </si>
  <si>
    <t>типа GUARD с одной ячейкой, размеры 325х500х1800 мм, индивидуальный замок "Практик"</t>
  </si>
  <si>
    <t>522-101-1267-0013</t>
  </si>
  <si>
    <t>типа GUARD с одной ячейкой, размеры 400х500х1830 мм, индивидуальный замок "Практик"</t>
  </si>
  <si>
    <t>522-101-1267-0014</t>
  </si>
  <si>
    <t>типа GUARD с одной ячейкой, размеры 400х500х1860 мм, индивидуальный замок "Практик"</t>
  </si>
  <si>
    <t>522-101-1267-0015</t>
  </si>
  <si>
    <t>типа GUARD с одной ячейкой, размеры 460х380х1830 мм, индивидуальный замок "Практик"</t>
  </si>
  <si>
    <t>522-101-1267-0016</t>
  </si>
  <si>
    <t>типа GUARD с одной ячейкой, размеры 500х550х2000 мм, индивидуальный замок "Практик"</t>
  </si>
  <si>
    <t>522-101-1267-0017</t>
  </si>
  <si>
    <t>типа GUARD с одной ячейкой, размеры 300х500х1830 мм, индивидуальный электронный замок, браслет</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</si>
  <si>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</si>
  <si>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522-101-1267-0018</t>
  </si>
  <si>
    <t>типа GUARD с одной ячейкой, размеры 300х400х1800 мм, индивидуальный электронный замок, браслет</t>
  </si>
  <si>
    <t>522-101-1267-0019</t>
  </si>
  <si>
    <t>типа GUARD с одной ячейкой, размеры 300х500х1860 мм, индивидуальный электронный замок, браслет</t>
  </si>
  <si>
    <t>522-101-1267-0020</t>
  </si>
  <si>
    <t>типа GUARD с одной ячейкой, размеры 325х500х1800 мм, индивидуальный электронный замок, браслет</t>
  </si>
  <si>
    <t>522-101-1267-0021</t>
  </si>
  <si>
    <t>типа GUARD с одной ячейкой, размеры 400х500х1830 мм, индивидуальный электронный замок, браслет</t>
  </si>
  <si>
    <t>522-101-1267-0022</t>
  </si>
  <si>
    <t>типа GUARD с одной ячейкой, размеры 400х500х1860 мм, индивидуальный электронный замок, браслет</t>
  </si>
  <si>
    <t>522-101-1267-0023</t>
  </si>
  <si>
    <t>типа GUARD с одной ячейкой, размеры 460х380х1830 мм, индивидуальный электронный замок, браслет</t>
  </si>
  <si>
    <t>522-101-1267-0024</t>
  </si>
  <si>
    <t>типа GUARD с одной ячейкой, размеры 500х550х2000 мм, индивидуальный электронный замок, браслет</t>
  </si>
  <si>
    <t>522-101-1267-0025</t>
  </si>
  <si>
    <t>типа GUARD с двумя ячейками, размеры 300х500х1830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</si>
  <si>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</si>
  <si>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522-101-1267-0026</t>
  </si>
  <si>
    <t>типа GUARD с двумя ячейками, размеры 400х500х1830 мм, индивидуальный замок "Вертушка"</t>
  </si>
  <si>
    <t>522-101-1267-0027</t>
  </si>
  <si>
    <t>типа GUARD с двумя ячейками, размеры 400х500х2300 мм, индивидуальный замок "Вертушка"</t>
  </si>
  <si>
    <t>522-101-1267-0028</t>
  </si>
  <si>
    <t>типа GUARD с двумя ячейками, размеры 300х500х1830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</si>
  <si>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</si>
  <si>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522-101-1267-0029</t>
  </si>
  <si>
    <t>типа GUARD с двумя ячейками, размеры 400х500х1830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</si>
  <si>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</si>
  <si>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522-101-1267-0030</t>
  </si>
  <si>
    <t>типа GUARD с двумя ячейками, размеры 400х500х2300 мм, индивидуальный электронный замок, браслет</t>
  </si>
  <si>
    <t>522-101-1267-0031</t>
  </si>
  <si>
    <t>типа GUARD с двумя ячейками, размеры 300х500х1830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</si>
  <si>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</si>
  <si>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522-101-1267-0032</t>
  </si>
  <si>
    <t>типа GUARD с двумя ячейками, размеры 400х500х1830 мм, индивидуальный замок "Практик"</t>
  </si>
  <si>
    <t>522-101-1267-0033</t>
  </si>
  <si>
    <t>типа GUARD с двумя ячейками, размеры 400х500х2300 мм, индивидуальный замок "Практик"</t>
  </si>
  <si>
    <t>522-101-1267-0034</t>
  </si>
  <si>
    <t>типа GUARD с четырьмя ячейками, размеры 300х500х1830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</si>
  <si>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</si>
  <si>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522-101-1267-0035</t>
  </si>
  <si>
    <t>типа GUARD с четырьмя ячейками, размеры 250х300х1500 мм, индивидуальный замок "Вертушка"</t>
  </si>
  <si>
    <t>522-101-1267-0036</t>
  </si>
  <si>
    <t>типа GUARD с четырьмя ячейками, размеры 250х300х1600 мм, индивидуальный замок "Вертушка"</t>
  </si>
  <si>
    <t>522-101-1267-0037</t>
  </si>
  <si>
    <t>типа GUARD с четырьмя ячейками, размеры 300х300х1500 мм, индивидуальный замок "Вертушка"</t>
  </si>
  <si>
    <t>Конструкция  модульная, сборно-разборная из  листовой стали, не менее 0,7 мм. Окрашен. Оснащен индивидуальным  замком "Вертушка". Двери снабжены декоративными вентиляционными отверстиями.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</si>
  <si>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522-101-1267-0038</t>
  </si>
  <si>
    <t>типа GUARD с четырьмя ячейками, размеры 300х500х1830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</si>
  <si>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</si>
  <si>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522-101-1267-0039</t>
  </si>
  <si>
    <t>типа GUARD с четырьмя ячейками, размеры 250х300х1500 мм, индивидуальный замок "Практик"</t>
  </si>
  <si>
    <t>522-101-1267-0040</t>
  </si>
  <si>
    <t>типа GUARD с четырьмя ячейками, размеры 250х300х1600 мм, индивидуальный замок "Практик"</t>
  </si>
  <si>
    <t>522-101-1267-0041</t>
  </si>
  <si>
    <t>типа GUARD с четырьмя ячейками, размеры 300х500х1830 мм, индивидуальный электронный замок, браслет</t>
  </si>
  <si>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</si>
  <si>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522-101-1267-0042</t>
  </si>
  <si>
    <t>типа GUARD с четырьмя ячейками, размеры 250х300х1500 мм, индивидуальный электронный замок, браслет</t>
  </si>
  <si>
    <t>522-101-1267-0043</t>
  </si>
  <si>
    <t>типа GUARD с четырьмя ячейками, размеры 250х300х1600 мм, индивидуальный электронный замок, браслет</t>
  </si>
  <si>
    <t>522-101-1268</t>
  </si>
  <si>
    <t>Шкаф металлический двухсекционный</t>
  </si>
  <si>
    <t>522-101-1268-0001</t>
  </si>
  <si>
    <t>типа GUARD с двумя ячейками, размеры 575х500х1830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</si>
  <si>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</si>
  <si>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522-101-1268-0002</t>
  </si>
  <si>
    <t>типа GUARD с двумя ячейками, размеры 418х500х1830 мм, индивидуальный замок "Вертушка"</t>
  </si>
  <si>
    <t>522-101-1268-0003</t>
  </si>
  <si>
    <t>типа GUARD с двумя ячейками, размеры 575х500х1500 мм, индивидуальный замок "Вертушка"</t>
  </si>
  <si>
    <t>522-101-1268-0004</t>
  </si>
  <si>
    <t>типа GUARD с двумя ячейками, размеры 600х500х1500 мм, индивидуальный замок "Вертушка"</t>
  </si>
  <si>
    <t>522-101-1268-0005</t>
  </si>
  <si>
    <t>типа GUARD с двумя ячейками, размеры 600х500х1760 мм, индивидуальный замок "Вертушка"</t>
  </si>
  <si>
    <t>522-101-1268-0006</t>
  </si>
  <si>
    <t>типа GUARD с двумя ячейками, размеры 600х500х1830 мм, индивидуальный замок "Вертушка"</t>
  </si>
  <si>
    <t>522-101-1268-0007</t>
  </si>
  <si>
    <t>типа GUARD с двумя ячейками, размеры 800х500х1830 мм, индивидуальный замок "Вертушка"</t>
  </si>
  <si>
    <t>522-101-1268-0008</t>
  </si>
  <si>
    <t>типа GUARD с двумя ячейками, размеры 800х500х1860 мм, индивидуальный замок "Вертушка"</t>
  </si>
  <si>
    <t>522-101-1268-0009</t>
  </si>
  <si>
    <t>типа GUARD с двумя ячейками, размеры 575х500х1830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</si>
  <si>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</si>
  <si>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522-101-1268-0010</t>
  </si>
  <si>
    <t>типа GUARD с двумя ячейками, размеры 418х500х1830 мм, индивидуальный замок "Практик"</t>
  </si>
  <si>
    <t>522-101-1268-0011</t>
  </si>
  <si>
    <t>типа GUARD с двумя ячейками, размеры 575х500х1500 мм, индивидуальный замок "Практик"</t>
  </si>
  <si>
    <t>522-101-1268-0012</t>
  </si>
  <si>
    <t>типа GUARD с двумя ячейками, размеры 600х500х1500 мм, индивидуальный замок "Практик"</t>
  </si>
  <si>
    <t>522-101-1268-0013</t>
  </si>
  <si>
    <t>типа GUARD с двумя ячейками, размеры 600х500х1760 мм, индивидуальный замок "Практик"</t>
  </si>
  <si>
    <t>522-101-1268-0014</t>
  </si>
  <si>
    <t>типа GUARD с двумя ячейками, размеры 600х500х1830 мм, индивидуальный замок "Практик"</t>
  </si>
  <si>
    <t>522-101-1268-0015</t>
  </si>
  <si>
    <t>типа GUARD с двумя ячейками, размеры 800х500х1830 мм, индивидуальный замок "Практик"</t>
  </si>
  <si>
    <t>522-101-1268-0017</t>
  </si>
  <si>
    <t>типа GUARD с двумя ячейками, размеры 575х500х1830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</si>
  <si>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</si>
  <si>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522-101-1268-0018</t>
  </si>
  <si>
    <t>типа GUARD с двумя ячейками, размеры 418х500х1830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</si>
  <si>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</si>
  <si>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522-101-1268-0019</t>
  </si>
  <si>
    <t>типа GUARD с двумя ячейками, размеры 575х500х1500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</si>
  <si>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</si>
  <si>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522-101-1268-0020</t>
  </si>
  <si>
    <t>типа GUARD с двумя ячейками, размеры 600х500х1500 мм, индивидуальный электронный замок, браслет</t>
  </si>
  <si>
    <t>522-101-1268-0021</t>
  </si>
  <si>
    <t>типа GUARD с двумя ячейками, размеры 600х500х1760 мм, индивидуальный электронный замок, браслет</t>
  </si>
  <si>
    <t>522-101-1268-0022</t>
  </si>
  <si>
    <t>типа GUARD с двумя ячейками, размеры 600х500х1830 мм, индивидуальный электронный замок, браслет</t>
  </si>
  <si>
    <t>522-101-1268-0023</t>
  </si>
  <si>
    <t>типа GUARD с двумя ячейками, размеры 800х500х1830 мм, индивидуальный электронный замок, браслет</t>
  </si>
  <si>
    <t>522-101-1268-0024</t>
  </si>
  <si>
    <t>типа GUARD с двумя ячейками, размеры 800х500х1860 мм, индивидуальный электронный замок, браслет</t>
  </si>
  <si>
    <t>522-101-1268-0025</t>
  </si>
  <si>
    <t>типа GUARD с четырьмя ячейками, размеры 575х500х1830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</si>
  <si>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</si>
  <si>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522-101-1268-0026</t>
  </si>
  <si>
    <t>типа GUARD с четырьмя ячейками, размеры 575х600х1830 мм, индивидуальный замок "Вертушка"</t>
  </si>
  <si>
    <t>522-101-1268-0027</t>
  </si>
  <si>
    <t>типа GUARD с четырьмя ячейками, размеры 600х500х1800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</si>
  <si>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</si>
  <si>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522-101-1268-0028</t>
  </si>
  <si>
    <t>типа GUARD с четырьмя ячейками, размеры 600х500х1830 мм, индивидуальный замок "Вертушка"</t>
  </si>
  <si>
    <t>522-101-1268-0029</t>
  </si>
  <si>
    <t>типа GUARD с четырьмя ячейками, размеры 600х500х1850 мм, индивидуальный замок "Вертушка"</t>
  </si>
  <si>
    <t>522-101-1268-0030</t>
  </si>
  <si>
    <t>типа GUARD с четырьмя ячейками, размеры 760х400х1880 мм, индивидуальный замок "Вертушка"</t>
  </si>
  <si>
    <t>522-101-1268-0031</t>
  </si>
  <si>
    <t>типа GUARD с четырьмя ячейками, размеры 800х400х1880 мм, индивидуальный замок "Вертушка"</t>
  </si>
  <si>
    <t>522-101-1268-0032</t>
  </si>
  <si>
    <t>типа GUARD с четырьмя ячейками, размеры 575х500х1830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</si>
  <si>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</si>
  <si>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522-101-1268-0033</t>
  </si>
  <si>
    <t>типа GUARD с четырьмя ячейками, размеры 575х600х1830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</si>
  <si>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</si>
  <si>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522-101-1268-0034</t>
  </si>
  <si>
    <t>типа GUARD с четырьмя ячейками, размеры 600х500х1800 мм, индивидуальный замок "Практик"</t>
  </si>
  <si>
    <t>522-101-1268-0035</t>
  </si>
  <si>
    <t>типа GUARD с четырьмя ячейками, размеры 600х500х1830 мм, индивидуальный замок "Практик"</t>
  </si>
  <si>
    <t>522-101-1268-0036</t>
  </si>
  <si>
    <t>типа GUARD с четырьмя ячейками, размеры 600х500х1850 мм, индивидуальный замок "Практик"</t>
  </si>
  <si>
    <t>522-101-1268-0037</t>
  </si>
  <si>
    <t>типа GUARD с четырьмя ячейками, размеры 760х400х1880 мм, индивидуальный замок "Практик"</t>
  </si>
  <si>
    <t>522-101-1268-0038</t>
  </si>
  <si>
    <t>типа GUARD с четырьмя ячейками, размеры 800х400х1880 мм, индивидуальный замок "Практик"</t>
  </si>
  <si>
    <t>522-101-1268-0039</t>
  </si>
  <si>
    <t>типа GUARD с четырьмя ячейками, размеры 575х500х1830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</si>
  <si>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</si>
  <si>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522-101-1268-0040</t>
  </si>
  <si>
    <t>типа GUARD с четырьмя ячейками, размеры 575х600х1830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</si>
  <si>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</si>
  <si>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522-101-1268-0041</t>
  </si>
  <si>
    <t>типа GUARD с четырьмя ячейками, размеры 600х500х1800 мм, индивидуальный электронный замок, браслет</t>
  </si>
  <si>
    <t>522-101-1268-0042</t>
  </si>
  <si>
    <t>типа GUARD с четырьмя ячейками, размеры 600х500х1830 мм, индивидуальный электронный замок, браслет</t>
  </si>
  <si>
    <t>522-101-1268-0043</t>
  </si>
  <si>
    <t>типа GUARD с четырьмя ячейками, размеры 600х500х1850 мм, индивидуальный электронный замок, браслет</t>
  </si>
  <si>
    <t>522-101-1268-0044</t>
  </si>
  <si>
    <t>типа GUARD с четырьмя ячейками, размеры 760х400х1880 мм, индивидуальный электронный замок, браслет</t>
  </si>
  <si>
    <t>522-101-1268-0045</t>
  </si>
  <si>
    <t>типа GUARD с четырьмя ячейками, размеры 800х400х1880 мм, индивидуальный электронный замок, браслет</t>
  </si>
  <si>
    <t>522-101-1268-0046</t>
  </si>
  <si>
    <t>типа GUARD с четырьмя закрытыми ячейками и четырьми открытыми ячейками, размеры 575х500х1830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</si>
  <si>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</si>
  <si>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522-101-1268-0047</t>
  </si>
  <si>
    <t>типа GUARD с четырьмя закрытыми ячейками и четырьми открытыми ячейками, размеры 575х400х1860 мм, индивидуальный замок "Вертушка"</t>
  </si>
  <si>
    <t>522-101-1268-0048</t>
  </si>
  <si>
    <t>типа GUARD с четырьмя закрытыми ячейками и четырьми открытыми ячейками, размеры 575х500х1860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</si>
  <si>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</si>
  <si>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522-101-1268-0049</t>
  </si>
  <si>
    <t>типа GUARD с четырьмя закрытыми ячейками и четырьми открытыми ячейками, размеры 575х500х1830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</si>
  <si>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</si>
  <si>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522-101-1268-0050</t>
  </si>
  <si>
    <t>типа GUARD с четырьмя закрытыми ячейками и четырьми открытыми ячейками, размеры 575х400х1860 мм, индивидуальный замок "Практик"</t>
  </si>
  <si>
    <t>522-101-1268-0051</t>
  </si>
  <si>
    <t>типа GUARD с четырьмя закрытыми ячейками и четырьми открытыми ячейками, размеры 575х500х1860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</si>
  <si>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</si>
  <si>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522-101-1268-0052</t>
  </si>
  <si>
    <t>типа GUARD с четырьмя закрытыми ячейками и четырьми открытыми ячейками, размеры 575х500х1830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</si>
  <si>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</si>
  <si>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522-101-1268-0053</t>
  </si>
  <si>
    <t>типа GUARD с четырьмя закрытыми ячейками и четырьми открытыми ячейками, размеры 575х400х1860 мм, индивидуальный электронный замок, браслет</t>
  </si>
  <si>
    <t>522-101-1268-0054</t>
  </si>
  <si>
    <t>типа GUARD с четырьмя закрытыми ячейками и четырьми открытыми ячейками, размеры 575х500х1860 мм, индивидуальный электронный замок, браслет</t>
  </si>
  <si>
    <t>522-101-1268-0055</t>
  </si>
  <si>
    <t>типа GUARD с четырьмя ячейками с полкой, размеры 575х500х1830 мм, индивидуальный замок "Вертушка"</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</si>
  <si>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</si>
  <si>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522-101-1268-0056</t>
  </si>
  <si>
    <t>типа GUARD с четырьмя ячейками с полкой, размеры 575х400х1860 мм, индивидуальный замок "Вертушка"</t>
  </si>
  <si>
    <t>522-101-1268-0057</t>
  </si>
  <si>
    <t>типа GUARD с восемью ячейками, размеры 575х500х1830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</si>
  <si>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</si>
  <si>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522-101-1268-0058</t>
  </si>
  <si>
    <t>типа GUARD с восемью ячейками, размеры 575х500х1830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</si>
  <si>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</si>
  <si>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t>
  </si>
  <si>
    <t>Шкаф металлический трехсекционный</t>
  </si>
  <si>
    <t>522-101-1269-0001</t>
  </si>
  <si>
    <t>типа GUARD с тремя ячейками, размеры 850х500х1830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</si>
  <si>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</si>
  <si>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522-101-1269-0002</t>
  </si>
  <si>
    <t>типа GUARD с тремя ячейками, размеры 850х500х1500 мм, индивидуальный замок "Вертушка"</t>
  </si>
  <si>
    <t>522-101-1269-0003</t>
  </si>
  <si>
    <t>типа GUARD с тремя ячейками, размеры 900х500х1830 мм, индивидуальный замок "Вертушка"</t>
  </si>
  <si>
    <t>522-101-1269-0004</t>
  </si>
  <si>
    <t>типа GUARD с тремя ячейками, размеры 850х500х1830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</si>
  <si>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</si>
  <si>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522-101-1269-0005</t>
  </si>
  <si>
    <t>типа GUARD с тремя ячейками, размеры 850х500х1500 мм, индивидуальный замок "Практик"</t>
  </si>
  <si>
    <t>522-101-1269-0006</t>
  </si>
  <si>
    <t>типа GUARD с тремя ячейками, размеры 900х500х1830 мм, индивидуальный замок "Практик"</t>
  </si>
  <si>
    <t>522-101-1269-0007</t>
  </si>
  <si>
    <t>типа GUARD с тремя ячейками, размеры 850х500х1830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</si>
  <si>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</si>
  <si>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522-101-1269-0008</t>
  </si>
  <si>
    <t>типа GUARD с тремя ячейками, размеры 850х500х1500 мм, индивидуальный электронный замок, браслет</t>
  </si>
  <si>
    <t>522-101-1269-0009</t>
  </si>
  <si>
    <t>типа GUARD с тремя ячейками, размеры 900х500х1830 мм, индивидуальный электронный замок, браслет</t>
  </si>
  <si>
    <t>522-101-1269-0010</t>
  </si>
  <si>
    <t>типа GUARD с шестью ячейками, размеры 850х500х1830 мм, индивидуальный замок "Практик"</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</si>
  <si>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</si>
  <si>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522-101-1269-0011</t>
  </si>
  <si>
    <t>типа GUARD с шестью ячейками, размеры 850х500х1830 мм, индивидуальный замок "Вертушка"</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</si>
  <si>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</si>
  <si>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522-101-1269-0012</t>
  </si>
  <si>
    <t>типа GUARD с девятью ячейками, размеры 850х500х1830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</si>
  <si>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t>
  </si>
  <si>
    <t>522-101-1269-0013</t>
  </si>
  <si>
    <t>типа GUARD с девятью ячейками, размеры 850х500х1830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</si>
  <si>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</si>
  <si>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522-101-1269-0014</t>
  </si>
  <si>
    <t>типа GUARD с двенадцатью ячейками, размеры 850х500х1830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</si>
  <si>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</si>
  <si>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522-101-1269-0015</t>
  </si>
  <si>
    <t>типа GUARD с двенадцатью ячейками, размеры 850х500х1830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</si>
  <si>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</si>
  <si>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t>
  </si>
  <si>
    <t>Шкаф металлический четырехсекционный</t>
  </si>
  <si>
    <t>522-101-1270-0001</t>
  </si>
  <si>
    <t>типа GUARD с четырьмя ячейками, размеры 1150х500х1830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</si>
  <si>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</si>
  <si>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522-101-1270-0002</t>
  </si>
  <si>
    <t>типа GUARD с четырьмя ячейками, размеры 1150х500х1500 мм, индивидуальный замок "Вертушка"</t>
  </si>
  <si>
    <t>522-101-1270-0003</t>
  </si>
  <si>
    <t>типа GUARD с четырьмя ячейками, размеры 1150х500х1700 мм, индивидуальный замок "Вертушка"</t>
  </si>
  <si>
    <t>522-101-1270-0004</t>
  </si>
  <si>
    <t>типа GUARD с четырьмя ячейками, размеры 1250х500х1230 мм, индивидуальный замок "Вертушка"</t>
  </si>
  <si>
    <t>522-101-1270-0005</t>
  </si>
  <si>
    <t>типа GUARD с четырьмя ячейками, размеры 1150х500х1830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</si>
  <si>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</si>
  <si>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522-101-1270-0006</t>
  </si>
  <si>
    <t>типа GUARD с четырьмя ячейками, размеры 1150х500х1500 мм, индивидуальный замок "Практик"</t>
  </si>
  <si>
    <t>522-101-1270-0007</t>
  </si>
  <si>
    <t>типа GUARD с четырьмя ячейками, размеры 1150х500х1700 мм, индивидуальный замок "Практик"</t>
  </si>
  <si>
    <t>522-101-1270-0008</t>
  </si>
  <si>
    <t>типа GUARD с четырьмя ячейками, размеры 1250х500х1230 мм, индивидуальный замок "Практик"</t>
  </si>
  <si>
    <t>522-101-1270-0009</t>
  </si>
  <si>
    <t>типа GUARD с четырьмя ячейками, размеры 1150х500х1830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</si>
  <si>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</si>
  <si>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522-101-1270-0010</t>
  </si>
  <si>
    <t>типа GUARD с четырьмя ячейками, размеры 1150х500х1500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</si>
  <si>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</si>
  <si>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522-101-1270-0011</t>
  </si>
  <si>
    <t>типа GUARD с четырьмя ячейками, размеры 1150х500х1700 мм, индивидуальный электронный замок, браслет</t>
  </si>
  <si>
    <t>522-101-1270-0012</t>
  </si>
  <si>
    <t>типа GUARD с четырьмя ячейками, размеры 1250х500х1230 мм, индивидуальный электронный замок, браслет</t>
  </si>
  <si>
    <t>522-101-1271</t>
  </si>
  <si>
    <t>Шкаф металлический пятисекционный</t>
  </si>
  <si>
    <t>522-101-1271-0001</t>
  </si>
  <si>
    <t>типа GUARD с двадцатью пятью ячейками, размеры 1250х350х1280 мм, индивидуальный замок "Практик"</t>
  </si>
  <si>
    <t>522-101-1271-0002</t>
  </si>
  <si>
    <t>типа GUARD с тридцатью ячейками, размеры 1780х400х2280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</si>
  <si>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</si>
  <si>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522-101-1271-0003</t>
  </si>
  <si>
    <t>типа GUARD с тридцатью открытыми
ячейками, размеры 1780х400х2280 мм</t>
  </si>
  <si>
    <t>Конструкция модульная, сборно-разборная из  листовой стали, не менее 0,5 мм. Окрашен.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</si>
  <si>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522-101-1300</t>
  </si>
  <si>
    <t>Прочее оборудование</t>
  </si>
  <si>
    <t>522-101-1302</t>
  </si>
  <si>
    <t>Сейф несгораемый</t>
  </si>
  <si>
    <t>522-101-1302-0001</t>
  </si>
  <si>
    <t>Шкаф металлический ВМ 1260KL</t>
  </si>
  <si>
    <t>522-101-1304</t>
  </si>
  <si>
    <t>Утюг</t>
  </si>
  <si>
    <t>Утюг: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t>
  </si>
  <si>
    <t>522-101-1305</t>
  </si>
  <si>
    <t>Тележка для перевозки грузов</t>
  </si>
  <si>
    <t>522-101-1305-0001</t>
  </si>
  <si>
    <t>Тележка бытовая без дополнительных планок</t>
  </si>
  <si>
    <t>522-101-1305-0002</t>
  </si>
  <si>
    <t>Тележка бытовая с дополнительными планками</t>
  </si>
  <si>
    <t>522-101-1305-0003</t>
  </si>
  <si>
    <t>Тележка грузовая</t>
  </si>
  <si>
    <t>522-101-1305-0004</t>
  </si>
  <si>
    <t>Тележка грузовая М без сумки</t>
  </si>
  <si>
    <t>522-101-1305-0005</t>
  </si>
  <si>
    <t>Тележка грузовая М с сумкой</t>
  </si>
  <si>
    <t>522-101-1305-0006</t>
  </si>
  <si>
    <t>Тележка багажная грузоподъемностью до 200 кг</t>
  </si>
  <si>
    <t>522-101-1305-0007</t>
  </si>
  <si>
    <t>Тележка багажная грузоподъемностью до 200 кг с удлинённой пластиной</t>
  </si>
  <si>
    <t>522-101-1305-0008</t>
  </si>
  <si>
    <t>Тележка почтовая грузоподъемностью до 200 кг</t>
  </si>
  <si>
    <t>522-101-1305-0009</t>
  </si>
  <si>
    <t>Тележка почтовая грузоподъемностью до 200 кг с удлинённой пластиной и лопатой</t>
  </si>
  <si>
    <t>522-101-1305-0010</t>
  </si>
  <si>
    <t>Тележка садовая с пластиковым корытом</t>
  </si>
  <si>
    <t>522-101-1305-0011</t>
  </si>
  <si>
    <t>Тележка садовая с металлическим корытом</t>
  </si>
  <si>
    <t>522-101-1306</t>
  </si>
  <si>
    <t>Дозатор жидкого мыла</t>
  </si>
  <si>
    <t>Пластиковый с глазком, объем не менее 1000 мл, размеры длина 115мм, глубина 110мм, высота 245мм</t>
  </si>
  <si>
    <t>522-101-1308</t>
  </si>
  <si>
    <t>Электросушитель для рук</t>
  </si>
  <si>
    <t>522-101-1308-0001</t>
  </si>
  <si>
    <t>Электросушитель для рук типа ALMACOM HD-798-ABS-G. Материал: ABS Пластик, мощность: 2 300Вт, скорость вращения двиг.: 23 000 об/мин</t>
  </si>
  <si>
    <t>522-101-1308-0002</t>
  </si>
  <si>
    <t>Электросушитель для рук типа CJ-103. Материал: пластик, мощность: 2 000Вт</t>
  </si>
  <si>
    <t>522-101-1309</t>
  </si>
  <si>
    <t>Фен настенный</t>
  </si>
  <si>
    <t>522-101-1309-0001</t>
  </si>
  <si>
    <t>Фен настенный для сушки волос типа ALMACOM HFD-1200A. Мощность:
1200Вт, скорость воздух: 12м/с, скорость вращения двигателя: 170 000 об/мин</t>
  </si>
  <si>
    <t>522-101-1309-0002</t>
  </si>
  <si>
    <t>Фен настенный для сушки волос стационарный PH-01. Материал: пластик, мощность: 1100Вт, 220В/50Гц, скорость воздушного потока: 13м/с</t>
  </si>
  <si>
    <t>522-101-1310</t>
  </si>
  <si>
    <t>Диспенсер для туалетной бумаги</t>
  </si>
  <si>
    <t>522-101-1310-0001</t>
  </si>
  <si>
    <t>Диспенсер для туалетной бумаги в рулонах типа Jumbo. Материал: пластик, ручная подача, открывается с помощью ключа</t>
  </si>
  <si>
    <t>522-101-1311</t>
  </si>
  <si>
    <t>Диспенсер для бумажных полотенец</t>
  </si>
  <si>
    <t>522-101-1311-0001</t>
  </si>
  <si>
    <t>Диспенсер для бумажных полотенец типа Vialli. Материал: пластик, Z-укладка, открывается ключом, небольшое окошко для контроля заполнения</t>
  </si>
  <si>
    <t>522-101-1311-0002</t>
  </si>
  <si>
    <t>Диспенсер для бумажных полотенец типа Dolly. Материал: пластик, настенный держатель рулонных полотенец с откидной крышкой</t>
  </si>
  <si>
    <t>Группа 522-102. Оборудование и мебель для столовой</t>
  </si>
  <si>
    <t>522-102-0100</t>
  </si>
  <si>
    <t>Мебель для столовой</t>
  </si>
  <si>
    <t>522-102-0101</t>
  </si>
  <si>
    <t>Комплект обеденной мебели</t>
  </si>
  <si>
    <t>522-102-0101-0001</t>
  </si>
  <si>
    <t>Стол обеденный на 8 мест, с сиденьями (складной механизм) 2550х1530х760 мм.</t>
  </si>
  <si>
    <t>Стол обеденный на 8 мест, с сиденьями (складной механизм) 2550х1530х760 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</si>
  <si>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522-102-0101-0002</t>
  </si>
  <si>
    <t>Стол обеденный с 4-мя стульями, размер не менее 1500х600х700мм</t>
  </si>
  <si>
    <t>Стол обеденный с 4-мя стульями, размер не менее 1500х600х700мм.
Основание металлокаркас.</t>
  </si>
  <si>
    <t>522-102-0101-0003</t>
  </si>
  <si>
    <t>Стол обеденный на 6 мест, с сиденьями. Размер не менее 1530х1530х760мм</t>
  </si>
  <si>
    <t>Стол обеденный на 6 мест, с сиденьями. Размер не менее 1530х1530х760мм.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</si>
  <si>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522-102-0101-0004</t>
  </si>
  <si>
    <t>Стул обеденный штабелируемый, сиденье выполнено из полипропилена</t>
  </si>
  <si>
    <t>Стул штабелируемый высота - 850мм, ширина - 450мм, глубина - 570мм. Сиденье выполнено из полипропилена со специальными армирующими добавками, которые обеспечивают дополнительную прочность и долговечность, поверхность - под кожу с прострочкой, цвета на выбор</t>
  </si>
  <si>
    <t>522-102-0101-0005</t>
  </si>
  <si>
    <t>Стол обеденный на 12 мест, с сиденьями (складной механизм). Размер не менее 3050х1530х760мм</t>
  </si>
  <si>
    <t>Стол обеденный на 12 мест, с сиденьями (складной механизм). Размер не менее 3050х1530х760мм.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</si>
  <si>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522-102-0101-0006</t>
  </si>
  <si>
    <t>Стол 8-и местный 2400х750х750мм со стульями в комплекте</t>
  </si>
  <si>
    <t>Стол состоит из двух частей, размер каждой части 1200х750х750 мм (общий размер 2400х750х750 мм) + 8 стульев. Столешница изготавливается из химически и температурно стойкого материала - Постформинг, толщиной 32 мм.Основание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</si>
  <si>
    <t>522-102-0101-0007</t>
  </si>
  <si>
    <t>Стол 6-и местный 1800х750х750мм со стульями в комплекте</t>
  </si>
  <si>
    <t>Размер стола 1800х750х750 мм + 6 стульев. Столешница изготавливается из химически и температурно стойкого материала - Постформинг, толщиной 32 мм. 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</si>
  <si>
    <t>522-102-0101-0008</t>
  </si>
  <si>
    <t>Стол 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</si>
  <si>
    <t>Цвета ножек по согласованию. Материал и метод изготовления  ножек - 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7 мм. По кайме стола загиб, высота загиба 27 мм.
Цвета пленки столешницы по согласованию</t>
  </si>
  <si>
    <t>522-102-0101-0009</t>
  </si>
  <si>
    <t>Стол 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</si>
  <si>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2,5 мм. По кайме стола загиб, высота загиба 27 мм.
Цвета пленки столешницы по согласованию</t>
  </si>
  <si>
    <t>522-102-0101-0010</t>
  </si>
  <si>
    <t>Стол обеденный на 4 места, размер 1200х800х750мм. Столешница из высокопрочного HPL пластика, толщиной 11,5мм</t>
  </si>
  <si>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высокопрочный HPL -пластик. Толщина столешницы: 11,5 мм. Цвета  столешницы по согласованию</t>
  </si>
  <si>
    <t>522-102-0101-0011</t>
  </si>
  <si>
    <t>Стол обеденный 1500х600х700мм. Столешница из ДСП 16 мм, облицована пластиковым покрытием, металлический каркас</t>
  </si>
  <si>
    <t>Стол обеденный 1500х600х700мм. Стол изготавливается на металлическом каркасе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16 мм, облицована пластиковым покрытием, торцы обрамлены кромкой ПВХ 2 мм.</t>
  </si>
  <si>
    <t>522-102-0101-0012</t>
  </si>
  <si>
    <t>Стол обеденный на 4 места, размер 1200х800х800мм. Столешница из ДСП 18мм, облицованная пластиком, металлический каркас</t>
  </si>
  <si>
    <t>Металлический каркас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18 мм, облицована пластиковым покрытием, торцы обрамлены кантом ПВХ 2 мм.
Под столешницей предусмотрены металлические кронштейны для подвешивания табуретов.</t>
  </si>
  <si>
    <t>522-102-0101-0013</t>
  </si>
  <si>
    <t>Скамья обеденная 3-х местная 1500х250х400 мм. Каркас металлический, сиденье ЛДСП 16 мм</t>
  </si>
  <si>
    <t>Скамья обеденная 3-х местная 1500х250х400 мм. Каркас металлический, сиденье ЛДСП 16 мм, кромка ПВХ</t>
  </si>
  <si>
    <t>522-102-0101-0014</t>
  </si>
  <si>
    <t>Стол обеденный 800х800х750мм, прямой каркас металлический цветной, столешница из ЛДСП 16мм</t>
  </si>
  <si>
    <t>522-102-0101-0015</t>
  </si>
  <si>
    <t>Стол обеденный 800х800х770мм,
L-образный каркас металлический цветной, столешница из ЛДСП 16мм</t>
  </si>
  <si>
    <t>Стол обеденный 800х800х770мм, L-образный каркас металлический цветной, столешница из ЛДСП 16мм</t>
  </si>
  <si>
    <t>522-102-0101-0016</t>
  </si>
  <si>
    <t>Стол обеденный 1200х800х770мм, каркас металлический цветной, столешница из ЛДСП 16мм</t>
  </si>
  <si>
    <t>522-102-0101-0017</t>
  </si>
  <si>
    <t>Стол обеденный на 12 мест, с сиденьями (складной механизм) 3050х1530х760мм. Столешница из ламинированного МДФ 18мм, сиденье из полипропилена, металлокаркас</t>
  </si>
  <si>
    <t>Стол обеденный мобильный на 12 мест, с сиденьями. Столешница лиминированая плита МДФ 18 мм. Кромка ПВХ с использованием высокотемпературного клея.  (складной механизм). Металлические детали складного обеденного стола изготовлены из круглых труб 25х1,5 мм и 22х1,5 мм, а листовые части вырезаны 2 мм чисто и гладко на лазерном станке с ЧПУ. Для удобного и легкого складывания стола, когда он не используется, используется газовый амортизатор. Изделия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Габариты 3050х1530х760 мм</t>
  </si>
  <si>
    <t>522-102-0101-0018</t>
  </si>
  <si>
    <t>Стол обеденный на 6 мест, с сиденьями. Размер 1530х1530х760 мм. Столешница из ламинированного МДФ 18мм, сиденье из полипропилена, металлокаркас</t>
  </si>
  <si>
    <t>Стол обеденный на 6 мест, с сиденьями. Столешница из ламинированной плиты МДФ 18мм. Кромка ПВХ с использованием высокотемпературного клея. Металлические части обеденного стола изготовлены из круглых труб 25x1,5 мм и 22x1,5 мм. Изделия окрашены методом электростатического порошкового напыления. Концы профилей закрыты пластиковыми заглушками для предотвращения повреждения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Размер 1530х1530х760 мм.</t>
  </si>
  <si>
    <t>522-102-0101-0021</t>
  </si>
  <si>
    <t>Стол обеденный, размер 1200х800х740 мм, столешница из HPL 22 мм, 4 опоры из трубы конической формы</t>
  </si>
  <si>
    <t>Габаритные размеры столешницы 1200 х 800 мм. Высота верхнего края столешницы над уровнем пола 740 мм. Материал столешницы HPL СЛОПЛАСТ ЛАБ толщиной не менее 22 мм. Торцы столешницы имеют округлую форму. Столешница крепится к опорамболтами с футорками.
Стол состоит из 4 опор, которые располагаются под углом к столешнице, изготовленной из трубы конической формы толщиной не менее 1,2 мм и покрытые полимерной краской.</t>
  </si>
  <si>
    <t>522-102-0101-0022</t>
  </si>
  <si>
    <t>Стол обеденный на 4 человека. Столешница ЛДСП покрытая HPL пластиком, толщина 22 мм, каркас металлический труба 60х30 мм, размеры 1200х700х750 мм</t>
  </si>
  <si>
    <t>Столешница ЛДСП покрытая HPL пластиком, толщина 22мм, цвет белый, металл: труба 60х30 мм, цвет антрацит RAL7016</t>
  </si>
  <si>
    <t>522-102-0101-0023</t>
  </si>
  <si>
    <t>Стол обеденный на 6 человек. Столешница ЛДСП покрытая HPL пластиком, толщина 22 мм, каркас металлический труба 60х30 мм, размеры 1800х700х750 мм</t>
  </si>
  <si>
    <t>Столешница ЛДСП покрытая HPL пластиком, толщина 22мм, цвет белый, металл: труба 60х30 мм, цвет антрацит  RAL7016</t>
  </si>
  <si>
    <t>522-102-0101-0024</t>
  </si>
  <si>
    <t>Стол обеденный на 4 человека. Столешница ЛДСП покрытая HPL пластиком, толщина 22 мм, каркас металлический труба 60х15 мм, размеры 1200х700х750 мм</t>
  </si>
  <si>
    <t>Столешница ЛДСП покрытая HPL пластиком, толщина 22мм, металл: труба 60х15 мм, цвет белый  RAL9016</t>
  </si>
  <si>
    <t>522-102-0101-0025</t>
  </si>
  <si>
    <t>Стол обеденный на 6 человек. Столешница ЛДСП покрытая HPL пластиком, толщина 22 мм, каркас металлический труба 60х15 мм, размеры 1800х700х750 мм</t>
  </si>
  <si>
    <t>522-102-0101-0026</t>
  </si>
  <si>
    <t>Стол обеденный на 4 человека. Столешница ДСП покрытая HPL пластиком, толщина 22 мм, каркас металлический П-образной формы диаметром 60 мм, размеры 1200х700х750 мм</t>
  </si>
  <si>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 мм и прямоугольного профиля не менее 50х25х1,5 мм.</t>
  </si>
  <si>
    <t>522-102-0101-0027</t>
  </si>
  <si>
    <t>Стол обеденный на 6 человек. Столешница ДСП покрытая HPL пластиком, толщина 22 мм, каркас металлический П-образной формы диаметром 60 мм, размеры 1800х700х750 мм</t>
  </si>
  <si>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1,5мм и прямоугольного профиля не менее 50х25х1,5 мм.</t>
  </si>
  <si>
    <t>522-102-0102</t>
  </si>
  <si>
    <t>Стул для столовой</t>
  </si>
  <si>
    <t>522-102-0102-0001</t>
  </si>
  <si>
    <t>Стул барный. Сидение выполнено из полипропилена. Изогнутая спинка сидения. Металлический каркас. Размер: 460х480х1150мм</t>
  </si>
  <si>
    <t>Сидение выполнено из полипропилена с армирующими добавками. По всей площади сидения толщина пластика варьируется от 5 мм до 8 мм из-за конструктивных особенностей. Изогнутая спинка сидения. Металлический каркас окрашен порошковой краской, устойчивой к механическому воздействию</t>
  </si>
  <si>
    <t>522-102-0102-0002</t>
  </si>
  <si>
    <t>Стул типа Фаиза. Каркас металлический цветной. Обивка эко-кожа. Размер: 380х380х890мм</t>
  </si>
  <si>
    <t>Каркас металлический цветной. Обивка эко-кожа. Размер: 380х380х890мм</t>
  </si>
  <si>
    <t>522-102-0102-0003</t>
  </si>
  <si>
    <t>Стул типа Алия Плюс. Каркас металлический цветной. Обивка эко-кожа. Размер: 380х380х910мм</t>
  </si>
  <si>
    <t>Каркас металлический цветной. Обивка эко-кожа. Размер: 380х380х910мм</t>
  </si>
  <si>
    <t>522-102-0102-0004</t>
  </si>
  <si>
    <t>Стул типа Мод.150. Каркас металлический цветной (вальцованная труба). Обивка
эко-кожа. Размер: 445х385х980мм</t>
  </si>
  <si>
    <t>Каркас металлический цветной (вальцованная труба). Обивка эко-кожа.
Размер: 445х385х980мм</t>
  </si>
  <si>
    <t>Группа 522-103. Оборудование пищеблока</t>
  </si>
  <si>
    <t>522-103-0100</t>
  </si>
  <si>
    <t>Нейтральное оборудование</t>
  </si>
  <si>
    <t>522-103-0101</t>
  </si>
  <si>
    <t>Стеллаж производственный СТП-П-16/4
(1600х400х1800)</t>
  </si>
  <si>
    <t>522-103-0102</t>
  </si>
  <si>
    <t>Стеллаж производственный, размеры не
менее 1500х500х1800мм</t>
  </si>
  <si>
    <t>Количество полок 4. Максимальная загрузка на полку не менее 80кг. 4 регулируемые по высоте полки, усиленные ребрами жесткости, и регулируемые по высоте пластиковые опоры. Разборный каркас выполнен из уголка 40x40 мм нержавеющей стали, полки - из нержавеющей стали.</t>
  </si>
  <si>
    <t>522-103-0103</t>
  </si>
  <si>
    <t>Стеллаж производственный СТП-П-12/6
(1200х600х1800)</t>
  </si>
  <si>
    <t>522-103-0104</t>
  </si>
  <si>
    <t>Стеллаж производственный СТП-П-12/4
(1200х400х1800)</t>
  </si>
  <si>
    <t>522-103-0105</t>
  </si>
  <si>
    <t>Стеллаж производственный СТП-П-10/6
(1000х600х1800)</t>
  </si>
  <si>
    <t>522-103-0106</t>
  </si>
  <si>
    <t>Стеллаж производственный</t>
  </si>
  <si>
    <t>522-103-0106-0001</t>
  </si>
  <si>
    <t>Стеллаж производственный СТП-П-9/5 (900х500х1800)</t>
  </si>
  <si>
    <t>522-103-0106-0002</t>
  </si>
  <si>
    <t>Стеллаж производственный 900х500х1805 мм, из нержавеющей стали, ножки труба 40Х40, 4 полки,  СТН-900/500(Л)</t>
  </si>
  <si>
    <t>522-103-0106-0003</t>
  </si>
  <si>
    <t>Стеллаж производственный 1000х500х1805 мм, из нержавеющей стали, ножки труба 40Х40 4 полки СТН-1000/500(Л)</t>
  </si>
  <si>
    <t>522-103-0106-0004</t>
  </si>
  <si>
    <t>Стеллаж производственный 1200х500х1805 мм, из нержавеющей стали, ножки труба 40Х40, 4 полки СТН-1200/500(Л)</t>
  </si>
  <si>
    <t>522-103-0106-0005</t>
  </si>
  <si>
    <t>Стеллаж производственный 1400х500х1805 мм, из нержавеющей стали, ножки труба 40Х40, 4 полки  СТН-1400/500(Л)</t>
  </si>
  <si>
    <t>522-103-0106-0006</t>
  </si>
  <si>
    <t>Стеллаж производственный разборный 1500х500х1800мм, 4 сплошные полки из нержавеющей стали 0,8 мм, толщина полки 40 мм, усиленные ребрами жесткости, 4 регулируемые по высоте пластиковые опоры, СТН-1500/500(Л)</t>
  </si>
  <si>
    <t>522-103-0106-0007</t>
  </si>
  <si>
    <t>Стеллаж производственный разборный 1000х400х1800мм, 4 сплошные полки из нержавеющей стали 0,8 мм, толщина полки 40 мм, усиленные ребрами жесткости, 4 регулируемые по высоте пластиковые опоры, СТН-1000/400(Л)</t>
  </si>
  <si>
    <t>522-103-0106-0008</t>
  </si>
  <si>
    <t>Стеллаж производственный разборный 1200х400х1800мм, 4 сплошные полки из нержавеющей стали 0,8 мм, толщина полки 40 мм, усиленные ребрами жесткости, 4 регулируемые по высоте пластиковые опоры, СТН-1200/400(Л)</t>
  </si>
  <si>
    <t>522-103-0106-0009</t>
  </si>
  <si>
    <t>Стеллаж производственный разборный 1500х400х1800мм, 4 сплошные полки из нержавеющей стали 0,8 мм, толщина полки 40 мм, усиленные ребрами жесткости, 4 регулируемые по высоте пластиковые опоры, СТН-1500/400(Л)</t>
  </si>
  <si>
    <t>522-103-0106-0010</t>
  </si>
  <si>
    <t>Стеллаж производственный CE-IR100X40. Нержавеющая сталь. Размер: 1000x400x1530мм</t>
  </si>
  <si>
    <t>522-103-0106-0011</t>
  </si>
  <si>
    <t>Стеллаж производственный CE-IR120X40. Нержавеющая сталь. Размер: 1200x400x1530мм</t>
  </si>
  <si>
    <t>522-103-0106-0012</t>
  </si>
  <si>
    <t>Стеллаж производственный CE-IR140X40. Нержавеющая сталь. Размер: 1400x400x1530мм</t>
  </si>
  <si>
    <t>522-103-0106-0013</t>
  </si>
  <si>
    <t>Стеллаж производственный CE-IR160X40. Нержавеющая сталь. Размер: 1600x400x1530мм</t>
  </si>
  <si>
    <t>522-103-0106-0014</t>
  </si>
  <si>
    <t>Стеллаж производственный CE-IR100X50. Нержавеющая сталь. Размер: 1000x500x1530мм</t>
  </si>
  <si>
    <t>522-103-0106-0015</t>
  </si>
  <si>
    <t>Стеллаж производственный CE-IR120X50. Нержавеющая сталь. Размер: 1200x500x1530мм</t>
  </si>
  <si>
    <t>522-103-0106-0016</t>
  </si>
  <si>
    <t>Стеллаж производственный CE-IR140X50. Нержавеющая сталь. Размер: 1400x500x1530мм</t>
  </si>
  <si>
    <t>522-103-0106-0017</t>
  </si>
  <si>
    <t>Стеллаж производственный CE-IR160X50. Нержавеющая сталь. Размер: 1600x500x1530мм</t>
  </si>
  <si>
    <t>522-103-0106-0018</t>
  </si>
  <si>
    <t>Стеллаж для казана CE-IRK120X70. Нержавеющая сталь. Размер: 1200x700x1530мм</t>
  </si>
  <si>
    <t>522-103-0106-0019</t>
  </si>
  <si>
    <t>Стеллаж для казана CE-IRK140X70. Нержавеющая сталь. Размер: 1400x700x1530мм</t>
  </si>
  <si>
    <t>522-103-0106-0020</t>
  </si>
  <si>
    <t>Стеллаж для казана CE-IRK160X70. Нержавеющая сталь. Размер: 1600x700x1530мм</t>
  </si>
  <si>
    <t>522-103-0106-0021</t>
  </si>
  <si>
    <t>Стеллаж для казана CE-IRK180X70. Нержавеющая сталь. Размер: 1800x700x1530мм</t>
  </si>
  <si>
    <t>522-103-0106-0022</t>
  </si>
  <si>
    <t>Стеллаж производственный СТП-С-8/4, 4 полки из нержавеющей стали, стойки из оцинкованной стали. Размер 800х400х1800мм</t>
  </si>
  <si>
    <t>522-103-0106-0023</t>
  </si>
  <si>
    <t>Стеллаж производственный СТП-С-10/4, 4 полки из нержавеющей стали, стойки из оцинкованной стали. Размер 1000х400х1800мм</t>
  </si>
  <si>
    <t>522-103-0106-0024</t>
  </si>
  <si>
    <t>Стеллаж производственный СТП-С-12/4, 4 полки из нержавеющей стали, стойки из оцинкованной стали. Размер 1200х400х1800мм</t>
  </si>
  <si>
    <t>522-103-0106-0025</t>
  </si>
  <si>
    <t>Стеллаж производственный СТП-С-15/4, 4 полки из нержавеющей стали, стойки из оцинкованной стали. Размер 1500х400х1800мм</t>
  </si>
  <si>
    <t>522-103-0106-0026</t>
  </si>
  <si>
    <t>Стеллаж производственный СТП-С-18/4, 4 полки из нержавеющей стали, стойки из оцинкованной стали. Размер 1800х400х1800мм</t>
  </si>
  <si>
    <t>522-103-0106-0027</t>
  </si>
  <si>
    <t>Стеллаж производственный СТП-С-8/5, 4 полки из нержавеющей стали, стойки из оцинкованной стали. Размер 800х500х1800мм</t>
  </si>
  <si>
    <t>522-103-0106-0028</t>
  </si>
  <si>
    <t>Стеллаж производственный СТП-С-10/5, 4 полки из нержавеющей стали, стойки из оцинкованной стали. Размер 1000х500х1800мм</t>
  </si>
  <si>
    <t>522-103-0106-0029</t>
  </si>
  <si>
    <t>Стеллаж производственный СТП-С-12/5, 4 полки из нержавеющей стали, стойки из оцинкованной стали. Размер 1200х500х1800мм</t>
  </si>
  <si>
    <t>522-103-0106-0030</t>
  </si>
  <si>
    <t>Стеллаж производственный СТП-С-15/5, 4 полки из нержавеющей стали, стойки из оцинкованной стали. Размер 1500х500х1800мм</t>
  </si>
  <si>
    <t>522-103-0106-0031</t>
  </si>
  <si>
    <t>Стеллаж производственный СТП-С-18/5, 4 полки из нержавеющей стали, стойки из оцинкованной стали. Размер 1800х500х1800мм</t>
  </si>
  <si>
    <t>522-103-0106-0037</t>
  </si>
  <si>
    <t>Стеллаж производственный
СТПСУН-7-5-18-4, размеры 700х500х1800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</si>
  <si>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цельные полки,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</si>
  <si>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522-103-0106-0038</t>
  </si>
  <si>
    <t>Стеллаж производственный
СТПСУН-10-4-18-4, размеры 1000х400х1800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</si>
  <si>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</si>
  <si>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522-103-0106-0039</t>
  </si>
  <si>
    <t>Стеллаж производственный СТПСУН-10-4-18-4, размеры
1000х500х1800мм,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</si>
  <si>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</si>
  <si>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522-103-0106-0040</t>
  </si>
  <si>
    <t>Стеллаж производственный СТПСУН-11,5-5-16-4, размеры
1150х500х1600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</si>
  <si>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</si>
  <si>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522-103-0106-0041</t>
  </si>
  <si>
    <t>Стеллаж производственный
СТПСУН-12-4-18-4, размеры 1200х400х1800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</si>
  <si>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522-103-0106-0042</t>
  </si>
  <si>
    <t>Стеллаж производственный
СТПСУН-15-5-18-4, размеры 1500х500х1800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</si>
  <si>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522-103-0106-0043</t>
  </si>
  <si>
    <t>Стеллаж производственный
СТПСТН-9-5-18-4, размеры 900х500х1800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</si>
  <si>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</si>
  <si>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522-103-0106-0044</t>
  </si>
  <si>
    <t>Стеллаж производственный
СТПСТН-10-4-18-4, размеры 1000х400х1800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</si>
  <si>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522-103-0106-0045</t>
  </si>
  <si>
    <t>Стеллаж производственный
СТПСТН-10-5-18-4, размеры 1000х500х1800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</si>
  <si>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522-103-0106-0046</t>
  </si>
  <si>
    <t>Стеллаж производственный
СТПСТН-12-4-18-4, размеры 1200х400х1800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</si>
  <si>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522-103-0106-0047</t>
  </si>
  <si>
    <t>Стеллаж производственный
СТПСТН-12-5-18-4, размеры 1200х500х1800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</si>
  <si>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</si>
  <si>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522-103-0106-0048</t>
  </si>
  <si>
    <t>Стеллаж производственный СТПСУТН-13-4-18-4, размеры
1300х400х1800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</si>
  <si>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522-103-0106-0049</t>
  </si>
  <si>
    <t>Стеллаж производственный
СТПСТН-15-5-18-4, размеры 1500х500х1800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</si>
  <si>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522-103-0106-0050</t>
  </si>
  <si>
    <t>Стеллаж производственный
СТПСТН-17-4-18-4, размеры 1700х400х1800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</si>
  <si>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522-103-0106-0051</t>
  </si>
  <si>
    <t>Стеллаж производственный
СТПСТН-20-4-18-4, размеры 2000х400х1800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</si>
  <si>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522-103-0106-0052</t>
  </si>
  <si>
    <t>Стеллаж производственный СТПСУОЦ-10-5-18-4, размеры
1000х500х1800 мм, 4 сплошные цельные полки, стойки - оцинкованная сталь 1,5 мм; полки из нержавеющей стали 0,8 мм.
Максимальная равномерно распределенная нагрузка на полку до 80 кг</t>
  </si>
  <si>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</si>
  <si>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522-103-0106-0053</t>
  </si>
  <si>
    <t>Стеллаж производственный СТПСУОЦ-12-5-18-4, размеры
1200х500х1800 мм, 4 сплошные цельные полки, стойки оцинкованная сталь 1,5 мм; полки из нержавеющей стали 0,8 мм.
Максимальная равномерно распределенная нагрузка на полку до 80 кг</t>
  </si>
  <si>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</si>
  <si>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522-103-0106-0054</t>
  </si>
  <si>
    <t>Стеллаж производственный СТПСУОЦ-12-5-16-4, размеры
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</si>
  <si>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t>522-103-0106-0055</t>
  </si>
  <si>
    <t>Стеллаж производственный СТПСУОЦ-12-5-16-5, размеры
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</si>
  <si>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t>522-103-0106-0056</t>
  </si>
  <si>
    <t>Стеллаж производственный СТПСУОЦ-14-5-16-5, размеры
1200х500х1800 мм, 5 сплошных полок, стойки - оцинкованная сталь 1,5 мм; полки - нержавеющая сталь 0,8 мм. Максимальная равномерно распределенная нагрузка на полку до 80 кг</t>
  </si>
  <si>
    <t>5 сплошных полок,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</si>
  <si>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522-103-0106-0057</t>
  </si>
  <si>
    <t>Стеллаж производственный СТПСУОЦ-15-5-16-4, размеры
1500х500х1600 мм, 4 сплошные полки, стойки - оцинкованная сталь 1,5 мм; полки - нержавеющая сталь 0,8 мм. Максимальная равномерно распределенная нагрузка на полку до 80 кг</t>
  </si>
  <si>
    <t>4 сплошные полки. Полки сплошные,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</si>
  <si>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522-103-0106-0058</t>
  </si>
  <si>
    <t>Стеллаж производственный СТПСУОЦ-15-5-18-4, размеры
1500х500х1800 мм, 4 сплошные полки, стойки - оцинкованная сталь 1,5 мм; полки - нержавеющая сталь 0,8 мм. Максимальная равномерно распределенная нагрузка на полку до 80 кг</t>
  </si>
  <si>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</si>
  <si>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522-103-0106-0059</t>
  </si>
  <si>
    <t>Стеллаж производственный СТПСУОЦ-12-5-18-4, размеры
1200х500х1800 мм, 4 перфорированный полки, стойки - оцинкованная сталь 1,5 мм; полки - нержавеющая сталь 0,8 мм.
Максимальная равномерно распределенная нагрузка на полку до 80 кг</t>
  </si>
  <si>
    <t>4 перфорированный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</si>
  <si>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522-103-0107</t>
  </si>
  <si>
    <t>Стеллаж для тарелок</t>
  </si>
  <si>
    <t>522-103-0107-0001</t>
  </si>
  <si>
    <t>Стеллаж для тарелок СКТ-С-1200-02-Н (СКТ- 1/1200) (1200х300х1670)</t>
  </si>
  <si>
    <t>522-103-0107-0002</t>
  </si>
  <si>
    <t>Стеллаж для тарелок (на 192 тарелки) 1200х400х1805, разборный, из нержавеющей стали, ножки труба 40Х40, 4  полки
СКП4Т-1200/400(Л)</t>
  </si>
  <si>
    <t>522-103-0107-0003</t>
  </si>
  <si>
    <t>Стеллаж для сушки посуды, нержавеющая
сталь, размер 1000х500х1500мм</t>
  </si>
  <si>
    <t>Стеллаж для хранения кухонного инвентаря. Стойки сделаны из оцинкованной стали, толщиной 2 мм. Перфорированные полки из нержавеющей стали, толщиной 0,8 мм. Размер стеллажа: 1000х500х1500мм.</t>
  </si>
  <si>
    <t>522-103-0107-0005</t>
  </si>
  <si>
    <t>Стеллаж металлический для посуды из нержавеющей стали СМН-1-05, размеры 600х300х1800 мм, 5 полок: 1 поддон, 2
решетчатые полки, 3 сплошные полки. Толщина стойки и полок – 0,8 мм</t>
  </si>
  <si>
    <t>522-103-0107-0006</t>
  </si>
  <si>
    <t>Стеллаж металлический для посуды из нержавеющей стали СМН-1-04, размеры 1200х300х1800 мм, 5 полок: 1 поддон, 2 решетчатые полки, 3 сплошные полки. Толщина стойки и полок – 0,8 мм</t>
  </si>
  <si>
    <t>522-103-0107-0007</t>
  </si>
  <si>
    <t>Стеллаж металлический для посуды из нержавеющей стали СМН-1-12-4-15,5, размеры 1200х400х1550 мм, 4 полки: 1 поддон, 2 решетчатые полки, 2  полки с перфорацией. Толщина стойки и полок – 0,8 мм</t>
  </si>
  <si>
    <t>522-103-0107-0008</t>
  </si>
  <si>
    <t>Стеллаж металлический для посуды из нержавеющей стали СМН-1-02, размеры 1200х400х1800 мм, 4 полки:. 1 поддон, 2 решетчатые полки, 2 полки с перфорацией. Толщина стойки и полок – 0,8 мм</t>
  </si>
  <si>
    <t>522-103-0107-0009</t>
  </si>
  <si>
    <t>Стеллаж металлический для посуды из нержавеющей стали СМН-1М2-12-4-18, размеры 1200х400х1800 мм, 4 полки: 1 поддон, 2 решетчатые полки, 2 полки с перфорацией. Толщина стойки и полок – 0,8 мм</t>
  </si>
  <si>
    <t>522-103-0107-0010</t>
  </si>
  <si>
    <t>Стеллаж металлический для посуды из нержавеющей стали СМН-1-03, размеры 1200х450х1700 мм, 4 полки: 1 поддон, 4 решетчатые полки. Толщина стойки и полок – 0,8 мм</t>
  </si>
  <si>
    <t>522-103-0107-0011</t>
  </si>
  <si>
    <t>Стеллаж металлический для посуды из нержавеющей стали СМН-1-06, 5 полок: 1
поддон, 2 решетчатые полки, 3 сплошные полки. Толщина стойки и полок – 0,8 мм</t>
  </si>
  <si>
    <t>522-103-0107-0012</t>
  </si>
  <si>
    <t>Стеллаж металлический для посуды из нержавеющей стали СМН-1М1, размеры 1200х600х1600, 4 полки: 1  поддон, 2 решетчатые полки, 2 полки с перфорацией. Толщина стойки и полок – 0,8 мм</t>
  </si>
  <si>
    <t>522-103-0107-0013</t>
  </si>
  <si>
    <t>Стеллаж металлический для посуды из нержавеющей стали СМН-1-01-15-4-18, размеры 1500х400х1800 мм, 4 полки: 1 поддон, 2 решетчатые полки, 2 полки с перфорацией. Толщина стойки и полок – 0,8 мм</t>
  </si>
  <si>
    <t>522-103-0108</t>
  </si>
  <si>
    <t>Стол производственный СПБ-С-18/7-П (1800х700х850)</t>
  </si>
  <si>
    <t>522-103-0109</t>
  </si>
  <si>
    <t>Стол производственный СПБ-С-17/7-П (1700х700х850)</t>
  </si>
  <si>
    <t>522-103-0110</t>
  </si>
  <si>
    <t>Стол производственный СПБ-С-17/6-П (1700х600х850)</t>
  </si>
  <si>
    <t>522-103-0111</t>
  </si>
  <si>
    <t>Стол производственный пристенный с бортом. Размеры не менее 1500х700х850мм</t>
  </si>
  <si>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</si>
  <si>
    <t>522-103-0112</t>
  </si>
  <si>
    <t>Стол производственный СП-П-12/6 (1200х600х850)</t>
  </si>
  <si>
    <t>522-103-0113</t>
  </si>
  <si>
    <t>Стол производственный пристенный с бортом. Размеры не менее 1200х700х850мм</t>
  </si>
  <si>
    <t>522-103-0114</t>
  </si>
  <si>
    <t>Стол производственный СПБ-С-12/6-П (1200х600х850)</t>
  </si>
  <si>
    <t>522-103-0115</t>
  </si>
  <si>
    <t>Стол производственный СПБ-С-10/6-П (1000х600х850)</t>
  </si>
  <si>
    <t>522-103-0116</t>
  </si>
  <si>
    <t>Стол раздаточный СПМР 6-2 (704х635 мм) для чистой посуды, для туннельных машин МПТ</t>
  </si>
  <si>
    <t>522-103-0117</t>
  </si>
  <si>
    <t>Стол для сбора отходов</t>
  </si>
  <si>
    <t>522-103-0117-0001</t>
  </si>
  <si>
    <t>Стол для сбора отходов СПСО-С-6/6
(600х600х850)</t>
  </si>
  <si>
    <t>522-103-0117-0002</t>
  </si>
  <si>
    <t>Стол для сбора отходов из нержавеющей
стали 600х700х850 мм, СО-600/700(Л)/Б</t>
  </si>
  <si>
    <t>522-103-0117-0004</t>
  </si>
  <si>
    <t>Стол для сбора отходов ССОБ-6-7ТН, размеры 600х700х850 мм, столешница нержавеющая сталь 0,8 мм, усиленная листом ДСП 16 мм, отверстие для отходов
200 мм</t>
  </si>
  <si>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</si>
  <si>
    <t>522-103-0117-0005</t>
  </si>
  <si>
    <t>Стол для сбора отходов ССОБ-8-7ТН, размеры 800х700х850 мм, столешница нержавеющая сталь 0,8 мм, усиленная листом ДСП 16 мм, отверстие для отходов 200 мм</t>
  </si>
  <si>
    <t>522-103-0117-0006</t>
  </si>
  <si>
    <t>Стол для сбора отходов ССОБ-11-7ТН, размеры 1100х700х850 мм, столешница нержавеющая сталь 0,8 мм, усиленная листом ДСП 16 мм, отверстие для отходов
200 мм</t>
  </si>
  <si>
    <t>522-103-0117-0007</t>
  </si>
  <si>
    <t>Стол для сбора отходов ССОБ-14-7ТН, размеры 1400х700х850 мм, столешница нержавеющая сталь 0,8 мм, усиленная листом ДСП 16 мм, отверстие для отходов 200 мм</t>
  </si>
  <si>
    <t>Отверстие для отходов 200 мм, с бортом 45 мм, столешница нержавеющая сталь, усиленная листом ДСП 16 мм, толщина столешницы 0,8 мм, отступ для коммуникаций 100 мм, ножки труба 40х40 мм нерж сталь, нижняя обвязка с 3 сторон нерж сталь, 4 регулируемые по высоте пластиковые опоры</t>
  </si>
  <si>
    <t>522-103-0117-0008</t>
  </si>
  <si>
    <t>Стол для сбора отходов ССОБ-6-7УОЦ, размеры 600х700х850 мм, столешница нержавеющая сталь 0,8 мм, усиленная
листом ДСП 16 мм, отверстие для отходов 220 мм</t>
  </si>
  <si>
    <t>Отверстие для сбора отходов диаметром 220 мм, с бортом 45 мм. Обвязка с 3-х сторон, 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4 регулируемые по высоте пластиковые опоры. Отступ для коммуникаций 50 мм.</t>
  </si>
  <si>
    <t>522-103-0118</t>
  </si>
  <si>
    <t>Стол для овощей, размеры не менее 1200х800х870мм</t>
  </si>
  <si>
    <t>Столешница выполнена из нержавеющей стали и укреплена с внутренней стороны ЛДСП , каркас из оцинкованной стали толщиной 1,2 мм. Ванна в передней части и отверстие для сбора отходов.</t>
  </si>
  <si>
    <t>522-103-0119</t>
  </si>
  <si>
    <t>Подставка межплитная, размеры не менее 400x850x860мм</t>
  </si>
  <si>
    <t>Конструкция разборная, столешница выполнена из нержавеющей стали, ножки и основание покрыты порошковой краской. Регулируемые по высоте ножки с резиновыми вставками.</t>
  </si>
  <si>
    <t>522-103-0120</t>
  </si>
  <si>
    <t>Подставка</t>
  </si>
  <si>
    <t>522-103-0120-0001</t>
  </si>
  <si>
    <t>Подставка под пароконвектомат ПК-10М (10 уровней GN-1/1, вся нерж.)</t>
  </si>
  <si>
    <t>522-103-0120-0002</t>
  </si>
  <si>
    <t>Подставка под пароконвектомат из нержавеющей стали 730х730х650 мм, ПП-1</t>
  </si>
  <si>
    <t>522-103-0120-0003</t>
  </si>
  <si>
    <t>Подставка под хлеборезку из нержавеющей стали 700х800х650 мм, ПХ-1</t>
  </si>
  <si>
    <t>522-103-0120-0004</t>
  </si>
  <si>
    <t>Подставка межплитная разборная из нержавеющей стали 400х900х850 мм, ВМП-400/900 (Л)</t>
  </si>
  <si>
    <t>522-103-0120-0005</t>
  </si>
  <si>
    <t>Подставка под кипятильник, размеры не менее 450х350х600 мм, нержавеющая сталь</t>
  </si>
  <si>
    <t>522-103-0120-0006</t>
  </si>
  <si>
    <t>Подставка ПФПМ-6-1 для фронтальных посудомоечных машин МПК-500. Размер 600х600мм, нерж. сталь</t>
  </si>
  <si>
    <t>522-103-0120-0009</t>
  </si>
  <si>
    <t>Вставка межплитная разборная
ВМБ-4-6-8,5ТН, размеры 400х600х850 мм, с бортом (40 мм), столешница нержавеющая сталь, усиленная листом ДСП 16 мм, толщина столешницы 0,8 мм</t>
  </si>
  <si>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</si>
  <si>
    <t>522-103-0120-0010</t>
  </si>
  <si>
    <t>Вставка межплитная разборная
ВМБ-4-9-8,5ТН, размеры 400х900х850 мм, с бортом (40 мм), столешница нержавеющая сталь, усиленная листом ДСП 16 мм, толщина столешницы 0,8 мм</t>
  </si>
  <si>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</si>
  <si>
    <t>522-103-0120-0011</t>
  </si>
  <si>
    <t>Вставка межплитная разборная
ВМ-4-9-8,5ТН, размеры 400х900х850 мм, без борта, столешница нержавеющая сталь, усиленная листом ДСП 16 мм, толщина столешницы 0,8 мм</t>
  </si>
  <si>
    <t>Ширина столешницы 40 мм, отступ для коммуникаций 100 мм, решетчатая нижняя полка толщина 0,8 мм. Усиленная ребром жесткости, 4 регулируемые по высоте пластиковые опоры, полка и каркас н/с труба 40х40 мм</t>
  </si>
  <si>
    <t>522-103-0120-0012</t>
  </si>
  <si>
    <t>Подставка под проточный кипятильник ПК-3,5-3,5-6ТН, размеры 350х350х850 мм, нержавеющая сталь</t>
  </si>
  <si>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</si>
  <si>
    <t>522-103-0120-0013</t>
  </si>
  <si>
    <t>Подставка под проточный кипятильник ПК-4,5-3,5-6ТН, размеры 450х350х600 мм, нержавеющая сталь</t>
  </si>
  <si>
    <t>522-103-0120-0014</t>
  </si>
  <si>
    <t>Подставка под хлеборезку ПХ-7-8-6,5ТН, размеры 700х800х650 мм, нержавеющая сталь</t>
  </si>
  <si>
    <t>Столешница из нержавеющей стали с подложкой ДСП, каркас, ножки труба 40х25 мм нерж сталь, П-образная обвязка из нержавеющей стали, 4 регулируемые по высоте опоры.</t>
  </si>
  <si>
    <t>522-103-0120-0015</t>
  </si>
  <si>
    <t>Подставка под пароконвектомат ПП-1-00, размеры 840х700х650 мм. Ножки регулируемые по высоте</t>
  </si>
  <si>
    <t>522-103-0121</t>
  </si>
  <si>
    <t>Подтоварник кухонный ПК-6-2 (1000x600x300 мм) каркас окрашенный</t>
  </si>
  <si>
    <t>522-103-0122</t>
  </si>
  <si>
    <t>Полка настенная из нержавеющей стали ПН-П-15/3 (1500х300х220)</t>
  </si>
  <si>
    <t>522-103-0123</t>
  </si>
  <si>
    <t>Полка</t>
  </si>
  <si>
    <t>522-103-0123-0001</t>
  </si>
  <si>
    <t>Полка настенная из нержавеющей стали ПН-П-12/3 (1200х300х220)</t>
  </si>
  <si>
    <t>522-103-0123-0002</t>
  </si>
  <si>
    <t>Полка настенная из нержавеющей стали 1500х300х300 мм,1 ярус, ПН-1-1500/300</t>
  </si>
  <si>
    <t>522-103-0123-0003</t>
  </si>
  <si>
    <t>Полка настенная из нержавеющей стали, размеры не менее 1200х300х300 мм</t>
  </si>
  <si>
    <t>Полка настенная из нержавеющей стали, размеры не менее 1200х300х300 мм, 1 ярус</t>
  </si>
  <si>
    <t>522-103-0123-0004</t>
  </si>
  <si>
    <t>Полка настенная 1800х300х300мм из нержавеющей стали 0,8 мм, 1 ярус, усиленны ребром жесткости, ПН-1-1800/300</t>
  </si>
  <si>
    <t>522-103-0123-0015</t>
  </si>
  <si>
    <t>Полка настенная ПН-10-3-4, размеры 1000х300х400 мм, 1 ярус, полностью из нержавеющей стали 0,8 мм, усиленны ребром жесткости</t>
  </si>
  <si>
    <t>522-103-0123-0016</t>
  </si>
  <si>
    <t>Полка настенная ПН-11-3-3, размеры 1100х300х300 мм, 1 ярус, полностью из нержавеющей стали 0,8 мм, усиленны ребром жесткости</t>
  </si>
  <si>
    <t>522-103-0123-0017</t>
  </si>
  <si>
    <t>Полка настенная ПН-12-3-3, размеры 1200х300х300 мм, 1 ярус, полностью из нержавеющей стали 0,8 мм, усиленны ребром жесткости</t>
  </si>
  <si>
    <t>522-103-0123-0018</t>
  </si>
  <si>
    <t>Полка настенная ПН-13-3-3, размеры 1300х300х300 мм, 1 ярус, полностью из нержавеющей стали 0,8 мм, усиленны ребром жесткости</t>
  </si>
  <si>
    <t>522-103-0123-0019</t>
  </si>
  <si>
    <t>Полка настенная ПН-15-3-3, размеры 1500х300х300 мм, 1 ярус, полностью из нержавеющей стали 0,8 мм, усиленны ребром жесткости</t>
  </si>
  <si>
    <t>522-103-0123-0020</t>
  </si>
  <si>
    <t>Полка настольная ПНС-2-12-3-6ТН, размеры 1200х300х600 мм, 2 яруса, полки из нержавеющей стали 0,8 мм, каркас из нержавеющей трубы 25х25 мм</t>
  </si>
  <si>
    <t>522-103-0123-0021</t>
  </si>
  <si>
    <t>Полка настольная ПНС-2-15-3-6ТН, размеры 1500х300х600 мм, 2 яруса, полки из нержавеющей стали 0,8 мм, каркас из нержавеющей трубы 25х25 мм</t>
  </si>
  <si>
    <t>522-103-0124</t>
  </si>
  <si>
    <t>Тележка сервировочная, размеры не менее 800х500х930мм</t>
  </si>
  <si>
    <t>Тележка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t>
  </si>
  <si>
    <t>522-103-0125</t>
  </si>
  <si>
    <t>Тележка-шпилька для гастроемкостей ТШГ-14-1/1 (565х395х1519)</t>
  </si>
  <si>
    <t>522-103-0126</t>
  </si>
  <si>
    <t>Тележка-шпилька для противней</t>
  </si>
  <si>
    <t>522-103-0126-0001</t>
  </si>
  <si>
    <t>Тележка-шпилька для противней (600х400) СП-15 (450х625х1750)</t>
  </si>
  <si>
    <t>522-103-0126-0002</t>
  </si>
  <si>
    <t>Тележка шпилька для противней 15 уровней, 670х410х1800 мм, из нержавеющей стали ШК-15/64</t>
  </si>
  <si>
    <t>522-103-0127</t>
  </si>
  <si>
    <t>522-103-0127-0001</t>
  </si>
  <si>
    <t>Тележка грузовая ТГ-6-1 (1000х600 мм), вся нерж.</t>
  </si>
  <si>
    <t>522-103-0127-0002</t>
  </si>
  <si>
    <t>Тележка грузовая из нержавеющей стали 800х600х850 мм, ТГ-800/600</t>
  </si>
  <si>
    <t>522-103-0127-0004</t>
  </si>
  <si>
    <t>Тележка грузовая АТП-8-6-8,5, размеры 800х600х850 мм, полностью из нержавеющей стали, 4 самоориентирующихся колеса, 2 из них с тормозом</t>
  </si>
  <si>
    <t>522-103-0127-0005</t>
  </si>
  <si>
    <t>Тележка грузовая АТП-10-6-8,5, размеры 1000х600х850 мм, полностью из нержавеющей стали, 4 самоориентирующихся колеса, 2 из них с тормозом</t>
  </si>
  <si>
    <t>522-103-0127-0006</t>
  </si>
  <si>
    <t>Тележка грузовая АТП-12,6-6-9,35, размеры 1260х600х935 мм, полностью из нержавеющей стали, 4 самоориентирующихся колеса, 2 из них с тормозом</t>
  </si>
  <si>
    <t>522-103-0128</t>
  </si>
  <si>
    <t>Шпилька КШ-С-1.12-350.600-02 (415х600х1575)</t>
  </si>
  <si>
    <t>522-103-0129</t>
  </si>
  <si>
    <t>Ванна 3-х секц. ВМП-6-3-5 РЧ (500х500x300)</t>
  </si>
  <si>
    <t>522-103-0130</t>
  </si>
  <si>
    <t>Зонт вытяжной пристенный ЗВП-900/1800 (1800х900х450)</t>
  </si>
  <si>
    <t>522-103-0131</t>
  </si>
  <si>
    <t>Шкаф для хлеба</t>
  </si>
  <si>
    <t>522-103-0131-0001</t>
  </si>
  <si>
    <t>Шкаф для хлеба ШХ-810/480/1800
(810х480х1800)</t>
  </si>
  <si>
    <t>522-103-0131-0002</t>
  </si>
  <si>
    <t>Шкаф для хлеба из нержавеющей стали 800х500х1800 мм, две распашные двери, 5 полок, ШХ</t>
  </si>
  <si>
    <t>522-103-0131-0004</t>
  </si>
  <si>
    <t>Шкаф металлический многофункциональный типа MedWell двухстворчатый для хлеба, нержавеющая сталь, 0,8 мм, размеры 800х600х1720 мм, 6
деревянных лотков, ригельный замок</t>
  </si>
  <si>
    <t>Сборно-разборной конструкции из листовой стали AISI 430; 0,8 мм, матовой. Оснащен ригельным замком и магнитными защелками. Внутри расположены 6 (шесть) деревянных лотков типа Л14 (для хранения хлеба).
Скрепление конструкции за счет зацепов и крепежа. Сварные швы выполнены современным методом лазерной и контактной сварки, точной, незаметной, с высокими показателями качества, прочности и долговечности. Шкафы имеют 4 регулируемые ножки позволяющие регулировать высоту  шкафа и  компенсировать неровности поверхности пола.</t>
  </si>
  <si>
    <t>522-103-0131-0005</t>
  </si>
  <si>
    <t>Шкаф для хлеба ШХ-8-5-18, размеры 800х500х1800 мм, 2 (две) распашные двери, 5 (пять) полок. Нержавеющая сталь</t>
  </si>
  <si>
    <t>522-103-0131-0006</t>
  </si>
  <si>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</si>
  <si>
    <t>Сборно-разборная конструкция из нержавеющей листовой стали AISI 430 матовый толщиной 0,8 мм. С креплением конструкции за счет зацепов и крепежа. Оснащен ригельным замком, и магнитными защелками. Шкафы имеют 4 регулируемые опоры.</t>
  </si>
  <si>
    <t>522-103-0132</t>
  </si>
  <si>
    <t>Рукомойник</t>
  </si>
  <si>
    <t>522-103-0132-0001</t>
  </si>
  <si>
    <t>Рукомойник Cryspi РН Э 1 (400х300х250)</t>
  </si>
  <si>
    <t>522-103-0132-0002</t>
  </si>
  <si>
    <t>Рукомойник из нержавеющей стали 400х400х150 мм, со смесителем и сифоном, РН</t>
  </si>
  <si>
    <t>522-103-0133</t>
  </si>
  <si>
    <t>Зонт вытяжной пристенный ЗВПШ CRYSPI Chef ЗВП 15/12 (1500х1200х350)</t>
  </si>
  <si>
    <t>522-103-0134</t>
  </si>
  <si>
    <t>Зонт вытяжной пристенный</t>
  </si>
  <si>
    <t>522-103-0134-0001</t>
  </si>
  <si>
    <t>Зонт вытяжной пристенный ЗВПШ CRYSPI Chef ЗВП 20/12 (2000х1200х350)</t>
  </si>
  <si>
    <t>522-103-0134-0002</t>
  </si>
  <si>
    <t>Зонт вытяжной пристенный из жаропрочной нержавеющей стали 1300х900х350 мм,  с жироуловителями, краном для слива конденсата, крепежными элементами,
ЗВП-900/1300</t>
  </si>
  <si>
    <t>522-103-0134-0003</t>
  </si>
  <si>
    <t>Зонт вытяжной пристенный из жаропрочной нержавеющей стали 1800х900х350 мм, с жироуловителями, краном для слива конденсата, крепежными элементами,
ЗВП-900/1800</t>
  </si>
  <si>
    <t>522-103-0134-0004</t>
  </si>
  <si>
    <t>Зонт вытяжной пристенный из жаропрочной нержавеющей стали 2200х1300х350 мм,  с жироуловителями, краном для слива конденсата, крепежными элементами,
ЗВП-1300/2200</t>
  </si>
  <si>
    <t>522-103-0134-0005</t>
  </si>
  <si>
    <t>Зонт вытяжной пристенный из жаропрочной нержавеющей стали 2700х1100х350 мм, с жироуловителями, краном для слива конденсата, крепежными элементами,
ЗВП-1100/2700</t>
  </si>
  <si>
    <t>522-103-0134-0006</t>
  </si>
  <si>
    <t>Зонт вытяжной пристенный из жаропрочной нержавеющей стали 3200х1300х350 мм, с жироуловителями, краном для слива конденсата, крепежными элементами,
ЗВП-1300/3200</t>
  </si>
  <si>
    <t>522-103-0134-0007</t>
  </si>
  <si>
    <t>Зонт вытяжной пристенный кубический 1500х1200х400мм, приточно вытяжной, полностью из нержавеющей стали 0,8 мм, жироуловители в комплекте,
ЗВПК-1500/1200</t>
  </si>
  <si>
    <t>522-103-0134-0008</t>
  </si>
  <si>
    <t>Зонт вытяжной пристенный кубический 2000х1200х400мм, приточно вытяжной, полностью из нержавеющей стали 0,8 мм, жироуловители в комплекте,
ЗВПК-2000/1200</t>
  </si>
  <si>
    <t>522-103-0134-0009</t>
  </si>
  <si>
    <t>Зонт вытяжной пристенный конусный 1000х1000х350мм, полностью из нержавеющей стали 0,8 мм, жироуловители в комплекте, ЗВП-1000/1000</t>
  </si>
  <si>
    <t>522-103-0134-0010</t>
  </si>
  <si>
    <t>Зонт вытяжной пристенный конусный 1100х1100х350мм, полностью из нержавеющей стали 0,8 мм, жироуловители в комплекте, ЗВП-1100/1100</t>
  </si>
  <si>
    <t>522-103-0134-0017</t>
  </si>
  <si>
    <t>Зонт вытяжной пристенный ЗВП-7-7-3,5-1Ф, размеры 700х700х350 мм, жаропрочная нержавеющая сталь 0,8 мм, жироуловители, кран для слива, вытяжное отверстие, крепежные крюки и цепи для подвеса в комплекте</t>
  </si>
  <si>
    <t>1 фланец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</si>
  <si>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522-103-0134-0018</t>
  </si>
  <si>
    <t>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</si>
  <si>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</si>
  <si>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522-103-0134-0019</t>
  </si>
  <si>
    <t>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</si>
  <si>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</si>
  <si>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522-103-0134-0020</t>
  </si>
  <si>
    <t>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</si>
  <si>
    <t>1 фланец 160/300/400мм,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</si>
  <si>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522-103-0134-0021</t>
  </si>
  <si>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</si>
  <si>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 крепежные крюки и цепи для подвеса</t>
  </si>
  <si>
    <t>522-103-0134-0022</t>
  </si>
  <si>
    <t>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</si>
  <si>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</si>
  <si>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522-103-0134-0023</t>
  </si>
  <si>
    <t>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</si>
  <si>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</si>
  <si>
    <t>522-103-0134-0024</t>
  </si>
  <si>
    <t>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</si>
  <si>
    <t>522-103-0134-0025</t>
  </si>
  <si>
    <t>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</si>
  <si>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160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два вытяжных отверстия для подсоединения в систему вентиляции , крепежные крюки и цепи для подвеса</t>
  </si>
  <si>
    <t>522-103-0134-0026</t>
  </si>
  <si>
    <t>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</si>
  <si>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t>
  </si>
  <si>
    <t>522-103-0134-0027</t>
  </si>
  <si>
    <t>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</si>
  <si>
    <t>522-103-0134-0028</t>
  </si>
  <si>
    <t>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</si>
  <si>
    <t>522-103-0134-0029</t>
  </si>
  <si>
    <t>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</si>
  <si>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t>522-103-0134-0030</t>
  </si>
  <si>
    <t>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</si>
  <si>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</si>
  <si>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522-103-0134-0031</t>
  </si>
  <si>
    <t>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</si>
  <si>
    <t>522-103-0134-0032</t>
  </si>
  <si>
    <t>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</si>
  <si>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t>2 фланца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</si>
  <si>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522-103-0134-0033</t>
  </si>
  <si>
    <t>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</si>
  <si>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t>522-103-0134-0034</t>
  </si>
  <si>
    <t>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</si>
  <si>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</si>
  <si>
    <t>522-103-0134-0035</t>
  </si>
  <si>
    <t>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</si>
  <si>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t>
  </si>
  <si>
    <t>522-103-0134-0036</t>
  </si>
  <si>
    <t>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</si>
  <si>
    <t>522-103-0134-0037</t>
  </si>
  <si>
    <t>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</si>
  <si>
    <t>522-103-0134-0038</t>
  </si>
  <si>
    <t>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</si>
  <si>
    <t>2 фланца 400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вытяжное отверстие для подсоединения в систему вентиляции, крепежные крюки и цепи для подвеса</t>
  </si>
  <si>
    <t>522-103-0134-0039</t>
  </si>
  <si>
    <t>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</si>
  <si>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крепежные крюки и цепи для подвеса</t>
  </si>
  <si>
    <t>522-103-0134-0040</t>
  </si>
  <si>
    <t>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</si>
  <si>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 крепежные крюки и цепи для подвеса</t>
  </si>
  <si>
    <t>522-103-0135</t>
  </si>
  <si>
    <t>Зонт вытяжной островной из жаропрочной нержавеющей стали</t>
  </si>
  <si>
    <t>522-103-0135-0001</t>
  </si>
  <si>
    <t>Зонт вытяжной островной из жаропрочной нержавеющей стали 1600х2200х350, ЗВЦШ</t>
  </si>
  <si>
    <t>522-103-0135-0002</t>
  </si>
  <si>
    <t>Зонт вытяжной островной из жаропрочной нержавеющей стали 6000х2000х350 мм, с жироуловителями, краном для слива конденсата, крепежными элементами, ЗВО-2000/6000</t>
  </si>
  <si>
    <t>522-103-0135-0003</t>
  </si>
  <si>
    <t>Зонт приточно-вытяжной островной из жаропрочной нержавеющей стали 1300х1600х350 мм, с жироуловителями, краном для слива конденсата, с крепежными элементами, ЗВО-1600/1300</t>
  </si>
  <si>
    <t>522-103-0135-0004</t>
  </si>
  <si>
    <t>Зонт приточно-вытяжной островной из жаропрочной нержавеющей стали 1500х2300х350 мм, с жироуловителями, краном для слива конденсата, крепежными элементами</t>
  </si>
  <si>
    <t>522-103-0135-0005</t>
  </si>
  <si>
    <t>Зонт приточно-вытяжной островной из жаропрочной нержавеющей стали 6000х2000х350 мм, с жироуловителями, краном для слива конденсата, с крепежными элементами, ЗВО-2000/6000</t>
  </si>
  <si>
    <t>522-103-0135-0006</t>
  </si>
  <si>
    <t>Зонт вытяжной островной кубический 2500х2200х400мм, приточно вытяжной, полностью из нержавеющей стали 0,8 мм, жироуловители в комплекте,
ЗВОК-2500/2200</t>
  </si>
  <si>
    <t>522-103-0135-0009</t>
  </si>
  <si>
    <t>Зонт приточно-вытяжной островной ЗПВО-18,5-22-3,5-2Ф300, размеры
1850х2200х350 мм, 2 фланца 300 мм, жаропрочная нержавеющая сталь с жироуловителями, краном для слива конденсата, крепежными элементами</t>
  </si>
  <si>
    <t>522-103-0135-0010</t>
  </si>
  <si>
    <t>Зонт приточно-вытяжной островной ЗПВО-16-22-3,5-2Ф300,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t>
  </si>
  <si>
    <t>522-103-0135-0011</t>
  </si>
  <si>
    <t>Зонт вытяжной островной
ЗВО-32-22-3,5-4Ф300, размеры
3200х2200х350 мм, 4 фланца 300 мм, жаропрочная нержавеющая сталь, с краном для слива конденсата, крепежными элементами, 4 патрубками</t>
  </si>
  <si>
    <t>522-103-0135-0012</t>
  </si>
  <si>
    <t>Зонт приточно-вытяжной островной ЗПВО-60-20-3,5-6Ф300, размеры
6000х2000х350 мм, 6 фланцев вытяжных 300мм / 12 фланцев приточных 100 мм, жаропрочная нержавеющая сталь с жироуловителями, краном для слива конденсата, крепежными элементами, 6 патрубками</t>
  </si>
  <si>
    <t>522-103-0135-0013</t>
  </si>
  <si>
    <t>Зонт вытяжной островной
ЗВО-60-20-3,5-3Ф400, размеры
6000х2000х350 мм, 3 фланца 400мм, жаропрочная нержавеющая сталь с жироуловителями, краном для слива конденсата, крепежными элементами, 3 патрубками</t>
  </si>
  <si>
    <t>522-103-0136</t>
  </si>
  <si>
    <t>Зонт вентиляционный пристенный ЗВП-1300/2200 Н (1300х2200х400)</t>
  </si>
  <si>
    <t>522-103-0137</t>
  </si>
  <si>
    <t>Зонт вентиляционный ЗВЭ-900-2-П</t>
  </si>
  <si>
    <t>522-103-0138</t>
  </si>
  <si>
    <t>Ванна моечная ВМС-С-1/500 (600х600х850)</t>
  </si>
  <si>
    <t>522-103-0139</t>
  </si>
  <si>
    <t>Ванна моечная ВМС-С-2/500 (1200х600х850)</t>
  </si>
  <si>
    <t>522-103-0140</t>
  </si>
  <si>
    <t>Ванна моечная ВМС-С-2/600 (1400х700х850)</t>
  </si>
  <si>
    <t>522-103-0141</t>
  </si>
  <si>
    <t>Ванна моечная ВМС-П-3/500 (1800х600х850)</t>
  </si>
  <si>
    <t>522-103-0142</t>
  </si>
  <si>
    <t>Ванна моечная ВМЦ-П2-1/500 Н (700х700х850)</t>
  </si>
  <si>
    <t>522-103-0143</t>
  </si>
  <si>
    <t>Ванна котломоечная ВКС-С-1/500/1100 (1200х600х850)</t>
  </si>
  <si>
    <t>522-103-0144</t>
  </si>
  <si>
    <t>Колода разрубочная</t>
  </si>
  <si>
    <t>522-103-0144-0001</t>
  </si>
  <si>
    <t>Колода разрубочная, размеры не менее
500х500х150мм</t>
  </si>
  <si>
    <t>Материал столешницы дерево/полипропилен. Каркас выполнен из оцинкованной стали.</t>
  </si>
  <si>
    <t>522-103-0144-0002</t>
  </si>
  <si>
    <t>Колода разрубочная 500х500х700 мм рубочная поверхность полипропилен 500х500х80 мм, КР-500</t>
  </si>
  <si>
    <t>522-103-0144-0008</t>
  </si>
  <si>
    <t>Колода для рубки мяса КРМ-5-5ТН, размеры 500х500х850 мм, каркас из трубы нержавеющей стали 40х40 мм, колода из полипропилена толщиной не менее 40 мм</t>
  </si>
  <si>
    <t>522-103-0144-0009</t>
  </si>
  <si>
    <t>Колода для рубки мяса КРМ-7-5ТН, размеры 700х500х850 мм, каркас из трубы нержавеющей стали 40х40 мм, колода из полипропилена толщиной не менее 40 мм.</t>
  </si>
  <si>
    <t>522-103-0144-0010</t>
  </si>
  <si>
    <t>Вешало для мясных туш ВМ-12,5-8-18ТН, размеры 1250х800х1800 мм, нержавеющая сталь, 1 поддон, 5 крючков для мяса</t>
  </si>
  <si>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</si>
  <si>
    <t>522-103-0144-0011</t>
  </si>
  <si>
    <t>Вешало для мясных туш ВМ-15-8-18ТН, размеры 1500х800х1800 мм, нержавеющая сталь, 1 поддон, 5 крючков для мяса</t>
  </si>
  <si>
    <t>522-103-0145</t>
  </si>
  <si>
    <t>Тележка сервировочная Атеси
ТС-Л-2-800.500.850-02 (ТС-2) 2 полки (800х500х850)</t>
  </si>
  <si>
    <t>522-103-0146</t>
  </si>
  <si>
    <t>Тележка-шпилька для подносов</t>
  </si>
  <si>
    <t>522-103-0146-0001</t>
  </si>
  <si>
    <t>Тележка-шпилька для подносов, 12 уровней 520х420х1800</t>
  </si>
  <si>
    <t>522-103-0146-0002</t>
  </si>
  <si>
    <t>Тележка-шпилька для подносов,15 уровней, 420х520х1800, из нержавеющей стали ТШП-15</t>
  </si>
  <si>
    <t>522-103-0146-0006</t>
  </si>
  <si>
    <t>Тележка-шпилька для подносов ТШП-1-00, размеры 360х470х1740 мм, вместимость до 20 подносов, прочная конструкция из нержавеющей стали, четыре поворотных колеса, два из них с блокираторами, 4 ручки</t>
  </si>
  <si>
    <t>522-103-0146-0007</t>
  </si>
  <si>
    <t>Тележка-шпилька для подносов ТШП-2-00, размеры 1000х600х1500 мм, вместимость до 40 подносов, прочная конструкция из нержавеющей стали, четыре поворотных колеса, два из них с блокираторами, 4 ручки</t>
  </si>
  <si>
    <t>522-103-0147</t>
  </si>
  <si>
    <t>Тележка-шпилька для гастроемкостей</t>
  </si>
  <si>
    <t>522-103-0147-0001</t>
  </si>
  <si>
    <t>Тележка-шпилька для гастроемкостей (GN 1/1,2/1) CГ-12 (575х680х1750)</t>
  </si>
  <si>
    <t>522-103-0147-0002</t>
  </si>
  <si>
    <t>Тележка шпилька для гастроемкостей 15 уровней, 1500х560х385мм, из нержавеющей стали ШГ-15-1/1</t>
  </si>
  <si>
    <t>522-103-0147-0003</t>
  </si>
  <si>
    <t>Тележка-шпилька для посудомоечных кассет 15 уровней, 520х520х1800 мм, из нержавеющей стали ТШК-15</t>
  </si>
  <si>
    <t>522-103-0148</t>
  </si>
  <si>
    <t>Ванна моечная ВМЦ-П2-1/400 Н (600х600х850)</t>
  </si>
  <si>
    <t>522-103-0149</t>
  </si>
  <si>
    <t>Ванна моечная ВМЦ-П2-2/400 Н (1200х600х850)</t>
  </si>
  <si>
    <t>522-103-0150</t>
  </si>
  <si>
    <t>Ванна моечная ВМЦ-П2-3/400 Н (1700х600х850)</t>
  </si>
  <si>
    <t>522-103-0151</t>
  </si>
  <si>
    <t>Ванна моечная ВМЦ-П2-2/500 Н (1200х700х850)</t>
  </si>
  <si>
    <t>522-103-0152</t>
  </si>
  <si>
    <t>Ванна моечная</t>
  </si>
  <si>
    <t>522-103-0152-0001</t>
  </si>
  <si>
    <t>Ванна моечная ВМЦ-П2-2/500 Н (1100х700х850)</t>
  </si>
  <si>
    <t>522-103-0152-0002</t>
  </si>
  <si>
    <t>Ванна моечная разборная из нержавеющей стали 600х600х850 мм,1 емкость цельнотянутая разм.400х400х250 мм, ВМЛ-1-600/600</t>
  </si>
  <si>
    <t>522-103-0152-0003</t>
  </si>
  <si>
    <t>Ванна моечная разборная из нержавеющей стали 600х700х850 мм,1 емкость цельнотянутая разм.500х500х300 мм, ВМЛ-1-600/700</t>
  </si>
  <si>
    <t>522-103-0152-0004</t>
  </si>
  <si>
    <t>Ванна моечная разборная из нержавеющей стали 1200х700х850 мм, 2 емкости цельнотянутые разм.500х500х300 мм, ВМЛ-2-1200/700</t>
  </si>
  <si>
    <t>522-103-0152-0005</t>
  </si>
  <si>
    <t>Ванна моечная разборная из нержавеющей стали 1600х600х850 мм, 3 емкости цельнотянутые разм.400х400х250 мм, ВМЛ-3-1600/600</t>
  </si>
  <si>
    <t>522-103-0152-0006</t>
  </si>
  <si>
    <t>Ванна моечная разборная из нержавеющей стали 1800х700х850 мм, 3 емкости цельнотянутые разм.500х500х300 мм, ВМЛ-3-1800/700</t>
  </si>
  <si>
    <t>522-103-0152-0007</t>
  </si>
  <si>
    <t>Ванна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ВМЛ-2-1200/600</t>
  </si>
  <si>
    <t>522-103-0152-0008</t>
  </si>
  <si>
    <t>Ванна моечная 500х500х830мм, разборная, 1 емкость сварная, задний борт 20 мм, обвязка по периметру, отверстие под сифон и смеситель , отступ для коммуникаций 100 мм,  4 регулируемые по высоте пластиковые опоры, ВМ-1-500/500(С)</t>
  </si>
  <si>
    <t>522-103-0152-0009</t>
  </si>
  <si>
    <t>Ванна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ВМ-2-1000/500(С)</t>
  </si>
  <si>
    <t>522-103-0152-0010</t>
  </si>
  <si>
    <t>Ванна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ВМ-3-1500/500(С)</t>
  </si>
  <si>
    <t>522-103-0152-0011</t>
  </si>
  <si>
    <t>Ванна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ВМ-1-600/600(С)</t>
  </si>
  <si>
    <t>522-103-0152-0012</t>
  </si>
  <si>
    <t>Ванна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ВМ-2-1200/600(С)</t>
  </si>
  <si>
    <t>522-103-0152-0013</t>
  </si>
  <si>
    <t>Ванна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ВМ-3-1600/600(С)</t>
  </si>
  <si>
    <t>522-103-0152-0014</t>
  </si>
  <si>
    <t>Ванна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ВМ-3-1800/600(С)</t>
  </si>
  <si>
    <t>522-103-0152-0015</t>
  </si>
  <si>
    <t>Ванна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ВМ-1-700/700(С)</t>
  </si>
  <si>
    <t>522-103-0152-0016</t>
  </si>
  <si>
    <t>Ванна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ВМ-2-1400/700(С)</t>
  </si>
  <si>
    <t>522-103-0152-0017</t>
  </si>
  <si>
    <t>Ванна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ВМ-3-1800/700(С)</t>
  </si>
  <si>
    <t>522-103-0152-0018</t>
  </si>
  <si>
    <t>Стол с двумя мойками CE-TCE120X60. Нержавеющая сталь. Размер: 1200x600x850мм</t>
  </si>
  <si>
    <t>522-103-0152-0019</t>
  </si>
  <si>
    <t>Стол с двумя мойками CE-TCE140X60. Нержавеющая сталь. Размер: 1400x600x850мм</t>
  </si>
  <si>
    <t>522-103-0152-0020</t>
  </si>
  <si>
    <t>Стол с двумя мойками CE-TCE160X60. Нержавеющая сталь. Размер: 1600x600x850мм</t>
  </si>
  <si>
    <t>522-103-0152-0021</t>
  </si>
  <si>
    <t>Стол с двумя мойками CE-TCE180X60. Нержавеющая сталь. Размер: 1800x600x850мм</t>
  </si>
  <si>
    <t>522-103-0152-0022</t>
  </si>
  <si>
    <t>Стол с двумя мойками CE-TCE120X70. Нержавеющая сталь. Размер: 1200x700x850мм</t>
  </si>
  <si>
    <t>522-103-0152-0023</t>
  </si>
  <si>
    <t>Стол с двумя мойками CE-TCE140X70. Нержавеющая сталь. Размер: 1400x700x850мм</t>
  </si>
  <si>
    <t>522-103-0152-0024</t>
  </si>
  <si>
    <t>Стол с двумя мойками CE-TCE160X70. Нержавеющая сталь. Размер: 1600x700x850мм</t>
  </si>
  <si>
    <t>522-103-0152-0025</t>
  </si>
  <si>
    <t>Стол с двумя мойками CE-TCE180X70. Нержавеющая сталь. Размер: 1800x700x850мм</t>
  </si>
  <si>
    <t>522-103-0152-0026</t>
  </si>
  <si>
    <t>Ванна моечная односекционная ВМЛ-1. Мойка сварная из нержавеющей стали, каркас из оцинкованной стали. Размер 630х630х850мм</t>
  </si>
  <si>
    <t>522-103-0152-0027</t>
  </si>
  <si>
    <t>Ванна моечная двухсекционная ВМЛ-2. Мойка сварная из нержавеющей стали, каркас из оцинкованной стали. Размер 1200х600х850мм</t>
  </si>
  <si>
    <t>522-103-0152-0028</t>
  </si>
  <si>
    <t>Ванна моечная трёхсекционная ВМЛ-3. Мойка сварная из нержавеющей стали, каркас из оцинкованной стали. Размер 1800х600х850мм</t>
  </si>
  <si>
    <t>522-103-0152-0036</t>
  </si>
  <si>
    <t>Ванна моечная цельно-сварная
ВМС-1-4-4-2,5, размеры 600х600х850 мм. Каркас выполнен из уголка нержавеющей стали 40x40 мм, раковина из нержавеющей стали 400х400х250 мм</t>
  </si>
  <si>
    <t>522-103-0152-0037</t>
  </si>
  <si>
    <t>Ванна моечная цельно-сварная
ВМС-2-5-5-3, размеры 1200х600х850 мм. Каркас выполнен из уголка нержавеющей стали 40x40 мм, раковина из нержавеющей стали 500х500х300 мм</t>
  </si>
  <si>
    <t>522-103-0152-0038</t>
  </si>
  <si>
    <t>Ванна моечная цельно-сварная
ВМС-2-4-4-2,5, размеры 1200х600х850
(*250) мм. Каркас выполнен из уголка нержавеющей стали 40x40 мм, раковина из нержавеющей стали 400х400х250 мм</t>
  </si>
  <si>
    <t>522-103-0153</t>
  </si>
  <si>
    <t>Ванна котломоечная</t>
  </si>
  <si>
    <t>522-103-0153-0001</t>
  </si>
  <si>
    <t>Ванна котломоечная ВКС-С-1/600/800 (1200х700х850)</t>
  </si>
  <si>
    <t>522-103-0153-0002</t>
  </si>
  <si>
    <t>Ванна котломоечная из нержавеющей стали 1200х700х850 мм, 1 емкость сварная,
ВК-1-1200/700(С)</t>
  </si>
  <si>
    <t>522-103-0153-0003</t>
  </si>
  <si>
    <t>Ванна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ВК-1-800/800(С)</t>
  </si>
  <si>
    <t>522-103-0153-0004</t>
  </si>
  <si>
    <t>Ванна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ВК-1-1200/800(С)</t>
  </si>
  <si>
    <t>522-103-0153-0005</t>
  </si>
  <si>
    <t>Ванна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ВК-1-1400/800(С)</t>
  </si>
  <si>
    <t>522-103-0153-0006</t>
  </si>
  <si>
    <t>Стол подачи для мытья казана
CE-TKG80X80. Нержавеющая сталь. Размер: 800x800x630мм</t>
  </si>
  <si>
    <t>522-103-0153-0007</t>
  </si>
  <si>
    <t>Стол подачи для мытья казана
CE-TKG100X80. Нержавеющая сталь. Размер: 1000x800x630мм</t>
  </si>
  <si>
    <t>522-103-0153-0008</t>
  </si>
  <si>
    <t>Стол подачи для мытья казана
CE-TKG120X80. Нержавеющая сталь. Размер: 1200x800x630мм</t>
  </si>
  <si>
    <t>522-103-0153-0009</t>
  </si>
  <si>
    <t>Стол подачи для мытья казана
CE-TKG140X80. Нержавеющая сталь. Размер: 1400x800x630мм</t>
  </si>
  <si>
    <t>522-103-0153-0010</t>
  </si>
  <si>
    <t>Стол подачи для мытья казана
CE-TKG180X80. Нержавеющая сталь. Размер: 1800x800x630мм</t>
  </si>
  <si>
    <t>522-103-0153-0013</t>
  </si>
  <si>
    <t>Ванна моечная цельно-сварная для котлов ВМС-1-8-7-5, размеры 800х700х890 мм. Каркас выполнен из уголка нержавеющей стали 40x40 мм, раковина из нержавеющей стали 600х600х500 мм</t>
  </si>
  <si>
    <t>522-103-0153-0014</t>
  </si>
  <si>
    <t>Ванна моечная цельно-сварная для котлов ВМС-1-6-6-4, размеры 800х700х850 мм. Каркас выполнен из уголка нержавеющей стали 40x40 мм, раковина из нержавеющей стали 600х600х400 мм</t>
  </si>
  <si>
    <t>522-103-0154</t>
  </si>
  <si>
    <t>Зонт вентиляционный пристенный ASSUM ЗВП-7/18/4.5 (1800х700х450)</t>
  </si>
  <si>
    <t>522-103-0155</t>
  </si>
  <si>
    <t>Зонт вентиляционный пристенный 2000х900х450</t>
  </si>
  <si>
    <t>522-103-0156</t>
  </si>
  <si>
    <t>Зонт вентиляционный ЗВП-900/1300 Н</t>
  </si>
  <si>
    <t>522-103-0157</t>
  </si>
  <si>
    <t>Зонт вентиляционный пристенный ЗВП-1300/1200 Н</t>
  </si>
  <si>
    <t>522-103-0158</t>
  </si>
  <si>
    <t>Сплит-система среднетемпературная SM 222 S</t>
  </si>
  <si>
    <t>522-103-0159</t>
  </si>
  <si>
    <t>Моноблок потолочный МВ 109 SТ</t>
  </si>
  <si>
    <t>522-103-0160</t>
  </si>
  <si>
    <t>Стол производственный СПБ-П-15/7 (1500х700х850)</t>
  </si>
  <si>
    <t>522-103-0161</t>
  </si>
  <si>
    <t>Стол производственный СП-П-17/6 (1700х600х850)</t>
  </si>
  <si>
    <t>522-103-0162</t>
  </si>
  <si>
    <t>Стол производственный СПБ-П-17/6 (1700х600х850)</t>
  </si>
  <si>
    <t>522-103-0163</t>
  </si>
  <si>
    <t>Стол производственный СПБ-П-17/7 (1700х700х850)</t>
  </si>
  <si>
    <t>522-103-0164</t>
  </si>
  <si>
    <t>Стол производственный СПБ-П-18/7 (1800х700х850)</t>
  </si>
  <si>
    <t>522-103-0165</t>
  </si>
  <si>
    <t>Стол производственный</t>
  </si>
  <si>
    <t>522-103-0165-0001</t>
  </si>
  <si>
    <t>Стол производственный СПБ-П-10/6
(1000х600х850)</t>
  </si>
  <si>
    <t>522-103-0165-0002</t>
  </si>
  <si>
    <t>Стол производственный из нержавеющей стали 1000х600х850 мм, ножки труба 40х40, с  регулируемыми по высоте опорами
СП-1000/600(Л)Б</t>
  </si>
  <si>
    <t>522-103-0165-0003</t>
  </si>
  <si>
    <t>Стол производственный из нержавеющей стали 1200х700х850 мм, c подложкой ДСП 16мм, ножки труба 40х40, с  регулируемыми по высоте опорами СП-1200/700(Л)Б</t>
  </si>
  <si>
    <t>522-103-0165-0004</t>
  </si>
  <si>
    <t>Стол производственный из нержавеющей стали 1600х600х850 мм, c подложкой ДСП 16мм, ножки труба 40х40,с  регулируемыми по высоте опорами СП-1600/600(Л)Б</t>
  </si>
  <si>
    <t>522-103-0165-0005</t>
  </si>
  <si>
    <t>Стол производственный из нержавеющей стали 1700х600х850 мм, c подложкой ДСП 16мм, ножки труба 40х40,с  регулируемыми по высоте опорами СП-1700/600(Л)Б</t>
  </si>
  <si>
    <t>522-103-0165-0006</t>
  </si>
  <si>
    <t>Стол производственный из нержавеющей стали 1500х700х850 мм, c подложкой ДСП 16мм, ножки труба 40х40, с  регулируемыми по высоте опорами СП-1500/700(Л)Б</t>
  </si>
  <si>
    <t>522-103-0165-0007</t>
  </si>
  <si>
    <t>Стол производственный из нержавеющей стали 1800х600х850 мм, c подложкой ДСП 16мм, ножки труба 40х40, с  регулируемыми по высоте опорами СП-1800/600(Л)</t>
  </si>
  <si>
    <t>522-103-0165-0008</t>
  </si>
  <si>
    <t>Стол производственный  из нержавеющей стали 1700х700х850 мм, c подложкой ДСП 16мм, ножки труба 40х40, с  регулируемыми по высоте опорами СП-1700/700(Л)</t>
  </si>
  <si>
    <t>522-103-0165-0009</t>
  </si>
  <si>
    <t>Стол производственный из нержавеющей стали 1800х700х850 мм, c подложкой ДСП 16мм, ножки труба 40х40, с  регулируемыми по высоте опорами СП-1800/700(Л)</t>
  </si>
  <si>
    <t>522-103-0165-0010</t>
  </si>
  <si>
    <t>Стол производственный для обвалки мяса 1500х750х850 мм, столешница полипропилен толщиной 20 мм, ножки труба 40х40 СПППС-1500/700</t>
  </si>
  <si>
    <t>522-103-0165-0011</t>
  </si>
  <si>
    <t>Стол производственный разборный 1200х600х850мм,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пластиковые опоры, СП-1200/600(Л)/Б</t>
  </si>
  <si>
    <t>522-103-0165-0012</t>
  </si>
  <si>
    <t>Стол производственный разборный 1500х600х850мм,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СП-1500/600(Л)/Б</t>
  </si>
  <si>
    <t>522-103-0165-0013</t>
  </si>
  <si>
    <t>Стол производственный разборный 1000х700х850мм, с бортом, столешница и полка из нержавеющей сталь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СП-1000/700(Л)/Б</t>
  </si>
  <si>
    <t>522-103-0165-0014</t>
  </si>
  <si>
    <t>Стол разделочный разборный 1000х600х800мм, с бортом, столешница из нержавеющей стали 0,8 мм, каркас из оцинкованной стали 1,2 мм, регулируемые по высоте ножки, промежуточная полка</t>
  </si>
  <si>
    <t>522-103-0165-0015</t>
  </si>
  <si>
    <t>Стол производственный рабочий
CE-TC080X60. Нержавеющая сталь. С бортиком без полки. Размер: 800x600x850мм</t>
  </si>
  <si>
    <t>522-103-0165-0016</t>
  </si>
  <si>
    <t>Стол производственный рабочий
CE-TC0100X60. Нержавеющая сталь. С бортиком без полки. Размер: 1000x600x850мм</t>
  </si>
  <si>
    <t>522-103-0165-0017</t>
  </si>
  <si>
    <t>Стол производственный рабочий
CE-TC0120X60. Нержавеющая сталь. С бортиком без полки. Размер: 1200x600x850мм</t>
  </si>
  <si>
    <t>522-103-0165-0018</t>
  </si>
  <si>
    <t>Стол производственный рабочий
CE-TC0140X60. Нержавеющая сталь. С бортиком без полки. Размер: 1400x600x850мм</t>
  </si>
  <si>
    <t>522-103-0165-0019</t>
  </si>
  <si>
    <t>Стол производственный рабочий
CE-TC0160X60. Нержавеющая сталь. С бортиком без полки. Размер: 1600x600x850мм</t>
  </si>
  <si>
    <t>522-103-0165-0020</t>
  </si>
  <si>
    <t>Стол производственный рабочий
CE-TC0180X60. Нержавеющая сталь. С бортиком без полки. Размер: 1800x600x850мм</t>
  </si>
  <si>
    <t>522-103-0165-0021</t>
  </si>
  <si>
    <t>Стол производственный рабочий
CE-TC060X70. Нержавеющая сталь. С бортиком без полки. Размер: 600x700x850мм</t>
  </si>
  <si>
    <t>522-103-0165-0022</t>
  </si>
  <si>
    <t>Стол производственный рабочий
CE-TC070X70. Нержавеющая сталь. С бортиком без полки. Размер: 700x700x850мм</t>
  </si>
  <si>
    <t>522-103-0165-0023</t>
  </si>
  <si>
    <t>Стол производственный рабочий
CE-TC080X70. Нержавеющая сталь. С бортиком без полки. Размер: 800x700x850мм</t>
  </si>
  <si>
    <t>522-103-0165-0024</t>
  </si>
  <si>
    <t>Стол производственный рабочий
CE-TC0100X70. Нержавеющая сталь. С бортиком без полки. Размер: 1000x700x850мм</t>
  </si>
  <si>
    <t>522-103-0165-0025</t>
  </si>
  <si>
    <t>Стол производственный рабочий
CE-TC0120X70. Нержавеющая сталь. С бортиком без полки. Размер: 1200x700x850мм</t>
  </si>
  <si>
    <t>522-103-0165-0026</t>
  </si>
  <si>
    <t>Стол производственный рабочий
CE-TC0140X70. Нержавеющая сталь. С бортиком без полки. Размер: 1400x700x850мм</t>
  </si>
  <si>
    <t>522-103-0165-0027</t>
  </si>
  <si>
    <t>Стол производственный рабочий
CE-TC0160X70. Нержавеющая сталь. С бортиком без полки. Размер: 1600x700x850мм</t>
  </si>
  <si>
    <t>522-103-0165-0028</t>
  </si>
  <si>
    <t>Стол производственный рабочий
CE-TC0180X70. Нержавеющая сталь. С бортиком без полки. Размер: 1800x700x850мм</t>
  </si>
  <si>
    <t>522-103-0165-0029</t>
  </si>
  <si>
    <t>Стол производственный рабочий
CE-TC1100X60. Нержавеющая сталь. С одной полкой и бортиком. Размер: 1000x600x850мм</t>
  </si>
  <si>
    <t>522-103-0165-0030</t>
  </si>
  <si>
    <t>Стол производственный рабочий
CE-TC1120X60. Нержавеющая сталь. С одной полкой и бортиком. Размер: 1200x600x850мм</t>
  </si>
  <si>
    <t>522-103-0165-0031</t>
  </si>
  <si>
    <t>Стол производственный рабочий
CE-TC1140X60. Нержавеющая сталь. С одной полкой и бортиком.
Размер:1400x600x850мм</t>
  </si>
  <si>
    <t>522-103-0165-0032</t>
  </si>
  <si>
    <t>"Стол производственный рабочий
CE-TC1160X60. Нержавеющая сталь. С одной полкой и бортиком. Размер: 1600x600x850мм"</t>
  </si>
  <si>
    <t>522-103-0165-0033</t>
  </si>
  <si>
    <t>Стол производственный рабочий
CE-TC1180X60. Нержавеющая сталь. С одной полкой и бортиком. Размер: 1800x600x850мм</t>
  </si>
  <si>
    <t>522-103-0165-0034</t>
  </si>
  <si>
    <t>Стол производственный рабочий
CE-TC1100X70. Нержавеющая сталь. С одной полкой и бортиком. Размер: 1000x700x850мм</t>
  </si>
  <si>
    <t>522-103-0165-0035</t>
  </si>
  <si>
    <t>Стол производственный рабочий
CE-TC1120X70. Нержавеющая сталь. С одной полкой и бортиком. Размер: 1200x700x850мм</t>
  </si>
  <si>
    <t>522-103-0165-0036</t>
  </si>
  <si>
    <t>Стол производственный рабочий
CE-TC1140X70. Нержавеющая сталь. С одной полкой и бортиком. Размер: 1400x700x850мм</t>
  </si>
  <si>
    <t>522-103-0165-0037</t>
  </si>
  <si>
    <t>Стол производственный рабочий
CE-TC1160X70. Нержавеющая сталь. С одной полкой и бортиком. Размер: 1600x700x850мм</t>
  </si>
  <si>
    <t>522-103-0165-0038</t>
  </si>
  <si>
    <t>Стол производственный рабочий
CE-TC1180X70. Нержавеющая сталь. С одной полкой и бортиком. Размер: 1800x700x850мм</t>
  </si>
  <si>
    <t>522-103-0165-0039</t>
  </si>
  <si>
    <t>Стол производственный рабочий
CE-TC2100X60. Нержавеющая сталь. С двумя полками и бортиком. Размер: 1000x600x850мм</t>
  </si>
  <si>
    <t>522-103-0165-0040</t>
  </si>
  <si>
    <t>Стол производственный рабочий
CE-TC2120X60. Нержавеющая сталь. С двумя полками и бортиком. Размер: 1200x600x850мм</t>
  </si>
  <si>
    <t>522-103-0165-0041</t>
  </si>
  <si>
    <t>Стол производственный рабочий
CE-TC2140X60. Нержавеющая сталь. С двумя полками и бортиком. Размер: 1400x600x850мм</t>
  </si>
  <si>
    <t>522-103-0165-0042</t>
  </si>
  <si>
    <t>Стол производственный рабочий
CE-TC2160X60. Нержавеющая сталь. С двумя полками и бортиком. Размер: 1600x600x850мм</t>
  </si>
  <si>
    <t>522-103-0165-0043</t>
  </si>
  <si>
    <t>Стол производственный рабочий
CE-TC2180X60. Нержавеющая сталь. С двумя полками и бортиком. Размер: 1800x600x850мм</t>
  </si>
  <si>
    <t>522-103-0165-0044</t>
  </si>
  <si>
    <t>Стол производственный рабочий
CE-TC2100X70. Нержавеющая сталь. С двумя полками и бортиком. Размер: 1000x700x850мм</t>
  </si>
  <si>
    <t>522-103-0165-0045</t>
  </si>
  <si>
    <t>Стол производственный рабочий
CE-TC2120X70. Нержавеющая сталь. С двумя полками и бортиком. Размер: 1200x700x850мм</t>
  </si>
  <si>
    <t>522-103-0165-0046</t>
  </si>
  <si>
    <t>Стол производственный рабочий
CE-TC2140X70. Нержавеющая сталь. С двумя полками и бортиком. Размер: 1400x700x850мм</t>
  </si>
  <si>
    <t>522-103-0165-0047</t>
  </si>
  <si>
    <t>Стол производственный рабочий
CE-TC2160X70. Нержавеющая сталь. С двумя полками и бортиком. Размер: 1600x700x850мм</t>
  </si>
  <si>
    <t>522-103-0165-0048</t>
  </si>
  <si>
    <t>Стол производственный рабочий
CE-TC2180X70. Нержавеющая сталь. С двумя полками и бортиком. Размер: 1800x700x850мм</t>
  </si>
  <si>
    <t>522-103-0165-0049</t>
  </si>
  <si>
    <t>Стол производственный СПБ-С-10/6 с бортом, столешница из нержавеющей стали с подложкой из ЛДСП, каркас оцинкованая сталь, полка решетчатая. Размер 1000х600х850мм</t>
  </si>
  <si>
    <t>522-103-0165-0050</t>
  </si>
  <si>
    <t>Стол производственный СПБ-С-12/6 с бортом, столешница из нержавеющей стали с подложкой из ЛДСП, каркас оцинкованая сталь, полка решетчатая. Размер 1200х600х850мм</t>
  </si>
  <si>
    <t>522-103-0165-0051</t>
  </si>
  <si>
    <t>Стол производственный СПБ-С-15/6 с бортом, столешница из нержавеющей стали с подложкой из ЛДСП, каркас оцинкованая сталь, полка решетчатая. Размер 1500х600х850мм</t>
  </si>
  <si>
    <t>522-103-0165-0052</t>
  </si>
  <si>
    <t>Стол производственный СПБ-С-18/6 с бортом, столешница из нержавеющей стали с подложкой из ЛДСП, каркас оцинкованая сталь, полка решетчатая. Размер 1800х600х850мм</t>
  </si>
  <si>
    <t>522-103-0165-0053</t>
  </si>
  <si>
    <t>Стол производственный СП-С-10/6 без борта, столешница из нержавеющей стали с подложкой из ЛДСП, каркас оцинкованая сталь, полка решетчатая. Размер 1000х600х850мм</t>
  </si>
  <si>
    <t>522-103-0165-0054</t>
  </si>
  <si>
    <t>Стол производственный СП-С-12/6 без борта, столешница из нержавеющей стали с подложкой из ЛДСП, каркас оцинкованая сталь, полка решетчатая. Размер 1200х600х850мм</t>
  </si>
  <si>
    <t>522-103-0165-0055</t>
  </si>
  <si>
    <t>Стол производственный СП-С-15/6 без борта, столешница из нержавеющей стали с подложкой из ЛДСП, каркас оцинкованая сталь, полка решетчатая. Размер 1500х600х850мм</t>
  </si>
  <si>
    <t>522-103-0165-0056</t>
  </si>
  <si>
    <t>Стол производственный СП-С-18/6 без борта, столешница из нержавеющей стали с подложкой из ЛДСП, каркас оцинкованая сталь, полка решетчатая. Размер 1800х600х850мм</t>
  </si>
  <si>
    <t>522-103-0166</t>
  </si>
  <si>
    <t>Стол специализированный кондитерский</t>
  </si>
  <si>
    <t>522-103-0166-0001</t>
  </si>
  <si>
    <t>Стол специализированный кондитерский
ССК-15/7 (1500х700х850)</t>
  </si>
  <si>
    <t>522-103-0166-0002</t>
  </si>
  <si>
    <t>Стол специализированный кондитерский 1500х700х850 мм, каркас из нержавеющей стали, материал столешницы дерево,
СОК-1500/700</t>
  </si>
  <si>
    <t>522-103-0166-0004</t>
  </si>
  <si>
    <t>Стол специализированный кондитерский СК-15-7УН, размеры 1500х700х850 мм. Столешница из дерева, каркас, ножки труба 40х40 мм нержавеющая сталь, П-образная обвязка нерж сталь, 4 пластиковых регулируемых опоры</t>
  </si>
  <si>
    <t>522-103-0167</t>
  </si>
  <si>
    <t>Подтоварник</t>
  </si>
  <si>
    <t>522-103-0167-0001</t>
  </si>
  <si>
    <t>Подтоварник, размеры не менее 1200х600х300мм</t>
  </si>
  <si>
    <t>Материал каркаса из нержавеющей стали.</t>
  </si>
  <si>
    <t>522-103-0167-0002</t>
  </si>
  <si>
    <t>Подтоварник из нержавеющей стали 1200х600х300 мм, с лагами усиления ПТ-1</t>
  </si>
  <si>
    <t>522-103-0167-0003</t>
  </si>
  <si>
    <t>Подтоварник кухонный ПТ-8/6УОЦ, размеры 800х600х300 мм, столешница из нержавеющей стали 0,8 мм, максимальная равномерно распределенная нагрузка на столешницу до 150 кг</t>
  </si>
  <si>
    <t>Столешница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Регулируемые по высоте пластиковые опоры. Отступ ног 50 мм.
Конструкция разборная.</t>
  </si>
  <si>
    <t>522-103-0167-0004</t>
  </si>
  <si>
    <t>Подтоварник ПТ-10-6ТН, размеры 1000х600х300 мм, сплошная поверхность из нержавеющей стали</t>
  </si>
  <si>
    <t>Сплошная поверхность из нержавеющей стали с лагами усиления, каркас труба 40х40 мм нерж сталь, пластиковые регулируемые опоры</t>
  </si>
  <si>
    <t>522-103-0167-0005</t>
  </si>
  <si>
    <t>Подтоварник ПТ-12-6ТН, размеры 1200х600х300 мм, сплошная поверхность из нержавеющей стали</t>
  </si>
  <si>
    <t>522-103-0167-0006</t>
  </si>
  <si>
    <t>Подтоварник ПТ-12-6УН, размеры 1200х600х300 мм, сплошная поверхность из нержавеющей стали</t>
  </si>
  <si>
    <t>Сплошная поверхность из нержавеющей стали с лагами усиления. Ножки (гнутый уголок 40х40 мм) толщиной 1,5мм нерж сталь. Пластиковые регулируемые опоры.</t>
  </si>
  <si>
    <t>522-103-0168</t>
  </si>
  <si>
    <t>Гастроемкость из нержавеющей стали</t>
  </si>
  <si>
    <t>522-103-0168-0001</t>
  </si>
  <si>
    <t>Гастроемкость из нержавеющей стали
ZC01-12, размеры 530х325х65 мм</t>
  </si>
  <si>
    <t>522-103-0168-0002</t>
  </si>
  <si>
    <t>Гастроемкость из нержавеющей стали
ZC01-14, размеры 530х325х100 мм</t>
  </si>
  <si>
    <t>522-103-0168-0003</t>
  </si>
  <si>
    <t>Гастроемкость из нержавеющей стали
ZC01-16, размеры 530х325х150 мм</t>
  </si>
  <si>
    <t>522-103-0168-0004</t>
  </si>
  <si>
    <t>Гастроемкость из нержавеющей стали
ZC02-12, размеры 325х265×65 мм</t>
  </si>
  <si>
    <t>522-103-0168-0005</t>
  </si>
  <si>
    <t>Гастроемкость из нержавеющей стали
ZC02-14, размеры 325х265×100 мм</t>
  </si>
  <si>
    <t>522-103-0168-0006</t>
  </si>
  <si>
    <t>Гастроемкость из нержавеющей стали
ZC02-16, размеры 325х265×150 мм</t>
  </si>
  <si>
    <t>522-103-0168-0007</t>
  </si>
  <si>
    <t>Гастроемкость из нержавеющей стали
ZC03-12, размеры 325х176х65 мм</t>
  </si>
  <si>
    <t>522-103-0168-0008</t>
  </si>
  <si>
    <t>Гастроемкость из нержавеющей стали
ZC03-14, размеры 325х176х100 мм</t>
  </si>
  <si>
    <t>522-103-0168-0009</t>
  </si>
  <si>
    <t>Гастроемкость из нержавеющей стали
ZC03-16, размеры 325х176х150 мм</t>
  </si>
  <si>
    <t>522-103-0168-0010</t>
  </si>
  <si>
    <t>Гастроемкость из нержавеющей стали
ZC04-12, размеры 265х162х65 мм</t>
  </si>
  <si>
    <t>522-103-0168-0011</t>
  </si>
  <si>
    <t>Гастроемкость из нержавеющей стали
ZC04-14, размеры 265х162х100 мм</t>
  </si>
  <si>
    <t>522-103-0168-0012</t>
  </si>
  <si>
    <t>Гастроемкость из нержавеющей стали
ZC04-16, размеры 265х162х150 мм</t>
  </si>
  <si>
    <t>522-103-0168-0013</t>
  </si>
  <si>
    <t>Гастроемкость из нержавеющей стали
ZC06-12, размеры 176х164х65 мм</t>
  </si>
  <si>
    <t>522-103-0168-0014</t>
  </si>
  <si>
    <t>Гастроемкость из нержавеющей стали
ZC06-14, размеры 176х164х100 мм</t>
  </si>
  <si>
    <t>522-103-0168-0015</t>
  </si>
  <si>
    <t>Гастроемкость из нержавеющей стали
ZC06-16, размеры 176х164х150 мм</t>
  </si>
  <si>
    <t>522-103-0169</t>
  </si>
  <si>
    <t>Крышка для гастроемкостей из
нержавеющей стали</t>
  </si>
  <si>
    <t>522-103-0169-0001</t>
  </si>
  <si>
    <t>Крышка для гастроемкостей из нержавеющей стали 1/1LID, размеры 530х325х20 мм</t>
  </si>
  <si>
    <t>522-103-0169-0002</t>
  </si>
  <si>
    <t>Крышка для гастроемкостей из нержавеющей стали1/2LID, размеры 325х265х20 мм</t>
  </si>
  <si>
    <t>522-103-0169-0003</t>
  </si>
  <si>
    <t>Крышка для гастроемкостей из нержавеющей стали 1/3LID, размеры 325х176х20 мм</t>
  </si>
  <si>
    <t>522-103-0169-0004</t>
  </si>
  <si>
    <t>Крышка для гастроемкостей из нержавеющей стали 1/4LID, размеры 236х162х20 мм</t>
  </si>
  <si>
    <t>522-103-0169-0005</t>
  </si>
  <si>
    <t>Крышка для гастроемкостей из нержавеющей стали 1/6LID, размеры 176х164х20 мм</t>
  </si>
  <si>
    <t>522-103-0170</t>
  </si>
  <si>
    <t>Тележка выдвижная для пароконвектоматов</t>
  </si>
  <si>
    <t>522-103-0170-0001</t>
  </si>
  <si>
    <t>Тележка выдвижная для пароконвектоматов EKCR 20TC на 20 противней GN-1/1</t>
  </si>
  <si>
    <t>522-103-0171</t>
  </si>
  <si>
    <t>Стол производственный рабочий с ящиком, шкафом</t>
  </si>
  <si>
    <t>522-103-0171-0001</t>
  </si>
  <si>
    <t>Стол производственный рабочий
CE-TC3100X60. Нержавеющая сталь. С одним ящиком и бортиком. Размер: 1000x600x850мм</t>
  </si>
  <si>
    <t>522-103-0171-0002</t>
  </si>
  <si>
    <t>Стол производственный рабочий
CE-TC3120X60. Нержавеющая сталь. С одним ящиком и бортиком. Размер: 1200x600x850мм</t>
  </si>
  <si>
    <t>522-103-0171-0003</t>
  </si>
  <si>
    <t>Стол производственный рабочий
CE-TC3140X60. Нержавеющая сталь. С одним ящиком и бортиком. Размер: 1400x600x850мм</t>
  </si>
  <si>
    <t>522-103-0171-0004</t>
  </si>
  <si>
    <t>Стол производственный рабочий
CE-TC3160X60. Нержавеющая сталь. С одним ящиком и бортиком. Размер: 1600x600x850мм</t>
  </si>
  <si>
    <t>522-103-0171-0005</t>
  </si>
  <si>
    <t>Стол производственный рабочий
CE-TC3180X60. Нержавеющая сталь. С одним ящиком и бортиком. Размер: 1800x600x850мм</t>
  </si>
  <si>
    <t>522-103-0171-0006</t>
  </si>
  <si>
    <t>Стол производственный рабочий
CE-TC3100X70. Нержавеющая сталь. С одним ящиком и бортиком. Размер: 1000x700x850мм</t>
  </si>
  <si>
    <t>522-103-0171-0007</t>
  </si>
  <si>
    <t>Стол производственный рабочий
CE-TC3120X70. Нержавеющая сталь. С одним ящиком и бортиком. Размер: 1200x700x850мм</t>
  </si>
  <si>
    <t>522-103-0171-0008</t>
  </si>
  <si>
    <t>Стол производственный рабочий
CE-TC3140X70. Нержавеющая сталь. С одним ящиком и бортиком. Размер: 1400x700x850мм</t>
  </si>
  <si>
    <t>522-103-0171-0009</t>
  </si>
  <si>
    <t>Стол производственный рабочий
CE-TC3160X70. Нержавеющая сталь. С одним ящиком и бортиком. Размер: 1600x700x850мм</t>
  </si>
  <si>
    <t>522-103-0171-0010</t>
  </si>
  <si>
    <t>Стол производственный рабочий
CE-TC3180X70. Нержавеющая сталь. С одним ящиком и бортиком. Размер: 1800x700x850мм</t>
  </si>
  <si>
    <t>522-103-0171-0011</t>
  </si>
  <si>
    <t>Стол производственный рабочий
CE-TC4140X60. Нержавеющая сталь. С полкой, 3 ящиками и бортиком. Размер: 1400x600x850мм</t>
  </si>
  <si>
    <t>522-103-0171-0012</t>
  </si>
  <si>
    <t>Стол производственный рабочий
CE-TC4160X60. Нержавеющая сталь. С полкой, 3 ящиками и бортиком. Размер: 1600x600x850мм</t>
  </si>
  <si>
    <t>522-103-0171-0013</t>
  </si>
  <si>
    <t>Стол производственный рабочий
CE-TC4140X70. Нержавеющая сталь. С полкой, 3 ящиками и бортиком. Размер: 1400x700x850мм</t>
  </si>
  <si>
    <t>522-103-0171-0014</t>
  </si>
  <si>
    <t>Стол производственный рабочий
CE-TC4160X70. Нержавеющая сталь. С полкой, 3 ящиками и бортиком. Размер: 1600x700x850мм</t>
  </si>
  <si>
    <t>522-103-0171-0015</t>
  </si>
  <si>
    <t>Стол производственный рабочий с раздвижным шкафом CE-TCDS140X60. Нержавеющая сталь. С шкафом из двух полок, с раздвижными дверями и бортиком. Размер: 1400x600x850мм</t>
  </si>
  <si>
    <t>522-103-0171-0016</t>
  </si>
  <si>
    <t>Стол производственный рабочий с раздвижным шкафом CE-TCDS160X60. Нержавеющая сталь. С шкафом из двух полок, с раздвижными дверями и бортиком. Размер: 1600x600x850мм</t>
  </si>
  <si>
    <t>522-103-0171-0017</t>
  </si>
  <si>
    <t>Стол производственный рабочий с раздвижным шкафом CE-TCDS180X60. Нержавеющая сталь. С шкафом из двух полок, с раздвижными дверями и бортиком. Размер: 1800x600x850мм</t>
  </si>
  <si>
    <t>522-103-0171-0018</t>
  </si>
  <si>
    <t>Стол производственный рабочий с раздвижным шкафом CE-TCDS140X70. Нержавеющая сталь. С шкафом из двух полок, с раздвижными дверями и бортиком. Размер: 1400x700x850мм</t>
  </si>
  <si>
    <t>522-103-0171-0019</t>
  </si>
  <si>
    <t>Стол производственный рабочий с раздвижным шкафом CE-TCDS160X70. Нержавеющая сталь. С шкафом из двух полок, с раздвижными дверями и бортиком. Размер: 1600x700x850мм</t>
  </si>
  <si>
    <t>522-103-0171-0020</t>
  </si>
  <si>
    <t>Стол производственный рабочий с раздвижным шкафом CE-TCDS180X70. Нержавеющая сталь. С шкафом из двух полок,с раздвижными дверями и бортиком. Размер: 1800x700x850мм</t>
  </si>
  <si>
    <t>522-103-0171-0021</t>
  </si>
  <si>
    <t>Стол пристенный купе СПКБ-9-6, размеры 900х600х850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</si>
  <si>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522-103-0171-0022</t>
  </si>
  <si>
    <t>Стол пристенный купе СПКБ-10-6, размеры 1000х600х850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</si>
  <si>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522-103-0171-0023</t>
  </si>
  <si>
    <t>Стол пристенный купе СПКБ-12-6, размеры 1200х600х850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</si>
  <si>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522-103-0171-0024</t>
  </si>
  <si>
    <t>Стол пристенный купе СПКБ-13-6, размеры 1300х600х850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</si>
  <si>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522-103-0171-0025</t>
  </si>
  <si>
    <t>Стол пристенный купе СПКБ-15-6, размеры 1500х600х850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</si>
  <si>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522-103-0174</t>
  </si>
  <si>
    <t>Стол разделочный</t>
  </si>
  <si>
    <t>522-103-0174-0009</t>
  </si>
  <si>
    <t>Стол для обвалки мяса СМ-15-7,5ТН, размеры 1500х750х850 мм, столешница полипропилен толщиной 20 мм, каркас, ножки труба 40х40 мм нерж сталь, нижняя П-образная обвязка из нержавеющей стали</t>
  </si>
  <si>
    <t>522-103-0174-0010</t>
  </si>
  <si>
    <t>Стол для обвалки мяса СМ-17-7,5ТН, размеры 1700х750х850 мм, столешница полипропилен толщиной 20 мм, каркас, ножки труба 40х40 мм нерж сталь, нижняя П-образная обвязка из нержавеющей стали</t>
  </si>
  <si>
    <t>522-103-0174-0011</t>
  </si>
  <si>
    <t>Стол для обвалки мяса СМ-18-7,5ТН, размеры 1800х750х850 мм, столешница полипропилен толщиной 20 мм, каркас, ножки труба 40х40 мм нерж сталь, нижняя П-образная обвязка из нержавеющей стали</t>
  </si>
  <si>
    <t>522-103-0174-0012</t>
  </si>
  <si>
    <t>Стол для обвалки мяса СМ-19-7,5ТН, размеры 1900х750х850 мм, столешница полипропилен толщиной 20 мм, каркас, ножки труба 40х40 мм нерж сталь, нижняя П-образная обвязка из нержавеющей стали</t>
  </si>
  <si>
    <t>522-103-0174-0013</t>
  </si>
  <si>
    <t>Стол для обвалки мяса СМ-15-7,5УН, размеры 1500х750х850 мм, столешница полипропилен толщиной 20 мм, каркас, ножки (гнутый уголок 40х40 мм) толщиной 1,5 нерж сталь, нижняя П-образная обвязка из нержавеющей стали</t>
  </si>
  <si>
    <t>522-103-0176</t>
  </si>
  <si>
    <t>Стол для кухонных работ</t>
  </si>
  <si>
    <t>522-103-0176-0013</t>
  </si>
  <si>
    <t>Стол для очистки овощей СО-12-8УОЦ, размеры 1200х800х870 мм. Оснащен 3 бортами, столешница из нержавеющей стали, отверстие для сбора крупных отходов диаметром 200 мм</t>
  </si>
  <si>
    <t>Оснащен 3 бортами, столешница выполнена из нержавеющей стали AISI 430 и укреплена с внутренней стороны листом ламинированной
древесно-стружечной плиты , каркас - из оцинкованной стали толщиной 1,2 мм. Отверстие для сбора крупных отходов диаметром 200 мм. Размеры ванны 1000х250х200 мм.</t>
  </si>
  <si>
    <t>522-103-0177</t>
  </si>
  <si>
    <t>Ларь для овощей</t>
  </si>
  <si>
    <t>522-103-0177-0001</t>
  </si>
  <si>
    <t>Ларь для овощей ЛО 10-6-8,5, размеры 1000х600х850 мм, оцинкованная сталь 0,7 мм; четыре регулируемые по высоте пластиковые опоры</t>
  </si>
  <si>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</si>
  <si>
    <t>522-103-0177-0002</t>
  </si>
  <si>
    <t>Ларь для овощей ЛО 12-6-8,5, размеры 1200х600х850 мм, оцинкованная сталь 0,7 мм; четыре регулируемые по высоте пластиковые опоры</t>
  </si>
  <si>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</si>
  <si>
    <t>522-103-0178</t>
  </si>
  <si>
    <t>Стол производственный с бортом</t>
  </si>
  <si>
    <t>522-103-0178-0001</t>
  </si>
  <si>
    <t>Стол производственный с бортом
СПБ-6-6УН, борт не менее 40 мм, размеры 600х600х850 мм, столешница из нержавеющей стали 0,8 мм, усиленная ДСП 16 мм, без полки</t>
  </si>
  <si>
    <t>Нижняя обвязка полукругом под емкость, подступ под коммуникации 100 мм, 4 ножки уголок 40х40 мм из нержавеющей стали, толщиной не менее 1,5 мм, 4 регулируемые по высоте опоры.</t>
  </si>
  <si>
    <t>522-103-0178-0002</t>
  </si>
  <si>
    <t>Стол производственный с бортом
СПБ-10-6УН, борт не менее 40 мм, размеры 1000х600х850 мм, столешница и сплошная нижняя полка из нержавеющей стали 0,8 мм, усиленные ДСП 16 мм</t>
  </si>
  <si>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</si>
  <si>
    <t>522-103-0178-0003</t>
  </si>
  <si>
    <t>Стол производственный с бортом
СПБ-12-6УН, борт не менее 40 мм, размеры 1200х600х850 мм, столешница и сплошная нижняя полка из нержавеющей стали 0,8 мм, усиленные ДСП 16 мм</t>
  </si>
  <si>
    <t>522-103-0178-0004</t>
  </si>
  <si>
    <t>Стол производственный с бортом
СПБ-15-6УН, борт не менее 40 мм, размеры 1500х600х850 мм, столешница и сплошная нижняя полка из нержавеющей стали толщиной 0,8 мм, усиленные ДСП 16 мм</t>
  </si>
  <si>
    <t>522-103-0178-0005</t>
  </si>
  <si>
    <t>Стол производственный с бортом
СПБ-17-6УН, борт не менее 40 мм, размеры 1700х600х850 мм, столешница и сплошная нижняя полка из нержавеющей стали 0,8 мм, усиленные ДСП 16 мм</t>
  </si>
  <si>
    <t>522-103-0178-0006</t>
  </si>
  <si>
    <t>Стол производственный с бортом
СПБ-13-7УН, борт не менее 40 мм, размеры 1300х700х850 мм, столешница и сплошная нижняя полка из нержавеющей стали толщиной 0,8 мм, усиленные ДСП 16 мм</t>
  </si>
  <si>
    <t>522-103-0178-0007</t>
  </si>
  <si>
    <t>Стол производственный с бортом
СПБ-17-7УН, борт не менее 40 мм, размеры 1700х700х850 мм, столешница и сплошная нижняя полка из нержавеющей стали 0,8 мм, усиленные ДСП 16 мм</t>
  </si>
  <si>
    <t>522-103-0178-0008</t>
  </si>
  <si>
    <t>Стол производственный с бортом
СПБ-18-7УН, борт не менее 40 мм, размеры 1800х700х850 мм, столешница и сплошная нижняя полка из нержавеющей стали 0,8 мм, усиленные ДСП 16 мм</t>
  </si>
  <si>
    <t>522-103-0178-0009</t>
  </si>
  <si>
    <t>Стол производственный с бортом
СПБ-10-6ТН, борт не менее 40 мм, размеры 1000х600х850 мм, столешница и сплошная нижняя полка из нержавеющей стали толщиной 0,8 мм, усиленные ДСП 16 мм</t>
  </si>
  <si>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</si>
  <si>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522-103-0178-0010</t>
  </si>
  <si>
    <t>Стол производственный с бортом
СПБ-12-6ТН, борт не менее 40 мм, размеры 1200х600х850 мм, столешница и сплошная нижняя полка из нержавеющей стали толщиной 0,8 мм, усиленные ДСП 16 мм</t>
  </si>
  <si>
    <t>522-103-0178-0011</t>
  </si>
  <si>
    <t>Стол производственный с бортом
СПБ-13-6ТН, борт не менее 40 мм, размеры 1300х600х850 мм, столешница и сплошная нижняя полка из нержавеющей стали толщиной 0,8 мм, усиленные ДСП 16 мм</t>
  </si>
  <si>
    <t>522-103-0178-0012</t>
  </si>
  <si>
    <t>Стол производственный с бортом
СПБ-15-6ТН, борт не менее 40 мм, размеры 1500х600х850 мм, столешница и сплошная нижняя полка из нержавеющей стали толщиной 0,8 мм, усиленные ДСП 16 мм</t>
  </si>
  <si>
    <t>522-103-0178-0013</t>
  </si>
  <si>
    <t>Стол производственный с бортом
СПБ-16-6ТН, борт не менее 40 мм, размеры 1600х600х850 мм, столешница и сплошная нижняя полка из нержавеющей стали толщиной 0,8 мм, усиленные ДСП 16 мм</t>
  </si>
  <si>
    <t>522-103-0178-0014</t>
  </si>
  <si>
    <t>Стол производственный с бортом
СПБ-17-6ТН, борт не менее 40 мм, размеры 1700х600х850 мм, столешница и сплошная нижняя полка из нержавеющей стали толщиной 0,8 мм, усиленные ДСП 16 мм</t>
  </si>
  <si>
    <t>522-103-0178-0015</t>
  </si>
  <si>
    <t>Стол производственный с бортом
СПБ-7-7ТН, борт не менее 40 мм, размеры 700х700х850 мм, столешница и сплошная нижняя полка из нержавеющей стали толщиной 0,8 мм, усиленные ДСП 16 мм</t>
  </si>
  <si>
    <t>522-103-0178-0016</t>
  </si>
  <si>
    <t>Стол производственный с бортом
СПБ-10-7ТН, борт не менее 40 мм, размеры 1000х700х850 мм, столешница и сплошная нижняя полка из нержавеющей стали толщиной 0,8 мм, усиленные ДСП 16 мм</t>
  </si>
  <si>
    <t>522-103-0178-0017</t>
  </si>
  <si>
    <t>Стол производственный с бортом
СПБ-12-7ТН, борт не менее 40 мм, размеры 1200х700х850 мм, столешница и сплошная нижняя полка из нержавеющей стали толщиной 0,8 мм, усиленные ДСП 16 мм</t>
  </si>
  <si>
    <t>522-103-0178-0018</t>
  </si>
  <si>
    <t>Стол производственный с бортом
СПБ-13-7ТН, борт не менее 40 мм, размеры 1300х700х850 мм, столешница и сплошная нижняя полка из нержавеющей стали толщиной 0,8 мм, усиленные ДСП 16 мм</t>
  </si>
  <si>
    <t>522-103-0178-0019</t>
  </si>
  <si>
    <t>Стол производственный с бортом
СПБ-15-7ТН, борт не менее 40 мм, размеры 1500х700х850 мм, столешница и сплошная нижняя полка из нержавеющей стали толщиной 0,8 мм, усиленные ДСП 16 мм</t>
  </si>
  <si>
    <t>522-103-0178-0020</t>
  </si>
  <si>
    <t>Стол производственный с бортом
СПБ-17-7ТН, борт не менее 40 мм, размеры 1700х700х850 мм, столешница и сплошная нижняя полка из нержавеющей стали толщиной 0,8 мм, усиленные ДСП 16 мм</t>
  </si>
  <si>
    <t>522-103-0178-0021</t>
  </si>
  <si>
    <t>Стол производственный с бортом
СПБ-18-7ТН, борт не менее 40 мм, размеры 1800х700х850 мм, столешница и сплошная нижняя полка из нержавеющей стали толщиной 0,8 мм, усиленные ДСП 16 мм</t>
  </si>
  <si>
    <t>522-103-0178-0022</t>
  </si>
  <si>
    <t>Стол производственный с бортом
СПБ-20-7ТН, борт не менее 40 мм, размеры 2000х700х850 мм, столешница и сплошная нижняя полка из нержавеющей стали толщиной 0,8 мм, усиленные ДСП 16 мм</t>
  </si>
  <si>
    <t>522-103-0178-0023</t>
  </si>
  <si>
    <t>Стол производственный с бортом
СПБ-12-8ТН, борт не менее 40 мм, размеры 1200х800х850 мм, столешница и сплошная нижняя полка из нержавеющей стали толщиной 0,8 мм, усиленные ДСП 16 мм</t>
  </si>
  <si>
    <t>522-103-0178-0024</t>
  </si>
  <si>
    <t>Стол производственный с бортом СПБ-12,5-8ТН, борт не менее 40 мм,
размеры 1250х800х850 мм, столешница и сплошная нижняя полка из нержавеющей стали толщиной 0,8 мм, усиленные ДСП 16 мм</t>
  </si>
  <si>
    <t>522-103-0178-0025</t>
  </si>
  <si>
    <t>Стол 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</si>
  <si>
    <t>522-103-0178-0026</t>
  </si>
  <si>
    <t>Стол производственный с бортом СПБ-10-6УОЦ, борт не менее 45 мм,
размеры 1000х600х850 мм, столешница из нержавеющей стали 0,8 мм, усиленная ДСП толщиной 16 мм; полка - решетка из оцинкованной стали 0,7 мм</t>
  </si>
  <si>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</si>
  <si>
    <t>522-103-0178-0027</t>
  </si>
  <si>
    <t>Стол производственный с бортом СПБ-12-6УОЦ, борт не менее 45 мм,
размеры 1200х600х850 мм, столешница из нержавеющей стали 0,8 мм, усиленная ДСП толщиной 16 мм; полка - решетка из оцинкованной стали 0,7 мм</t>
  </si>
  <si>
    <t>522-103-0178-0028</t>
  </si>
  <si>
    <t>Стол производственный с бортом СПБ-13-6УОЦ, борт не менее 45 мм,
размеры 1300х600х850 мм, столешница из нержавеющей стали 0,8 мм, усиленная ДСП толщиной 16 мм; полка - решетка из оцинкованной стали 0,7 мм</t>
  </si>
  <si>
    <t>522-103-0178-0029</t>
  </si>
  <si>
    <t>Стол производственный с бортом
СПБ-С-15/6, борт не менее 45 мм, размеры 1500х600х850 мм, столешница из нержавеющей стали 0,8 мм, усиленная ДСП толщиной 16 мм; полка - решетка из оцинкованной стали 0,7 мм</t>
  </si>
  <si>
    <t>522-103-0178-0030</t>
  </si>
  <si>
    <t>Стол производственный с бортом СПБ-12-7УОЦ, борт не менее 45 мм,
размеры 1200х700х850 мм, столешница из нержавеющей стали 0,8 мм, усиленная ДСП толщиной 16 мм; полка - решетка из оцинкованной стали 0,7 мм</t>
  </si>
  <si>
    <t>522-103-0178-0031</t>
  </si>
  <si>
    <t>Стол производственный с бортом СПБ-14-7УОЦ, борт не менее 45 мм,
размеры 1400х700х850 мм, столешница из нержавеющей стали 0,8 мм, усиленная ДСП толщиной 16 мм; полка - решетка из оцинкованной стали 0,7 мм</t>
  </si>
  <si>
    <t>522-103-0178-0032</t>
  </si>
  <si>
    <t>Стол производственный с бортом СПБ-15-7УОЦ, борт не менее 45 мм,
размеры 1500х700х850 мм, столешница из нержавеющей стали 0.8 мм, усиленная ДСП толщиной 16 мм; полка - решетка из оцинкованной стали 0,7 мм</t>
  </si>
  <si>
    <t>522-103-0179</t>
  </si>
  <si>
    <t>Стол производственный без борта</t>
  </si>
  <si>
    <t>522-103-0179-0001</t>
  </si>
  <si>
    <t>Стол 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</si>
  <si>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полка-решетка из оцинкованной стали толщиной 0,7 мм. Регулируемые по высоте пластиковые опоры. Отступ ног 50 мм.</t>
  </si>
  <si>
    <t>522-103-0179-0002</t>
  </si>
  <si>
    <t>Стол производственный СП-17-7УОЦ без борта, размеры 1700х700х850 мм, столешница из нержавеющей стали 0,8 мм, усиленная ДСП толщиной 16 мм; полка - решетка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</si>
  <si>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</si>
  <si>
    <t>522-103-0179-0003</t>
  </si>
  <si>
    <t>Стол производственный СП-12-6УОЦ без борта, размеры 1200х600х850 мм, столешница из нержавеющей стали 0,8 мм, усиленная ДСП толщиной 16 мм; полка - сплошная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</si>
  <si>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</si>
  <si>
    <t>522-103-0179-0004</t>
  </si>
  <si>
    <t>Стол производственный СП-11-7УОЦ без борта, размеры 1100х700х850 мм, столешница из нержавеющей стали 0,8 мм, усиленная ДСП толщиной 16 мм; полка - сплошная из оцинкованной стали 0,7 мм</t>
  </si>
  <si>
    <t>522-103-0179-0005</t>
  </si>
  <si>
    <t>Стол производственный СП-12-6ТН без борта, размеры 1200х600х850 мм, столешница и сплошная нижняя полка из нержавеющей стали 0,8 мм, усиленные ДСП 16 мм</t>
  </si>
  <si>
    <t>Столешница и полка из нержавеющей стали толщиной не менее 0,8 мм., усиленные ДСП 16 мм, 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</si>
  <si>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522-103-0179-0006</t>
  </si>
  <si>
    <t>Стол производственный СП-18-6ТН без борта, размеры 1800х600х850 мм, столешница и сплошная нижняя полка из нержавеющей стали 0,8 мм, усиленные ДСП 16 мм</t>
  </si>
  <si>
    <t>Сплошная нижняя полка усиленная ребрами жестеости, подступ под коммуникации 100 мм, 4 ножки труба 40х40 мм из нержавеющей стали, толщиной не менее 1,2 мм, 4 регулируемые по высоте опоры.</t>
  </si>
  <si>
    <t>522-103-0179-0007</t>
  </si>
  <si>
    <t>Стол производственный СП-17-7ТН без борта, размеры 1700х700х850 мм, столешница и сплошная нижняя полка из нержавеющей стали 0,8 мм, усиленные ДСП 16 мм</t>
  </si>
  <si>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</si>
  <si>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522-103-0179-0008</t>
  </si>
  <si>
    <t>Стол производственный без борта
СП-18-7ТН, размеры 1800х700х850 мм, столешница и сплошная нижняя полка из нержавеющей стали 0,8 мм, усиленные ДСП 16 мм</t>
  </si>
  <si>
    <t>522-103-0179-0009</t>
  </si>
  <si>
    <t>Стол производственный без борта
СП-18-6УН, размеры 1800х600х850 мм, столешница и сплошная нижняя полка из нержавеющей стали 0,8 мм, усиленные ДСП 16 мм</t>
  </si>
  <si>
    <t>522-103-0179-0010</t>
  </si>
  <si>
    <t>Стол производственный без борта
СП-24-7УН, размеры 2400х700х850 мм, столешница и сплошная нижняя полка из нержавеющей стали 0,8 мм, усиленные ДСП 16 мм</t>
  </si>
  <si>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</si>
  <si>
    <t>522-103-0179-0011</t>
  </si>
  <si>
    <t>Стол производственный без борта
СП-12-8УН, борт не менее 40 мм, размеры 1200х800х850 мм, столешница и сплошная нижняя полка из нержавеющей стали 0,8 мм, усиленные ДСП 16 мм</t>
  </si>
  <si>
    <t>522-103-0180</t>
  </si>
  <si>
    <t>Тележка сервировочная</t>
  </si>
  <si>
    <t>522-103-0180-0001</t>
  </si>
  <si>
    <t>Тележка сервировочная 2х уровневая ТС-2-8-5-9,3,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</si>
  <si>
    <t>522-103-0180-0002</t>
  </si>
  <si>
    <t>Тележка сервировочная 3х уровневая ТС-8-5-9,3,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</si>
  <si>
    <t>522-103-0200</t>
  </si>
  <si>
    <t>Тепловое оборудование</t>
  </si>
  <si>
    <t>522-103-0201</t>
  </si>
  <si>
    <t>Котел пищеварочный электрический КПЭМ-250/9Т, 18,1 кВт, 380 В</t>
  </si>
  <si>
    <t>522-103-0202</t>
  </si>
  <si>
    <t>Котел пищеварочный электрический КПЭМ-160/9Т, 18,1 кВт, 380 В</t>
  </si>
  <si>
    <t>522-103-0203</t>
  </si>
  <si>
    <t>Котел электрический пищеварочный круглый стационарный КПЭ-60 нерж. (900х625х625 мм, 60 л, 9 кВт, 380 В)</t>
  </si>
  <si>
    <t>522-103-0204</t>
  </si>
  <si>
    <t>Котел электрический пищеварочный круглый стац. КПЭ-100 нерж. (900х625х625 мм, 100 л, 380 В, 12 кВт)</t>
  </si>
  <si>
    <t>522-103-0205</t>
  </si>
  <si>
    <t>Котел пищеварочный</t>
  </si>
  <si>
    <t>522-103-0205-0001</t>
  </si>
  <si>
    <t>Котел пищеварочный КПЭМ-200/9Т, размеры 841x1018х1182 мм, объем 200 л, мощность 18,1 кВт, напряжение 380 В</t>
  </si>
  <si>
    <t>522-103-0205-0002</t>
  </si>
  <si>
    <t>Котел пищеварочный электрический GKB899HI100, размеры 800х900х920 мм, объем 100 л, мощность 18 кВт, напряжение 380 В</t>
  </si>
  <si>
    <t>522-103-0205-0003</t>
  </si>
  <si>
    <t>Котел пищеварочный электрический GKB899HI150, размеры 800х900х920 мм, объем 150 л, мощность 24 кВт, напряжение 380 В</t>
  </si>
  <si>
    <t>522-103-0205-0004</t>
  </si>
  <si>
    <t>Котел пищеварочный электрический КПЭМ-60/9Т (60 л,+100°С, сливной кран, пароводяная рубашка, цельнотянутый, 641x1015x1030мм, 9,1 кВт, 400В)</t>
  </si>
  <si>
    <t>522-103-0205-0005</t>
  </si>
  <si>
    <t>Котел пищеварочный электрический
КПЭМ-100/9Т (100 л, +100°С, сливной кран, пароводяная рубашка, цельнотянутый, 841x1015x1030 мм, 18,1 кВт, 400В)</t>
  </si>
  <si>
    <t>522-103-0206</t>
  </si>
  <si>
    <t>Пароконвектомат UNOX XEVC-1011-E1RM
(750x783x1010)</t>
  </si>
  <si>
    <t>522-103-0207</t>
  </si>
  <si>
    <t>Пароконвектомат PIRON PF7706 PLUS (6 GN1/1 или 600х400, 10,5 кВт, термощуп, 780x850x830 мм)</t>
  </si>
  <si>
    <t>522-103-0208</t>
  </si>
  <si>
    <t>Пароконвектомат</t>
  </si>
  <si>
    <t>522-103-0208-0001</t>
  </si>
  <si>
    <t>Пароконвектомат ПКА10-1/1ВМ2 (инжекционный, 10 GN 1/1, вся нерж, без гастроемкостей, 3х-канальный щуп, регулировка влажности, 5 скоростей вращения вентилятора) + 110 программ</t>
  </si>
  <si>
    <t>522-103-0208-0002</t>
  </si>
  <si>
    <t>Пароконвектомат MKF 2011 BM/0/85 (бойлерный, 20 уровней GN 1/1, 4 вентилятора с реверсом) + 100 программ, с автоматической мойкой</t>
  </si>
  <si>
    <t>522-103-0208-0003</t>
  </si>
  <si>
    <t>Печь пароконвекционная MKF 1111 BM/0/85 (бойлерный, 11 уровней GN 1/1, 2 вентилятора с реверсом) + 100 программ, с автоматической мойкой</t>
  </si>
  <si>
    <t>522-103-0208-0004</t>
  </si>
  <si>
    <t>Печь конвекционная MKF 1064 BM/0/85 (бойлерный, 10 уровней, 3 вентилятора с реверсом) + 100 программ, с автоматической мойкой</t>
  </si>
  <si>
    <t>522-103-0208-0005</t>
  </si>
  <si>
    <t>Шкаф расстоечный MKL 1064 S (10 уровней, механическое управление)</t>
  </si>
  <si>
    <t>522-103-0208-0006</t>
  </si>
  <si>
    <t>Пароконвектомат ПКА 6-1/1ПМ2 (парогенератор, 6хGN-1/1, память на 110 программ приготовления, вся нерж, без г/емкостей, 3х-канальный щуп, регулировка влажности, вентилятор: реверс + 5 скоростей, 840х840(905)х775мм, 9,5кВт)</t>
  </si>
  <si>
    <t>522-103-0208-0007</t>
  </si>
  <si>
    <t>Пароконвектомат ПКА 10-1/1ПМ2 (парогенератор, 10хGN-1/1, память на 110 программ приготовления, вся нерж, без г/емкостей, 3х-канальный щуп, регулировка влажности, вентилятор: реверс + 5 скоростей); 840х840(905)х1055мм, 12,5кВт)</t>
  </si>
  <si>
    <t>522-103-0208-0008</t>
  </si>
  <si>
    <t>Пароконвектомат ПКА 20-1/1ПМ2 (парогенератор, тележка на 20хGN-1/1 в комплекте, память на 110 программ приготовления, вся нерж, без г/емкостей, 3х-канальный щуп, регулировка влажности, вентилятор: реверс + 5 скоростей, 890х890х1780мм, 35кВт)</t>
  </si>
  <si>
    <t>522-103-0209</t>
  </si>
  <si>
    <t>Сковорода электрическая ЭСК-80-0,27-40
(800x899x950 мм, 9 кВт, 380 В)</t>
  </si>
  <si>
    <t>522-103-0210</t>
  </si>
  <si>
    <t>Сковорода электрическая СЭЧ-0,25Н (1000х800х850 мм, 38 л, чугун. чаша, облиц. и крышка нерж.)</t>
  </si>
  <si>
    <t>522-103-0211</t>
  </si>
  <si>
    <t>Сковорода электрическая СЭП-0,25 (емкость 38 л, 985х850 (900)х820 (840) мм, 6 кВт, 380 В)</t>
  </si>
  <si>
    <t>522-103-0212</t>
  </si>
  <si>
    <t>Плита электрическая ЭП-6ЖШ
(1475x895x860 мм, 22,8 кВт, 380 В)</t>
  </si>
  <si>
    <t>522-103-0213</t>
  </si>
  <si>
    <t>Плита электрическая ЭП-4ЖШ
(1050x895x860 мм, 16,8 кВт, 380 В)</t>
  </si>
  <si>
    <t>522-103-0214</t>
  </si>
  <si>
    <t>522-103-0214-0001</t>
  </si>
  <si>
    <t>Плита электрическая четырехконфорочная TECNOINOX PCU70E7 616091, размеры
700x700x280 мм, мощность 10 кВт, напряжение 380 В</t>
  </si>
  <si>
    <t>522-103-0214-0002</t>
  </si>
  <si>
    <t>Плита электрическая четырехконфорочная EHB879H, размеры 800х900х920 мм, мощность 4 кВт, напряжение 380 В</t>
  </si>
  <si>
    <t>522-103-0214-0003</t>
  </si>
  <si>
    <t>Плита электрическая четырехконфорочная EHB899H, размеры 800х900х920 мм, мощность 20,8 кВт, напряжение 380 В</t>
  </si>
  <si>
    <t>522-103-0214-0004</t>
  </si>
  <si>
    <t>Плита электрическая шестиконфорочная EHB199H, размеры 1200х900х920 мм, мощность 28,8 кВт, напряжение 380 В</t>
  </si>
  <si>
    <t>522-103-0214-0005</t>
  </si>
  <si>
    <t>Плита электрическая двухконфорочная без жарочного шкафа ПЭП-0,34М (725*770*840(860) мм)</t>
  </si>
  <si>
    <t>522-103-0214-0006</t>
  </si>
  <si>
    <t>Плита электрическая двухконфорочная напольная без жарочного шкафа
ПЭП-0,24-01 (417 (627)*850*860 (880) мм)</t>
  </si>
  <si>
    <t>522-103-0214-0007</t>
  </si>
  <si>
    <t>Плита электрическая четырехконфорочная без жарочного шкафа ПЭП-0,48-01 (840(1050)*850*860(880) мм)</t>
  </si>
  <si>
    <t>522-103-0214-0008</t>
  </si>
  <si>
    <t>Плита электрическая шестиконфорочная без жарочного шкафа ПЭП-0,72-01 (1265(1475)*850*860(880) мм)</t>
  </si>
  <si>
    <t>522-103-0214-0009</t>
  </si>
  <si>
    <t>Плита электрическая четырехконфорочная с жарочным шкафом ПЭП-0,48-ДШ-01 (840(1050)*850(900)*860(880) мм)</t>
  </si>
  <si>
    <t>522-103-0214-0010</t>
  </si>
  <si>
    <t>Плита электрическая четырехконфорочная ЭП-4П, размеры 1050x850x860 мм, мощность 12 кВт, напряжение 380В</t>
  </si>
  <si>
    <t>522-103-0214-0011</t>
  </si>
  <si>
    <t>Плита электрическая шестиконфорочная ЭП-6П, размеры 1475x850x860 мм, мощность 18 кВт, напряжение 380В</t>
  </si>
  <si>
    <t>522-103-0214-0012</t>
  </si>
  <si>
    <t>Плита электрическая четырехконфорочная ПЭ49Ж, мощность 16,8 кВт, напряжение 380В</t>
  </si>
  <si>
    <t>522-103-0214-0013</t>
  </si>
  <si>
    <t>Плита электрическая четырехконфорочная ПЭ-49П, размеры 1050х900х860 мм, мощность 12кВт, напряжение 380В</t>
  </si>
  <si>
    <t>522-103-0215</t>
  </si>
  <si>
    <t>Мармит-супница HURAKAN HKN-FWP (350×330×370 мм, 10 л, 0,4 кВт, 220 В)</t>
  </si>
  <si>
    <t>522-103-0216</t>
  </si>
  <si>
    <t>Мармит-супница Airhot SB-6000 (335x335x370 мм, 9 л, 0,4 кВт, 220 В)</t>
  </si>
  <si>
    <t>522-103-0217</t>
  </si>
  <si>
    <t>Мармит электрический настольный GASTRORAG ZCK100S (622х360х235 мм, 1,6 кВт, 220 Вт)</t>
  </si>
  <si>
    <t>522-103-0218</t>
  </si>
  <si>
    <t>Мармит электрический настольный AIRHOT BM-11 без гастроемкости (600x338x243 мм, 1,2 кВт, 220 В)</t>
  </si>
  <si>
    <t>522-103-0219</t>
  </si>
  <si>
    <t>Печь микроволновая СВЧ HURAKAN HKN-WP900 (483x400x281 мм, 220 В, 1,4
кВт)</t>
  </si>
  <si>
    <t>522-103-0220</t>
  </si>
  <si>
    <t>Печь микроволновая СВЧ AIRHOT
WP900-25L M (483х424х281 мм, 0,9 кВт, 220
В, 6 уровней мощности, 25 л)</t>
  </si>
  <si>
    <t>522-103-0221</t>
  </si>
  <si>
    <t>Витрина тепловая HURAKAN HKN-WD2 (660x466x610, 220 В, 0,84 кВт)</t>
  </si>
  <si>
    <t>522-103-0222</t>
  </si>
  <si>
    <t>Витрина тепловая HURAKAN HKN-WD30B (970x430x620, 220 В, 1,2 кВт, 35 кг)</t>
  </si>
  <si>
    <t>522-103-0223</t>
  </si>
  <si>
    <t>Мармит для 1-х блюд</t>
  </si>
  <si>
    <t>Напряжение 380 В. Мощность 3.2 кВт. Размеры не менее 1500х705/1030х1240мм. Конструкция выполнена из нержавеющей стали. Мармит первых блюд - 3 конфорки с регулировкой мощности ступенчатым переключателем. Полка над мармитом с подсветкой для выкладки блюд.
Направляющие для подносов входят в комплект поставки.</t>
  </si>
  <si>
    <t>522-103-0224</t>
  </si>
  <si>
    <t>Мармит для 2-х блюд</t>
  </si>
  <si>
    <t>Температурный режим теплового отсека 85 °C. Напряжение 220В. Мощность 2 кВт. Размеры не менее 1120х705/1030х1484мм. Оснащена регулируемыми по высоте ножками. Конструкция выполнена из нержавеющей стали. Мармит вторых блюд с плавной регулировкой температуры. Способ обогрева гастроёмкостей - горячий пар. Внизу расположен шкаф для хранения кухонного инвентаря. Двойная полка над мармитом с подсветкой для выкладки блюд. Гастроёмкости и направляющие для подносов входят в комплект поставки.</t>
  </si>
  <si>
    <t>522-103-0225</t>
  </si>
  <si>
    <t>Мармит 1-х и 2-х блюд ЭМК-70КМУ (1500х705/1030х1485), V=8 л</t>
  </si>
  <si>
    <t>522-103-0226</t>
  </si>
  <si>
    <t>Мармит 2-х блюд ПМЭС-70КМ-80 (1500х705/1030х1482)</t>
  </si>
  <si>
    <t>522-103-0227</t>
  </si>
  <si>
    <t>Мармит 2-х блюд ЭМК-70КМ-01 паровой (две полки, подсветка, с гастроемкостями, 1120 мм)</t>
  </si>
  <si>
    <t>522-103-0228</t>
  </si>
  <si>
    <t>Мармит 1-х блюд ПМЭС-70КМ (1120х705/1030х1240)</t>
  </si>
  <si>
    <t>522-103-0229</t>
  </si>
  <si>
    <t>Мармит</t>
  </si>
  <si>
    <t>522-103-0229-0001</t>
  </si>
  <si>
    <t>Мармит 2-х блюд ПМЭС-70КМ-60
(1120х705/1030х1482)</t>
  </si>
  <si>
    <t>522-103-0229-0002</t>
  </si>
  <si>
    <t>Мармит 2-х блюд паровой 1500х700(1000)х1500, 2 полки,
гастроемкости, подсветка, Мощность 2,5 кВт, ЭМК-70КМ-01</t>
  </si>
  <si>
    <t>522-103-0229-0003</t>
  </si>
  <si>
    <t>Мармит 1-х блюд, 1100х700(1000)х1220, одна полка, подсветка, Мощность 4 кВт, ПМЭС-70КМ</t>
  </si>
  <si>
    <t>522-103-0229-0004</t>
  </si>
  <si>
    <t>Мармит паровой HEB-909A, размеры 800х900х920 мм, мощность 6 кВт, напряжение 380 В</t>
  </si>
  <si>
    <t>522-103-0229-0005</t>
  </si>
  <si>
    <t>Мармит паровой настольный электрический HB-4V, размеры 700х600х280 мм, мощность 1,5 кВт, напряжение 220 В</t>
  </si>
  <si>
    <t>522-103-0229-0006</t>
  </si>
  <si>
    <t>Мармит паровой настольный электрический HB-6V, размеры 700х590х275 мм, мощность 1,5 кВт, напряжение 220 В</t>
  </si>
  <si>
    <t>522-103-0230</t>
  </si>
  <si>
    <t>Витрина тепловая</t>
  </si>
  <si>
    <t>522-103-0230-0001</t>
  </si>
  <si>
    <t>Витрина тепловая ПВТ-70КМ, размеры 1120х705/1030х1720 мм, мощность 1,37 кВт, напряжение 220 В</t>
  </si>
  <si>
    <t>522-103-0230-0002</t>
  </si>
  <si>
    <t>Витрина тепловая THVG90-SF, размеры 900х530х730 мм, мощность 1,3 кВт, напряжение 220 В</t>
  </si>
  <si>
    <t>522-103-0230-0003</t>
  </si>
  <si>
    <t>Витрина тепловая THVG120-SF, размеры 1200х530х730 мм, мощность 1,3 кВт, напряжение 220 В</t>
  </si>
  <si>
    <t>522-103-0231</t>
  </si>
  <si>
    <t>Сковорода</t>
  </si>
  <si>
    <t>522-103-0231-0001</t>
  </si>
  <si>
    <t>Сковорода электрическая ЭСК-90-0,47-70, размеры 840х1045х940 мм, мощность 12 кВт, напряжение 380 В</t>
  </si>
  <si>
    <t>522-103-0231-0002</t>
  </si>
  <si>
    <t>Сковорода электрическая ZH-TS80, размеры 800х900х920 мм, мощность 12 кВт, напряжение 380 В</t>
  </si>
  <si>
    <t>522-103-0231-0003</t>
  </si>
  <si>
    <t>Сковорода электрическая ЭСК-80-0,27-40-Ч, размеры 800х899х950 мм, мощность 9 кВт, напряжение 380 В</t>
  </si>
  <si>
    <t>522-103-0231-0004</t>
  </si>
  <si>
    <t>Сковорода электрическая ЭСК-90-0,27-40, размеры 840х1050х940 мм, мощность 9 кВт, напряжение 380 В</t>
  </si>
  <si>
    <t>522-103-0231-0005</t>
  </si>
  <si>
    <t>Cковорода электрическая ЭСК-90-0,67-120, размеры 1202х1045х940 мм, мощность 15 кВт, напряжение 380 В</t>
  </si>
  <si>
    <t>522-103-0231-0006</t>
  </si>
  <si>
    <t>Сковорода электрическая СЭП-0,45, размеры 1430х850(900)х820(840)мм, мощность 12кВт, напряжение 380В</t>
  </si>
  <si>
    <t>522-103-0232</t>
  </si>
  <si>
    <t>Пастоварка электрическая</t>
  </si>
  <si>
    <t>522-103-0232-0001</t>
  </si>
  <si>
    <t>Пастоварка электрическая HEN-915A, размеры 800х900х920 мм, мощность 18 кВт, напряжение 380 В</t>
  </si>
  <si>
    <t>522-103-0232-0002</t>
  </si>
  <si>
    <t>Пастоварка электрическая HEN-910A, размеры 800х900х920 мм, мощность 18 кВт, напряжение 380 В</t>
  </si>
  <si>
    <t>522-103-0233</t>
  </si>
  <si>
    <t>Гриль</t>
  </si>
  <si>
    <t>522-103-0233-0001</t>
  </si>
  <si>
    <t>Гриль лавовый электрический HEL-907A, размеры 800х900х920 мм, мощность 12 кВт, напряжение 380 В</t>
  </si>
  <si>
    <t>522-103-0234</t>
  </si>
  <si>
    <t>Поверхность жарочная</t>
  </si>
  <si>
    <t>522-103-0234-0001</t>
  </si>
  <si>
    <t>Поверхность жарочная комбинированная, электрическая HER-913A, размеры 800х900х920 мм, мощность 16,8 кВт, напряжение 380 В</t>
  </si>
  <si>
    <t>522-103-0235</t>
  </si>
  <si>
    <t>Фритюрница</t>
  </si>
  <si>
    <t>522-103-0235-0001</t>
  </si>
  <si>
    <t>Фритюрница электрическая EFB499P-22, размеры 400х900х920 мм, объем 28 л, мощность 12 кВт, напряжение 380 В</t>
  </si>
  <si>
    <t>522-103-0235-0002</t>
  </si>
  <si>
    <t>Фритюрница электрическая EFB899P-22+22, размеры 800х900х920 мм, объем 22 л, мощность 24 кВт, напряжение 380 В</t>
  </si>
  <si>
    <t>522-103-0235-0003</t>
  </si>
  <si>
    <t>Фритюрница индукционная настольная IFBZ8, размеры 288x478x410 мм, объем 8 л, мощность 3,5 кВт, напряжение 220 В</t>
  </si>
  <si>
    <t>522-103-0235-0004</t>
  </si>
  <si>
    <t>Фритюрница индукционная настольная IFBZ8+8, размеры 576x478x410 мм, объем 8 л, мощность 3,5 кВт, напряжение 220 В</t>
  </si>
  <si>
    <t>522-103-0236</t>
  </si>
  <si>
    <t>Тележка тепловая</t>
  </si>
  <si>
    <t>522-103-0236-0001</t>
  </si>
  <si>
    <t>Тележка тепловая электрическая HW-11-21, размеры 780х960х1790 мм, мощность 2,52 кВт, напряжение 220 В</t>
  </si>
  <si>
    <t>522-103-0236-0002</t>
  </si>
  <si>
    <t>Тележка тепловая электрическая HW-22-21, размеры 1580х960х1790 мм, мощность 2,52 кВт, напряжение 220 В</t>
  </si>
  <si>
    <t>522-103-0237</t>
  </si>
  <si>
    <t>Плита индукционная</t>
  </si>
  <si>
    <t>522-103-0237-0001</t>
  </si>
  <si>
    <t>Плита индукционная настольная встраиваемая K1H, размеры 360х420х105 мм, мощность 3,5 кВт, напряжение 220 В</t>
  </si>
  <si>
    <t>522-103-0237-0002</t>
  </si>
  <si>
    <t>Плита индукционная настольная K2x1, размеры 360х420х125 мм, мощность 3,5 кВт, напряжение 220 В</t>
  </si>
  <si>
    <t>522-103-0237-0003</t>
  </si>
  <si>
    <t>Плита индукционная настольная WOK BLK3, размеры 360х440х135 мм, мощность 3,5 кВт, напряжение 220 В</t>
  </si>
  <si>
    <t>522-103-0237-0004</t>
  </si>
  <si>
    <t>Плита индукционная настольная K2H, размеры 400х830х200 мм, мощность 3,5 кВт, напряжение 220 В</t>
  </si>
  <si>
    <t>522-103-0237-0005</t>
  </si>
  <si>
    <t>Плита индукционная настольная K4H, размеры 760х830х200 мм, мощность 3,5 кВт, напряжение 380 В</t>
  </si>
  <si>
    <t>522-103-0237-0006</t>
  </si>
  <si>
    <t>Плита индукционная настольная K6H, размеры 1100х830х200 мм, мощность 3,5 кВт, напряжение 380 В</t>
  </si>
  <si>
    <t>522-103-0237-0007</t>
  </si>
  <si>
    <t>Плита индукционная настольная IDS6, размеры 400х510х240 мм, мощность 5 кВт, напряжение 220 В</t>
  </si>
  <si>
    <t>522-103-0237-0008</t>
  </si>
  <si>
    <t>Плита индукционная настольная IDS7, размеры 320х393х119 мм, мощность 2,7 кВт, напряжение 220 В</t>
  </si>
  <si>
    <t>522-103-0238</t>
  </si>
  <si>
    <t>Поверхность тепловая</t>
  </si>
  <si>
    <t>522-103-0238-0001</t>
  </si>
  <si>
    <t>Поверхность тепловая WHPJ537, размеры 565x380x75 мм, мощность 0,26 кВт, напряжение 220 В, максимальная температура до 85°С</t>
  </si>
  <si>
    <t>522-103-0238-0002</t>
  </si>
  <si>
    <t>Поверхность тепловая WHPWJ756, размеры 730x585x625 мм, мощность 1,07 кВт, напряжение 220 В, максимальная температура до 85°С</t>
  </si>
  <si>
    <t>522-103-0239</t>
  </si>
  <si>
    <t>Супница</t>
  </si>
  <si>
    <t>522-103-0239-0001</t>
  </si>
  <si>
    <t>Супница 81010SE, размеры 300х300х445 мм, мощность 0,4 кВт, напряжение 220 В</t>
  </si>
  <si>
    <t>522-103-0239-0002</t>
  </si>
  <si>
    <t>Супница 83013SB, размеры 300х300х445 мм, мощность 0,4 кВт, напряжение 220 Вт</t>
  </si>
  <si>
    <t>522-103-0239-0003</t>
  </si>
  <si>
    <t>Супница SB-5700, размеры 300х300х445 мм, мощность 0,4 кВт, напряжение 220 В</t>
  </si>
  <si>
    <t>522-103-0239-0004</t>
  </si>
  <si>
    <t>Супница SB-6000, размеры 300х300х445 мм, мощность 0,4 кВт, напряжение 220 В</t>
  </si>
  <si>
    <t>522-103-0239-0005</t>
  </si>
  <si>
    <t>Супница SB-6000A, размеры 300х300х445 мм, мощность 0,4 кВт, напряжение 220 В</t>
  </si>
  <si>
    <t>522-103-0240</t>
  </si>
  <si>
    <t>Шкаф жарочный</t>
  </si>
  <si>
    <t>522-103-0240-0001</t>
  </si>
  <si>
    <t>Шкаф жарочный ШЖЭ-2 (2-х секционный, стандартная духовка, подставка, 840х900x1510 мм, лицев. нерж.; 380В; 9,6кВт)</t>
  </si>
  <si>
    <t>522-103-0240-0002</t>
  </si>
  <si>
    <t>Шкаф жарочный ШЖЭ-3 (3-х секционный, стандартная духовка, 840x900x1500 мм, лицев. нерж.; 380В; 14,4кВт)</t>
  </si>
  <si>
    <t>522-103-0240-0003</t>
  </si>
  <si>
    <t>Шкаф жарочный ШЖЭ92 (2-х секционный, две стандартные духовки из угл. стали под противень 470*530*30 мм, крашенная подставка, разборная конструкция, нерж ТЭН-ы, раздельная регулировка верхних и нижних ТЭН-ов (20-270°С), 9,6кВт, 230/400В)</t>
  </si>
  <si>
    <t>522-103-0240-0004</t>
  </si>
  <si>
    <t>Шкаф жарочный ШЖЭ93 (3-х секционный, три стандартные духовки из угл. стали под противень 470*530*30 мм, нерж ТЭН-ы, раздельная регулировка верхних и нижних ТЭН-ов (20-270°С), 14,4кВт, 230/400В)</t>
  </si>
  <si>
    <t>522-103-0300</t>
  </si>
  <si>
    <t>Холодильное оборудование</t>
  </si>
  <si>
    <t>522-103-0301</t>
  </si>
  <si>
    <t>Шкаф холодильный СМ114-S (V=1400 л, 0..+6°C, 1402х925х1996 мм, 0,55 кВт, 220 В)</t>
  </si>
  <si>
    <t>522-103-0302</t>
  </si>
  <si>
    <t>Шкаф холодильный CM107-S (V=700 л, 0..+6°C, 697х925х1996 мм, 0,35 кВт, 220 В)</t>
  </si>
  <si>
    <t>522-103-0303</t>
  </si>
  <si>
    <t>Шкаф среднетемпературный V= 500 л ARKTO R0,5-S (710х680х2200 мм, 0…+6 °C,
краш.)</t>
  </si>
  <si>
    <t>522-103-0304</t>
  </si>
  <si>
    <t>Шкаф среднетемпературный V= 700 л ARKTO R0, 7-G (710х880х2200 мм, 0…+6
°C, нерж.)</t>
  </si>
  <si>
    <t>522-103-0305</t>
  </si>
  <si>
    <t>Шкаф среднетемпературный V=1500 л АБАТ ШХс-1,4 (1485х820х2050 мм, 0...+5°С, краш.)</t>
  </si>
  <si>
    <t>522-103-0306</t>
  </si>
  <si>
    <t>Шкаф среднетемпературный V=664 л LIEBHERR GKv 6460 (747х750х2064 мм,
+1...+15°C, нерж., GN 2/1)</t>
  </si>
  <si>
    <t>522-103-0307</t>
  </si>
  <si>
    <t>Стол холодильный TM4GN-G (V=600 л,
-2..+10°C, 2060х705х850/910 мм, 4 двери)</t>
  </si>
  <si>
    <t>522-103-0308</t>
  </si>
  <si>
    <t>Стол холодильный POLAIR TM3GN-G (V=450 л, -2..+10°C, 1630х705х850/910, 3
двери)</t>
  </si>
  <si>
    <t>522-103-0309</t>
  </si>
  <si>
    <t>Стол холодильный TM2GN-G (V=320 л,
-2..+10°C, 1200х705х850/910 мм, 2 двери)</t>
  </si>
  <si>
    <t>522-103-0310</t>
  </si>
  <si>
    <t>Стол холодильный СШС-0,3 GN-1850 (1838х700х840 мм, 0,3 кВт, 220 В)</t>
  </si>
  <si>
    <t>522-103-0311</t>
  </si>
  <si>
    <t>Стол среднетемпературный V=150 л,
СХС-70 (- 2...+8С, 957x705x900 мм, 1 дверь, 150 л)</t>
  </si>
  <si>
    <t>522-103-0312</t>
  </si>
  <si>
    <t>Камера холодильная КХН-17,63 (V=17,63 м3, 2560x3760x2200 мм, толщина панели 80 мм)</t>
  </si>
  <si>
    <t>522-103-0313</t>
  </si>
  <si>
    <t>Камера холодильная</t>
  </si>
  <si>
    <t>522-103-0313-0001</t>
  </si>
  <si>
    <t>Камера холодильная КХН-2,94 (V=2,94 м3,
1360х1360х2200 мм, толщина панели 80 мм)</t>
  </si>
  <si>
    <t>522-103-0313-0002</t>
  </si>
  <si>
    <t>Камера холодильная среднетемпературная сборно-разборная 1960х1660х2200 мм, V=5,51 м3, в комплекте с холодильной
машиной с выносным пультом управления, CR-5,51 R</t>
  </si>
  <si>
    <t>522-103-0313-0003</t>
  </si>
  <si>
    <t>Камера холодильная среднетемпературная сборно-разборная 2560х4060х2200 мм, V=19.09 м3, в комплекте с холодильной машиной с зимним комплектом и выносным пультом управления, CR-19.09 R</t>
  </si>
  <si>
    <t>522-103-0313-0004</t>
  </si>
  <si>
    <t>Камера холодильная среднетемпературная сборно-разборная 2860х4060х2200 мм, V=21.48 м3, в комплекте с холодильной
машиной с зимним комплектом и выносным пультом управления, CR-21.48 R</t>
  </si>
  <si>
    <t>522-103-0313-0005</t>
  </si>
  <si>
    <t>Камера холодильная среднетемпературная/низкотемпературная сборно-разборная 5300х3500х2240 мм, V=34.33 м3, в комплекте с двумя холодильными машинами с зимним комплектом и выносными пультами управления,CR-34.33 R/F</t>
  </si>
  <si>
    <t>522-103-0313-0006</t>
  </si>
  <si>
    <t>Камера холодильнаясреднетемпературная/низкотемп ературнаясборно-разборная,
5300х3200х2240 мм,V=31.21 м3, в
комплекте с двумяхолодильными машинами с зимнимкомплектом и выносными пультамиуправления, CR-31.21 R/F</t>
  </si>
  <si>
    <t>522-103-0313-0007</t>
  </si>
  <si>
    <t>Камера холодильнаясреднетемпературная/низкотемп ературнаясборно-разборная 4700*3200*2200 мм,V=27.54 м3, в комплекте с двумяхолодильными машинами с зимнимкомплектом и выносными пультамиуправления, CR-27.54 R/F</t>
  </si>
  <si>
    <t>522-103-0313-0008</t>
  </si>
  <si>
    <t>Камера холодильная среднетемпературная/низкотемпературнаясб 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R/F</t>
  </si>
  <si>
    <t>522-103-0313-0009</t>
  </si>
  <si>
    <t>Камера холодильная среднетемпературная/среднетемпературнаяс борно-разборная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CR-19.09 R/R</t>
  </si>
  <si>
    <t>522-103-0313-0010</t>
  </si>
  <si>
    <t>Камера холодильная среднетемпературнаясборно-разборная 2560х2260х2200 мм,V=10.28 м3, в
комплекте с холодильноймашиной с зимним комплектом и выноснымпультом управления, CR-10.28 R</t>
  </si>
  <si>
    <t>522-103-0313-0011</t>
  </si>
  <si>
    <t>Камера холодильная низкотемпературнаясборно-разборная 2560х2260х2200 мм,V=10.28 м3, в
комплекте с холодильноймашиной с зимним комплектом и выноснымпультом управления, CR-10.28 F</t>
  </si>
  <si>
    <t>522-103-0313-0012</t>
  </si>
  <si>
    <t>Камера холодильная среднетемпературнаясборно-разборная 3160х3160х2200 мм,V=18.36 м3, в
комплекте с холодильноймашиной с зимним комплектом и выноснымпультом управления, CR-18.36 R</t>
  </si>
  <si>
    <t>522-103-0313-0013</t>
  </si>
  <si>
    <t>Камера холодильная среднетемпературная/среднетемпературнаяс борно-разборная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R/R</t>
  </si>
  <si>
    <t>522-103-0313-0014</t>
  </si>
  <si>
    <t>Камера холодильная среднетемпературная/низкотемпературнаясб 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 со световым проемом 800х1850 мм, CR-19.09 R/F</t>
  </si>
  <si>
    <t>522-103-0313-0015</t>
  </si>
  <si>
    <t>Камера холодильная среднетемпературнаясборно-разборная 1960х3160х2200 мм,V=11.02 м3, в
комплекте с холодильноймашиной с зимним комплектом и выноснымпультом управления, CR-11.02 R</t>
  </si>
  <si>
    <t>522-103-0313-0016</t>
  </si>
  <si>
    <t>Камера холодильная низкотемпературнаясборно-разборная 1960х3160х2200 мм,V=11.02 м3, в
комплекте с холодильноймашиной с зимним комплектом и выноснымпультом управления, CR-11.02 F</t>
  </si>
  <si>
    <t>522-103-0313-0017</t>
  </si>
  <si>
    <t>Камера холодильная среднетемпературнаясборно-разборная 2260х3160х2200 мм,V=12.85 м3, в
комплекте с холодильноймашиной с зимним комплектом и выноснымпультом управления, CR-12.85 R</t>
  </si>
  <si>
    <t>522-103-0313-0018</t>
  </si>
  <si>
    <t>Камера холодильная низкотемпературнаясборно-разборная 2260х3160х2200 мм,V=12.85 м3, в
комплекте с холодильноймашиной с зимним комплектом и выноснымпультом управления, CR-12.85 F</t>
  </si>
  <si>
    <t>522-103-0313-0019</t>
  </si>
  <si>
    <t>Камера холодильная низкотемпературнаясборно-разборная 2860х4060х2200 мм,V=21.48 м3, в
комплекте с холодильноймашиной с зимним комплектом и выноснымпультом управления, CR-21.48 F</t>
  </si>
  <si>
    <t>522-103-0313-0020</t>
  </si>
  <si>
    <t>Камера холодильная среднетемпературнаясборно-разборная 2560х3160х2200 мм,V=14.69 м3, в
комплекте с холодильноймашиной с зимним комплектом и выноснымпультом управления, CR-14.69 R</t>
  </si>
  <si>
    <t>522-103-0313-0021</t>
  </si>
  <si>
    <t>Камера холодильнаянизкотемпературнаясборно-разб орная 2560х3160х2200 мм,V=14.69 м3, в комплекте с холодильноймашиной с зимним комплектом и выноснымпультом управления, CR-14.69F</t>
  </si>
  <si>
    <t>522-103-0313-0022</t>
  </si>
  <si>
    <t>Камера холодильная среднетемпературнаясборно-разборная 2560х3460х2200 мм,V=16.16 м3, в
комплекте с холодильноймашиной с зимним комплектом и выноснымпультом управления, CR-16.16 R</t>
  </si>
  <si>
    <t>522-103-0313-0023</t>
  </si>
  <si>
    <t>Камера холодильная низкотемпературнаясборно-разборная 2560х3460х2200 мм,V=16.16 м3, в
комплекте с холодильноймашиной с зимним комплектом и выноснымпультом управления, CR-16.16 F</t>
  </si>
  <si>
    <t>522-103-0313-0024</t>
  </si>
  <si>
    <t>Камера холодильная низкотемпературная/среднетемпературнаясб орно-разборная 2860х4060х2200 мм,V=21.48 м3, в комплекте с двумя холодильной/морозильноймашинами с зимним комплектом и выноснымпультом управления, CR-21.48 F/R</t>
  </si>
  <si>
    <t>522-103-0314</t>
  </si>
  <si>
    <t>Сплит-система среднетемпературная SM 222 P (V=10,5..22,5 м3, -5...+10С, 855х315х704 мм, 1,65 кВт, 380 В)</t>
  </si>
  <si>
    <t>522-103-0315</t>
  </si>
  <si>
    <t>Сплит-система среднетемпературная SM 109 P (V=3..7,5 м3, -5...+10С, 525х315х704 мм, 0,6 кВт, 220 В)</t>
  </si>
  <si>
    <t>522-103-0316</t>
  </si>
  <si>
    <t>Би блок ВВ1048 (холодопроизводительность 4,87 кВт, V=62 м3, 1408х455х555 мм, 3 кВт,
380 В)</t>
  </si>
  <si>
    <t>522-103-0317</t>
  </si>
  <si>
    <t>Комлект доработки уличных мм и слитов с ТЭНом (65 Вт)</t>
  </si>
  <si>
    <t>522-103-0318</t>
  </si>
  <si>
    <t>Шкаф холодильный среднетемпературный СB114-S, V=1400 л</t>
  </si>
  <si>
    <t>522-103-0319</t>
  </si>
  <si>
    <t>Витрина холодильная K70 VV 0,9-1 0102-0109 (ВХСв-0,9д Carboma Люкс)</t>
  </si>
  <si>
    <t>522-103-0320</t>
  </si>
  <si>
    <t>Витрина холодильная</t>
  </si>
  <si>
    <t>522-103-0320-0001</t>
  </si>
  <si>
    <t>Витрина холодильная Carboma K70 VV 1,3-1 STANDARD, размеры 1300х700х1280/1330
мм, мощность 0,333 кВт, напряжение 220 В</t>
  </si>
  <si>
    <t>522-103-0320-0002</t>
  </si>
  <si>
    <t>Витрина холодильная демонстрационная KTG107W, размеры 1000х740х1900 мм, мощность 0,825 кВт, напряжение 220 В</t>
  </si>
  <si>
    <t>522-103-0320-0003</t>
  </si>
  <si>
    <t>Витрина холодильная демонстрационная KTG127W, размеры 1200х740х1900 мм, мощность 0,925 кВт, напряжение 220 В</t>
  </si>
  <si>
    <t>522-103-0320-0004</t>
  </si>
  <si>
    <t>Витрина холодильная демонстрационная KTG157W, размеры 1500х740х1900 мм, мощность 1,255 кВт, напряжение 220 В</t>
  </si>
  <si>
    <t>522-103-0320-0005</t>
  </si>
  <si>
    <t>Витрина холодильная демонстрационная KTG187W, куб 1850 л, размеры 1800х740х1900 мм,  мощность 1,52 кВт, напряжение 220 В</t>
  </si>
  <si>
    <t>522-103-0320-0006</t>
  </si>
  <si>
    <t>Витрина холодильная демонстрационная WKRN220N, размеры 494x674x1742 мм, мощность 1,3 кВт, напряжение 220 В</t>
  </si>
  <si>
    <t>522-103-0320-0007</t>
  </si>
  <si>
    <t>Витрина холодильная демонстрационная настольная PVNR108E, размеры 470x470x870 мм, мощность 0,23 кВт, напряжение 220 В</t>
  </si>
  <si>
    <t>522-103-0320-0008</t>
  </si>
  <si>
    <t>Витрина холодильная демонстрационная настольная PVNR100R, размеры 480х480х1030 мм,  мощность 0,2 кВт, напряжение 220 В</t>
  </si>
  <si>
    <t>522-103-0320-0009</t>
  </si>
  <si>
    <t>Витрина холодильная кондитерская
XL-1200A, размеры 1200х700х1200 мм, мощность 0,35 кВт, напряжение 220 В</t>
  </si>
  <si>
    <t>522-103-0320-0010</t>
  </si>
  <si>
    <t>Витрина холодильная кондитерская
XL-1500A, размеры 1500х700х1200 мм, мощность 0,45 кВт, напряжение 220 В</t>
  </si>
  <si>
    <t>522-103-0320-0011</t>
  </si>
  <si>
    <t>Витрина холодильная кондитерская
XL-1800A, размеры 1800х700х1200 мм, мощность 0,55 кВт, напряжение 220 В</t>
  </si>
  <si>
    <t>522-103-0320-0012</t>
  </si>
  <si>
    <t>Витрина холодильная кондитерская XL-1200B, размеры 1200х680х1200 мм, мощность 0,35 кВт, напряжение 220 В</t>
  </si>
  <si>
    <t>522-103-0320-0013</t>
  </si>
  <si>
    <t>Витрина холодильная кондитерская XL-1500B, размеры 1500х680х1200 мм, мощность 0,45 кВт, напряжение 220 В</t>
  </si>
  <si>
    <t>522-103-0320-0014</t>
  </si>
  <si>
    <t>Витрина холодильная кондитерская XL-1800B, размеры 1800х680х1200 мм, мощность 0,55 кВт, напряжение 220 В</t>
  </si>
  <si>
    <t>522-103-0320-0015</t>
  </si>
  <si>
    <t>Витрина холодильная кондитерская
XT-1200A, размеры 1200х700х2000 мм, мощность 0,55 кВт, напряжение 220 В</t>
  </si>
  <si>
    <t>522-103-0320-0016</t>
  </si>
  <si>
    <t>Витрина холодильная кондитерская
XT-1500A, размеры 1500х700х2000 мм, мощность 0,65 кВт, напряжение 220 В</t>
  </si>
  <si>
    <t>522-103-0321</t>
  </si>
  <si>
    <t>Витрина морозильная ВПН 0,15-0,88 (Octava M 1500) (RAL 3002) (1480х955х1265)</t>
  </si>
  <si>
    <t>522-103-0322</t>
  </si>
  <si>
    <t>Витрина морозильная ВПН 0,42-0,85 (Gamma-2М 1200) (RAL 3002) (1218х1093х1300)</t>
  </si>
  <si>
    <t>522-103-0323</t>
  </si>
  <si>
    <t>Витрина морозильная ВПН 0,54-1,10 (Gamma-2М 1500) (RAL 3002) (1518х1093х1300)</t>
  </si>
  <si>
    <t>522-103-0324</t>
  </si>
  <si>
    <t>Стол холодильный TB3GN-G V=450 л (1630х705х850/910)</t>
  </si>
  <si>
    <t>522-103-0325</t>
  </si>
  <si>
    <t>Шкаф холодильный</t>
  </si>
  <si>
    <t>522-103-0325-0001</t>
  </si>
  <si>
    <t>Шкаф холодильный CB105-S, размеры 697х695х1996 мм, объем 500 л, мощность 0,55 кВт, напряжение 220 В</t>
  </si>
  <si>
    <t>522-103-0325-0002</t>
  </si>
  <si>
    <t>Шкаф холодильный среднетемпературный KG700ND, размеры 740x830x2010 мм, объем 700 л, мощность 0,305 кВт,
напряжение 220 В</t>
  </si>
  <si>
    <t>522-103-0325-0003</t>
  </si>
  <si>
    <t>Шкаф холодильный среднетемпературный KG700GND, размеры 740x830x2010 мм, объем 700 л, мощность 0,305 кВт,
напряжение 220 В</t>
  </si>
  <si>
    <t>522-103-0325-0004</t>
  </si>
  <si>
    <t>Шкаф холодильный низкотемпературный TG700ND, размеры 740x830x2010 мм, объем 700 л, мощность 0,65 кВт, напряжение 220 В</t>
  </si>
  <si>
    <t>522-103-0325-0005</t>
  </si>
  <si>
    <t>Шкаф холодильный низкотемпературный TG700GND, размеры 740x830x2010 мм, объем 700 л, мощность 0,65 кВт, напряжение 220 В</t>
  </si>
  <si>
    <t>522-103-0325-0006</t>
  </si>
  <si>
    <t>Шкаф холодильный среднетемпературный KG1400ND, размеры 1480x830x2010 мм, объем 1400 л, мощность 0,508 кВт,
напряжение 220 В</t>
  </si>
  <si>
    <t>522-103-0325-0007</t>
  </si>
  <si>
    <t>Шкаф холодильный среднетемпературный KG1400GND, размеры 1480x830x2010 мм, объем 1400 л, мощность 0,508 кВт,
напряжение 220 В</t>
  </si>
  <si>
    <t>522-103-0325-0008</t>
  </si>
  <si>
    <t>Шкаф холодильный низкотемпературный TG1400ND, размеры 1480x830x2010 мм, объем 1400 л, мощность 0,7 кВт, напряжение 220 В</t>
  </si>
  <si>
    <t>522-103-0325-0009</t>
  </si>
  <si>
    <t>Шкаф холодильный низкотемпературный TG1400GND, размеры 1480x830x2010 мм, объем 1400 л, мощность 0,7 кВт, напряжение 220 В</t>
  </si>
  <si>
    <t>522-103-0325-0010</t>
  </si>
  <si>
    <t>Шкаф холодильный WADE LC320, размеры 565х600х1829 мм, объем 320 л, напряжание 220 В, 2..+8°C</t>
  </si>
  <si>
    <t>522-103-0325-0011</t>
  </si>
  <si>
    <t>Шкаф холодильный крашеный среднетемпературный ШХ-0,7, размеры 740х850х2050мм, объем 700л, напряжение 230В, мощность 3,77кВт, -5+5°С</t>
  </si>
  <si>
    <t>522-103-0325-0012</t>
  </si>
  <si>
    <t>Шкаф холодильный крашеный среднетемпературный ШХ-1,4, размеры 1485х850х2050мм, объем 1500л, напряжение 220В, мощность 4,47кВт, -5+5°С</t>
  </si>
  <si>
    <t>522-103-0325-0013</t>
  </si>
  <si>
    <t>Шкаф холодильный  среднетемпературный ШХ-0,7-01, нержавеющая сталь, размеры 740х850х2050мм, объем 700л, напряжение 220В, мощность 3,77кВт, -5+5°С</t>
  </si>
  <si>
    <t>522-103-0325-0014</t>
  </si>
  <si>
    <t>Шкаф холодильный  среднетемпературный ШХ-1,4-01, нержавеющая сталь, размеры 1485х850х2050мм, объем 1500л, напряжение 220В, мощность 4,47кВт, -5+5°С</t>
  </si>
  <si>
    <t>522-103-0325-0015</t>
  </si>
  <si>
    <t>Шкаф холодильный крашеный низкотемпературный ШХн-0,7, размеры 740х850х2050мм, объем 700л, напряжение 220В, мощность 4,17кВт, -18°С</t>
  </si>
  <si>
    <t>522-103-0325-0016</t>
  </si>
  <si>
    <t>Шкаф холодильный крашенный низкотемпературный ШХн-1,4, размеры 1485х850х2050мм, объем 1500л, напряжение 220В, мощность 5,57кВт, -18°С</t>
  </si>
  <si>
    <t>522-103-0325-0017</t>
  </si>
  <si>
    <t>Шкаф холодильный низкотемпературный ШХн-0,7-01, нержавеющая сталь, размеры 740х850х2050мм, объем 700л, напряжение 220В, мощность 4,17кВт, -18°С</t>
  </si>
  <si>
    <t>522-103-0325-0018</t>
  </si>
  <si>
    <t>Шкаф холодильный низкотемпературный ШХн-1,4-01, нержавеющая сталь, размеры 1485х850х2050мм, объем 1500л, напряжение 220В, мощность 5,57кВт, -18°С</t>
  </si>
  <si>
    <t>522-103-0326</t>
  </si>
  <si>
    <t>Стол холодильный TM2GNpizza-G V=320 л (1200х705х850/1000)</t>
  </si>
  <si>
    <t>522-103-0327</t>
  </si>
  <si>
    <t>Стол холодильный TM3GNpizza-G (1630х705х850/1000)</t>
  </si>
  <si>
    <t>522-103-0328</t>
  </si>
  <si>
    <t>Стол холодильный TD101-Bar (600х520х850)</t>
  </si>
  <si>
    <t>522-103-0329</t>
  </si>
  <si>
    <t>Стол холодильный TD2GN-G V=320 л (1200х705х850/910)</t>
  </si>
  <si>
    <t>522-103-0330</t>
  </si>
  <si>
    <t>Стол холодильный TD3GN-G V=450 л (1630х705х850/910)</t>
  </si>
  <si>
    <t>522-103-0331</t>
  </si>
  <si>
    <t>Стол холодильный TM2-G V=270 л (1200х605х850/910)</t>
  </si>
  <si>
    <t>522-103-0332</t>
  </si>
  <si>
    <t>Стол холодильный TM2GN-G V=320 л (1200х705х850/910)</t>
  </si>
  <si>
    <t>522-103-0333</t>
  </si>
  <si>
    <t>Стол холодильный TM2pizza-G V=270 л (1200х605х850/910)</t>
  </si>
  <si>
    <t>522-103-0334</t>
  </si>
  <si>
    <t>Стол холодильный TM4-G V=500 л (2060х605х850/910)</t>
  </si>
  <si>
    <t>522-103-0335</t>
  </si>
  <si>
    <t>Стол холодильный СХС-2-60 (1350х600х880)</t>
  </si>
  <si>
    <t>522-103-0336</t>
  </si>
  <si>
    <t>Стол холодильный</t>
  </si>
  <si>
    <t>522-103-0336-0001</t>
  </si>
  <si>
    <t>Стол холодильный СХС-4-60, размеры 2200х600х880 мм, объем 515 л, мощность 0,175 кВт, напряжение 220 В</t>
  </si>
  <si>
    <t>522-103-0336-0002</t>
  </si>
  <si>
    <t>Стол холодильный среднетемпературный KTS147ND, размеры 1360x700x850 мм, объем 282 л, мощность 0,495 кВт,
напряжение 220 В</t>
  </si>
  <si>
    <t>522-103-0336-0003</t>
  </si>
  <si>
    <t>Стол холодильный низкотемпературный GTS147ND, размеры 1360x700x850 мм, объем 282 л, мощность 0,675 кВт,
напряжение 220 В</t>
  </si>
  <si>
    <t>522-103-0336-0004</t>
  </si>
  <si>
    <t>Стол холодильный среднетемпературный KTS187ND, размеры 1795x700x850 мм, объем 417 л, мощность 0,495 кВт,
напряжение 220 В</t>
  </si>
  <si>
    <t>522-103-0336-0005</t>
  </si>
  <si>
    <t>Стол холодильный низкотемпературный GTS187ND, размеры 1795x700x850 мм, объем 417 л, мощность 0,85 кВт, напряжение 220 В</t>
  </si>
  <si>
    <t>522-103-0336-0006</t>
  </si>
  <si>
    <t>Стол холодильный среднетемпературный KTS227ND, размеры 2230x700x850 мм, объем 553 л, мощность 0,398 кВт,
напряжение 220 В</t>
  </si>
  <si>
    <t>522-103-0336-0007</t>
  </si>
  <si>
    <t>Стол холодильный низкотемпературный GTS227ND, размеры 2230x700x850 мм, объем 553 л, мощность 0,9 кВт, напряжение 220 В</t>
  </si>
  <si>
    <t>522-103-0336-0008</t>
  </si>
  <si>
    <t>Стол холодильный среднетемпературный ZBG157ND, размеры 1360x700x1085 мм, объем 282 л, мощность 0,23 кВт, напряжение 220 В</t>
  </si>
  <si>
    <t>522-103-0336-0009</t>
  </si>
  <si>
    <t>Стол холодильный среднетемпературный ZBG158ND, размеры 1360x800x1085 мм, объем 390 л, мощность 0,23 кВт, напряжение 220 В</t>
  </si>
  <si>
    <t>522-103-0336-0010</t>
  </si>
  <si>
    <t>Стол холодильный среднетемпературный ZBG207ND, размеры 1795x700x1085 мм, объем 417 л, мощность 0,23 кВт, напряжение 220 В</t>
  </si>
  <si>
    <t>522-103-0336-0011</t>
  </si>
  <si>
    <t>Стол холодильный среднетемпературный ZBG208ND, размеры 2020x700x1085 мм, объем 580 л, мощность 0,23 кВт, напряжение 220 В</t>
  </si>
  <si>
    <t>522-103-0336-0012</t>
  </si>
  <si>
    <t>Стол холодильный среднетемпературный SAG97AND, размеры 900x700x970 мм, объем 240 л, мощность 0,23 кВт, напряжение 220 В</t>
  </si>
  <si>
    <t>522-103-0336-0013</t>
  </si>
  <si>
    <t>Стол холодильный среднетемпературный SAG147AND, размеры 1365x700x970 мм, объем 392 л, мощность 0,23 кВт, напряжение 220 В</t>
  </si>
  <si>
    <t>522-103-0336-0014</t>
  </si>
  <si>
    <t>Стол холодильный среднетемпературный BGH65S, размеры 600x510x895 мм, объем 126 л, мощность 0,23 кВт, напряжение 220 В</t>
  </si>
  <si>
    <t>522-103-0336-0015</t>
  </si>
  <si>
    <t>Стол холодильный среднетемпературный BGH95S, размеры 920x510x895 мм, объем 220 л, мощность 0,25 кВт, напряжение 220 В</t>
  </si>
  <si>
    <t>522-103-0336-0016</t>
  </si>
  <si>
    <t>Стол холодильный среднетемпературный BGH135S, размеры 1335x510x895 мм, объем 300 л, мощность 0,26 кВт, напряжение 220 В</t>
  </si>
  <si>
    <t>522-103-0337</t>
  </si>
  <si>
    <t>Шкаф-стол холодильный СШС-0,2-1400 (нержавейка) V=220 л (1393х600х840)</t>
  </si>
  <si>
    <t>522-103-0338</t>
  </si>
  <si>
    <t>Льдогенератор</t>
  </si>
  <si>
    <t>522-103-0338-0001</t>
  </si>
  <si>
    <t>Льдогенератор кубикового льда EWBH356-N, размеры 398x510x608 мм,
производительность 28 кг/сутки, мощность 0,24 кВт, напряжение 220 В</t>
  </si>
  <si>
    <t>522-103-0338-0002</t>
  </si>
  <si>
    <t>Льдогенератор кубикового льда EWBH556-N, размеры 548x572x670 мм,
производительность 52 кг/сутки, мощность 0,32 кВт, напряжение 220 В</t>
  </si>
  <si>
    <t>522-103-0338-0003</t>
  </si>
  <si>
    <t>Льдогенератор кубикового льда EWBH569-N, размеры 500x612x910 мм,
производительность 80 кг/сутки, мощность 0,44 кВт, напряжение 220 В</t>
  </si>
  <si>
    <t>522-103-0339</t>
  </si>
  <si>
    <t>Шкаф морозильный</t>
  </si>
  <si>
    <t>522-103-0339-0001</t>
  </si>
  <si>
    <t>Шкаф морозильный шоковой заморозки BF-P101, размеры 790х820х1430 мм, мощность 1,5 кВт, напряжение 220 В</t>
  </si>
  <si>
    <t>522-103-0339-0002</t>
  </si>
  <si>
    <t>Шкаф морозильный шоковой заморозки BE-R151, размеры 790х820х1800 мм, мощность 1,7 кВт, напряжение 220 В</t>
  </si>
  <si>
    <t>522-103-0400</t>
  </si>
  <si>
    <t>Хлебопекарное оборудование</t>
  </si>
  <si>
    <t>522-103-0401</t>
  </si>
  <si>
    <t>Печь конвекционная UNOX
XEBC-10EU-E1R (860х957х1163 мм, 10
листов 600х400, 14,9 кВт, 380 В)</t>
  </si>
  <si>
    <t>522-103-0402</t>
  </si>
  <si>
    <t>Печь конвекционная PIRON PF5004F (4
противня 480х345, 3,3 кВт, 600x600x540)</t>
  </si>
  <si>
    <t>522-103-0403</t>
  </si>
  <si>
    <t>Печь конвекционная</t>
  </si>
  <si>
    <t>522-103-0403-0001</t>
  </si>
  <si>
    <t>Печь конвекционная UNOX
XEBC-04EU-E1RM, размеры 860x967x675
мм, мощность 7,4 кВт, напряжение 220/380 В</t>
  </si>
  <si>
    <t>522-103-0403-0002</t>
  </si>
  <si>
    <t>Печь конвекционная HEB-4F, размеры 595х600х580 мм, мощность 2,6 кВт, напряжение 220 В</t>
  </si>
  <si>
    <t>522-103-0403-0003</t>
  </si>
  <si>
    <t>Печь конвекционная HEB-8F, размеры 835х800х580 мм, мощность 6,4 кВт, напряжение 220 В</t>
  </si>
  <si>
    <t>522-103-0403-0004</t>
  </si>
  <si>
    <t>Печь конвекционная HEO-12A, размеры 1220х815х580 мм, мощность 6,6 кВт, напряжение 220 В</t>
  </si>
  <si>
    <t>522-103-0403-0005</t>
  </si>
  <si>
    <t>Печь конвекционная HEO-24A, размеры 1220х815х1260 мм, мощность 13,2 кВт, напряжение 380 В</t>
  </si>
  <si>
    <t>522-103-0403-0006</t>
  </si>
  <si>
    <t>Печь конвекционная HEO-36A, размеры 1220х815х1530 мм, мощность 19,5 кВт, напряжение 380 В</t>
  </si>
  <si>
    <t>522-103-0403-0007</t>
  </si>
  <si>
    <t>Печь конвекционная HEO-210D, размеры 1220х820х1490 мм, мощность 8,6 кВт, напряжение 380 В</t>
  </si>
  <si>
    <t>522-103-0403-0008</t>
  </si>
  <si>
    <t>Печь конвекционная HEO-408D, размеры 1220х820х1880 мм, мощность 15,2 кВт, напряжение 380 В</t>
  </si>
  <si>
    <t>522-103-0403-0009</t>
  </si>
  <si>
    <t>Печь конвекционная конвейерная для пиццы HEP-18, размеры 1560х750х360 мм, мощность 10,3 кВт, напряжение 380 В</t>
  </si>
  <si>
    <t>522-103-0403-0010</t>
  </si>
  <si>
    <t>Печь конвекционная КЭП-6 (6 уровней, 400х600 мм, нерж. камера, эл/механика, пароувлажнение, регулировка влажности, реверс, без противней, 10,5кВт)</t>
  </si>
  <si>
    <t>522-103-0403-0011</t>
  </si>
  <si>
    <t>Печь конвекционная КЭП-10 (10 уровней, 400х600 мм, нерж. камера, эл/механика, пароувлажнение, регулировка влажности, реверс, без противней, 15,85кВт)</t>
  </si>
  <si>
    <t>522-103-0404</t>
  </si>
  <si>
    <t>Шкаф расстоечный UNOX XEBPC-12EU-B (860х978х798 мм, 2,3 кВт, 220 В, 12
уровней)</t>
  </si>
  <si>
    <t>522-103-0405</t>
  </si>
  <si>
    <t>"Шкаф расстоечный UNOX XLT 193 ( 800х759х774 мм, 1,2 кВт, 220 В, 8 уровней)"</t>
  </si>
  <si>
    <t>522-103-0406</t>
  </si>
  <si>
    <t>Шкаф расстоечный</t>
  </si>
  <si>
    <t>522-103-0406-0001</t>
  </si>
  <si>
    <t>Шкаф расстоечный ШР-930-8, размеры 600х600х930 мм, мощность 2 кВт, напряжение 220 В</t>
  </si>
  <si>
    <t>522-103-0406-0002</t>
  </si>
  <si>
    <t>Шкаф расстоечный FJ-10T, размеры 1200х815х940 мм, мощность 2,8 кВт, напряжение 220 В</t>
  </si>
  <si>
    <t>522-103-0406-0003</t>
  </si>
  <si>
    <t>Шкаф расстоечный FJ-6T, размеры 590х690х910 мм, мощность 1,4 кВт, напряжение 220 В</t>
  </si>
  <si>
    <t>522-103-0406-0004</t>
  </si>
  <si>
    <t>Шкаф расстоечный FJ-13, размеры 490х690х1660 мм,  мощность 2,6 кВт, напряжение 220 В</t>
  </si>
  <si>
    <t>522-103-0406-0005</t>
  </si>
  <si>
    <t>Шкаф расстоечный FJ-26, размеры 1000х690х1660 мм,  мощность 2,8 кВт, напряжение 220 В</t>
  </si>
  <si>
    <t>522-103-0406-0006</t>
  </si>
  <si>
    <t>Шкаф расстоечный ШРТ-8 (8 уровней 400х600 мм, под конвекц.печи КЭП-4, камера-нерж, без противней, 1,2кВт)</t>
  </si>
  <si>
    <t>522-103-0406-0007</t>
  </si>
  <si>
    <t>Шкаф расстоечный ШРТ-12 (6 уровней 600х800мм, под конвекц.печи КЭП-6, КЭП-10, камера-нерж, без противней, 1,6кВт)</t>
  </si>
  <si>
    <t>522-103-0407</t>
  </si>
  <si>
    <t>Тестомес спиральный HERCULES 40 (480х825х730 мм, 1,5 кВт, 220 В, 41 л)</t>
  </si>
  <si>
    <t>522-103-0408</t>
  </si>
  <si>
    <t>Машина тестомесильная спиральная ITPIZZA SK-10 1Ф (290x590x580 мм, дежа
на 10 л)</t>
  </si>
  <si>
    <t>522-103-0409</t>
  </si>
  <si>
    <t>Машина тестомесильная HS30 (750х435х900 мм, 34 л, до 90 кг/ч, 150/200 об/мин, 1,5 кВт, 220 В)</t>
  </si>
  <si>
    <t>522-103-0410</t>
  </si>
  <si>
    <t>Тестомес горизонтальный для крутого теста ПищТех ТК-15Н (637х470х 683 мм, 220 В, 1,5 кВт, 39 л)</t>
  </si>
  <si>
    <t>522-103-0411</t>
  </si>
  <si>
    <t>Тестомес</t>
  </si>
  <si>
    <t>522-103-0411-0001</t>
  </si>
  <si>
    <t>Тестомес HURAKAN HKN-25HN, размеры 820x605x735 мм, мощность 1,5 кВт, напряжение 220 В</t>
  </si>
  <si>
    <t>522-103-0411-0002</t>
  </si>
  <si>
    <t>Тестомес спиральный H20, размеры 730х390х900 мм, мощность 1,5 кВт, напряжение 220 В</t>
  </si>
  <si>
    <t>522-103-0411-0003</t>
  </si>
  <si>
    <t>Тестомес спиральный H30, размеры 750х435х900 мм, мощность 1,5 кВт, напряжение 380 В</t>
  </si>
  <si>
    <t>522-103-0411-0004</t>
  </si>
  <si>
    <t>Тестомес спиральный H50, размеры 840х480х1000 мм, мощность 3 кВт, напряжение 380 В</t>
  </si>
  <si>
    <t>522-103-0411-0005</t>
  </si>
  <si>
    <t>Тестомес спиральный H80, размеры 1000х560х1380 мм, мощность 3 кВт, напряжение 380 В</t>
  </si>
  <si>
    <t>522-103-0411-0006</t>
  </si>
  <si>
    <t>Тестомес спиральный H130, размеры 1160х730х1380 мм, мощность 6,05 кВт, напряжение 380 В</t>
  </si>
  <si>
    <t>522-103-0411-0007</t>
  </si>
  <si>
    <t>Тестомес спиральный XF20-2s, размеры 350х660х630 мм, мощность 0,92 кВт, напряжение 380 В</t>
  </si>
  <si>
    <t>522-103-0411-0008</t>
  </si>
  <si>
    <t>Тестомес спиральный XF30-2s, размеры 440х830х720 мм, мощность 1,98 кВт, напряжение 380 В</t>
  </si>
  <si>
    <t>522-103-0411-0009</t>
  </si>
  <si>
    <t>Тестомес спиральный XF50-2s, размеры 470х850х720 мм, мощность 1,98 кВт, напряжение 380 В</t>
  </si>
  <si>
    <t>522-103-0411-0010</t>
  </si>
  <si>
    <t>Тестомес спиральный XR20-2s, размеры 370х680х640 мм, мощность 0,92 кВт, напряжение 380 В</t>
  </si>
  <si>
    <t>522-103-0411-0011</t>
  </si>
  <si>
    <t>Тестомес спиральный XR30-2s, размеры 460х840х730 мм, мощность 0,92 кВт, напряжение 380 В</t>
  </si>
  <si>
    <t>522-103-0411-0012</t>
  </si>
  <si>
    <t>Тестомес спиральный XR50-2s, размеры 490х860х730 мм, мощность 1,98 кВт, напряжение 380 В</t>
  </si>
  <si>
    <t>522-103-0411-0013</t>
  </si>
  <si>
    <t>Тестомес спиральный ТМС-20НН-1Ц (1 скорость, несъемная дежа 20 л, неподъемная траверса, 60 кг/ч, э/механическая панель, 450х760х630 мм, 1,2 кВт, 400В,
ременно-цепной привод)</t>
  </si>
  <si>
    <t>522-103-0411-0014</t>
  </si>
  <si>
    <t>Тестомес спиральный ТМС-40НН-2Ц (2 скорости, несъемная дежа 40 л, неподъемная траверса, э/механическая панель управления, 150 кг/ч, 555х840х(1100)1150 мм, 1,6/2,6
кВт, 400В, ременно-цепной привод)</t>
  </si>
  <si>
    <t>522-103-0411-0015</t>
  </si>
  <si>
    <t>Тестомес спиральный ТМС-60НН-2П (2 скорости, таймер, несъемная дежа 60 л, неподъемная траверса, программируемая панель управления, 270 кг/ч, 680х930х(1230)1260 мм, 2,3/3,7 кВт, 400В,
ременно-цепной привод, на колесах)</t>
  </si>
  <si>
    <t>522-103-0412</t>
  </si>
  <si>
    <t>Миксер планетарный GASTROMIX B 5 ECO (368x227x350 мм, 220 В, 0,8 кВ, объем дежи 5 л, 6 скоростей + 1 пульс)</t>
  </si>
  <si>
    <t>522-103-0413</t>
  </si>
  <si>
    <t>Миксер планетарный B10 (460х350х630 мм,
10 л, 170/340 об/мин, 0,37 кВт, 220 В)</t>
  </si>
  <si>
    <t>522-103-0414</t>
  </si>
  <si>
    <t>Мукопросеиватель ПВГ-600М
(1070х1000х1010 мм, 600 кг/час, 0,325 кВт)</t>
  </si>
  <si>
    <t>522-103-0415</t>
  </si>
  <si>
    <t>Мукопросеиватель вибрационный МПВ-150
(390х570х825 мм, 150 кг/ч, 0,25 кВт, 380 В)</t>
  </si>
  <si>
    <t>522-103-0416</t>
  </si>
  <si>
    <t>Печь подовая UNOX XEBDC-02EU-D
(860x1150x400 мм, 5,4 кВт, 380 В)</t>
  </si>
  <si>
    <t>522-103-0417</t>
  </si>
  <si>
    <t>Печь подовая Resto Italia TR 4H
(1140х1130х500 мм, 6,9 кВт, 1 секц, 380 Вт)</t>
  </si>
  <si>
    <t>522-103-0418</t>
  </si>
  <si>
    <t>Машина тестораскаточная настольная ТРМ-500 (700х370х430 мм, 420 Вт, 230 В,
120 кг/ч)</t>
  </si>
  <si>
    <t>522-103-0419</t>
  </si>
  <si>
    <t>Машина тестораскаточная</t>
  </si>
  <si>
    <t>522-103-0419-0001</t>
  </si>
  <si>
    <t>Машина тестораскаточная настольная ПищТех МРТ-2, размеры 645х500х420/440 мм, мощность 0,25 кВт, напряжение 220 В</t>
  </si>
  <si>
    <t>522-103-0419-0002</t>
  </si>
  <si>
    <t>Машина тестораскаточная APD-30, размеры 530х480х560 мм, мощность 0,37 кВт, напряжение 220 В</t>
  </si>
  <si>
    <t>522-103-0419-0003</t>
  </si>
  <si>
    <t>Машина тестораскаточная Р-520, размеры 2550х1000х1280 мм, мощность 0,75 кВт, напряжение 220 В</t>
  </si>
  <si>
    <t>522-103-0419-0004</t>
  </si>
  <si>
    <t>Машина тестораскаточная Е-630, размеры 3480х1110х1280 мм, мощность 0,75 кВт, напряжение 220 В</t>
  </si>
  <si>
    <t>522-103-0420</t>
  </si>
  <si>
    <t>Шкаф для хлеба ШХ-1200/480/1800, 7 уровней</t>
  </si>
  <si>
    <t>522-103-0500</t>
  </si>
  <si>
    <t>Посудомоечное оборудование</t>
  </si>
  <si>
    <t>522-103-0501</t>
  </si>
  <si>
    <t>Машина посудомоечная туннельная МПТ-2000</t>
  </si>
  <si>
    <t>Теплообменник, сушка, 2000 тарелок/час, 3 программы мойки, 2 дозатора (моющий, ополаскивающий), насос мойки, мощность 34,4 кВт, напряжение 400В. Размеры: 2230х920х2179мм. Левосторонняя или правосторонняя загрузка посуды по согласованию с заказчиком</t>
  </si>
  <si>
    <t>522-103-0502</t>
  </si>
  <si>
    <t>Машина посудомоечная туннельная МПТ-1700</t>
  </si>
  <si>
    <t>1700 тарелок/час, 3 программы мойки, 2 дозатора (моющий, ополаскивающий), насос мойки, мощность 26,5 кВт, напряжение 400В. Размеры: 1595х770х1695мм. Левосторонняя или правосторонняя загрузка посуды по согласованию с заказчиком</t>
  </si>
  <si>
    <t>522-103-0503</t>
  </si>
  <si>
    <t>Машина посудомоечная туннельная
LM-T-1700-L (левая, 1700 тар/ч, 2 дозатора
(моющий и ополаскивающий), 2 насоса, 26,5 кВт, 380 В, 1595х770х1965/2120 мм)</t>
  </si>
  <si>
    <t>522-103-0504</t>
  </si>
  <si>
    <t>Стол для посудомоечной машины для грязной посуды СРОп-ГП 1200х720х850/1020 мм</t>
  </si>
  <si>
    <t>522-103-0505</t>
  </si>
  <si>
    <t>Стол предмоечный</t>
  </si>
  <si>
    <t>522-103-0505-0001</t>
  </si>
  <si>
    <t>Стол предмоечный СПМП-7-4 (1304х725 мм) душ-стойка, мойка цельнотянутая 400х400х250, для туннельных машин МПТ</t>
  </si>
  <si>
    <t>522-103-0505-0002</t>
  </si>
  <si>
    <t>Стол предмоечный СПМФ-7-1 (1166х724 мм) душ-стойка, мойка цельнотянутая 400х400х250мм, для фронтальных машин МПК-500</t>
  </si>
  <si>
    <t>522-103-0505-0003</t>
  </si>
  <si>
    <t>Стол предмоечный СПМП-6-1 (572x795 мм) душ, мойка цельнотянутая 400х400х250мм, для купольных машин МПК</t>
  </si>
  <si>
    <t>522-103-0505-0004</t>
  </si>
  <si>
    <t>Стол предмоечный СПМП-6-5 (1512x702 мм) душ-стойка, сбор отходов, мойка цельнотянутая 400х400х250мм, для купольных машин МПК</t>
  </si>
  <si>
    <t>522-103-0505-0005</t>
  </si>
  <si>
    <t>Стол предмоечный СПМП-6-7  (1712x702 мм) душ-стойка, сбор отходов, направл. на 4 кассеты, мойка цельнотянутая 400х400х250мм, для купольных машин МПК</t>
  </si>
  <si>
    <t>522-103-0505-0006</t>
  </si>
  <si>
    <t>Стол предмоечный СПМП-7-7  (1715х705) для посудомоечных машин МПК и МПТ с душирующим устройством</t>
  </si>
  <si>
    <t>522-103-0505-0007</t>
  </si>
  <si>
    <t>Стол предмоечный СПМП-13-7-8,5ТН, размеры 1300х700х850(1000) мм, полностью из нержавеющей стали</t>
  </si>
  <si>
    <t>Размеры ванны 400х400х250 мм. Стол изготовлен полностью из нержавеющей стали AISI 430. Сборка стола возможна как в левом так и в правом исполнении. Столешница усилена листом ЛДСП 16 мм.</t>
  </si>
  <si>
    <t>522-103-0505-0008</t>
  </si>
  <si>
    <t>Стол предмоечный СПМП-12-7-10, размеры 1200х700х850 (1000) мм, полностью из нержавеющей стали</t>
  </si>
  <si>
    <t>Размеры ванны 400х400х250 мм. Стол изготовлен полностью из нержавеющей стали  AISI 430. Стол оснащен направляющими для хранения кассет размерами 500х500 мм. В основании стола расположена полка из нержавеющей стали, усиленная ребром жесткости для расположения на ней различных предметов. Сборка стола возможна как в левом так и в правом исполнении. Столешница усилена листом ЛДСП 16 мм.</t>
  </si>
  <si>
    <t>522-103-0506</t>
  </si>
  <si>
    <t>Стол раздаточный для чистой посуды</t>
  </si>
  <si>
    <t>522-103-0506-0001</t>
  </si>
  <si>
    <t>Стол раздаточный СПМР-6-1 (612x611 мм) для чистой посуды, для купольных машин МПК</t>
  </si>
  <si>
    <t>522-103-0506-0002</t>
  </si>
  <si>
    <t>Стол раздаточный СПМР-6-5 (1062x611 мм) для чистой посуды, для купольных машин МПК</t>
  </si>
  <si>
    <t>522-103-0506-0003</t>
  </si>
  <si>
    <t>Стол раздаточный СПМР-6-6ТН, размеры 612х611х940 мм. Столешница из нержавеющей стали, ножки регулируются по высоте</t>
  </si>
  <si>
    <t>Стол раздаточный крепится к машине посудомоечной как справа, так и слева. Столешница выполнена из нержавеющей стали AISI 430, ножки из трубы 40х40 нерж.сталь.</t>
  </si>
  <si>
    <t>522-103-0506-0004</t>
  </si>
  <si>
    <t>Стол раздаточный СПМР-6-2ТН, размеры 704х635х940 мм. Столешница из нержавеющей стали, ножки регулируются по высоте</t>
  </si>
  <si>
    <t>522-103-0506-0005</t>
  </si>
  <si>
    <t>Стол раздаточный СПМР-10-6ТН, размеры 1062х611х940 мм. Столешница из нержавеющей стали, ножки регулируются по высоте</t>
  </si>
  <si>
    <t>522-103-0506-0006</t>
  </si>
  <si>
    <t>Стол для чистой посуды с бортом
СЧП-8-7ТН, борт не менее 40 мм, размеры 800х700х850 мм, столешница и сплошная нижняя  полка из нержавеющей стали 0,8 мм, усиленная ДСП 16 мм</t>
  </si>
  <si>
    <t>522-103-0507</t>
  </si>
  <si>
    <t>Стол для чистой посуды ITERMA 430 СБ-361/1200/760 ПММ</t>
  </si>
  <si>
    <t>522-103-0508</t>
  </si>
  <si>
    <t>Стаканомоечная машина Hi Chief
GW-640+RA ECO (490x570x780 мм, 400х400
мм корз., доз. ополаск.)</t>
  </si>
  <si>
    <t>522-103-0509</t>
  </si>
  <si>
    <t>Машина стаканомоечная Apach AF400 фронтальная (436х535х670, 220 В, 3,5 кВт,
30 кас/ч)</t>
  </si>
  <si>
    <t>522-103-0510</t>
  </si>
  <si>
    <t>Машина посудомоечная универсальная МПУ-700-01 без столов загрузки и разгрузки (600x800x1400 мм, 16,3 кВт, 380 В, масса 100 кг)</t>
  </si>
  <si>
    <t>522-103-0511</t>
  </si>
  <si>
    <t>Машина посудомоечная</t>
  </si>
  <si>
    <t>522-103-0511-0001</t>
  </si>
  <si>
    <t>Машина посудомоечная Hi Chief DW-1000+RA ECO, размеры
660x810x1390(1800) мм, мощность 9,75 кВт, напряжение 380 В</t>
  </si>
  <si>
    <t>522-103-0511-0002</t>
  </si>
  <si>
    <t>Машина посудомоечная конвейерная HC180, размеры 1500x810x1630 мм, мощность 36 кВт , напряжение 380 В</t>
  </si>
  <si>
    <t>522-103-0511-0003</t>
  </si>
  <si>
    <t>Машина конвейерная посудомоечная типа Empero EMP.3000. 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</si>
  <si>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</si>
  <si>
    <t>522-103-0511-0004</t>
  </si>
  <si>
    <t>Машина 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
помпой (дренажный насос для принудительного слива воды)</t>
  </si>
  <si>
    <t>Цикл мойки 60/90/120/180 сек. Дозатор моющего средства. Дозатор ополаскивающего средства. Модель оснащена встроенным термостатом, датчиком безопасности магнитной двери и регулируемыми по высоте ножками. Корпус выполнен из нержавеющей стали. Размер: ширина  695 мм, глубина 765 мм, высота 1485 мм. Кассета типа EMP.TB.01 500х500 для тарелок 5 шт. Кассета типа EMP.BB.01 500х500 для стаканов 5 шт. Кассета типа EMP.KC.01 для приборов 2 шт.</t>
  </si>
  <si>
    <t>522-103-0511-0005</t>
  </si>
  <si>
    <t>Машина 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t>
  </si>
  <si>
    <t>Цикл мойки, мин.: 1,5/2 /3. Дозатор моющего средства . Дозатор ополаскивающего средства. Размеры(ДхШхВ): 590х700х820мм. Корпус выполнен из нержавеющей стали. Кассета типа EMP.TB.01 500х500 для тарелок 3шт. Кассета типа EMP.BB.01 500х500 для стаканов 3 шт. Кассета типа EMP.KC.01 для приборов 2шт.</t>
  </si>
  <si>
    <t>522-103-0511-0006</t>
  </si>
  <si>
    <t>Машина 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</si>
  <si>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t>522-103-0511-0007</t>
  </si>
  <si>
    <t>Машина 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1200х750х890мм,
измельчителем пищевых отходов</t>
  </si>
  <si>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10шт. Кассета типа EMP.BB.01 500х500 для стаканов 10шт. Кассета типа EMP.KC.01 для приборов 5шт.</t>
  </si>
  <si>
    <t>522-103-0511-0008</t>
  </si>
  <si>
    <t>Машина посудомоечная  фронтальная МПК-500Ф (500 тарелок/час, 2 программы мойки, 1 дозатор (ополаскивающий), насос мойки, 6,7кВт, 400В)</t>
  </si>
  <si>
    <t>522-103-0511-0009</t>
  </si>
  <si>
    <t>Машина посудомоечная купольная
МПК-700К (700 тарелок/час, 2 программы мойки, 2 дозатора (моющий, ополаскивающий), насос мойки, насос ополаскивания, 10,5кВт, 400В)</t>
  </si>
  <si>
    <t>522-103-0511-0010</t>
  </si>
  <si>
    <t>Машина посудомоечная купольная МПК-700К-01 (700 тарелок/час, 2 программы мойки, 1 дозатор
(ополаскивающий), насос мойки, 10,5кВт, 400В)</t>
  </si>
  <si>
    <t>522-103-0511-0011</t>
  </si>
  <si>
    <t>Машина посудомоечная купольная
МПК-1100К (1100 тарелок/час, 3 программы мойки, 2 дозатора (моющий, ополаскивающий), насос мойки, насос ополаскивания, 13,5кВт, 400В)</t>
  </si>
  <si>
    <t>522-103-0511-0012</t>
  </si>
  <si>
    <t>Машина посудомоечная туннельная МПТ-1700-01 (теплообменник, 1700
тарелок/час, 3 программы мойки, 2 дозатора (моющий, ополаскивающий), насос мойки, 26,7 кВт, 400В)</t>
  </si>
  <si>
    <t>522-103-0512</t>
  </si>
  <si>
    <t>Машина котломоечная МПК 65-65 (камера 650х785х650 мм, 19 шт/час, 4 цикла, 2 дозатора)</t>
  </si>
  <si>
    <t>522-103-0513</t>
  </si>
  <si>
    <t>Водоумягчитель LT12 3/4"G (DVL211103)</t>
  </si>
  <si>
    <t>522-103-0514</t>
  </si>
  <si>
    <t>Устройство душирующее</t>
  </si>
  <si>
    <t>522-103-0514-0001</t>
  </si>
  <si>
    <t>Устройство душирующее с гусаком. Вертикальное положение, крепление на раковину, выполнено полностью из нержавеющей стали. Габариты:
750х250х69мм</t>
  </si>
  <si>
    <t>522-103-0514-0003</t>
  </si>
  <si>
    <t>Устройство душирующее со смесителем двухвентильным и вертикальной трубкой</t>
  </si>
  <si>
    <t>Профессиональная кухонная колонна с моноблочным смесителем и поворотным изливом для установки на столешницу. Смеситель с изливом и керамической головкой с поворотом на четверть оборота. Смеситель с керамической головкой с поворотом на четверть оборота, гибкими подводками и обратными клапанами. Все крепёжные элементы включены.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поворотными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Пластиковый аэратор M22x1 с защитой от известкового налета и хромированной
крышкой. 8) Оснащен гибкими подводками длиной 35 см (M10x1; G ⅜ дюйма). 9) Металлический крепежный комплект в форме подковы и обратные клапаны. 10) Максимальная температура: 80 °C. 11) Максимальная рекомендуемая температура: 65 °C. 12) Максимальное давление: 10 бар. 13) Минимальное давление: 0,5 бар. 14) Рекомендуемое
давление: 1–3 бар.</t>
  </si>
  <si>
    <t>522-103-0514-0004</t>
  </si>
  <si>
    <t>Устройство душирующее со смесителем двухвентильным</t>
  </si>
  <si>
    <t>Профессиональная кухонная колонна с моноблочным смесителем для установки на столешницу. Смеситель с керамической головкой на ¼ оборота,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Регулируемые по высоте опоры из хромированной латуни. 5) Хромированное покрытие согласно EN 248. 6) Керамическая головка с поворотом на ¼ оборота. 7) Оснащена гибкими соединениями длиной 35 см (M10x1; G ⅜ дюйма). 8) Металлический комплект креплений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</si>
  <si>
    <t>522-103-0514-0005</t>
  </si>
  <si>
    <t>Устройство душирующее со смесителем однорычажным</t>
  </si>
  <si>
    <t>Профессиональная кухонная колонна с однорычажным смесителем для установки на столешницу. Смеситель с керамическим картриджем D40,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Бесшумный керамический картридж Ø40 со свободным потоком. 7) Оснащен гибкими подводками длиной 35 см (M10x1; G ⅜ дюйма) 8) Металлический комплект крепления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</si>
  <si>
    <t>522-103-0514-0006</t>
  </si>
  <si>
    <t>Устройство душирующее со смесителем однорычажным и медицинской ручкой</t>
  </si>
  <si>
    <t>Профессиональная кухонная колонна с однорычажным смесителем, медицинской ручкой и поворотным изливом для установки на столешницу.
Смеситель с керамическим картриджем D40, гибкими подводками и обратными клапанами. Излив оснащен керамической головкой с поворотом на четверть оборота. Все крепёжные элементы включены в комплект. 1) Хромированная пружина из нержавеющей стали AISI 304. 2) Гибкий шланг с внутренней трубкой из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рукояткой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Бесшумный керамический картридж Ø40 со свободным потоком. 8) Оснащен гибкими
подводками длиной 35 см (M10x1; G ⅜ дюйма). 9) Металлический промежуточный шланг с фиксаторами. 10) Пластиковый аэратор M22x1 с защитой от известкового налета. 11) Максимальная температура: 80 °C. 12) Макс. рекомендуемая температура: 65 °C. 13) Максимальное давление: 10
бар. 14) Минимальное давление: 0,5 бар. 15) Рекомендуемое давление: 1–3
бар.</t>
  </si>
  <si>
    <t>522-103-0516</t>
  </si>
  <si>
    <t>Стол для грязной посуды</t>
  </si>
  <si>
    <t>522-103-0516-0013</t>
  </si>
  <si>
    <t>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</si>
  <si>
    <t>Без смесителя. Столешница усилена листом ДСП 16 мм. Путем несложного монтажа можно установить стол как в левом, так и в правом исполнении</t>
  </si>
  <si>
    <t>522-103-0600</t>
  </si>
  <si>
    <t>Электромеханическое оборудование</t>
  </si>
  <si>
    <t>522-103-0601</t>
  </si>
  <si>
    <t>Хлеборезка ЯНЫЧАР АХМ-300А (1050х560х590 мм, 300 бат/час, облицовка, 0,37 кВт, 380 В)</t>
  </si>
  <si>
    <t>522-103-0602</t>
  </si>
  <si>
    <t>Хлеборезка</t>
  </si>
  <si>
    <t>522-103-0602-0001</t>
  </si>
  <si>
    <t>Хлеборезка Hurakan HKN-PICO12, размеры 650x660x760 мм, мощность 0,25 кВт, напряжение 220 В</t>
  </si>
  <si>
    <t>522-103-0602-0002</t>
  </si>
  <si>
    <t>Хлеборезка настольная TR31A, размеры 650x770x770 мм, мощность 0,37 кВт, напряжение 220 В</t>
  </si>
  <si>
    <t>522-103-0603</t>
  </si>
  <si>
    <t>Миксер CMP 250 Combi 34300A (промышленный)</t>
  </si>
  <si>
    <t>522-103-0604</t>
  </si>
  <si>
    <t>Миксер ROBOT COUPE MICROMIX
34900/34950 (1500-14000 об/мин. полностью из нержавеющей стали 165 мм)</t>
  </si>
  <si>
    <t>522-103-0605</t>
  </si>
  <si>
    <t>522-103-0605-0001</t>
  </si>
  <si>
    <t>Миксер Electrolux Professional BP6565/600384, размеры 138x120x965 мм, мощность 0,65 кВт, напряжение 220 В</t>
  </si>
  <si>
    <t>522-103-0605-0002</t>
  </si>
  <si>
    <t>Миксер HLB-7, размеры 480х280х440 мм,
мощность 0,75 кВт, напряжение 220 В</t>
  </si>
  <si>
    <t>522-103-0605-0003</t>
  </si>
  <si>
    <t>Миксер B5S, размеры 380х240х375 мм,
мощность 0,5 кВт, напряжение 220 В</t>
  </si>
  <si>
    <t>522-103-0605-0004</t>
  </si>
  <si>
    <t>Миксер B7S, размеры 380х240х405 мм,
мощность 0,5 кВт напряжение 220 В</t>
  </si>
  <si>
    <t>522-103-0605-0005</t>
  </si>
  <si>
    <t>Миксер B10S, размеры 390х260х445 мм,
мощность 0,5 кВт, напряжение 220 В</t>
  </si>
  <si>
    <t>522-103-0605-0006</t>
  </si>
  <si>
    <t>Миксер B10B с защитой для рук, размеры 450х366х606 мм, мощность 0,72 кВт, напряжение 220 В</t>
  </si>
  <si>
    <t>522-103-0605-0007</t>
  </si>
  <si>
    <t>Миксер B20B с защитой для рук, размеры 520х420х760 мм, мощность 1,1 кВт, напряжение 220 В</t>
  </si>
  <si>
    <t>522-103-0605-0008</t>
  </si>
  <si>
    <t>Миксер B30B с защитой для рук, размеры 545х440х882 мм, мощность 1,5 кВт, напряжение 220 Вт,</t>
  </si>
  <si>
    <t>522-103-0605-0009</t>
  </si>
  <si>
    <t>Миксер B40F с защитой для рук, размеры 620х630х1011 мм, мощность 2 кВт, напряжение 220 В</t>
  </si>
  <si>
    <t>522-103-0605-0010</t>
  </si>
  <si>
    <t>Миксер B60F с защитой для рук, размеры 724х625х1300 мм, мощность 2,5 кВт, напряжение 380 В</t>
  </si>
  <si>
    <t>522-103-0605-0011</t>
  </si>
  <si>
    <t>Миксер B80F с защитой для рук, размеры 1205х740х1620 мм, мощность 4 кВт, напряжение 380 В</t>
  </si>
  <si>
    <t>522-103-0605-0012</t>
  </si>
  <si>
    <t>Миксер ручной MP 350 Combi Ultra, размеры 125х125х805 мм,  мощность 0,44 кВт, напряжение 220 В</t>
  </si>
  <si>
    <t>522-103-0606</t>
  </si>
  <si>
    <t>Слайсер Lusso 25 GS CEV (промышленный) (480х363х365 мм, диаметр ножа 250 мм, 0,14 кВт, 220 В)</t>
  </si>
  <si>
    <t>522-103-0607</t>
  </si>
  <si>
    <t>Слайсер Liloma MS 220 ST (470x410x310
мм, диаметр ножа 220 мм, 0,12 кВт, 220 В)</t>
  </si>
  <si>
    <t>522-103-0608</t>
  </si>
  <si>
    <t>Слайсер Hurakan HKN-HM250 (470х400х370
мм, диаметр ножа 250 мм, 0,15 кВт, 220 В)</t>
  </si>
  <si>
    <t>522-103-0609</t>
  </si>
  <si>
    <t>Овощерезка CL50E 24440 промышленная
(390х310х610 мм, 375 об/мин)</t>
  </si>
  <si>
    <t>522-103-0610</t>
  </si>
  <si>
    <t>Набор 8 ножей 1933 W</t>
  </si>
  <si>
    <t>522-103-0611</t>
  </si>
  <si>
    <t>Овощерезка HURAKAN HKN-FNT (600x240x590, ручн.загр, 100-300 кг/ч, 5
дисков: ломтики 2 и 4 мм)</t>
  </si>
  <si>
    <t>522-103-0612</t>
  </si>
  <si>
    <t>Машина овощерезательная</t>
  </si>
  <si>
    <t>522-103-0612-0001</t>
  </si>
  <si>
    <t>Машина овощерезательная, мощность 0,4 кВт, напряжение 230 В</t>
  </si>
  <si>
    <t>Машина овощерезательная электрическая, мощность 0,4 кВт, напряжение 220 В, набор дисков в комплекте.</t>
  </si>
  <si>
    <t>522-103-0612-0002</t>
  </si>
  <si>
    <t>Машина овощерезательная HLC-300, размеры 560х290х560 мм, мощность 0,55 кВт, напряжение 220 В</t>
  </si>
  <si>
    <t>522-103-0612-0003</t>
  </si>
  <si>
    <t>Машина овощерезательная МКО-50 (250 кг/ч, 0,5 кВт, 400В)</t>
  </si>
  <si>
    <t>522-103-0613</t>
  </si>
  <si>
    <t>МОК-150М Машина картофелеочистительная (650х410х835 мм, 150 кг/ч, загрузка 7 кг, 0,75 кВт, 380 В)</t>
  </si>
  <si>
    <t>522-103-0614</t>
  </si>
  <si>
    <t>МОК-300М Машина картофелеочистительная (650x410x870 мм, загрузка не более 10 кг, 300 кг/ч, 0,75 кВт,
380 В)</t>
  </si>
  <si>
    <t>522-103-0615</t>
  </si>
  <si>
    <t>Машина картофелеочистительная</t>
  </si>
  <si>
    <t>522-103-0615-0001</t>
  </si>
  <si>
    <t>Машина картофелеочистительная, производительность не менее 150кг/ч, мощность 0,37 кВт, напряжение 380 В</t>
  </si>
  <si>
    <t>Производительность не менее 150кг/ч, мощность 0,37 кВт, напряжение 380 В, материал корпуса нержавеющая сталь.</t>
  </si>
  <si>
    <t>522-103-0615-0002</t>
  </si>
  <si>
    <t>Машина картофелеочистительная HLP-15, размеры 476х646х1243 мм, мощность 0,75 кВт, напряжение 220 В</t>
  </si>
  <si>
    <t>522-103-0615-0003</t>
  </si>
  <si>
    <t>Машина картофелеочистительная HLP-20, размеры 536х676х1273 мм, мощность 0,95 кВт, напряжение 220 В</t>
  </si>
  <si>
    <t>522-103-0615-0004</t>
  </si>
  <si>
    <t>Машина картофелеочистительная МКК-150 (150 кг/ч, 10 кг, обработка 2 мин, 0,75 кВт, 400В)</t>
  </si>
  <si>
    <t>522-103-0615-0005</t>
  </si>
  <si>
    <t>Машина картофелеочистительная МКК-300 (300 кг/ч, 17 кг, обработка 2 мин, 0,75 кВт, 400В)</t>
  </si>
  <si>
    <t>522-103-0616</t>
  </si>
  <si>
    <t>МИМ-600М Мясорубка (560х510х420 мм, 600 кг/ч, 2,75 кВт, 380 В)</t>
  </si>
  <si>
    <t>522-103-0617</t>
  </si>
  <si>
    <t>Мясорубка настольная М-400 (УКМ-05) (676х310х445 мм, 400 кг/ч, 1,5 кВт, 380 В)</t>
  </si>
  <si>
    <t>522-103-0618</t>
  </si>
  <si>
    <t>Мясорубка настольная МИМ-150 (535х415х490, 150 кг/ч, 1,05 кВт, 380 В,
полный унгер)</t>
  </si>
  <si>
    <t>522-103-0619</t>
  </si>
  <si>
    <t>Пила для мяса SO 1550 F3 (23153402F) (промышленная)</t>
  </si>
  <si>
    <t>522-103-0620</t>
  </si>
  <si>
    <t>Пила для резки мяса JKB-1650 (470х490х865 мм, 200 кг/час, 0,75 кВт, 220 В)</t>
  </si>
  <si>
    <t>522-103-0621</t>
  </si>
  <si>
    <t>Пила для резки мяса</t>
  </si>
  <si>
    <t>522-103-0621-0001</t>
  </si>
  <si>
    <t>Пила для резки мяса, размеры 470x480x850 мм, мощность 0,75 кВт, напряжение 220 В</t>
  </si>
  <si>
    <t>522-103-0621-0002</t>
  </si>
  <si>
    <t>Пила для резки мяса настольная, размеры 551х566х1023 мм, мощность 0,75 кВт, напряжение 220 В</t>
  </si>
  <si>
    <t>522-103-0621-0003</t>
  </si>
  <si>
    <t>Пила для резки мяса настольная, размеры 525х470х850 мм, мощность 0,65 кВт, напряжение 220 В</t>
  </si>
  <si>
    <t>522-103-0621-0004</t>
  </si>
  <si>
    <t>Пила для резки мяса настольная, размеры 590х570х1040 мм, мощность 1,5 кВт, напряжение 220 В</t>
  </si>
  <si>
    <t>522-103-0622</t>
  </si>
  <si>
    <t>Мясорубка</t>
  </si>
  <si>
    <t>522-103-0622-0001</t>
  </si>
  <si>
    <t>Мясорубка, производительность не менее 300 кг/ч, мощность 1,5 кВт, напряжение 380 В</t>
  </si>
  <si>
    <t>522-103-0622-0002</t>
  </si>
  <si>
    <t>Мясорубка TC-12, размеры 400х190х410 мм, производительность 120 кг/ч, мощность 0,55 кВт, напряжение 220 В</t>
  </si>
  <si>
    <t>522-103-0622-0003</t>
  </si>
  <si>
    <t>Мясорубка TC-22, размеры 410х240х450 мм, производительность 220 кг/ч, мощность 0,75 кВт, напряжение 220 В</t>
  </si>
  <si>
    <t>522-103-0622-0004</t>
  </si>
  <si>
    <t>Мясорубка TC-32, размеры 530х270х500 мм, производительность 320 кг/ч, мощность 1,5 кВт, напряжение 220 В</t>
  </si>
  <si>
    <t>522-103-0622-0005</t>
  </si>
  <si>
    <t>Мясорубка TC-42, размеры 530х1020х950 мм, производительность 630 кг/ч, мощность 4 кВт, напряжение 380 В</t>
  </si>
  <si>
    <t>522-103-0622-0006</t>
  </si>
  <si>
    <t>Мясорубка TC-52, размеры 800х1350х1220 мм, производительность 1300 кг/ч, мощность 5,5 кВт, напряжение 380 В</t>
  </si>
  <si>
    <t>522-103-0622-0007</t>
  </si>
  <si>
    <t>Мясорубка электрическая МЭП-300 (300 кг/ч, полный унгер, реверс, 250 об/мин, 690х420х472 мм, 1,5 кВт, 400 В, вся нерж.)</t>
  </si>
  <si>
    <t>522-103-0623</t>
  </si>
  <si>
    <t>Слайсер</t>
  </si>
  <si>
    <t>522-103-0623-0001</t>
  </si>
  <si>
    <t>Слайсер полуавтоматический LUSSO 250/S-L, размеры 530х480х390 мм, мощность 0,14 кВт, напряжение 220 В</t>
  </si>
  <si>
    <t>522-103-0623-0002</t>
  </si>
  <si>
    <t>Слайсер полуавтоматический HBS-220A, размеры 575х465х415 мм, мощность 0,12 кВт, напряжение 220 В</t>
  </si>
  <si>
    <t>522-103-0623-0003</t>
  </si>
  <si>
    <t>Слайсер полуавтоматический HBS-250A, размеры 575х465х510 мм, мощность 0,15 кВт, напряжение 220 В</t>
  </si>
  <si>
    <t>522-103-0623-0004</t>
  </si>
  <si>
    <t>Слайсер полуавтоматический HBS-300A, размеры 615х525х510 мм, мощность 0,25 кВт, напряжение 220 В</t>
  </si>
  <si>
    <t>522-103-0624</t>
  </si>
  <si>
    <t>Овоскоп</t>
  </si>
  <si>
    <t>522-103-0624-0001</t>
  </si>
  <si>
    <t>Овоскоп (прибор контроля качества яиц), на 10шт., Мощность 0,06 кВт, О-10</t>
  </si>
  <si>
    <t>522-103-0625</t>
  </si>
  <si>
    <t>Куттер</t>
  </si>
  <si>
    <t>522-103-0625-0001</t>
  </si>
  <si>
    <t>Куттер настольный HR-9, размеры 570х385х460 мм, мощность 1,8 кВт, напряжение 220 В</t>
  </si>
  <si>
    <t>522-103-0625-0002</t>
  </si>
  <si>
    <t>Куттер настольный HR-12, размеры 570х385х525 мм, мощность 2 кВт, напряжение 220 В</t>
  </si>
  <si>
    <t>522-103-0626</t>
  </si>
  <si>
    <t>Сыротерка</t>
  </si>
  <si>
    <t>522-103-0626-0001</t>
  </si>
  <si>
    <t>Сыротерка CSG55SH, размеры 500х315х550 мм, мощность 0,75 кВт, напряжение 220 В</t>
  </si>
  <si>
    <t>522-103-0627</t>
  </si>
  <si>
    <t>Машина для пасты (лапши)</t>
  </si>
  <si>
    <t>522-103-0627-0001</t>
  </si>
  <si>
    <t>Машина для пасты (лапши) HNM-240, размеры 450х325х405 мм, мощность 0,75 кВт, напряжение 220 В</t>
  </si>
  <si>
    <t>522-103-0700</t>
  </si>
  <si>
    <t>Весовое оборудование</t>
  </si>
  <si>
    <t>522-103-0701</t>
  </si>
  <si>
    <t>Весы порционные, наибольший предел взвешивания до 10 кг</t>
  </si>
  <si>
    <t>Размеры не менее 287х260х137мм. Мощность 0,025 кВт, напряжение 220 В. Наибольший предел взвешивания до 10 кг.</t>
  </si>
  <si>
    <t>522-103-0702</t>
  </si>
  <si>
    <t>Весы порционные, наибольший предел взвешивания до 5 кг</t>
  </si>
  <si>
    <t>Размеры не менее 287х260х137мм. Мощность 0,025 кВт, напряжение 220 В. Наибольший предел взвешивания до 5 кг.</t>
  </si>
  <si>
    <t>522-103-0703</t>
  </si>
  <si>
    <t>Весы напольные, наибольший предел взвешивания до 200 кг</t>
  </si>
  <si>
    <t>Размеры не менее 420х655х710 мм. Напряжение 220 В, мощность 0,4 кВт Жидкокристаллический дисплей на стойке.</t>
  </si>
  <si>
    <t>522-103-0704</t>
  </si>
  <si>
    <t>Весы M-ER 335 ACLP-300.50 (600х460) LCD "TURTLE"</t>
  </si>
  <si>
    <t>522-103-0705</t>
  </si>
  <si>
    <t>Bесы напольные товарные ФорТ-П 836 (150/20; 450х600) Вектор</t>
  </si>
  <si>
    <t>522-103-0800</t>
  </si>
  <si>
    <t>Барное оборудование</t>
  </si>
  <si>
    <t>522-103-0801</t>
  </si>
  <si>
    <t>Кипятильник электрический накопительный КВЭ-30, размеры 306х306х605 мм, объем 30 л, мощность 3 кВт, напряжение 220 В</t>
  </si>
  <si>
    <t>522-103-0802</t>
  </si>
  <si>
    <t>Кипятильник электрический</t>
  </si>
  <si>
    <t>522-103-0802-0001</t>
  </si>
  <si>
    <t>Кипятильник электрический накопительный КВЭ-15, размеры 306х306х385 мм, объем 15 л, мощность 3 кВт, напряжение 220 В</t>
  </si>
  <si>
    <t>522-103-0802-0002</t>
  </si>
  <si>
    <t>Кипятильник электрический WB-10A, размеры 280х310х395 мм, объем 10 л, мощность 2 кВт, напряжение 220 В</t>
  </si>
  <si>
    <t>522-103-0802-0003</t>
  </si>
  <si>
    <t>Кипятильник электрический WB-20A, размеры 265х265х550 мм, объем 20 л, мощность 2,5 кВт, напряжение 220 В</t>
  </si>
  <si>
    <t>522-103-0802-0004</t>
  </si>
  <si>
    <t>Кипятильник электрический, объем 30л</t>
  </si>
  <si>
    <t>Тип накопительный. Размеры не менее 380х380х410 мм. Мощность 3 кВт, напряжение 220 В. Объем 30 л. Корпус выполнен из нержавеющей стали, ручки с покрытием из термопластика.</t>
  </si>
  <si>
    <t>522-103-0802-0005</t>
  </si>
  <si>
    <t>Кипятильник электрический накопительный, объем 40л, мощность 3 кВт, напряжение 220 В</t>
  </si>
  <si>
    <t>Кипятильник электрический накопительный. Размеры не менее 390х390х503 мм. Корпус выполнен из нержавеющей стали, ручки из термоизоляционного материала.</t>
  </si>
  <si>
    <t>522-103-0802-0006</t>
  </si>
  <si>
    <t>Кипятильник электрический WB-10A, двойные стенки,  размеры 270х270х450 мм, объем 10 л, мощность 2 кВт, напряжение 220 В</t>
  </si>
  <si>
    <t>522-103-0802-0007</t>
  </si>
  <si>
    <t>Кипятильник электрический WB-10A, двойные стенки, размеры 270х270х550 мм, объем 20 л, мощность 2 кВт, напряжение 220 В</t>
  </si>
  <si>
    <t>522-103-0802-0008</t>
  </si>
  <si>
    <t>Кипятильник электрический WB-10A, двойные стенки, размеры 320х320х550 мм, объем 30 л, мощность 2 кВт, напряжение 220 В</t>
  </si>
  <si>
    <t>522-103-0802-0009</t>
  </si>
  <si>
    <t>Кипятильник электрический WB-10A, двойные стенки, размеры 320х320х600 мм, объем 40 л, мощность 2,5 кВт, напряжение 220 В</t>
  </si>
  <si>
    <t>522-103-0802-0010</t>
  </si>
  <si>
    <t>Кипятильник электрический HWB-20L, размеры 190х280х690мм, объем 20 л, мощность 3 кВт, напряжение 220 В</t>
  </si>
  <si>
    <t>522-103-0802-0011</t>
  </si>
  <si>
    <t>Кипятильник электрический HWB-30L, размеры 190х340х740мм, объем 30 л, мощность 3 кВт, напряжение 220 В</t>
  </si>
  <si>
    <t>522-103-0802-0012</t>
  </si>
  <si>
    <t>Кипятильник электрический HWB-40L, размеры 450х300х680мм, объем 40 л, мощность 3 кВт, напряжение 220 В</t>
  </si>
  <si>
    <t>522-103-0802-0013</t>
  </si>
  <si>
    <t>Кипятильник электрический HWB-60L, размеры 450х340х680мм, объем 60 л, мощность 6 кВт, напряжение 380 В</t>
  </si>
  <si>
    <t>522-103-0802-0014</t>
  </si>
  <si>
    <t>Кипятильник электрический проточный (прямоугольный) КЭН-50, размеры 355х685х391мм, производительность 50л/час, мощность 6,6кВт, напряжение 380В</t>
  </si>
  <si>
    <t>522-103-0802-0015</t>
  </si>
  <si>
    <t>Кипятильник электрический проточный (прямоугольный) КЭН-100, размеры 355х685х391мм, производительность 100л/час, мощность 13,2кВт, напряжение 380В</t>
  </si>
  <si>
    <t>522-103-0802-0016</t>
  </si>
  <si>
    <t>Кипятильник электрический непрерывного действия КНЭ-50/100, размеры 300х250х470мм, производительность
50-100л/час, мощность 6-12кВт, напряжение 380В, 2 режима работы</t>
  </si>
  <si>
    <t>522-103-0803</t>
  </si>
  <si>
    <t>Водонагреватель накопительный Garanterm ER 50 V (MGR 50 V) (455х445х558 мм, 1,5
кВт, 50 л)</t>
  </si>
  <si>
    <t>522-103-0804</t>
  </si>
  <si>
    <t>Водонагреватель накопительный Garanterm ER 80 V (MGR 80 V) (455х445х798 мм, 80 л, 1,5 кВт)</t>
  </si>
  <si>
    <t>522-103-0805</t>
  </si>
  <si>
    <t>Соковыжималка JAU J-180 (308x220x350
мм, 0,18 кВт, 220 В)</t>
  </si>
  <si>
    <t>522-103-0806</t>
  </si>
  <si>
    <t>Соковыжималка APACH ACS1 ECO (210х210х280 мм, 320 об/мин, 0,15 кВт, 220 В)</t>
  </si>
  <si>
    <t>522-103-0807</t>
  </si>
  <si>
    <t>Кипятильник-кофеварка</t>
  </si>
  <si>
    <t>522-103-0807-0001</t>
  </si>
  <si>
    <t>Кипятильник-кофеварка CP-06A, размеры 300х300х480 мм, объем 6 л, мощность 1,2 кВт, напряжение 220 В</t>
  </si>
  <si>
    <t>522-103-0807-0002</t>
  </si>
  <si>
    <t>Кипятильник-кофеварка CP-10A, размеры 340х340х490 мм, объем 10 л, мощность 1,5 кВт, напряжение 220 В</t>
  </si>
  <si>
    <t>522-103-0807-0003</t>
  </si>
  <si>
    <t>Кипятильник-кофеварка CP-15A, размеры 340х340х600 мм, объем 15 л, мощность 1,5 кВт, напряжение 220 В</t>
  </si>
  <si>
    <t>522-103-0808</t>
  </si>
  <si>
    <t>Сокоохладитель</t>
  </si>
  <si>
    <t>522-103-0808-0001</t>
  </si>
  <si>
    <t>Сокоохладитель JD-161A, размеры 265х375х700мм, объем 16 л, мощность 0,18 кВт, напряжение 220 В</t>
  </si>
  <si>
    <t>522-103-0808-0002</t>
  </si>
  <si>
    <t>Сокоохладитель JD-162A, размеры 420х450х680мм, объем 16 л, мощность 0,235 кВт, напряжение 220 В</t>
  </si>
  <si>
    <t>522-103-0808-0003</t>
  </si>
  <si>
    <t>Сокоохладитель JD-163A, размеры 820х450х680мм, объем 16 л, мощность 0,33 кВт, напряжение 220 В</t>
  </si>
  <si>
    <t>522-103-0900</t>
  </si>
  <si>
    <t>Санитарно-гигиеническое оборудование</t>
  </si>
  <si>
    <t>522-103-0901</t>
  </si>
  <si>
    <t>Стерилизатор для ножей, мощность 0,03
кВт, напряжение 220 В, не менее 18 ножей</t>
  </si>
  <si>
    <t>Стерилизатор для ножей, мощность 0,03 кВт, напряжение 220 В, не менее 18 ножей</t>
  </si>
  <si>
    <t>522-103-0902</t>
  </si>
  <si>
    <t>Стерилизатор ножей СТУ-1-18-02-1
(465х145х605 мм, 8 Вт, 220 В)</t>
  </si>
  <si>
    <t>522-103-0903</t>
  </si>
  <si>
    <t>Измельчитель отходов HURAKAN
HKN-FWD370A (235x235x405 мм, 220 В, 0,37 кВт)</t>
  </si>
  <si>
    <t>522-103-0904</t>
  </si>
  <si>
    <t>Измельчитель отходов HURAKAN
HKN-FWD450A (235x235x405 мм, 220 В, 0,45 кВт)</t>
  </si>
  <si>
    <t>522-103-1000</t>
  </si>
  <si>
    <t>Линии раздачи</t>
  </si>
  <si>
    <t>522-103-1001</t>
  </si>
  <si>
    <t>Прилавок холодильный ПВВ(Н)-70КМ-НШ (1120х705/1030х1240)</t>
  </si>
  <si>
    <t>522-103-1002</t>
  </si>
  <si>
    <t>Прилавок холодильный ПВВ(Н)-70КМ-01-НШ (1500х705/1030х1240)</t>
  </si>
  <si>
    <t>522-103-1003</t>
  </si>
  <si>
    <t>Прилавок холодильный ПВВ(Н)-70КМ-02-НШ (1120х705/1030х1240)</t>
  </si>
  <si>
    <t>522-103-1004</t>
  </si>
  <si>
    <t>Прилавок холодильный ПВВ(Н)-70КМ-03-НШ (1500х705/1030х1240)</t>
  </si>
  <si>
    <t>522-103-1005</t>
  </si>
  <si>
    <t>Прилавок-витрина холодильный, размеры не менее 1120х705/1030х1720мм</t>
  </si>
  <si>
    <t>Температурный режим холодильного отсека от 5 до 15 °C. Напряжение 220В. Мощность 0,67 кВт. Размеры не менее 1120х705/1030х1720мм.
Конструкция выполнена из нержавеющей стали. Оснащена регулируемыми по высоте ножками. Принудительная циркуляция охлажденного воздуха и лампа подсветки в холодильной витрине. 6 полок-решеток. Внизу расположен шкаф для хранения кухонного инвентаря. Направляющие для подносов входят в комплект поставки.</t>
  </si>
  <si>
    <t>522-103-1006</t>
  </si>
  <si>
    <t>Прилавок-витрина холодильный ПВВ(Н)-70КМ-С-01-НШ вся нерж. (1500х705/1030х1720)</t>
  </si>
  <si>
    <t>522-103-1007</t>
  </si>
  <si>
    <t>Прилавок-витрина холодильный ПВВ(Н)-70КМ-С-02-НШ (1120х705/1030х1720)</t>
  </si>
  <si>
    <t>522-103-1008</t>
  </si>
  <si>
    <t>Прилавок-витрина холодильный ПВВ(Н)-70КМ-С-03-НШ (1500х705/1030х1240)</t>
  </si>
  <si>
    <t>522-103-1009</t>
  </si>
  <si>
    <t>Прилавок-витрина холодильный</t>
  </si>
  <si>
    <t>522-103-1009-0001</t>
  </si>
  <si>
    <t>Прилавок-витрина холодильный ПВВ(Н)-70КМ-С-01-ОК (1500х755/1080х1720)</t>
  </si>
  <si>
    <t>522-103-1009-0002</t>
  </si>
  <si>
    <t>Прилавок-витрина холодильный 1500х700(1000)х1800, Мощность 3,25кВт, с подсветкой, ПВВ(Н)-70КМ-С-01-НШ</t>
  </si>
  <si>
    <t>522-103-1009-0003</t>
  </si>
  <si>
    <t>Линия холодного сервиса
CE-SSO-GN-1-1X3-120. Нержавеющая сталь. Объем: 3 GN1/1-150, 220В, 50Гц, 1 кВт.
Размер: 1200x700x850/1300мм</t>
  </si>
  <si>
    <t>522-103-1009-0004</t>
  </si>
  <si>
    <t>Линия холодного сервиса
CE-SSO-GN-1-1X4-150. Нержавеющая сталь. Объем: 3 GN1/1-150, 220В, 50Гц, 1 кВт.
Размер: 1500x700x850/1300мм</t>
  </si>
  <si>
    <t>522-103-1009-0005</t>
  </si>
  <si>
    <t>Линия холодного сервиса
CE-SSO-GN-1-1X5-180. Нержавеющая сталь. Объем: 3 GN1/1-150, 220В, 50Гц, 1 кВт.
Размер: 1800x700x850/1350мм</t>
  </si>
  <si>
    <t>522-103-1009-0006</t>
  </si>
  <si>
    <t>Линия холодного сервиса CE-SST120X70. Нержавеющая сталь. 3 стеклянные полки, холодильный шкаф, с ползунком для подноса, 220B, 50Гц, 1кВт. Размер: 1200x700x850/1615мм</t>
  </si>
  <si>
    <t>522-103-1009-0007</t>
  </si>
  <si>
    <t>Линия холодного сервиса CE-SST140X70. Нержавеющая сталь. 3 стеклянные полки, холодильный шкаф, с ползунком для подноса, 220B, 50Гц, 1кВт. Размер: 1400x700x850/1615мм</t>
  </si>
  <si>
    <t>522-103-1009-0009</t>
  </si>
  <si>
    <t>Витрина для холодных закусок ЛРВХ-1-00, размеры 1500х700х1800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входят в комплект</t>
  </si>
  <si>
    <t>522-103-1009-0010</t>
  </si>
  <si>
    <t>Витрина для холодных закусок ЛРВХ-1-01, размеры 1120х700х1720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ввходят в комплект</t>
  </si>
  <si>
    <t>522-103-1009-0011</t>
  </si>
  <si>
    <t>Прилавок холодильный низкотемпературный ЛРПХ-1-00, размеры 1500х700х1230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</si>
  <si>
    <t>522-103-1009-0012</t>
  </si>
  <si>
    <t>Прилавок холодильный низкотемпературный ЛРПХ-1-01, размеры 1120х700х1220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</si>
  <si>
    <t>522-103-1010</t>
  </si>
  <si>
    <t>Прилавок для горячих напитков ПГН-70КМ-03 (1500х705/1030х870)</t>
  </si>
  <si>
    <t>522-103-1011</t>
  </si>
  <si>
    <t>Прилавок для горячих напитков ПГН-70КМ (1120х705/1030х1485)</t>
  </si>
  <si>
    <t>522-103-1012</t>
  </si>
  <si>
    <t>Прилавок тепловой ПВТ-70КМ-02 (1500х705/1030х869)</t>
  </si>
  <si>
    <t>522-103-1013</t>
  </si>
  <si>
    <t>Прилавок для столовых приборов ПСПХ-70КМ (630х675х1340)</t>
  </si>
  <si>
    <t>522-103-1014</t>
  </si>
  <si>
    <t>Прилавок для столовых приборов</t>
  </si>
  <si>
    <t>522-103-1014-0001</t>
  </si>
  <si>
    <t>Прилавок для столовых приборов и подносов. 4 стакана для столовых приборов. Регулируемые по высоте ножки. Конструкция выполнена из нержавеющей стали. Размеры не менее 630х675х1242мм</t>
  </si>
  <si>
    <t>522-103-1014-0002</t>
  </si>
  <si>
    <t>Прилавок для столовых приборов из нержавеющей стали 700х770х1220 с подсветкой,  ПСП-70КМ</t>
  </si>
  <si>
    <t>522-103-1014-0003</t>
  </si>
  <si>
    <t>Прилавок для столовых приборов
CE-SKU70X70. Нержавеющая сталь. С 3 ячейками для ножей, ложек и вилок. Размер: 700x700x1250мм</t>
  </si>
  <si>
    <t>522-103-1014-0005</t>
  </si>
  <si>
    <t>Прилавок для столовых приборов
ЛРПС-1-00, размеры 700х700х1225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</si>
  <si>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522-103-1014-0006</t>
  </si>
  <si>
    <t>Прилавок для столовых приборов
ЛРПС-1-01, размеры 700х770х1225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</si>
  <si>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522-103-1014-0007</t>
  </si>
  <si>
    <t>Прилавок для столовых приборов
ЛРПС-1-02, размеры 630х674х1242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</si>
  <si>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522-103-1015</t>
  </si>
  <si>
    <t>Прилавок для горячих напитков
ПГН-70КМ-01 нейтральный стол (две полки, 1500х705/1030х1485 мм)</t>
  </si>
  <si>
    <t>522-103-1016</t>
  </si>
  <si>
    <t>Прилавок для горячих напитков</t>
  </si>
  <si>
    <t>522-103-1016-0001</t>
  </si>
  <si>
    <t>Прилавок для горячих напитков ПГН-70КМ-02 (1120х705/1030х870)</t>
  </si>
  <si>
    <t>522-103-1016-0002</t>
  </si>
  <si>
    <t>Прилавок для горячих напитков 1500х700(1000)х850, с подсветкой, Мощность 2,5 кВт, ПГН-70КМ-03</t>
  </si>
  <si>
    <t>522-103-1017</t>
  </si>
  <si>
    <t>Прилавок ПТЭ-70КМ-80 (630х705/1030х920)</t>
  </si>
  <si>
    <t>522-103-1018</t>
  </si>
  <si>
    <t>Кассовая кабина КК-70КМ (1120х705/1030х870)</t>
  </si>
  <si>
    <t>522-103-1019</t>
  </si>
  <si>
    <t>Модуль нейтральный МН-70КМ (630х705/1030х870)</t>
  </si>
  <si>
    <t>522-103-1020</t>
  </si>
  <si>
    <t>Модуль поворотный МП-90КМ (внешн. 90 градус) (997/1440х705/1030х870)</t>
  </si>
  <si>
    <t>522-103-1021</t>
  </si>
  <si>
    <t>Модуль поворотный МП-90КМ-01 (внутрен. 90 градус) без направляющей (1430х705х870)</t>
  </si>
  <si>
    <t>522-103-1022</t>
  </si>
  <si>
    <t>Модуль поворотный МП-45КМ (внешн. 45 градус) (566/813х705/1030х870)</t>
  </si>
  <si>
    <t>522-103-1023</t>
  </si>
  <si>
    <t>Модуль поворотный МП-45КМ-01 (внутрен. 45 градус) без направляющей (784х705х870)</t>
  </si>
  <si>
    <t>522-103-1024</t>
  </si>
  <si>
    <t>Прилавок для подогрева первых блюд</t>
  </si>
  <si>
    <t>522-103-1024-0001</t>
  </si>
  <si>
    <t>Линия сервиса первых блюд
CE-SCO100X70. Нержавеющая сталь. 3 резервуара, термостатический контроль, шкаф без дверей, с ползунком для подноса и стеклянная полка обслуживания, 220В, 50Гц, 3,5 кВт. Размер: 1000x700x850/1300мм</t>
  </si>
  <si>
    <t>522-103-1024-0002</t>
  </si>
  <si>
    <t>Мармит для первых блюд ЛРМП-1-00 с направляющей для подносов, размеры 1100х700х1510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</si>
  <si>
    <t>522-103-1024-0003</t>
  </si>
  <si>
    <t>Мармит для первых блюд ЛРМП-1М1-00 с направляющей для подносов, размеры 1100х700х1230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</si>
  <si>
    <t>522-103-1024-0004</t>
  </si>
  <si>
    <t>Мармит для первых блюд ЛРМП-2-00 с направляющей для подносов, размеры 1500х700х1230 мм, конструкция из нержавеющей стали. Оснащен 3-мя конфорками с регулировкой мощности ступенчатым переключателем, полка над мармитом для выкладки блюд с подсветкой. Ножки регулируемые</t>
  </si>
  <si>
    <t>522-103-1025</t>
  </si>
  <si>
    <t>Прилавок для подогрева вторых блюд</t>
  </si>
  <si>
    <t>522-103-1025-0001</t>
  </si>
  <si>
    <t>Линия горячего сервиса
CE-SSI-GN-1-1X3-120. Нержавеющая сталь. Объем: 3 GN1/1-150, термостатический контроль, 220В, 50Гц, 2,5кВт. Размер: 1200x700x850/1300мм</t>
  </si>
  <si>
    <t>522-103-1025-0002</t>
  </si>
  <si>
    <t>Линия горячего сервиса
CE-SSI-GN-1-1X4-150. Нержавеющая сталь. Объем: 3 GN1/1-150, термостатический контроль, 220В, 50Гц, 2,5кВт. Размер: 1500x700x850/1300мм</t>
  </si>
  <si>
    <t>522-103-1025-0003</t>
  </si>
  <si>
    <t>Линия горячего сервиса
CE-SSI-GN-1-1X5-180. Нержавеющая сталь. Объем: 3 GN1/1-150, термостатический контроль, 220В, 50Гц, 2,5кВт. Размер: 1800x700x850/1300мм</t>
  </si>
  <si>
    <t>522-103-1025-0004</t>
  </si>
  <si>
    <t>Мармит 2-х блюд ПМЭС-70КМ-60, нержавеющая сталь, размеры 1120x705(1030)x1484мм, напряжение 220В, мощность 1,22кВт, две полки, подсветка, с гастроемкостями</t>
  </si>
  <si>
    <t>522-103-1025-0005</t>
  </si>
  <si>
    <t>Мармит для вторых блюд ЛРМВ-1-00, размеры 1500х700х1510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</si>
  <si>
    <t>522-103-1025-0006</t>
  </si>
  <si>
    <t>Мармит для вторых блюд ЛРМВ-1-01, размеры 1120х700х1485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</si>
  <si>
    <t>522-103-1026</t>
  </si>
  <si>
    <t>Прилавок нейтральный</t>
  </si>
  <si>
    <t>522-103-1026-0001</t>
  </si>
  <si>
    <t>Линия нейтральная сервисная
CE-SNO120X70. Нержавеющая сталь. Шкаф с 2 полками без дверей. Размер: 1200x700x850/1300мм</t>
  </si>
  <si>
    <t>522-103-1026-0002</t>
  </si>
  <si>
    <t>Линия нейтральная сервисная
CE-SNO140X70. Нержавеющая сталь. Шкаф с 2 полками без дверей. Размер: 1400x700x850/1300мм</t>
  </si>
  <si>
    <t>522-103-1026-0003</t>
  </si>
  <si>
    <t>Линия нейтральная сервисная
CE-SNO160X70. Нержавеющая сталь. Шкаф с 2 полками без дверей. Размер: 1600x700x850/1300мм</t>
  </si>
  <si>
    <t>522-103-1026-0004</t>
  </si>
  <si>
    <t>Стол нейтральный сервисной линии CE-SNOT120X70. Нержавеющая сталь. Размер: 1200x700x850/1300мм</t>
  </si>
  <si>
    <t>522-103-1026-0005</t>
  </si>
  <si>
    <t>Стол нейтральный сервисной линии CE-SNOT140X70. Нержавеющая сталь. Размер: 1400x700x850/1300мм</t>
  </si>
  <si>
    <t>522-103-1026-0006</t>
  </si>
  <si>
    <t>Стол нейтральный сервисной линии CE-SNOT160X70. Нержавеющая сталь. Размер: 1600x700x850/1300мм</t>
  </si>
  <si>
    <t>522-103-1026-0007</t>
  </si>
  <si>
    <t>Прилавок общий ЛРПО-1-00 с направляющей для подносов, размеры 1500х700х860 мм, внизу прилавка расположен открытый отсек. Ножки регулируемые</t>
  </si>
  <si>
    <t>522-103-1026-0008</t>
  </si>
  <si>
    <t>Прилавок общий ЛРПО-1-01 с направляющей для подносов, размеры 1500х700х850 мм, внизу прилавка расположен открытый отсек. Ножки регулируемые</t>
  </si>
  <si>
    <t>522-103-1026-0009</t>
  </si>
  <si>
    <t>Прилавок общий ЛРПО-2-00 с направляющей для подносов, размеры 1100х700х1485 мм, Оборудован двумя полками, нижняя полка имеет подсветку, внизу расположен открытый отсек с двумя розетками 220В. Ножки регулируемые</t>
  </si>
  <si>
    <t>522-103-1027</t>
  </si>
  <si>
    <t>Кабина кассовая</t>
  </si>
  <si>
    <t>522-103-1027-0001</t>
  </si>
  <si>
    <t>Линия кассирная CE-SKA140X70. Нержавеющая сталь. Шкаф без дверей, с ползунком для подноса. Размер: 1400x700x850мм</t>
  </si>
  <si>
    <t>522-103-1027-0002</t>
  </si>
  <si>
    <t>Кабина кассовая ЛРКК-1-00, размеры 1120х1030х870 мм, внизу дополнительная полка и розетка 220В. Направляющие для подносов входят в комплект</t>
  </si>
  <si>
    <t>522-103-1100</t>
  </si>
  <si>
    <t>Прачечное оборудование</t>
  </si>
  <si>
    <t>522-103-1101</t>
  </si>
  <si>
    <t>Каток гладильный 1400ES (1840х420х1003 мм, 35 кг/ч)</t>
  </si>
  <si>
    <t>522-103-1102</t>
  </si>
  <si>
    <t>Каток гладильный 160.30VAR (2090х552х1073 мм, 50 кг/ч)</t>
  </si>
  <si>
    <t>522-103-1103</t>
  </si>
  <si>
    <t>Машина стирально-сушильная мод. ST3JGASP403UG01 загрузка (стирка) - 10,2 кг, загрузка (сушка) - 10,2 кг</t>
  </si>
  <si>
    <t>522-103-1104</t>
  </si>
  <si>
    <t>Стиральная машина ТМ Speed Queen мод. SF3JGBSP403NG22, загрузка - 10,2 кг</t>
  </si>
  <si>
    <t>522-103-1105</t>
  </si>
  <si>
    <t>Стол гладильный мод. Omega 2000 (1100х370х900)</t>
  </si>
  <si>
    <t>522-103-1106</t>
  </si>
  <si>
    <t>Утюг гладильный мод. Pony Baby 1.8</t>
  </si>
  <si>
    <t>522-103-1107</t>
  </si>
  <si>
    <t>Утюг гладильный мод. Pony Baby 2.3</t>
  </si>
  <si>
    <t>522-103-1108</t>
  </si>
  <si>
    <t>522-103-1108-0001</t>
  </si>
  <si>
    <t>Утюг с парогенератором, объём бойлера 2,5 л, напряжение 220В. Корпус и бойлер из нержавеющей стали. Габаритные размеры: 325х260х300 мм. Мощность 1,8 кВт</t>
  </si>
  <si>
    <t>Нагревательный элемент выполнен из меди, внутренний электроклапан. Силиконовый коврик-подставка в комплекте. Рабочее давление пара 2.5 бар. Время непрерывной работы 2 - 2.5ч.</t>
  </si>
  <si>
    <t>522-103-1108-0002</t>
  </si>
  <si>
    <t>Утюг с парогенератором, объём бойлера 3,7 л, напряжение 220В. Корпус и бойлер из нержавеющей стали. Габаритные размеры: 310х420х390 мм. Мощность 2,3 кВт</t>
  </si>
  <si>
    <t>Нагревательный элемент выполнен из меди, внутренний электроклапан. Силиконовый коврик-подставка в комплекте. Рабочее давление пара 3.5 бар. Время непрерывной работы до 4.5ч.</t>
  </si>
  <si>
    <t>Подраздел 522-2. Оборудование и мебель специальных организаций образования Группа 522-201. Оборудование, пособия и мебель специальных организаций образования</t>
  </si>
  <si>
    <t>Группа 522-201. Оборудование, пособия и мебель специальных организаций образования</t>
  </si>
  <si>
    <t>522-201-0200</t>
  </si>
  <si>
    <t>Оборудование для логопедических занятий</t>
  </si>
  <si>
    <t>522-201-0202</t>
  </si>
  <si>
    <t>Зеркало для индивидуальных
логопедических занятий</t>
  </si>
  <si>
    <t>522-201-0202-0001</t>
  </si>
  <si>
    <t>Зеркало для индивидуальных логопедических занятий. Складное, переносное, из оргстекла в футляре типа Инт парк 27513</t>
  </si>
  <si>
    <t>522-201-0203</t>
  </si>
  <si>
    <t>Тренажер на базе персонального компьютера для развития
звуко-произносительной и
лексико-грамматической стороны речи</t>
  </si>
  <si>
    <t>522-201-0203-0001</t>
  </si>
  <si>
    <t>Логопедический тренажер "Дельфа-142.1", модификация 1.7 с персональным компьютером</t>
  </si>
  <si>
    <t>522-201-0203-0002</t>
  </si>
  <si>
    <t>Логопедический тренажер "Дельфа-142.1", модификация 2.2 с персональным компьютером</t>
  </si>
  <si>
    <t>522-201-0203-0003</t>
  </si>
  <si>
    <t>Логопедический тренажер "Дельфа-142.1", модификация "PAC", с персональным компьютером</t>
  </si>
  <si>
    <t>522-201-0203-0004</t>
  </si>
  <si>
    <t>Тренажер для развития звуко-произносительной и
лексико-грамматической стороны речи типа Инт парк 27514</t>
  </si>
  <si>
    <t>522-201-0204</t>
  </si>
  <si>
    <t>Речевой тренажер для усвоения и развития элементарной речевой коммуникации</t>
  </si>
  <si>
    <t>522-201-0204-0001</t>
  </si>
  <si>
    <t>GoTalk 4+  настольное речевое устройство с 4 окнами для изображений, имеет 5 уровней записи</t>
  </si>
  <si>
    <t>522-201-0204-0002</t>
  </si>
  <si>
    <t>GoTalk 9+  настольное речевое устройство с 9 окнами для изображений, имеет 5 уровней записи</t>
  </si>
  <si>
    <t>522-201-0204-0003</t>
  </si>
  <si>
    <t>GoTalk 20+  настольное речевое устройство с 20 окнами для изображений, имеет 5 уровней записи</t>
  </si>
  <si>
    <t>522-201-0300</t>
  </si>
  <si>
    <t>Оборудование организаций образования для детей с нарушениями слуха</t>
  </si>
  <si>
    <t>522-201-0307</t>
  </si>
  <si>
    <t>Комплект для психолого-педагогического обследования детей с нарушением слуха</t>
  </si>
  <si>
    <t>522-201-0307-0001</t>
  </si>
  <si>
    <t>Комплект №1 для
психолого-педагогического обследования детей с подозрением на снижение слуха</t>
  </si>
  <si>
    <t>522-201-0307-0002</t>
  </si>
  <si>
    <t>Комплект №2 для педагогического обследования детей раннего и дошкольного возраста с подозрением на снижение слуха</t>
  </si>
  <si>
    <t>522-201-0400</t>
  </si>
  <si>
    <t>Оборудование организаций образования для детей с нарушениями зрения</t>
  </si>
  <si>
    <t>522-201-0424</t>
  </si>
  <si>
    <t>Периметр настольный</t>
  </si>
  <si>
    <t>522-201-0452</t>
  </si>
  <si>
    <t>Амблиокор</t>
  </si>
  <si>
    <t>522-201-0500</t>
  </si>
  <si>
    <t>522-201-0502</t>
  </si>
  <si>
    <t>Зеркало настенное</t>
  </si>
  <si>
    <t>522-201-0502-0001</t>
  </si>
  <si>
    <t>Зеркало настенное 600х800 мм</t>
  </si>
  <si>
    <t>522-201-0503</t>
  </si>
  <si>
    <t>Горка для ходьбы</t>
  </si>
  <si>
    <t>522-201-0507</t>
  </si>
  <si>
    <t>Тактильная дорожка</t>
  </si>
  <si>
    <t>522-201-0507-0001</t>
  </si>
  <si>
    <t>Тактильная дорожка (7 составных модулей)</t>
  </si>
  <si>
    <t>Тактильная дорожка. Размер не менее 500х300х30 мм. Общая длина: не мене 3000 мм. Дорожка предназначена для ходьбы босиком по поверхности составляющих элементов. Тактильная дорожка состоит из элементов одинакового размера, но имеющих разное покрытие.</t>
  </si>
  <si>
    <t>522-201-0507-0002</t>
  </si>
  <si>
    <t>Дорожка для профилактики плоскостопии и развития  крупной моторики, ловкости и координации движений (12 шаровых сегментов) типа Инт парк 29550</t>
  </si>
  <si>
    <t>522-201-0507-0003</t>
  </si>
  <si>
    <t>Дорожка тактильная (7 элементов) типа Инт парк 25047</t>
  </si>
  <si>
    <t>522-201-0509</t>
  </si>
  <si>
    <t>Приспособление двухъярусное для обучения ходьбе для детей с нарушением
опорно-двигательного аппарата</t>
  </si>
  <si>
    <t>522-201-0510</t>
  </si>
  <si>
    <t>Панель тактильная</t>
  </si>
  <si>
    <t>522-201-0510-0001</t>
  </si>
  <si>
    <t>Панель тактильная с декоративными элементами</t>
  </si>
  <si>
    <t>Тактильные панели.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</si>
  <si>
    <t>522-201-0511</t>
  </si>
  <si>
    <t>Массажный коврик</t>
  </si>
  <si>
    <t>522-201-0511-0001</t>
  </si>
  <si>
    <t>Массажный коврик "ГОФР-1" со следочками, размер: 190х33х3 см</t>
  </si>
  <si>
    <t>522-201-0511-0002</t>
  </si>
  <si>
    <t>Массажный коврик "ГОФР-1" со следочками, малый(М), размер: 40х33х3</t>
  </si>
  <si>
    <t>522-201-0512</t>
  </si>
  <si>
    <t>Тренажер реабилитационный механотерапевтический</t>
  </si>
  <si>
    <t>522-201-0513</t>
  </si>
  <si>
    <t>Тренажер ортопедический для ходьбы</t>
  </si>
  <si>
    <t>522-201-0513-0001</t>
  </si>
  <si>
    <t>Тренажер ортопедический Rifton PACER для ходьбы К 509</t>
  </si>
  <si>
    <t>522-201-0513-0002</t>
  </si>
  <si>
    <t>Тренажер ортопедический Rifton PACER для ходьбы К 620 (К501)</t>
  </si>
  <si>
    <t>522-201-0513-0003</t>
  </si>
  <si>
    <t>Тренажер ортопедический Rifton новый PACER для ходьбы К 630 среднего размера (К502)</t>
  </si>
  <si>
    <t>522-201-0513-0004</t>
  </si>
  <si>
    <t>Тренажер ортопедический Rifton новый PACER для ходьбы К 640 большого размера (К503)</t>
  </si>
  <si>
    <t>522-201-0513-0005</t>
  </si>
  <si>
    <t>Тренажер ортопедический Rifton PACER для ходьбы К 650 (К504)</t>
  </si>
  <si>
    <t>522-201-0514</t>
  </si>
  <si>
    <t>Стендер-вертикализатор</t>
  </si>
  <si>
    <t>522-201-0514-0001</t>
  </si>
  <si>
    <t>Мультистендер Дженкс (вертикализатор для детей от 9 месяцев до шести лет)</t>
  </si>
  <si>
    <t>522-201-0514-0002</t>
  </si>
  <si>
    <t>Мультистендер Дженкс (вертикализатор для детей от 3 до 13 лет)</t>
  </si>
  <si>
    <t>522-201-0515</t>
  </si>
  <si>
    <t>Тренажер-ходунки</t>
  </si>
  <si>
    <t>522-201-0515-0001</t>
  </si>
  <si>
    <t>Ходунки с дополнительной фиксацией тела, в том числе для больных ДЦП, модель
ОХД-317 «Я МОГУ!», размер 1 (80-115 см),
либо размер 2 (115-150 см)</t>
  </si>
  <si>
    <t>522-201-0515-0002</t>
  </si>
  <si>
    <t>Ходунки Армед FS201</t>
  </si>
  <si>
    <t>522-201-0515-0003</t>
  </si>
  <si>
    <t>Ходунки для больных ДЦП, регулируемые по высоте на четырех колёсах HMP-KA1200 с подлокотной опорой</t>
  </si>
  <si>
    <t>522-201-0515-0004</t>
  </si>
  <si>
    <t>Ходунки для больных ДЦП, регулируемые по высоте на четырех колёсах HMP-KA 2200 с подлокотной опорой</t>
  </si>
  <si>
    <t>522-201-0515-0005</t>
  </si>
  <si>
    <t>Ходунки для детей больных ДЦП HMP-KA 3200 с подлокотной опорой</t>
  </si>
  <si>
    <t>522-201-0515-0006</t>
  </si>
  <si>
    <t>Ходунки "Айболит" СН 36.12.01</t>
  </si>
  <si>
    <t>522-201-0515-0007</t>
  </si>
  <si>
    <t>Ходунки "Айболит" СН 36.12.02</t>
  </si>
  <si>
    <t>522-201-0515-0008</t>
  </si>
  <si>
    <t>Ходунки "Айболит" СН 36.12.03</t>
  </si>
  <si>
    <t>522-201-0516</t>
  </si>
  <si>
    <t>Нейро-ортопедический реабилитационный комбинезон для детей с нарушением опорно-двигательного аппарата, разных размеров</t>
  </si>
  <si>
    <t>522-201-0516-0001</t>
  </si>
  <si>
    <t>Нейро-ортопедический реабилитационный
комбинезон РК "ФАЭТОН" размер 1А</t>
  </si>
  <si>
    <t>522-201-0516-0002</t>
  </si>
  <si>
    <t>Нейро-ортопедический реабилитационный
комбинезон РК "ФАЭТОН" размер 2А</t>
  </si>
  <si>
    <t>522-201-0516-0003</t>
  </si>
  <si>
    <t>Нейро-ортопедический реабилитационный
комбинезон РК "ФАЭТОН" размер 3А</t>
  </si>
  <si>
    <t>522-201-0516-0004</t>
  </si>
  <si>
    <t>Нейро-ортопедический реабилитационный
комбинезон РК "ФАЭТОН" размер 4А</t>
  </si>
  <si>
    <t>522-201-0516-0005</t>
  </si>
  <si>
    <t>Нейро-ортопедический реабилитационный
комбинезон РК "ФАЭТОН" размер 5А</t>
  </si>
  <si>
    <t>522-201-0516-0006</t>
  </si>
  <si>
    <t>Нейро-ортопедический реабилитационный
комбинезон РК "ФАЭТОН" размер 6А</t>
  </si>
  <si>
    <t>522-201-0516-0007</t>
  </si>
  <si>
    <t>Нейро-ортопедический реабилитационный
комбинезон РК "ФАЭТОН" размер 7А</t>
  </si>
  <si>
    <t>522-201-0516-0008</t>
  </si>
  <si>
    <t>Нейро-ортопедический реабилитационный
комбинезон РК "ФАЭТОН" размер 8А</t>
  </si>
  <si>
    <t>522-201-0516-0009</t>
  </si>
  <si>
    <t>Нейро-ортопедический реабилитационный
комбинезон РК "ФАЭТОН" размер 9А</t>
  </si>
  <si>
    <t>522-201-0516-0010</t>
  </si>
  <si>
    <t>Нейро-ортопедический реабилитационный
комбинезон РК "ФАЭТОН" размер 10А</t>
  </si>
  <si>
    <t>522-201-0517</t>
  </si>
  <si>
    <t>Рефлекторно-нагрузочное устройство для детей с нарушением опорно-двигательного аппарата, разных размеров</t>
  </si>
  <si>
    <t>522-201-0517-0001</t>
  </si>
  <si>
    <t>Рефлекторно-нагрузочное устройство
"Гравитон"("Гравистат")</t>
  </si>
  <si>
    <t>522-201-0519</t>
  </si>
  <si>
    <t>Функциональная стойка (вертикализатор с
задним наклоном)</t>
  </si>
  <si>
    <t>522-201-0519-0001</t>
  </si>
  <si>
    <t>Функциональная стойка (малый
вертикализатор) Rifton E420</t>
  </si>
  <si>
    <t>522-201-0519-0002</t>
  </si>
  <si>
    <t>Функциональная стойка Rifton E430</t>
  </si>
  <si>
    <t>522-201-0520</t>
  </si>
  <si>
    <t>Вертикализатор-стойка</t>
  </si>
  <si>
    <t>522-201-0520-0001</t>
  </si>
  <si>
    <t>Вертикализатор-стойка СН-38.02.02</t>
  </si>
  <si>
    <t>522-201-0521</t>
  </si>
  <si>
    <t>Вертикализатор наклонный</t>
  </si>
  <si>
    <t>522-201-0521-0001</t>
  </si>
  <si>
    <t>Вертикализатор наклонный СН-38.01.01</t>
  </si>
  <si>
    <t>522-201-0521-0002</t>
  </si>
  <si>
    <t>Вертикализатор наклонный СН-38.01.02</t>
  </si>
  <si>
    <t>522-201-0521-0003</t>
  </si>
  <si>
    <t>Вертикализатор наклонный СН-38.01.03</t>
  </si>
  <si>
    <t>522-201-0522</t>
  </si>
  <si>
    <t>Универсальная система для лежачего положения для подростков с нарушением опорно-двигательного аппарата</t>
  </si>
  <si>
    <t>522-201-0522-0001</t>
  </si>
  <si>
    <t>Универсальная система "Кузнечик" США
Patterson Medical</t>
  </si>
  <si>
    <t>522-201-0600</t>
  </si>
  <si>
    <t>522-201-0603</t>
  </si>
  <si>
    <t>Стул ортопедический</t>
  </si>
  <si>
    <t>522-201-0603-0001</t>
  </si>
  <si>
    <t>Стул ортопедический СН 37.01.01</t>
  </si>
  <si>
    <t>522-201-0603-0002</t>
  </si>
  <si>
    <t>Стул ортопедический СН 37.01.02</t>
  </si>
  <si>
    <t>522-201-0603-0003</t>
  </si>
  <si>
    <t>Стул ортопедический СН 37.01.03</t>
  </si>
  <si>
    <t>Наименование товара</t>
  </si>
  <si>
    <t>Цена с НДС, в тенге</t>
  </si>
  <si>
    <t>SUM из Кол-во</t>
  </si>
  <si>
    <t>поисковая маска</t>
  </si>
  <si>
    <t>Аппарат для гальванизации и лекарственного электрофореза (портативный)</t>
  </si>
  <si>
    <t>Аппарат электротерапии Поток-1
 предназначен воздействия постоянным
 током на организм человека, а также
 проведения лекарственного
 электрофореза.</t>
  </si>
  <si>
    <t>Аппарат для дарсонвализации (ультратонотерапии)</t>
  </si>
  <si>
    <t>Аппарат дарсонвализации «Ультрадар - Мед ТеКо» (Д) - предназначен для лечебного воздействия импульсным переменным током средней частоты высокого напряжения.</t>
  </si>
  <si>
    <t>Аппарат для ингаляционной терапии (небулайзер компрессорный)</t>
  </si>
  <si>
    <t>Компрессорный небулайзер, ингалятор Omron Comp Air NE-C28, модель NE-C28-RU,
 предназначен для лечения различных
 респираторных заболеваний путем вдыхания
 специальных лекарственных средств.</t>
  </si>
  <si>
    <t>Аппарат для магнитотерапии (низкочастотной)</t>
  </si>
  <si>
    <t>Аппарат для низкочастотной
 магнитотерапии переносной Полюс-101
 Для лечения конечностей больного
 магнитным полем повышенной частоты</t>
  </si>
  <si>
    <t>Аппарат для терапии ультравысокой частоты (УВЧ-терапия)</t>
  </si>
  <si>
    <t>Аппарат УВЧ-терапии УВЧ - 30 «Мед ТеКо»</t>
  </si>
  <si>
    <t>Ведро для воды 10 л</t>
  </si>
  <si>
    <t>ведро для воды 10 л</t>
  </si>
  <si>
    <t xml:space="preserve">Ветоши </t>
  </si>
  <si>
    <t>Ткань обтирочная нетканая холстопрошивная
ширина:140см</t>
  </si>
  <si>
    <t>Грелка резиновая</t>
  </si>
  <si>
    <t>Грелка резиновая - это резиновый баллон с объемом 2000 мл с завинчивающейся крышкой.</t>
  </si>
  <si>
    <t>Дозатор для антисептика</t>
  </si>
  <si>
    <t>Медицинский локтевой дозатор для антисептика 1000 мл.</t>
  </si>
  <si>
    <t>Дозатор для житкого мыла</t>
  </si>
  <si>
    <t>Дозатор для жидкого мыла</t>
  </si>
  <si>
    <t>Емкости для дезинфекции инструментов и поверхностей</t>
  </si>
  <si>
    <t>Емкость-контейнер для дезинфекции и
 предстерилизационной обработки</t>
  </si>
  <si>
    <t>Емкость для дезинфицирующих растворов</t>
  </si>
  <si>
    <t>Емкость-контейнер</t>
  </si>
  <si>
    <t>Емкость для уничтожения остатков вакцин</t>
  </si>
  <si>
    <t>Габаритные размеры:496х328х195 мм
 Масса не более — (3,7±0,185)кг
 Внутренний размер поддона по диагонали – 470мм
 Внутренние размеры поддона 320х252х165 мм
 Полезный объём — 10 литров
 Полный объём — (15 ±0, 75) литров</t>
  </si>
  <si>
    <t>Емкость для хранения ветошей</t>
  </si>
  <si>
    <t xml:space="preserve">Ларь имеет жесткую модульную конструкцию, изготовленную из стального листа толщиной 1,2 мм. покрыт экологически чистой полимерно-порошковой краской;
Одна дверка с ручкой;
Поставляется в собранном виде </t>
  </si>
  <si>
    <t>Жгут резиновый</t>
  </si>
  <si>
    <t>Используется для временной остановки кровотечения и при проведении медицинских процедур.</t>
  </si>
  <si>
    <t>Зонт вытяжной вентиляционный</t>
  </si>
  <si>
    <t>Зонт вытяжной вентиляционный размерами 1200х700 мм</t>
  </si>
  <si>
    <t>Зонт вытяжной вентиляционный размерами 1200х700мм</t>
  </si>
  <si>
    <t>Зонт вытяжной вентиляционный размерами 1600х800мм</t>
  </si>
  <si>
    <t>Зонт вытяжной вентиляционный размерами 600х300мм</t>
  </si>
  <si>
    <t>Контейнер для отходов класса А</t>
  </si>
  <si>
    <t>Бак с крышкой для сбора медицинских отходов (класс А) 10 литров</t>
  </si>
  <si>
    <t>Контейнер для отходов класса Б</t>
  </si>
  <si>
    <t>Бак для сбора медицинских отходов (класс Б) 1 литр</t>
  </si>
  <si>
    <t>Корзина для мусора с педалью</t>
  </si>
  <si>
    <t>Контейнер для мусора с педальным механизмом открывания крышки. Обеспечивает гигиеничное использование без контакта рук с крышкой.</t>
  </si>
  <si>
    <t>Лоток медицинский почкообразный</t>
  </si>
  <si>
    <t>Предназначен для размещения инструментов и расходных материалов во время процедур.</t>
  </si>
  <si>
    <t>Маски одноразовые</t>
  </si>
  <si>
    <t>Маска на резинках медицинская 3-х слойная</t>
  </si>
  <si>
    <t>Мойка двойная</t>
  </si>
  <si>
    <t>Мойка 120х60 (F147 (L) МОЙКА ДВОЙНАЯ ) (УГЛУБЛЕННАЯ )</t>
  </si>
  <si>
    <t>Облучатель ультрафиолетовый (кварцевая лампа) с комплектом тубусов</t>
  </si>
  <si>
    <t>Облучатель ультрафиолетовый
 кварцевый ОУФК-01 Солнышко (Стандартная комплектация)</t>
  </si>
  <si>
    <t>Перчатки из резины</t>
  </si>
  <si>
    <t>Полотенца одноразовые</t>
  </si>
  <si>
    <t>Полотенца одноразовые из спанлейса, 35*70 см, 40 г/м2, 50 шт/упак</t>
  </si>
  <si>
    <t>Простыни одноразовые</t>
  </si>
  <si>
    <t>Простыня 140*80, пл. 40, нестер. — это медицинский расходный материал, который используется для защиты операционного стола, инструментов и пациента от инфекций и загрязнений. Эта простыня имеет следующие характеристики:</t>
  </si>
  <si>
    <t>СТОЛ С 2 МОЙКАМИ CE-TCE120X70</t>
  </si>
  <si>
    <t>Нержавеющая сталь AISI 430; С бортиком без полки; Мойка: 50x40x25 см; Параметры: 1200x700x850 мм</t>
  </si>
  <si>
    <t>Термометр исп.1 (-20+70С) с
 поверкой (комнатный,скл.помещения) 
  применяется для измерения
 температуры в складских и производственных
 помещениях</t>
  </si>
  <si>
    <t>Халаты темные для уборки</t>
  </si>
  <si>
    <t>Халат рабочий.
 Цвет серый.
 Рекомендован для защиты от незначительных загрязнений,бытовой и производственной пыли. Подробнее: https://largo.kz/p75874235-halat-seryj.html</t>
  </si>
  <si>
    <t>Шины Крамера - транспортные проволочные для ног</t>
  </si>
  <si>
    <t>Шина проволочная для нижних конечностей (Шина Крамера) предназначена для фиксации нижней конечности, тазо-бедренного, коленного, голеностопного сустава с костями бедра и голени.</t>
  </si>
  <si>
    <t>Шины Крамера - транспортные проволочные для рук</t>
  </si>
  <si>
    <t>Шина Крамера при переломах нередко прибегают к способу иммобилизации – креплению бинтами поврежденной верхней конечности к туловищу.</t>
  </si>
  <si>
    <t>Ширмы медицинские (металлический каркас + моющаяся ткань/пластик</t>
  </si>
  <si>
    <t>Ширма 2-створчатая (ткань болонь) на колесах</t>
  </si>
  <si>
    <t>Шприцы одноразовые с иглами 10,0</t>
  </si>
  <si>
    <t>Стерильные трехкомпонентные шприцы объемом 10 мл с иглой размером 21G (0, 8 × 40 мм).</t>
  </si>
  <si>
    <t>Шприцы одноразовые с иглами 2,0</t>
  </si>
  <si>
    <t>Стерильные трехкомпонентные шприцы объемом 2 мл с установленной иглой 23G (0, 6 × 30 мм).</t>
  </si>
  <si>
    <t>Шприцы одноразовые с иглами 5,0</t>
  </si>
  <si>
    <t>Одноразовые стерильные шприцы объёмом 5 мл с иглой 22G (0,7 мм × 30 мм)</t>
  </si>
  <si>
    <t/>
  </si>
  <si>
    <t>Групповая</t>
  </si>
  <si>
    <t>Дополнительные товары</t>
  </si>
  <si>
    <t>Кладовая овощей</t>
  </si>
  <si>
    <t>Компьютерная техника и устройства</t>
  </si>
  <si>
    <t>Материалы для гончарки</t>
  </si>
  <si>
    <t>Мебель для гончарки</t>
  </si>
  <si>
    <t>Мебель для ИЗО и Ателье</t>
  </si>
  <si>
    <t>Оборудование для гончарки</t>
  </si>
  <si>
    <t>Помещение камеры охлаждения</t>
  </si>
  <si>
    <t>1</t>
  </si>
  <si>
    <t>Ролл шторы</t>
  </si>
  <si>
    <t>Ролл шторы белые однотонные, ШхВхКв.м2               2410х1810х4360 мм</t>
  </si>
  <si>
    <t>2</t>
  </si>
  <si>
    <t>Ролл шторы белые однотонные, ШхВхКв.м2               1810х1810х3280 мм</t>
  </si>
  <si>
    <t>3</t>
  </si>
  <si>
    <t>Ролл шторы белые однотонные, ШхВхКв.м2               1210х1810х2190 мм</t>
  </si>
  <si>
    <t>4</t>
  </si>
  <si>
    <t>Ролл шторы белые однотонные, ШхВхКв.м2               2000х1200х3240 мм</t>
  </si>
  <si>
    <t>5</t>
  </si>
  <si>
    <t>Ролл шторы белые однотонные, ШхВхКв.м2               2410х3300х7950 мм</t>
  </si>
  <si>
    <t>6</t>
  </si>
  <si>
    <t>Ролл шторы белые однотонные, ШхВхКв.м2               910х1650х1500 мм</t>
  </si>
  <si>
    <t>7</t>
  </si>
  <si>
    <t>Ролл шторы белые однотонные, ШхВхКв.м2               1310х1650х2160 мм</t>
  </si>
  <si>
    <t>д1</t>
  </si>
  <si>
    <t>"Ақылды" боямақ. Жаз. "Умная" раскраска. Раскрась по коду. Лето</t>
  </si>
  <si>
    <t>Бенаги С.</t>
  </si>
  <si>
    <t>д10</t>
  </si>
  <si>
    <t>«Көркем өрнек» (Интеллектум)</t>
  </si>
  <si>
    <t>Игра предназначена для расширения познания и для развития
пространственного мышления
ребенка.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</si>
  <si>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д100</t>
  </si>
  <si>
    <t>Демонстрационные картинки «Домашние животные»</t>
  </si>
  <si>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</si>
  <si>
    <t>д1000</t>
  </si>
  <si>
    <t>Пакет расходных материалов для инструментов Makerspace</t>
  </si>
  <si>
    <t>д1001</t>
  </si>
  <si>
    <t>3D принтер A1 Combo</t>
  </si>
  <si>
    <t xml:space="preserve">3D принтер </t>
  </si>
  <si>
    <t>д1002</t>
  </si>
  <si>
    <t xml:space="preserve">Верстак для сборки </t>
  </si>
  <si>
    <t>Основная рабочая зона для конструирования моделей и работы с инструментами.</t>
  </si>
  <si>
    <t>д1003</t>
  </si>
  <si>
    <t xml:space="preserve">Стулья </t>
  </si>
  <si>
    <t>Высота сиденья: 25 – 26 см
Ширина сиденья: 29 см
Глубина сиденья: 27 см
Высота спинки (общая): 52 см</t>
  </si>
  <si>
    <t>д1004</t>
  </si>
  <si>
    <t xml:space="preserve">Система хранения </t>
  </si>
  <si>
    <t>Стеллаж для организации лотков с деталями роботов и микросхемами.</t>
  </si>
  <si>
    <t>д1005</t>
  </si>
  <si>
    <t xml:space="preserve">Глубокие лотки </t>
  </si>
  <si>
    <t>Контейнеры для сортировки конструкторов по типам деталей.</t>
  </si>
  <si>
    <t>д1006</t>
  </si>
  <si>
    <t>Настенная механика</t>
  </si>
  <si>
    <t>Интерактивный стенд для изучения передач, вращения и крутящего момента</t>
  </si>
  <si>
    <t>д1007</t>
  </si>
  <si>
    <t xml:space="preserve">Основы алгоритмики </t>
  </si>
  <si>
    <t>Игра для развития логического мышления (база перед программированием)</t>
  </si>
  <si>
    <t>д1008</t>
  </si>
  <si>
    <t>Лаборатория шестеренок</t>
  </si>
  <si>
    <t>Настольный набор для понимания принципов работы механических узлов.</t>
  </si>
  <si>
    <t>д1009</t>
  </si>
  <si>
    <t xml:space="preserve">Испытательный полигон </t>
  </si>
  <si>
    <t>Мягкая зона для запуска мобильных роботов и групповых обсуждений.</t>
  </si>
  <si>
    <t>д101</t>
  </si>
  <si>
    <t>Демонстрационные картинки «Животные жарких стран»</t>
  </si>
  <si>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</si>
  <si>
    <t>д1010</t>
  </si>
  <si>
    <t xml:space="preserve">Базовый набор робототехники для детей,
 </t>
  </si>
  <si>
    <t>Конструктор Lego Education FLL Discover</t>
  </si>
  <si>
    <t>д1011</t>
  </si>
  <si>
    <t xml:space="preserve"> Robo Wunderkind Education Kit</t>
  </si>
  <si>
    <t>Базовый набор Robowunderkind для начальных классов</t>
  </si>
  <si>
    <t>д1012</t>
  </si>
  <si>
    <t>Robo Wunderkind Extension Kit</t>
  </si>
  <si>
    <t>Базовый набор Robo wunderkind для начальных классов</t>
  </si>
  <si>
    <t>д1013</t>
  </si>
  <si>
    <t>Набор для изучения управлению роботом Кубо</t>
  </si>
  <si>
    <t>д102</t>
  </si>
  <si>
    <t>Демонстрационные картинки «Животные холодных широт»</t>
  </si>
  <si>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</si>
  <si>
    <t>д103</t>
  </si>
  <si>
    <t>Демонстрационные картинки «Игрушки»</t>
  </si>
  <si>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</si>
  <si>
    <t>д104</t>
  </si>
  <si>
    <t>Демонстрационные картинки «Комнатные растения»</t>
  </si>
  <si>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</si>
  <si>
    <t>д105</t>
  </si>
  <si>
    <t>Демонстрационные картинки «Мебель»</t>
  </si>
  <si>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</si>
  <si>
    <t>д106</t>
  </si>
  <si>
    <t>Демонстрационные картинки «Мир морей и океанов»</t>
  </si>
  <si>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</si>
  <si>
    <t>д107</t>
  </si>
  <si>
    <t>Демонстрационные картинки «Музыкальные инструменты»</t>
  </si>
  <si>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</si>
  <si>
    <t>д108</t>
  </si>
  <si>
    <t>Демонстрационные картинки «Насекомые»</t>
  </si>
  <si>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</si>
  <si>
    <t>д109</t>
  </si>
  <si>
    <t>Демонстрационные картинки «Овощи»</t>
  </si>
  <si>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</si>
  <si>
    <t>д11</t>
  </si>
  <si>
    <t>«Піл мен жолбарыс. Ертегі. Боямақ»</t>
  </si>
  <si>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</si>
  <si>
    <t>д110</t>
  </si>
  <si>
    <t>Демонстрационные картинки «Одежда»</t>
  </si>
  <si>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</si>
  <si>
    <t>д111</t>
  </si>
  <si>
    <t>Демонстрационные картинки «Посуда»</t>
  </si>
  <si>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</si>
  <si>
    <t>д112</t>
  </si>
  <si>
    <t>Демонстрационные картинки «Продукты питания»</t>
  </si>
  <si>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</si>
  <si>
    <t>д113</t>
  </si>
  <si>
    <t>Демонстрационные картинки «Профессии»</t>
  </si>
  <si>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</si>
  <si>
    <t>д114</t>
  </si>
  <si>
    <t>Демонстрационные картинки «Птицы домашние и декоративные»</t>
  </si>
  <si>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</si>
  <si>
    <t>д115</t>
  </si>
  <si>
    <t>Демонстрационные картинки «Птицы разных широт»</t>
  </si>
  <si>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</si>
  <si>
    <t>д116</t>
  </si>
  <si>
    <t>Демонстрационные картинки «Птицы России»</t>
  </si>
  <si>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</si>
  <si>
    <t>д117</t>
  </si>
  <si>
    <t>Демонстрационные картинки «Транспорт»</t>
  </si>
  <si>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</si>
  <si>
    <t>д118</t>
  </si>
  <si>
    <t>Демонстрационные картинки «Фрукты»</t>
  </si>
  <si>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</si>
  <si>
    <t>д119</t>
  </si>
  <si>
    <t>Демонстрационные картинки «Цветы полевые»</t>
  </si>
  <si>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</si>
  <si>
    <t>д12</t>
  </si>
  <si>
    <t>«Пішіндер» (Интеллектум)</t>
  </si>
  <si>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</si>
  <si>
    <t>д120</t>
  </si>
  <si>
    <t>Демонстрационные картинки «Цветы садовые»</t>
  </si>
  <si>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</si>
  <si>
    <t>д121</t>
  </si>
  <si>
    <t>Демонстрационные картинки «Электроприборы»</t>
  </si>
  <si>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</si>
  <si>
    <t>д122</t>
  </si>
  <si>
    <t>Демонстрационные картинки «Ягоды»</t>
  </si>
  <si>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</si>
  <si>
    <t>д123</t>
  </si>
  <si>
    <t xml:space="preserve">Световой стол </t>
  </si>
  <si>
    <t>Стол для опытов и изучения цвета/света</t>
  </si>
  <si>
    <t>д124</t>
  </si>
  <si>
    <t>Демонстрационные материалы по формированию математических представлений (электронная версия)</t>
  </si>
  <si>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</si>
  <si>
    <t>д125</t>
  </si>
  <si>
    <t>Денсаулықты қалай сақтауға болады. Как сохранить здоровье. How to stay fit (каз., рус., англ.яз.)</t>
  </si>
  <si>
    <t>д126</t>
  </si>
  <si>
    <t>Деревянная дудочка (свистковый духовой инструмент)</t>
  </si>
  <si>
    <t>Деревянная дудочка используется как детский духовой музыкальный инструмент для извлечения простых звуков. В процессе игры выполняются действия по выдоху воздуха и смене положения губ, что связано с формированием дыхательных навыков и слухового восприятия. Изделие изготовлено из дерева. Длина дудочки составляет не менее 13 см. Предназначена для многократного использования.</t>
  </si>
  <si>
    <t>д127</t>
  </si>
  <si>
    <t>Деревянные 3D-пазлы для сборки фигур животных</t>
  </si>
  <si>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</si>
  <si>
    <t>д128</t>
  </si>
  <si>
    <t>Деревянные квадратные блоки для сборки (набор)</t>
  </si>
  <si>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</si>
  <si>
    <t>д129</t>
  </si>
  <si>
    <t>Деревянный балансир для двигательной активности</t>
  </si>
  <si>
    <t>Деревянный балансир используется для выполнения упражнений на удержание равновесия и координацию движений. В процессе использования выполняются действия по сохранению устойчивого положения тела. Такая активность способствует развитию координации, концентрации внимания и пространственного восприятия. Изделие выполнено из дерева и предназначено для напольного использования.</t>
  </si>
  <si>
    <t>д13</t>
  </si>
  <si>
    <t>«Сан сауалдың жауабы. Энциклопедиясы»</t>
  </si>
  <si>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</si>
  <si>
    <t>д130</t>
  </si>
  <si>
    <t>Деревянный конструктор неокрашенный «Строим сами», 66 деталей</t>
  </si>
  <si>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</si>
  <si>
    <t>д131</t>
  </si>
  <si>
    <t>Деревянный конструктор, 66 деталей</t>
  </si>
  <si>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</si>
  <si>
    <t>д132</t>
  </si>
  <si>
    <t>Деревянный набор Монтессори для математических действий и магнитных заданий</t>
  </si>
  <si>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</si>
  <si>
    <t>д133</t>
  </si>
  <si>
    <t>Детская железная дорога «Сортировочный центр», комплект 70 элементов</t>
  </si>
  <si>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</si>
  <si>
    <t>д134</t>
  </si>
  <si>
    <t>Детская железная дорога (набор)</t>
  </si>
  <si>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</si>
  <si>
    <t>д135</t>
  </si>
  <si>
    <t>Детский горшок пластиковый</t>
  </si>
  <si>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</si>
  <si>
    <t>д136</t>
  </si>
  <si>
    <t>Детский игровой комплект «Строитель» с жилетом</t>
  </si>
  <si>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</si>
  <si>
    <t>д137</t>
  </si>
  <si>
    <t>Детский фартук для творческих занятий</t>
  </si>
  <si>
    <t>Фартук используется для защиты одежды при выполнении творческих и художественных работ. Оснащён завязками и передними карманами для мелких принадлежностей. Изделие многоразового использования, легко очищается. Предназначен для применения в помещениях.</t>
  </si>
  <si>
    <t>д138</t>
  </si>
  <si>
    <t>Детям о Конституции Республики Казахстан</t>
  </si>
  <si>
    <t>Оспанова Б.</t>
  </si>
  <si>
    <t>д139</t>
  </si>
  <si>
    <t>Дидактическая игра на липучках «Цифры и количество»</t>
  </si>
  <si>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</si>
  <si>
    <t>д14</t>
  </si>
  <si>
    <t>«Сөйлеуді дамыту және көркем әдебиет»</t>
  </si>
  <si>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</si>
  <si>
    <t>д140</t>
  </si>
  <si>
    <t>Дидактическая игрушка для развития мелкой моторики</t>
  </si>
  <si>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</si>
  <si>
    <t>д141</t>
  </si>
  <si>
    <t>Дидактическая фигура человека из изогнутого дерева</t>
  </si>
  <si>
    <t>Фигура человека выполнена из изогнутых деревянных элементов и используется для работы с представлениями о теле и его положении. В процессе взаимодействия выполняется изменение позы и ориентации фигуры. Применяется при игровых и проективных заданиях. Материал изготовления — дерево.</t>
  </si>
  <si>
    <t>д142</t>
  </si>
  <si>
    <t>Дидактические игры по формированию представлений (счёт, форма, время, природа)</t>
  </si>
  <si>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</si>
  <si>
    <t>д143</t>
  </si>
  <si>
    <t>Дидактические материалы (комплект)</t>
  </si>
  <si>
    <t>Комплект дидактических материалов используется при организации учебно-игровой деятельности. Применяется для выполнения заданий различной направленности. Используется в образовательной практике в зависимости от содержания комплекта.</t>
  </si>
  <si>
    <t>д144</t>
  </si>
  <si>
    <t>Дидактические материалы для сенсорного развития</t>
  </si>
  <si>
    <t>Комплект используется для организации заданий, направленных на работу с визуальными, тактильными и аудиальными ощущениями. Применяется при индивидуальной и подгрупповой деятельности. Состав материалов подбирается в зависимости от вида сенсорных упражнений.</t>
  </si>
  <si>
    <t>д145</t>
  </si>
  <si>
    <t>Дидактическое пособие-панно «Моё тело»</t>
  </si>
  <si>
    <t>Пособие «Моё тело» предназначено для формирования представлений о строении человека и базовых навыков гигиены в доступной игровой форме. Основа выполнена из плотного картона/дерева/пластика, размер панно — не менее 40×60 см для демонстрации группе детей. Комплект включает перемещаемые элементы (части тела, органы чувств, предметы гигиены) в количестве не менее 10 шт., которые ребёнок прикрепляет, сопоставляет и называет. Пособие применяется для упражнений на называние, классификацию и ориентацию «где находится», что развивает речь и внимание. Игровые задания помогают обсуждать безопасность (что можно/нельзя), уход за собой и эмоциональное самочувствие через тело. Элементы имеют закруглённые края, поверхность допускает регулярную очистку, используется под контролем педагога.</t>
  </si>
  <si>
    <t>д146</t>
  </si>
  <si>
    <t>Динмухамед Кунаев. Книга-альбом к 110-летию со дня рождения</t>
  </si>
  <si>
    <t>Сужикова А.</t>
  </si>
  <si>
    <t>д147</t>
  </si>
  <si>
    <t>Динозаврлар. Жалықтырмайтын энциклопедия</t>
  </si>
  <si>
    <t>Богаэр К.</t>
  </si>
  <si>
    <t>д148</t>
  </si>
  <si>
    <t>Добро пожаловать, Наурыз! (книга - сундучок)</t>
  </si>
  <si>
    <t>Б. Оспанова</t>
  </si>
  <si>
    <t>д149</t>
  </si>
  <si>
    <t>Домино деревянное «Животные» (28 фишек)</t>
  </si>
  <si>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</si>
  <si>
    <t>д15</t>
  </si>
  <si>
    <t>«Таяқшалар» (Интеллектум)</t>
  </si>
  <si>
    <t xml:space="preserve">Игра предназначена для
тренировки определения места
предмета в пространстве,
сравнения, сопоставления и
развития логического мышления
ребенка.
</t>
  </si>
  <si>
    <t>д150</t>
  </si>
  <si>
    <t>Домино деревянное «На ферме»</t>
  </si>
  <si>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</si>
  <si>
    <t>д151</t>
  </si>
  <si>
    <t>Домино деревянное «Транспорт»</t>
  </si>
  <si>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</si>
  <si>
    <t>д152</t>
  </si>
  <si>
    <t>Домино деревянное «Транспорт» (картинки-половинки)</t>
  </si>
  <si>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</si>
  <si>
    <t>д153</t>
  </si>
  <si>
    <t>Домино деревянное (классическое)</t>
  </si>
  <si>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</si>
  <si>
    <t>д154</t>
  </si>
  <si>
    <t>Домино деревянное с картинками (28 фишек)</t>
  </si>
  <si>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</si>
  <si>
    <t>д155</t>
  </si>
  <si>
    <t>Домино с картинками</t>
  </si>
  <si>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</si>
  <si>
    <t>д156</t>
  </si>
  <si>
    <t>Доска для работы с эмоциями</t>
  </si>
  <si>
    <t>Доска используется для наглядной работы с эмоциональными состояниями. В процессе занятий выполняется распознавание, называние и обсуждение эмоций. Применяется при индивидуальной и групповой работе. Предназначена для формирования эмоциональной осознанности.</t>
  </si>
  <si>
    <t>д157</t>
  </si>
  <si>
    <t>Доска маркерная</t>
  </si>
  <si>
    <t>Маркерная доска используется для письма, рисования и наглядных записей. Подходит для проведения занятий, инструктажей и демонстрации информации. Предназначена для использования с маркерами сухого стирания.</t>
  </si>
  <si>
    <t>д158</t>
  </si>
  <si>
    <t>Доска пробковая</t>
  </si>
  <si>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</si>
  <si>
    <t>д159</t>
  </si>
  <si>
    <t>Достарды қалай таңдаймын. Как завести друзей. How to make friends (каз., рус., англ.яз.)</t>
  </si>
  <si>
    <t>д16</t>
  </si>
  <si>
    <t>«Түрлі түсті бөлшектер» (Интеллектум)</t>
  </si>
  <si>
    <t xml:space="preserve">Игра предназначена для развития
фантазии, пространственного и
умственного мышления ребенка. - белые карты - 6 шт.
- желтые карты - 15 шт.
- оранжевые карты - 15 шт.
- светло-зеленые карты - 16 шт.
- темно-зеленые карты - 4 шт.
- инструкция - 1 шт.
- голубые карты - 15 шт.
- фиолетовые карты - 15 шт. </t>
  </si>
  <si>
    <t>д160</t>
  </si>
  <si>
    <t>Дуги для подлезания</t>
  </si>
  <si>
    <t>Дуги используются для организации двигательных упражнений с элементами подлезания. В процессе выполнения заданий задействуются координация движений и ориентировка в пространстве. Изделия выполнены из фанеры толщиной не менее 10 мм и покрыты безопасной краской. В комплект входят дуги разных размеров.</t>
  </si>
  <si>
    <t>д161</t>
  </si>
  <si>
    <t>Душевой комплект для ручной мойки посуды</t>
  </si>
  <si>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</si>
  <si>
    <t>д162</t>
  </si>
  <si>
    <t>Дыхательный тренажёр «Тучка»</t>
  </si>
  <si>
    <t>Дыхательный тренажёр используется для выполнения упражнений на формирование плавного и длительного выдоха. В процессе игры выполняются дыхательные действия с контролем воздушной струи. Дополнительные элементы на липучках используются для игровых заданий. Применяется при логопедической работе.</t>
  </si>
  <si>
    <t>д163</t>
  </si>
  <si>
    <t>Егіздер. Өлендер жинағы</t>
  </si>
  <si>
    <t>Баянбай Қ.</t>
  </si>
  <si>
    <t>д164</t>
  </si>
  <si>
    <t>Ер Таргын (рус., англ.)</t>
  </si>
  <si>
    <t>Адапт. Кумисбаев Ш.</t>
  </si>
  <si>
    <t>д165</t>
  </si>
  <si>
    <t>Ер Тарғын (каз., агылш.)</t>
  </si>
  <si>
    <t>Бейімдеген Ш.Кумісбаев</t>
  </si>
  <si>
    <t>д166</t>
  </si>
  <si>
    <t>Ертегілер. Ата-анамен оқимыз (1 бөлім)</t>
  </si>
  <si>
    <t>Құрастырған А.Жусупова</t>
  </si>
  <si>
    <t>д167</t>
  </si>
  <si>
    <t>Ертегілер. Ата-анамен оқимыз (2 бөлім)</t>
  </si>
  <si>
    <t>д168</t>
  </si>
  <si>
    <t>Ертегілер. Ата-анамен оқимыз (3 бөлім)</t>
  </si>
  <si>
    <t>д169</t>
  </si>
  <si>
    <t>Ертегілер. Буынға бөліп оқимыз (1 бөлім)</t>
  </si>
  <si>
    <t>д17</t>
  </si>
  <si>
    <t>10 историй о пиратах</t>
  </si>
  <si>
    <t>Бертолет К.</t>
  </si>
  <si>
    <t>д170</t>
  </si>
  <si>
    <t>Ертегілер. Буынға бөліп оқимыз (2 бөлім)</t>
  </si>
  <si>
    <t>д171</t>
  </si>
  <si>
    <t>Ертегілер. Буынға бөліп оқимыз (3 бөлім)</t>
  </si>
  <si>
    <t>д172</t>
  </si>
  <si>
    <t>Ертегілер. Өзіміз оқимыз (1 бөлім)</t>
  </si>
  <si>
    <t>д173</t>
  </si>
  <si>
    <t>Ертегілер. Өзіміз оқимыз (2 бөлім)</t>
  </si>
  <si>
    <t>д174</t>
  </si>
  <si>
    <t>Ертегілер. Өзіміз оқимыз (3 бөлім)</t>
  </si>
  <si>
    <t>д175</t>
  </si>
  <si>
    <t>Ескерткіш орнаттым мен қолдан келмес....</t>
  </si>
  <si>
    <t>А.Пушкин (құрастырушы: Сужикова А.)</t>
  </si>
  <si>
    <t>д176</t>
  </si>
  <si>
    <t>Жабайы жануарларды білесің бе? Ақылды боямақ</t>
  </si>
  <si>
    <t>Сахипова Ф.,Солтанғазина М.</t>
  </si>
  <si>
    <t>д177</t>
  </si>
  <si>
    <t>Жалықтырмайтын астрономия. Балалар энциклопедиясы</t>
  </si>
  <si>
    <t>А.Вайнберг</t>
  </si>
  <si>
    <t>д178</t>
  </si>
  <si>
    <t>Жануарлар. Энциклопедиясы</t>
  </si>
  <si>
    <t>Арлон П.</t>
  </si>
  <si>
    <t>д179</t>
  </si>
  <si>
    <t>Жаңғырық</t>
  </si>
  <si>
    <t>Ж Смақов</t>
  </si>
  <si>
    <t>д18</t>
  </si>
  <si>
    <t>10 историй о принцессах</t>
  </si>
  <si>
    <t>д180</t>
  </si>
  <si>
    <t>Жауапкершілікті сезіну. Как стать ответственным. How to be responsible</t>
  </si>
  <si>
    <t>д181</t>
  </si>
  <si>
    <t>Жәнібек пен атасы</t>
  </si>
  <si>
    <t>С.Иманасов</t>
  </si>
  <si>
    <t>д182</t>
  </si>
  <si>
    <t>Жгут кровоостанавливающий</t>
  </si>
  <si>
    <t>д183</t>
  </si>
  <si>
    <t>Жер ғаламшарының антологиясы</t>
  </si>
  <si>
    <t>Олдершоу К.</t>
  </si>
  <si>
    <t>д184</t>
  </si>
  <si>
    <t>Жол бағдар</t>
  </si>
  <si>
    <t>Интеллектум</t>
  </si>
  <si>
    <t>д185</t>
  </si>
  <si>
    <t>Жылдар және жаңа жорамалдар (Қазақ оркестрі, Ойыншықтар)</t>
  </si>
  <si>
    <t>Е.Өтетілеуұлы</t>
  </si>
  <si>
    <t>д186</t>
  </si>
  <si>
    <t>Жыраулардан жыр мұра</t>
  </si>
  <si>
    <t>Адилбеков А.Б.</t>
  </si>
  <si>
    <t>д187</t>
  </si>
  <si>
    <t>Знаю ли я своего ребенка? Практикум по детской психологии в помощь родителям</t>
  </si>
  <si>
    <t>Кэри Т.</t>
  </si>
  <si>
    <t>д188</t>
  </si>
  <si>
    <t>Зона гидропоники</t>
  </si>
  <si>
    <t>Зона гидропоники предназначена для размещения установок по выращиванию растений без почвы. Используется для наблюдения за ростом растений и ухода за ними. Оснащается специализированным оборудованием.</t>
  </si>
  <si>
    <t>д189</t>
  </si>
  <si>
    <t>Иглы с тупым концом (набор)</t>
  </si>
  <si>
    <t>Набор игл используется для шитья и ручных работ. Тупой конец обеспечивает безопасность при выполнении операций. Применяются при работе с тканью и другими мягкими материалами.</t>
  </si>
  <si>
    <t>д19</t>
  </si>
  <si>
    <t>3 Д ұшбұрыш</t>
  </si>
  <si>
    <t>д190</t>
  </si>
  <si>
    <t>Игра «Забивалка. Радужные столбики»</t>
  </si>
  <si>
    <t>Игра включает игровое поле, цветные столбики и молоток. В процессе игры выполняются удары по столбикам для их перемещения. Такая деятельность способствует развитию координации движений и точности действий. Материал изготовления — пластик.</t>
  </si>
  <si>
    <t>д191</t>
  </si>
  <si>
    <t>Игра «Катящийся шар. Барабан»</t>
  </si>
  <si>
    <t>Игровое изделие выполнено в форме барабана с размещёнными внутри цветными шарами. В процессе игры выполняется перекатывание и вращение корпуса. Такая деятельность способствует развитию зрительного восприятия и координации движений. Материал изготовления — дерево.</t>
  </si>
  <si>
    <t>д192</t>
  </si>
  <si>
    <t>Игра «Ключи и замки»</t>
  </si>
  <si>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</si>
  <si>
    <t>д193</t>
  </si>
  <si>
    <t>Игра «Куб-сортировка»</t>
  </si>
  <si>
    <t>Сортер выполнен в виде куба с отверстиями различной формы и набора фигур. В процессе игры выполняется подбор фигур по форме и размеру. Материал изготовления — пластик.</t>
  </si>
  <si>
    <t>д194</t>
  </si>
  <si>
    <t>Игра для развития мелкой моторики (антистресс)</t>
  </si>
  <si>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</si>
  <si>
    <t>д195</t>
  </si>
  <si>
    <t>Игра для сортировки «Шарики»</t>
  </si>
  <si>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</si>
  <si>
    <t>д196</t>
  </si>
  <si>
    <t>Игра на липучках «Одень девочку»</t>
  </si>
  <si>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</si>
  <si>
    <t>д197</t>
  </si>
  <si>
    <t>Игровая зона «Парикмахерская»</t>
  </si>
  <si>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</si>
  <si>
    <t>д198</t>
  </si>
  <si>
    <t>Игровая зона «Центр песка и воды»</t>
  </si>
  <si>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</si>
  <si>
    <t>д199</t>
  </si>
  <si>
    <t>Игровая парковка для машин</t>
  </si>
  <si>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</si>
  <si>
    <t>д2</t>
  </si>
  <si>
    <t>"Ақылды" боямақ. Көлік. "Умная" раскраска. Раскрась по коду. Транспорт</t>
  </si>
  <si>
    <t>д20</t>
  </si>
  <si>
    <t>Абай. Қара сөздер</t>
  </si>
  <si>
    <t>Абай (Ибрагим) Кунанбаев</t>
  </si>
  <si>
    <t>д200</t>
  </si>
  <si>
    <t>Игровой дом с куклой, мебелью и аксессуарами</t>
  </si>
  <si>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</si>
  <si>
    <t>д201</t>
  </si>
  <si>
    <t>Игровой кассовый аппарат</t>
  </si>
  <si>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</si>
  <si>
    <t>д202</t>
  </si>
  <si>
    <t>Игровой комплект для изучения основ электричества</t>
  </si>
  <si>
    <t>Игровой комплект используется для сборки простых электрических схем без пайки. В процессе работы выполняется соединение элементов и выполнение экспериментальных заданий. Набор включает не менее 17 деталей и позволяет собрать до 15 проектов. Материал изготовления — полимер.</t>
  </si>
  <si>
    <t>д203</t>
  </si>
  <si>
    <t>Игровой кукольный набор</t>
  </si>
  <si>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</si>
  <si>
    <t>д204</t>
  </si>
  <si>
    <t>Игровой набор «Блендер» со светом и звуком</t>
  </si>
  <si>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</si>
  <si>
    <t>д205</t>
  </si>
  <si>
    <t>Игровой набор «Весы»</t>
  </si>
  <si>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</si>
  <si>
    <t>д206</t>
  </si>
  <si>
    <t>Игровой набор «Доктор»</t>
  </si>
  <si>
    <t>Игровой набор используется для сюжетно-ролевых игр на тему медицинской помощи. Включает игровые инструменты врача. Материал изготовления — пластик.</t>
  </si>
  <si>
    <t>д207</t>
  </si>
  <si>
    <t>Игровой набор «Кассовый аппарат»</t>
  </si>
  <si>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</si>
  <si>
    <t>д208</t>
  </si>
  <si>
    <t>Игровой набор «Корзина с продуктами»</t>
  </si>
  <si>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</si>
  <si>
    <t>д209</t>
  </si>
  <si>
    <t>Игровой набор «Монеты и купюры»</t>
  </si>
  <si>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</si>
  <si>
    <t>д21</t>
  </si>
  <si>
    <t>Абай. Слова назидания</t>
  </si>
  <si>
    <t>д210</t>
  </si>
  <si>
    <t>Игровой набор «Моя мастерская»</t>
  </si>
  <si>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</si>
  <si>
    <t>д211</t>
  </si>
  <si>
    <t>Игровой набор «Пицца» на липучках (дерево)</t>
  </si>
  <si>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</si>
  <si>
    <t>д212</t>
  </si>
  <si>
    <t>Игровой набор «Пожарный»</t>
  </si>
  <si>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</si>
  <si>
    <t>д213</t>
  </si>
  <si>
    <t>Игровой набор «Полиция», 12 предметов</t>
  </si>
  <si>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</si>
  <si>
    <t>д214</t>
  </si>
  <si>
    <t>Игровой набор «Праздничное чаепитие» со светом и музыкой</t>
  </si>
  <si>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</si>
  <si>
    <t>д215</t>
  </si>
  <si>
    <t>Игровой набор «Стилист»</t>
  </si>
  <si>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</si>
  <si>
    <t>д216</t>
  </si>
  <si>
    <t>Игровой набор «Фастфуд»</t>
  </si>
  <si>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</si>
  <si>
    <t>д217</t>
  </si>
  <si>
    <t>Игровой набор «Холодильник» с продуктами</t>
  </si>
  <si>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</si>
  <si>
    <t>д218</t>
  </si>
  <si>
    <t>Игровой набор декоративной косметики, 10 предметов</t>
  </si>
  <si>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</si>
  <si>
    <t>д219</t>
  </si>
  <si>
    <t>Игровой набор инструментов</t>
  </si>
  <si>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</si>
  <si>
    <t>д22</t>
  </si>
  <si>
    <t>Адам денесi. Жалықтырмайтын анатомия</t>
  </si>
  <si>
    <t>Родригес-Вида А</t>
  </si>
  <si>
    <t>д220</t>
  </si>
  <si>
    <t>Игровой набор фигурок животных и птиц, комплект</t>
  </si>
  <si>
    <t>Комплект включает несколько фигурок животных и птиц. Используется для групповых и индивидуальных игр. Материал изготовления — резина.</t>
  </si>
  <si>
    <t>д221</t>
  </si>
  <si>
    <t>Игровой пазл в форме машинки</t>
  </si>
  <si>
    <t>Игрушка выполнена в форме машинки с набором фигур. В процессе игры выполняется сборка и разборка элементов. Материал изготовления — дерево.</t>
  </si>
  <si>
    <t>д222</t>
  </si>
  <si>
    <t>Игровые фигурки диких животных</t>
  </si>
  <si>
    <t>Набор включает фигурки диких животных. Используется для сюжетных игр и тематических занятий. В комплект входит не менее 12 фигурок.</t>
  </si>
  <si>
    <t>д223</t>
  </si>
  <si>
    <t>Игровые фигурки животных и птиц</t>
  </si>
  <si>
    <t>Фигурки используются для сюжетно-ролевых игр и тематических занятий. Изображают животных и птиц. Применяются для разыгрывания сцен и классификации.</t>
  </si>
  <si>
    <t>д224</t>
  </si>
  <si>
    <t>Игрушечная ванна для кукол</t>
  </si>
  <si>
    <t>Аксессуар предназначен для сюжетно-ролевых игр с куклами. Используется для имитации гигиенических процедур. Материал изготовления — пластик.</t>
  </si>
  <si>
    <t>д225</t>
  </si>
  <si>
    <t>Игрушечная корзинка</t>
  </si>
  <si>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</si>
  <si>
    <t>д226</t>
  </si>
  <si>
    <t>Игрушечная микроволновая печь</t>
  </si>
  <si>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</si>
  <si>
    <t>д227</t>
  </si>
  <si>
    <t>Игрушечная стиральная машина</t>
  </si>
  <si>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</si>
  <si>
    <t>д228</t>
  </si>
  <si>
    <t>Игрушечный кран крупногабаритный</t>
  </si>
  <si>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</si>
  <si>
    <t>д229</t>
  </si>
  <si>
    <t>Игрушечный музыкальный телефон с кнопками</t>
  </si>
  <si>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</si>
  <si>
    <t>д23</t>
  </si>
  <si>
    <t>Адамдарға қалай көмектесуге болады. Как помогать людям. How to help people (каз., рус., англ.яз.)</t>
  </si>
  <si>
    <t>д230</t>
  </si>
  <si>
    <t>Игрушечный набор фруктов и овощей на магните</t>
  </si>
  <si>
    <t>Набор используется для сюжетных игр и сортировки. Элементы снабжены магнитной основой, что позволяет закреплять их на металлических поверхностях.</t>
  </si>
  <si>
    <t>д231</t>
  </si>
  <si>
    <t xml:space="preserve">Игрушка "Спасательный вертолет" </t>
  </si>
  <si>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</si>
  <si>
    <t>д232</t>
  </si>
  <si>
    <t>Игрушка «Бетономешалка»</t>
  </si>
  <si>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</si>
  <si>
    <t>д233</t>
  </si>
  <si>
    <t xml:space="preserve">Игрушка Монтессори  Бизиборд 3D </t>
  </si>
  <si>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</si>
  <si>
    <t>д234</t>
  </si>
  <si>
    <t>Игрушка-забава</t>
  </si>
  <si>
    <t>Игрушка используется для свободной игровой деятельности. Назначение зависит от конструкции изделия.</t>
  </si>
  <si>
    <t>д235</t>
  </si>
  <si>
    <t>Игрушка-каталка</t>
  </si>
  <si>
    <t>Игрушка предназначена для перемещения по поверхности путём толкания. Используется в подвижных играх. Материал изготовления — пластик.</t>
  </si>
  <si>
    <t>д236</t>
  </si>
  <si>
    <t>Игрушка-каталка «Вертолёт» на палочке</t>
  </si>
  <si>
    <t>Каталка используется в подвижной игре при движении ребёнка по помещению. Конструкция включает колёсную базу и ручку (палочку) для ведения. В процессе игры выполняется координированное движение «идти–вести», что поддерживает развитие общей моторики. Материал изготовления — пластик.</t>
  </si>
  <si>
    <t>д237</t>
  </si>
  <si>
    <t>Игрушка-каталка «Улитка» на палочке</t>
  </si>
  <si>
    <t>Каталка предназначена для сопровождения движения при ходьбе. Оснащена колёсами и ручкой для управления. В процессе игры формируется согласованность действий рук и ног. Материал изготовления — пластик, рассчитан на регулярную эксплуатацию.</t>
  </si>
  <si>
    <t>д238</t>
  </si>
  <si>
    <t>Игрушка-пупс с аксессуарами</t>
  </si>
  <si>
    <t>Пупс используется для сюжетно-ролевых игр, связанных с уходом. В комплект входят бутылочка и пустышка. Материалы изготовления — винил, пластик и текстиль.</t>
  </si>
  <si>
    <t>д239</t>
  </si>
  <si>
    <t>Игрушки-животные (набор)</t>
  </si>
  <si>
    <t>Набор игрушек используется для сюжетных и настольных игр. Фигурки имеют размеры, удобные для удержания. Предназначены для многократного использования.</t>
  </si>
  <si>
    <t>д24</t>
  </si>
  <si>
    <t>Акварельные краски для занятий по рисованию</t>
  </si>
  <si>
    <t>Акварельные краски используются при выполнении художественных работ и упражнений по рисованию. Применяются для нанесения цветовых пятен, смешивания оттенков и освоения приёмов работы с кистью. В процессе рисования формируются навыки аккуратности и цветового восприятия. Краски безвредны и предназначены для использования в детской среде.</t>
  </si>
  <si>
    <t>д240</t>
  </si>
  <si>
    <t>Иллюстративные альбомы родного края</t>
  </si>
  <si>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</si>
  <si>
    <t>д241</t>
  </si>
  <si>
    <t>Иллюстрированное издание «Животные и птицы»</t>
  </si>
  <si>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</si>
  <si>
    <t>д242</t>
  </si>
  <si>
    <t>Инерционные машинки (набор)</t>
  </si>
  <si>
    <t>Набор включает инерционные машинки. Используются для свободных сюжетных и подвижных игр. Материал изготовления — пластик.</t>
  </si>
  <si>
    <t>д243</t>
  </si>
  <si>
    <t>Интерактивная дидактическая игра "Азбука" для составления слов</t>
  </si>
  <si>
    <t>Интерактивная дидактическая игра включает задания по составлению слов и слогов из отдельных букв. В процессе работы выполняется подбор букв и их размещение в правильной последовательности. Такая деятельность направлена на формирование представлений о буквах, слогах и структуре слова, а также развитие речевых навыков. Комплект содержит карточки с заданиями и подставку для их размещения.</t>
  </si>
  <si>
    <t>д244</t>
  </si>
  <si>
    <t>Интерактивная книжка</t>
  </si>
  <si>
    <t>Книжка используется для рассматривания и выполнения игровых заданий. Содержит сюжетные изображения. Материал страниц — картон.</t>
  </si>
  <si>
    <t>д245</t>
  </si>
  <si>
    <t>Интерактивное зеркало</t>
  </si>
  <si>
    <t>Интерактивное зеркало используется в коррекционно-развивающей работе. Применяется совместно с логопедическим оборудованием.</t>
  </si>
  <si>
    <t>д246</t>
  </si>
  <si>
    <t>Интерактивный глобус</t>
  </si>
  <si>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</si>
  <si>
    <t>д247</t>
  </si>
  <si>
    <t>Информационно-творческое панно для детских работ и целей</t>
  </si>
  <si>
    <t>Панно предназначено для размещения детских рисунков, творческих работ и визуализации индивидуальных и групповых целей. Способствует развитию уверенности в себе, положительной самооценки и мотивации к творческой и познавательной деятельности.</t>
  </si>
  <si>
    <t>д248</t>
  </si>
  <si>
    <t>Искусственные декоративные горшечные растения</t>
  </si>
  <si>
    <t>Искусственные горшечные растения используются для декоративного оформления интерьера. Применяются при создании визуально комфортной среды. Не требуют ухода и полива. В комплект входит не менее 3 изделий.</t>
  </si>
  <si>
    <t>д249</t>
  </si>
  <si>
    <t>Искусство. Аннотированное</t>
  </si>
  <si>
    <t>Мамирова Ғ.Б.</t>
  </si>
  <si>
    <t>д25</t>
  </si>
  <si>
    <t>Аквариум декоративный с подсветкой, фильтрацией и обогревом</t>
  </si>
  <si>
    <t>Аквариум используется для размещения и содержания водных обитателей. Применяется как элемент интерьерного и наглядного оформления помещений. Оснащён подсветкой, фильтром и обогревателем для поддержания условий содержания. Объём аквариума составляет не менее 48 л. Габаритные размеры — не менее 55×30×29 см.</t>
  </si>
  <si>
    <t>д250</t>
  </si>
  <si>
    <t>Казахские сказки</t>
  </si>
  <si>
    <t>Составитель Раева С.К.</t>
  </si>
  <si>
    <t>д251</t>
  </si>
  <si>
    <t>Как все работает. Энциклопедия</t>
  </si>
  <si>
    <t>под ред. П. Френсис, Р. Хьюстон (перевод Баталова А.)</t>
  </si>
  <si>
    <t>д252</t>
  </si>
  <si>
    <t>Калейдоскоп детский</t>
  </si>
  <si>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</si>
  <si>
    <t>д253</t>
  </si>
  <si>
    <t>Календарь погоды (наглядное пособие)</t>
  </si>
  <si>
    <t>Календарь используется для ежедневного фиксации наблюдений за погодой и обсуждения сезонных изменений. Применяется при утренних беседах и тематических занятиях. Формат календаря — не менее 13×18 см. Конструкция предусматривает размещение обозначений (температура, осадки, облачность) в удобной форме. Рассчитан на регулярное использование в помещении.</t>
  </si>
  <si>
    <t>д254</t>
  </si>
  <si>
    <t>Костюм «Пожарный»</t>
  </si>
  <si>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</si>
  <si>
    <t>д256</t>
  </si>
  <si>
    <t>Капитан Кук. Captain Cook (каз., рус., англ.яз.)</t>
  </si>
  <si>
    <t>Р.Левин (перевод Сужикова А., Асанова М.)</t>
  </si>
  <si>
    <t>д257</t>
  </si>
  <si>
    <t>Каракусбай. Казахская сказка</t>
  </si>
  <si>
    <t>д258</t>
  </si>
  <si>
    <t>Карнавальный костюм "Заяц"</t>
  </si>
  <si>
    <t xml:space="preserve"> Заяц серый р 110-56 /мех /Батик/” можно в интернет-магазине Murzilka. Выгодные цены. Быстрая доставка по Казахстану.</t>
  </si>
  <si>
    <t>д259</t>
  </si>
  <si>
    <t>Карнавальный костюм "Лиса"</t>
  </si>
  <si>
    <t>Костюм «Лисичка» для девочки, рост не менее 110 см, размер не менее 28. Выполнен из искусственного меха, комплект включает пелерину с белыми вставками и завязками, юбку на резинке и шапочку-маску с ушками и набивным носиком. Предназначен для ролевых игр и развивает воображение детей.</t>
  </si>
  <si>
    <t>д26</t>
  </si>
  <si>
    <t>Алдар Көсе. Сборник сказок (каз., рус., англ.яз.)</t>
  </si>
  <si>
    <t>каз.адаптац. Мырза Али К.</t>
  </si>
  <si>
    <t>д260</t>
  </si>
  <si>
    <t>Карнавальный костюм "Снеговик"</t>
  </si>
  <si>
    <t>Костюм Снеговичок Снежок подойдет как мальчикам, так и девочкам. Замечательный новогодний образ станет отличной альтернативой стандартным костюмам Снегурочки и Деда Мороза. В таком наряде можно участвовать в спектакле или просто прийти на новогоднюю елку. Комплект состоит из комбинезона с внутренним каркасом, ведерка и носа. Особенности: Костюм белый с серебристыми снежинками и пышным воротником Длинные объемные рукава на резинках Внутренний каркас придает комбинезону объем Синие помпоны спереди Серебристое текстильное ведерко на голову Оранжевый нос-морковка на резинке.</t>
  </si>
  <si>
    <t>д261</t>
  </si>
  <si>
    <t>Карнавальный костюм «Дед Мороз» (комплект)</t>
  </si>
  <si>
    <t>Костюм предназначен для проведения праздничных мероприятий и сценических выступлений. Комплект включает шубу, шапку, варежки и мешок для подарков. Элементы костюма выполнены из износостойких материалов, рассчитанных на многократное использование. Подходит для организации новогодних представлений и игровых сценариев.</t>
  </si>
  <si>
    <t>д262</t>
  </si>
  <si>
    <t>Карнавальный костюм «Ёжик» для девочки (сарафан и шапка)</t>
  </si>
  <si>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</si>
  <si>
    <t>д263</t>
  </si>
  <si>
    <t>Карнавальный костюм «Петух» (маска, безрукавка, шорты)</t>
  </si>
  <si>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</si>
  <si>
    <t>д264</t>
  </si>
  <si>
    <t>Карнавальный костюм «Снегурочка» (комплект)</t>
  </si>
  <si>
    <t>Костюм предназначен для участия в праздничных мероприятиях и театрализованных сценках. В комплект входит шубка, шапочка и рукавицы-варежки. Материал — лёгкая ткань (например, атлас или аналог), удобная для активного движения. Изделие рассчитано на многократное использование.</t>
  </si>
  <si>
    <t>д265</t>
  </si>
  <si>
    <t>Картон цветной (набор для творчества)</t>
  </si>
  <si>
    <t>Цветной картон используется для аппликаций, конструирования и изготовления поделок. Применяется при вырезании, сгибании и наклеивании деталей. Подходит для изготовления макетов, открыток и элементов декора. Поставляется в виде набора листов. Рассчитан на использование в творческих занятиях.</t>
  </si>
  <si>
    <t>д266</t>
  </si>
  <si>
    <t>Карточки «Кто как говорит» (набор звукоподражаний)</t>
  </si>
  <si>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</si>
  <si>
    <t>д267</t>
  </si>
  <si>
    <t>Карточки «Моя ежедневная рутина»</t>
  </si>
  <si>
    <t>Набор карточек используется для закрепления последовательности действий дня и формирования речевых высказываний. В процессе работы выполняется выбор карточек по ситуации и составление коротких фраз. Применяется при обсуждении режимных моментов и навыков самоорганизации. Карточки выполнены из плотного материала для регулярного использования.</t>
  </si>
  <si>
    <t>д268</t>
  </si>
  <si>
    <t>Карточки Домана (набор тематических карточек)</t>
  </si>
  <si>
    <t>Набор карточек используется для показа и называния предметов по темам (транспорт, посуда, продукты питания, одежда, фрукты/ягоды, животные, насекомые, оттенки цветов). Применяется для рассматривания, расширения словаря и упражнений на классификацию. Карточки рассчитаны на регулярное использование и хранение в комплекте.</t>
  </si>
  <si>
    <t>д269</t>
  </si>
  <si>
    <t>Карточки с предложениями и рассказами</t>
  </si>
  <si>
    <t>Материал используется для работы над связной речью. В процессе занятий выполняется чтение/пересказ и составление рассказов по опорам. Применяется для упражнений на последовательность событий и построение фраз. Рассчитан на многократное использование.</t>
  </si>
  <si>
    <t>д27</t>
  </si>
  <si>
    <t>Алпамыс батыр (каз., ағылш.)</t>
  </si>
  <si>
    <t>д270</t>
  </si>
  <si>
    <t>Карынбай. Казахская сказка</t>
  </si>
  <si>
    <t>д271</t>
  </si>
  <si>
    <t>Касса цифр и счётного материала «Лёгкий счёт»</t>
  </si>
  <si>
    <t>Касса используется для упражнений на счёт и составление простых числовых комбинаций. В процессе работы выполняется подбор цифр и счётных элементов, раскладывание по заданиям и решение простых примеров. Подходит для настольной учебно-игровой деятельности. Материал рассчитан на регулярное использование.</t>
  </si>
  <si>
    <t>д272</t>
  </si>
  <si>
    <t>Касса-веер цифр от 0 до 9</t>
  </si>
  <si>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</si>
  <si>
    <t>д273</t>
  </si>
  <si>
    <t>Кел, ойнайық, балақай!</t>
  </si>
  <si>
    <t>Әлімжанов Б.</t>
  </si>
  <si>
    <t>д274</t>
  </si>
  <si>
    <t>Керек кітап</t>
  </si>
  <si>
    <t>Ақыпбекұлы Ө.</t>
  </si>
  <si>
    <t>д275</t>
  </si>
  <si>
    <t>Кинетический песок с контейнером</t>
  </si>
  <si>
    <t>Кинетический песок с контейнером, розового цвета или иного цвета, в комплекте не менее 786 г песка и не менее 4 фигурок, размер коробки не менее 19 × 14 × 9 см, предназначен для развивающих игр и формирования мелкой моторики у детей.</t>
  </si>
  <si>
    <t>д276</t>
  </si>
  <si>
    <t>Кисти для макияжа (набор 7 шт.)</t>
  </si>
  <si>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</si>
  <si>
    <t>д277</t>
  </si>
  <si>
    <t>Кисти художественные (набор)</t>
  </si>
  <si>
    <t>Набор кистей используется для рисования гуашью, акварелью и другими красками. Включает кисти разных размеров для прорисовки деталей и закрашивания больших поверхностей. Рукоятки выполнены из дерева или аналогичного материала. Кисти рассчитаны на многократное использование при соблюдении правил ухода.</t>
  </si>
  <si>
    <t>д278</t>
  </si>
  <si>
    <t>Кисти художественные с синтетическим ворсом (набор 10 шт.)</t>
  </si>
  <si>
    <t>Набор кистей предназначен для рисования различными видами красок. В комплект входит не менее 10 кистей разных форм и размеров, что позволяет выполнять фоновые заливки и тонкие линии. Ворс синтетический (нейлон), упругий и устойчивый к деформации. Рукоятки деревянные, удобные для удержания. Кисти подходят для регулярного использования при выполнении художественных работ.</t>
  </si>
  <si>
    <t>д279</t>
  </si>
  <si>
    <t>Клей ПВА детский</t>
  </si>
  <si>
    <t>Клей ПВА используется для приклеивания бумаги, картона и лёгких материалов в творческих работах. Подходит для аппликаций и изготовления поделок. Желательно наличие сертификата соответствия (РК). Используется дозировано, легко смывается с поверхностей при своевременной очистке.</t>
  </si>
  <si>
    <t>д28</t>
  </si>
  <si>
    <t>Алпамыс батыр (рус., англ.)</t>
  </si>
  <si>
    <t>д280</t>
  </si>
  <si>
    <t>Клей-карандаш</t>
  </si>
  <si>
    <t>Клей-карандаш используется для склеивания бумаги и тонкого картона. Удобен для точечного нанесения без излишков влаги. Подходит для аппликаций и офисно-учебных задач. Рассчитан на регулярное использование.</t>
  </si>
  <si>
    <t>д281</t>
  </si>
  <si>
    <t>Клеопатра. Cleopatra (каз., рус., англ.яз.)</t>
  </si>
  <si>
    <t>К.Дейнз (перевод Сужикова А., Асанова М.)</t>
  </si>
  <si>
    <t>д282</t>
  </si>
  <si>
    <t>Книга «Домашние животные» (картонная)</t>
  </si>
  <si>
    <t>Книга используется для знакомства с домашними животными через изображения и подписи. Применяется при рассматривании, назывании и обсуждении особенностей животных. Картонные страницы подходят для регулярного использования.</t>
  </si>
  <si>
    <t>д283</t>
  </si>
  <si>
    <t>Книга «Ертегілер. Ата-анамен оқимыз», часть 1</t>
  </si>
  <si>
    <t>Книга содержит тексты сказок для совместного чтения. Используется при чтении и обсуждении содержания. Подходит для спокойной совместной деятельности.</t>
  </si>
  <si>
    <t>д284</t>
  </si>
  <si>
    <t>Книга «Ертегілер. Ата-анамен оқимыз», часть 2</t>
  </si>
  <si>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</si>
  <si>
    <t>д285</t>
  </si>
  <si>
    <t>Книга «Ертегілер. Ата-анамен оқимыз», часть 3</t>
  </si>
  <si>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</si>
  <si>
    <t>д286</t>
  </si>
  <si>
    <t>Книга «Кел, ойнайық, балақай!»</t>
  </si>
  <si>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</si>
  <si>
    <t>д287</t>
  </si>
  <si>
    <t>Книга «Моя Родина — Казахстан»</t>
  </si>
  <si>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</si>
  <si>
    <t>д288</t>
  </si>
  <si>
    <t>Книга «Овощи и фрукты» (картонная)</t>
  </si>
  <si>
    <t>Книга используется для ознакомления с овощами и фруктами через изображения и подписи. Применяется при рассматривании, назывании и обсуждении признаков (цвет, форма, где растёт). Страницы выполнены из плотного картона. Подходит для тематических занятий.</t>
  </si>
  <si>
    <t>д289</t>
  </si>
  <si>
    <t>Книга «Цвета» (картонная)</t>
  </si>
  <si>
    <t>Книга предназначена для знакомства с основными цветами через персонажей и сюжетные изображения. Используется при рассматривании и назывании цветов. Страницы выполнены из плотного картона, удобного для частого перелистывания. Подходит для тематических занятий и спокойной деятельности.</t>
  </si>
  <si>
    <t>д29</t>
  </si>
  <si>
    <t>Альбомы с иллюстрациями и фотографиями сельскохозяйственного и бытового труда</t>
  </si>
  <si>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</si>
  <si>
    <t>д290</t>
  </si>
  <si>
    <t>Книга Pop-up «Космос» (панорамка)</t>
  </si>
  <si>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</si>
  <si>
    <t>д291</t>
  </si>
  <si>
    <t>Книга Pop-up «Транспорт» (панорамка)</t>
  </si>
  <si>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</si>
  <si>
    <t>д292</t>
  </si>
  <si>
    <t>Книга-раскладушка со звуками животных</t>
  </si>
  <si>
    <t>Книжка-раскладушка используется для знакомства с голосами животных и птиц. На страницах размещены иллюстрации и подписи со звукоподражанием. Формат раскладушки удобен для показа группе и индивидуального рассматривания. Картонные страницы рассчитаны на многократное использование.</t>
  </si>
  <si>
    <t>д293</t>
  </si>
  <si>
    <t>Книги по воспитанию и педагогике</t>
  </si>
  <si>
    <t>Комплект включает издания по педагогике, психологии и вопросам воспитания. Используется для методической подготовки и профессионального чтения. Подходит для размещения в методическом кабинете или библиотеке учреждения. Рассчитан на длительное хранение и использование.</t>
  </si>
  <si>
    <t>д294</t>
  </si>
  <si>
    <t>Книжные стеллажи (открытые)</t>
  </si>
  <si>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</si>
  <si>
    <t>Стеллаж двусторонний, 3 полки, размер не менее 800х600х1100 мм</t>
  </si>
  <si>
    <t>д295</t>
  </si>
  <si>
    <t>Ковёр с казахскими орнаментами</t>
  </si>
  <si>
    <t>Мягкий ковёр для зоны чтения и отдыха с традиционными казахскими узорами. Оснащён антискользящим основанием.</t>
  </si>
  <si>
    <t>д296</t>
  </si>
  <si>
    <t>Коврик для упражнений напольный (йога/ЛФК)</t>
  </si>
  <si>
    <t>Коврик используется для упражнений на полу, растяжки и спокойной двигательной активности. Размер коврика составляет не менее 180×60 см, толщина — не менее 0,6 см. Материал — TPE или аналог, устойчивый к скольжению и лёгкий в уходе. Рассчитан на регулярное использование.</t>
  </si>
  <si>
    <t>д297</t>
  </si>
  <si>
    <t>Коврики для лепки (набор 4 шт.)</t>
  </si>
  <si>
    <t>Коврики используются как рабочая поверхность при лепке и работе с пластичными материалами. Материал — силикон или пластик, водонепроницаемый и термостойкий. Поверхность предотвращает прилипание и облегчает уборку рабочего места. В комплект входит не менее 4 ковриков. Размер одного коврика — не менее 39×29 см (возможны дополнительные меньшие форматы).</t>
  </si>
  <si>
    <t>д298</t>
  </si>
  <si>
    <t>Ковролин напольный для игровой зоны</t>
  </si>
  <si>
    <t>Ковролин используется как основное покрытие игровой или рабочей зоны, снижая шум и делая поверхность более тёплой и безопасной. Материал должен быть гипоаллергенным и устойчивым к истиранию. Цвет — нейтральный (пастельные или светлые тона) для визуального спокойствия пространства. Размер подбирается по площади зоны, при этом покрытие обеспечивает сплошное перекрытие основной рабочей поверхности. Подходит для регулярной уборки пылесосом и локальной влажной очистки.</t>
  </si>
  <si>
    <t>д299</t>
  </si>
  <si>
    <t>Козы Корпеш - Баян сулу (рус., англ.)</t>
  </si>
  <si>
    <t>д3</t>
  </si>
  <si>
    <t>"Ақылды" боямақ. Үй. "Умная" раскраска. Раскрась по коду. Дом</t>
  </si>
  <si>
    <t>д30</t>
  </si>
  <si>
    <t>Антология планеты земля</t>
  </si>
  <si>
    <t>д300</t>
  </si>
  <si>
    <t>Коллекция семян и плодов (демонстрационный набор)</t>
  </si>
  <si>
    <t>Коллекция предназначена для ознакомления с разнообразием семян и плодов и их внешними признаками. Используется как демонстрационный материал при тематических занятиях и наблюдениях. В составе набора должны быть образцы разных форм и размеров для сравнения и классификации. Элементы размещаются в контейнере/коробке для хранения и систематизации. Материал рассчитан на многократное использование в помещении.</t>
  </si>
  <si>
    <t>д301</t>
  </si>
  <si>
    <t>Коллекция тканей (набор образцов)</t>
  </si>
  <si>
    <t>Набор образцов тканей используется для тактильного сравнения материалов и изучения их свойств (плотность, гладкость, фактура). Применяется при занятиях по ознакомлению с материалами и в творческих заданиях. Длина одного отреза ткани — не менее 1 м (при поставке единицей товара). Цветовая гамма допускает различные варианты по ассортименту.</t>
  </si>
  <si>
    <t>д302</t>
  </si>
  <si>
    <t>Колода для рубки мяса верх пэ ce-ekp70x70</t>
  </si>
  <si>
    <t>Нержавеющая сталь 430; Толщина  полиэтилена: 10 cm; С бортиком, без полки; Параметры: 700x700x850 мм</t>
  </si>
  <si>
    <t>д303</t>
  </si>
  <si>
    <t>Колокольчик детский (металл/пластик)</t>
  </si>
  <si>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</si>
  <si>
    <t>д304</t>
  </si>
  <si>
    <t>Коляска для куклы игровая (металл/пластик/текстиль)</t>
  </si>
  <si>
    <t>Игровая коляска используется как атрибут сюжетно-ролевых игр по уходу за куклой. В процессе игры выполняются действия по перевозке, укладыванию и «прогулке», что поддерживает развитие ролевых сценариев. Каркас изготовлен из металла, элементы — из пластика и текстиля. Конструкция должна быть устойчивой, с колёсами, обеспечивающими плавное перемещение. Цветовое исполнение — фиолетовый и красный (или близкий вариант по партии).</t>
  </si>
  <si>
    <t>д305</t>
  </si>
  <si>
    <t>Коляска для куклы с люлькой (со съёмной корзиной)</t>
  </si>
  <si>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</si>
  <si>
    <t>д306</t>
  </si>
  <si>
    <t>Комплект «Трио»</t>
  </si>
  <si>
    <t>Сенсорный светодинамический комплект, включающий три воздушно-пузырьковые колонны высотой 1,5 м и диаметром 10 см каждая, мягкое объединяющее основание и комплект зеркальных панелей. Используется для известной релаксации, визуальной стимуляции, развития внимания и снижения эмоционального напряжения. Конструкция устойчивая, предназначена для стационарного размещения в сенсорных и психологических зонах.</t>
  </si>
  <si>
    <t>д307</t>
  </si>
  <si>
    <t>Комплект безопасных световых фильтров для изучения цветов спектра</t>
  </si>
  <si>
    <t>Набор цветных прозрачных фильтров, предназначенных для изучения основных и составных цветов спектра. Применяется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Материалы безопасны для детского использования, фильтры подходят для индивидуальной и групповой работы.</t>
  </si>
  <si>
    <t>д308</t>
  </si>
  <si>
    <t>Комплект игрушечной мебели и домашнего оборудования</t>
  </si>
  <si>
    <t>Набор миниатюрных предметов мебели и бытовых аксессуаров, предназначенный для сюжетно-ролевых и коррекционно-развивающих занятий. Позволяет моделировать повседневные жизненные ситуации, развивать социальные навыки, речь, эмоциональный интеллект и навыки взаимодействия. Используется в психологических и игровых кабинетах.</t>
  </si>
  <si>
    <t>д309</t>
  </si>
  <si>
    <t>Комплект из 10 книг «Уроки логопеда»</t>
  </si>
  <si>
    <t>Методический книжный комплект для логопедической работы с детьми. Содержит материалы по развитию артикуляционной моторики, фонематического восприятия, лексико-грамматического строя речи и связной речи. Используется для индивидуальных и подгрупповых занятий, а также в коррекционно-развивающей практике.</t>
  </si>
  <si>
    <t>д31</t>
  </si>
  <si>
    <t>Аптечка</t>
  </si>
  <si>
    <t>Аптечка предназначена для хранения медицинских изделий и средств первой необходимости. Используется для оперативного доступа к медицинским принадлежностям. Комплектуется в соответствии с установленными требованиями. Предназначена для размещения в помещениях учреждения.</t>
  </si>
  <si>
    <t>д310</t>
  </si>
  <si>
    <t>Комплект карточек с изображениями (предметы/действия/животные)</t>
  </si>
  <si>
    <t>Карточки используются для упражнений на называние, описание и подбор по признакам. Тематика включает предметы, животных и действия. Применяется для игр на классификацию и составление фраз. Карточки рассчитаны на регулярное использование.</t>
  </si>
  <si>
    <t>д311</t>
  </si>
  <si>
    <t>Комплект книг (сказки, в том числе говорящие), не менее 15 шт.</t>
  </si>
  <si>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</si>
  <si>
    <t>д312</t>
  </si>
  <si>
    <t>Комплект мягкой мебели</t>
  </si>
  <si>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</si>
  <si>
    <t>д313</t>
  </si>
  <si>
    <t>Комплект постельного белья</t>
  </si>
  <si>
    <t>Комплект текстильных принадлежностей для оснащения спальных зон. Предназначен для ежедневного использования, обеспечивает гигиеничность, комфорт и простоту ухода. Подходит для детских учреждений и регулярной санитарной обработки.</t>
  </si>
  <si>
    <t>д314</t>
  </si>
  <si>
    <t>Компьютерлік программалау. Балаларға арналған</t>
  </si>
  <si>
    <t>Вордерман К.</t>
  </si>
  <si>
    <t>д315</t>
  </si>
  <si>
    <t>Конный мир казахов</t>
  </si>
  <si>
    <t>Токтабай А.</t>
  </si>
  <si>
    <t>д316</t>
  </si>
  <si>
    <t>Конструктор «камни»</t>
  </si>
  <si>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</si>
  <si>
    <t>д317</t>
  </si>
  <si>
    <t>Конструктор «Сәулетші»</t>
  </si>
  <si>
    <t>Развивающий конструктор предназначен для формирования пространственного мышления, логики, воображения и мелкой моторики. Используется в индивидуальной и групповой игровой деятельности детей дошкольного возраста.</t>
  </si>
  <si>
    <t>д318</t>
  </si>
  <si>
    <t>Конструктор «Сказка-театр»</t>
  </si>
  <si>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</si>
  <si>
    <t>д319</t>
  </si>
  <si>
    <t>Конструктор «Транспортная машина для мотоциклов»</t>
  </si>
  <si>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</si>
  <si>
    <t>д32</t>
  </si>
  <si>
    <t>Аптечка первой помощи</t>
  </si>
  <si>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</si>
  <si>
    <t>д320</t>
  </si>
  <si>
    <t>Конструктор «Ферма»</t>
  </si>
  <si>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</si>
  <si>
    <t>д321</t>
  </si>
  <si>
    <t>Конструктор блочный с крупными деталями</t>
  </si>
  <si>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</si>
  <si>
    <t>д322</t>
  </si>
  <si>
    <t>Конструктор деревянный (100 элементов)</t>
  </si>
  <si>
    <t>Набор деревянных деталей различной формы для свободного конструирования. Используется для развития творческого мышления, координации рук и глаз, а также навыков планирования и устойчивости построек.</t>
  </si>
  <si>
    <t>д323</t>
  </si>
  <si>
    <t>Конструктор деревянный цветной (65 деталей)</t>
  </si>
  <si>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</si>
  <si>
    <t>д324</t>
  </si>
  <si>
    <t>Конструктор крупный детский</t>
  </si>
  <si>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</si>
  <si>
    <t>д325</t>
  </si>
  <si>
    <t>Конструктор мягкий</t>
  </si>
  <si>
    <t>Конструктор из мягкого вспененного материала, безопасный для активной игры. Используется для построения объёмных форм, развития крупной моторики и пространственного восприятия. Подходит для младшего возраста.</t>
  </si>
  <si>
    <t>д326</t>
  </si>
  <si>
    <t>Конструктор с деревянными или пластмассовыми деталями</t>
  </si>
  <si>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</si>
  <si>
    <t>д327</t>
  </si>
  <si>
    <t>Конструктор с крупными деталями</t>
  </si>
  <si>
    <t>Набор крупных пластиковых и деревянных элементов, предназначенный для безопасной сборки объёмных конструкций. Развивает координацию, внимание и навыки совместной деятельности.</t>
  </si>
  <si>
    <t>д328</t>
  </si>
  <si>
    <t>Конструктор трубки</t>
  </si>
  <si>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</si>
  <si>
    <t>д329</t>
  </si>
  <si>
    <t>Конструкторная панель</t>
  </si>
  <si>
    <t>Конструкторная настенная панель предназначена для сборки конструкций, моделирования ситуаций, развития воображения и мелкой моторики. Оснащена встроенным контейнером для хранения элементов. Размер около 1000 × 1500 мм.</t>
  </si>
  <si>
    <t>д33</t>
  </si>
  <si>
    <t>Ахмет. Алаш ардақтысы</t>
  </si>
  <si>
    <t>Имаханбет Р.С.</t>
  </si>
  <si>
    <t>д330</t>
  </si>
  <si>
    <t>Контейнер для мусора 120 л с педалью</t>
  </si>
  <si>
    <t>Контейнер для мусора 120 л с педалью. Открывание крышки без использования рук с помощью широкой педали идеально исключает контакт бака и рук. Плотно закрывающаяся крышка предотвращает распространение запахов. Гладкая поверхность пластика обеспечивает легкость мытья</t>
  </si>
  <si>
    <t>д331</t>
  </si>
  <si>
    <t>Контейнер пластиковый</t>
  </si>
  <si>
    <t>Пластиковый контейнер, предназначенный для хранения и сортировки учебных, игровых и хозяйственных материалов. Лёгкий, прочный, устойчивый к влаге, удобен для регулярного использования в образовательной среде.</t>
  </si>
  <si>
    <t>д332</t>
  </si>
  <si>
    <t>Контейнеры для хранения</t>
  </si>
  <si>
    <t>Плоские пластиковые контейнеры с крышкой, предназначенные для хранения мелких предметов, канцелярии и дидактических материалов. Компактный формат позволяет эффективно использовать полки и ящики.</t>
  </si>
  <si>
    <t>д333</t>
  </si>
  <si>
    <t>Конусы и фишки для разметки</t>
  </si>
  <si>
    <t>Набор конусов и фишек для разметки пространства при проведении подвижных и спортивных игр. Используются для обозначения маршрутов, границ и игровых зон.</t>
  </si>
  <si>
    <t>д334</t>
  </si>
  <si>
    <t>Конусы с отверстиями для спортивных тренировок</t>
  </si>
  <si>
    <t>Спортивные пластиковые конусы с боковыми отверстиями, позволяющими создавать комбинированные препятствия и тренировочные элементы. Применяются для развития координации и ориентации в пространстве.</t>
  </si>
  <si>
    <t>д335</t>
  </si>
  <si>
    <t>Координационная лестница напольная</t>
  </si>
  <si>
    <t>Напольная координационная дорожка, предназначенная для упражнений на развитие ловкости, баланса и двигательной координации. Используется в спортивных и игровых занятиях.</t>
  </si>
  <si>
    <t>д336</t>
  </si>
  <si>
    <t>Кораблик (игрушка)</t>
  </si>
  <si>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</si>
  <si>
    <t>д337</t>
  </si>
  <si>
    <t>Корзина для мусора (пластиковая)</t>
  </si>
  <si>
    <t>Лёгкая пластиковая корзина для сбора бытового мусора и бумажных отходов. Подходит для использования в учебных и административных помещениях.</t>
  </si>
  <si>
    <t>д338</t>
  </si>
  <si>
    <t>Корзина для мусора (сетчатая)</t>
  </si>
  <si>
    <t>Сетчатая корзина для бумаги, обеспечивает вентиляцию и визуальный контроль наполнения. Используется в кабинетах и рабочих зонах.</t>
  </si>
  <si>
    <t>д339</t>
  </si>
  <si>
    <t>д34</t>
  </si>
  <si>
    <t>Ахмет. Гордость нации</t>
  </si>
  <si>
    <t>д340</t>
  </si>
  <si>
    <t>Корзина для теннисных мячей</t>
  </si>
  <si>
    <t>Компактная корзина предназначена для хранения и переноски небольших спортивных мячей во время занятий и подвижных игр. Размер изделия не менее 30 см по длине, что обеспечивает удобство размещения инвентаря. Жёсткая конструкция сохраняет форму и облегчает сортировку мячей после занятий. Используется педагогом или детьми под контролем взрослого.</t>
  </si>
  <si>
    <t>д341</t>
  </si>
  <si>
    <t>Корзины для мячей (комплект / разные типы)</t>
  </si>
  <si>
    <t>Набор корзин предназначен для хранения и систематизации спортивного инвентаря в физкультурных и игровых зонах. Позволяет разделять мячи по видам и размерам, поддерживая порядок в помещении. Использование корзин способствует формированию у детей навыков организации пространства и аккуратного обращения с оборудованием.</t>
  </si>
  <si>
    <t>д342</t>
  </si>
  <si>
    <t>Коробка архивная формата А4</t>
  </si>
  <si>
    <t>Архивная коробка из плотного картона используется для хранения документации, методических материалов и наглядных пособий. Формат А4 обеспечивает удобство размещения папок и листовых материалов без сгибов. Подходит для систематизации документов в административных и методических помещениях.</t>
  </si>
  <si>
    <t>д343</t>
  </si>
  <si>
    <t>Коробка для теневого театра</t>
  </si>
  <si>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</si>
  <si>
    <t>д344</t>
  </si>
  <si>
    <t>Коробка стерилизационная круглая (бикс)</t>
  </si>
  <si>
    <t>Используется для стерилизации и хранения медицинских инструментов.</t>
  </si>
  <si>
    <t>д345</t>
  </si>
  <si>
    <t>Коробка стерилизационная круглая (бикс) большая</t>
  </si>
  <si>
    <t>Предназначена для стерилизации и хранения большего объёма медицинских инструментов и материалов.</t>
  </si>
  <si>
    <t>д346</t>
  </si>
  <si>
    <t>Костюм «Волк»</t>
  </si>
  <si>
    <t>Карнавальный костюм предназначен для участия в сказочных постановках и игровых сценках. Выполнен из искусственного меха и текстильных материалов, включает элементы маски и одежды персонажа. Используется для развития актёрских навыков, мимики и образного мышления.</t>
  </si>
  <si>
    <t>д347</t>
  </si>
  <si>
    <t>Костюм «Доктор / Врач»</t>
  </si>
  <si>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</si>
  <si>
    <t>д348</t>
  </si>
  <si>
    <t>Костюм «Космонавт / Космос»</t>
  </si>
  <si>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</si>
  <si>
    <t>д349</t>
  </si>
  <si>
    <t>Костюм «Повар»</t>
  </si>
  <si>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</si>
  <si>
    <t>д35</t>
  </si>
  <si>
    <t>Ашуды қалай жеңуге болады. Как подавить злость. How to control anger (каз., рус., англ.яз.)</t>
  </si>
  <si>
    <t>д351</t>
  </si>
  <si>
    <t>Костюм «Полицейский»</t>
  </si>
  <si>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</si>
  <si>
    <t>д352</t>
  </si>
  <si>
    <t>Костюм «Принцесса Золушка»</t>
  </si>
  <si>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</si>
  <si>
    <t>д353</t>
  </si>
  <si>
    <t>Костюм «Снежинка»</t>
  </si>
  <si>
    <t>Праздничный костюм применяется в новогодних и зимних утренниках. Лёгкая текстильная конструкция не сковывает движений ребёнка. Используется в танцевальных номерах и театрализованных композициях, развивая чувство ритма и сценическую выразительность.</t>
  </si>
  <si>
    <t>д354</t>
  </si>
  <si>
    <t>Костюм «Строитель»</t>
  </si>
  <si>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</si>
  <si>
    <t>д355</t>
  </si>
  <si>
    <t>Костюм врача</t>
  </si>
  <si>
    <t>Набор доктора детский MEGA TOYS костюм врача для детей карнавальный для утренника, сада / 3 предмета медика (халат, колпак, игрушка стетоскоп)</t>
  </si>
  <si>
    <t>д356</t>
  </si>
  <si>
    <t>Көксерек. Серый лютый (каз.рус.яз.)</t>
  </si>
  <si>
    <t>М.Әуезов</t>
  </si>
  <si>
    <t>д357</t>
  </si>
  <si>
    <t>Көктем күні көнілді</t>
  </si>
  <si>
    <t>Ж.Смаков</t>
  </si>
  <si>
    <t>д358</t>
  </si>
  <si>
    <t>Краски акриловые</t>
  </si>
  <si>
    <t>Акриловые краски на водной основе, предназначенные для детского творчества. Безопасны, легко наносятся и быстро высыхают.</t>
  </si>
  <si>
    <t>д36</t>
  </si>
  <si>
    <t>Әдебиет әлеміне саяхат. Хрестоматия 2-4 сыныпка арналған</t>
  </si>
  <si>
    <t>Құрастырған З.Мүфтибекова</t>
  </si>
  <si>
    <t>д360</t>
  </si>
  <si>
    <t>Крупные напольные растения (задний план)</t>
  </si>
  <si>
    <t>Крупные напольные растения используются для формирования визуального фона и зонирования пространства в интерьере. Размещаются вдоль стен, в углах помещений или за основными функциональными зонами, создавая ощущение уюта, завершённости и природной гармонии. Растения смягчают восприятие пространства, снижают визуальную перегруженность и способствуют формированию спокойной, комфортной атмосферы. Могут применяться как элемент экологического воспитания, а также как часть декоративного и сенсорного оформления среды. Подбираются с учётом устойчивости, безопасности и удобства ухода в условиях постоянного пребывания детей.</t>
  </si>
  <si>
    <t>д362</t>
  </si>
  <si>
    <t>Кубики деревянные</t>
  </si>
  <si>
    <t>Деревянный кубик, размер не менее 70 × 70 × 70 мм, 1 штука в комплекте, предназначен для строительных и развивающих игр в детском саду. Используется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</si>
  <si>
    <t>д363</t>
  </si>
  <si>
    <t>Кубики деревянные «Классика»</t>
  </si>
  <si>
    <t>Набор разноцветных деревянных кубиков для свободного конструирования. Используется в самостоятельной и совместной игре для построения простых и сложных форм. Развивает пространственное мышление, координацию движений и навыки классификации по цвету и форме.</t>
  </si>
  <si>
    <t>д364</t>
  </si>
  <si>
    <t>Кубики для малышей, 16 элементов</t>
  </si>
  <si>
    <t>Набор кубиков увеличенного размера, удобных для захвата детской рукой. Применяется в раннем возрасте для освоения базовых форм, цветов и простых конструкций. Материал лёгкий, устойчивый к ударам, рассчитан на активное использование.</t>
  </si>
  <si>
    <t>д365</t>
  </si>
  <si>
    <t>Кубики развивающие для малышей</t>
  </si>
  <si>
    <t>Разноцветные кубики для свободной игры и первых конструктивных действий. Используются для развития моторики рук, зрительного восприятия и координации. Подходят для индивидуальной и групповой игровой деятельности.</t>
  </si>
  <si>
    <t>д366</t>
  </si>
  <si>
    <t>Кукла "Мулатка"</t>
  </si>
  <si>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</si>
  <si>
    <t>д367</t>
  </si>
  <si>
    <t>Кукла в башкирском костюме</t>
  </si>
  <si>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</si>
  <si>
    <t>д368</t>
  </si>
  <si>
    <t>Кукла в казахском национальном костюме (45 см)</t>
  </si>
  <si>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</si>
  <si>
    <t>д369</t>
  </si>
  <si>
    <t>Кукла в национальном костюме</t>
  </si>
  <si>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</si>
  <si>
    <t>д37</t>
  </si>
  <si>
    <t>Әдептілік әдемілік</t>
  </si>
  <si>
    <t>Өтетілеуұлы Е.</t>
  </si>
  <si>
    <t>д370</t>
  </si>
  <si>
    <t>Кукла в национальном костюме (30 см)</t>
  </si>
  <si>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</si>
  <si>
    <t>д371</t>
  </si>
  <si>
    <t>Кукла говорящая</t>
  </si>
  <si>
    <t>Кукла с функцией воспроизведения звуков и фраз. Используется для стимулирования речевой активности и эмоционального отклика. Подходит для индивидуальной и совместной игры.</t>
  </si>
  <si>
    <t>д372</t>
  </si>
  <si>
    <t>Кукла коллекционная в народном костюме</t>
  </si>
  <si>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</si>
  <si>
    <t>д373</t>
  </si>
  <si>
    <t>Кукла коллекционная в праздничном костюме</t>
  </si>
  <si>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</si>
  <si>
    <t>д374</t>
  </si>
  <si>
    <t>Кукла мальчик в национальном костюме</t>
  </si>
  <si>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</si>
  <si>
    <t>д375</t>
  </si>
  <si>
    <t>Кукла мягкая тряпичная</t>
  </si>
  <si>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</si>
  <si>
    <t>д376</t>
  </si>
  <si>
    <t>Кукла озвученная (52 см)</t>
  </si>
  <si>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</si>
  <si>
    <t>д377</t>
  </si>
  <si>
    <t>Кукла пластмассовая для сюжетных игр</t>
  </si>
  <si>
    <t>Кукла среднего размера, предназначенная для активных ролевых игр. Может использоваться в игровых ситуациях, связанных с семьёй, профессиями и бытом. Поддерживает развитие речи и воображения.</t>
  </si>
  <si>
    <t>д378</t>
  </si>
  <si>
    <t>Кукла пупс</t>
  </si>
  <si>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</si>
  <si>
    <t>д379</t>
  </si>
  <si>
    <t>Кукла пупс с аксессуарами</t>
  </si>
  <si>
    <t>Игровой набор, включающий куклу-пупса и предметы ухода. Используется для разыгрывания бытовых ситуаций. Развивает последовательность действий и ролевое мышление.</t>
  </si>
  <si>
    <t>д38</t>
  </si>
  <si>
    <t>Әлемнің мәдени жауһарлары</t>
  </si>
  <si>
    <t>под ред. Ш. Данфорд (перевод Шарипова А.)</t>
  </si>
  <si>
    <t>д380</t>
  </si>
  <si>
    <t>Кукла пупс с коляской</t>
  </si>
  <si>
    <t>Кукла с элементом передвижения, применяемая в сюжетно-ролевых играх. Позволяет моделировать прогулки и бытовые ситуации. Развивает координацию движений и социальные навыки.</t>
  </si>
  <si>
    <t>д381</t>
  </si>
  <si>
    <t>Кукла с инвалидным креслом</t>
  </si>
  <si>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</si>
  <si>
    <t>д382</t>
  </si>
  <si>
    <t>Кукла с набором одежды</t>
  </si>
  <si>
    <t>Кукла с комплектом сменной одежды и аксессуаров. Используется для игр с переодеванием и сменой образов. Развивает мелкую моторику, воображение и навыки самостоятельности.</t>
  </si>
  <si>
    <t>д383</t>
  </si>
  <si>
    <t>Кукла-малышка шарнирная</t>
  </si>
  <si>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</si>
  <si>
    <t>д384</t>
  </si>
  <si>
    <t>Кукла-малышка шарнирная бьюти-блогер</t>
  </si>
  <si>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</si>
  <si>
    <t>д385</t>
  </si>
  <si>
    <t>Куклы</t>
  </si>
  <si>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</si>
  <si>
    <t>д386</t>
  </si>
  <si>
    <t>Кукольная марионетка (клоун)</t>
  </si>
  <si>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</si>
  <si>
    <t>д387</t>
  </si>
  <si>
    <t>Кукольный дом</t>
  </si>
  <si>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</si>
  <si>
    <t>д388</t>
  </si>
  <si>
    <t>Кукольный дом загородного типа</t>
  </si>
  <si>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</si>
  <si>
    <t>д389</t>
  </si>
  <si>
    <t>Кукольный клоун на верёвке (марионетка)</t>
  </si>
  <si>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</si>
  <si>
    <t>д39</t>
  </si>
  <si>
    <t>Әлемнің ұлы кереметтері</t>
  </si>
  <si>
    <t>Эш Р.</t>
  </si>
  <si>
    <t>д390</t>
  </si>
  <si>
    <t>Кукольный театр на руку «Козлята и волк»</t>
  </si>
  <si>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</si>
  <si>
    <t>д391</t>
  </si>
  <si>
    <t>Кукольный театр на руку «Репка»</t>
  </si>
  <si>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</si>
  <si>
    <t>д392</t>
  </si>
  <si>
    <t>Кулер для воды</t>
  </si>
  <si>
    <t>Напольный кулер с функциями нагрева и охлаждения воды. Используется для поддержания питьевого режима в помещениях ДОУ. Конструкция обеспечивает удобство эксплуатации и безопасность при использовании взрослыми.</t>
  </si>
  <si>
    <t>д393</t>
  </si>
  <si>
    <t>Культурные сокровища мира</t>
  </si>
  <si>
    <t>под ред. Ш. Данфорд (перевод Асанова М.)</t>
  </si>
  <si>
    <t>д394</t>
  </si>
  <si>
    <t>Күн нұрындай Күнікей</t>
  </si>
  <si>
    <t>М Айымбетов</t>
  </si>
  <si>
    <t>д395</t>
  </si>
  <si>
    <t>Күштін сыры неде? Қызықты физика</t>
  </si>
  <si>
    <t>Хаммонд Р.</t>
  </si>
  <si>
    <t>д396</t>
  </si>
  <si>
    <t>Қазақ афоризмдері</t>
  </si>
  <si>
    <t>Шаймерденов Е.</t>
  </si>
  <si>
    <t>д397</t>
  </si>
  <si>
    <t>Қазақ ертегілері</t>
  </si>
  <si>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</si>
  <si>
    <t>д398</t>
  </si>
  <si>
    <t>Қазақ ертегілері / Казахские сказки</t>
  </si>
  <si>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</si>
  <si>
    <t>д399</t>
  </si>
  <si>
    <t>Қазақ ертегілері.</t>
  </si>
  <si>
    <t>Құрастарған: Раева С.К</t>
  </si>
  <si>
    <t>д4</t>
  </si>
  <si>
    <t>"Ақылды" боямақ. Фермада. "Умная" раскраска. Раскрась по коду. На ферме</t>
  </si>
  <si>
    <t>д40</t>
  </si>
  <si>
    <t>Балаларға аманат</t>
  </si>
  <si>
    <t>Т. Молдағалиев</t>
  </si>
  <si>
    <t>д400</t>
  </si>
  <si>
    <t>Қазақ мақал-мателдерi. Казахские пословицы и поговорки (каз., рус.яз.)</t>
  </si>
  <si>
    <t>сост.: Сужикова А.</t>
  </si>
  <si>
    <t>д401</t>
  </si>
  <si>
    <t>Қазақ оркестрі. Казахский оркестр (каз., рус., англ.яз.)</t>
  </si>
  <si>
    <t>д402</t>
  </si>
  <si>
    <t>Қазақ портреттерінің тарихы. Көпшілік - танымдық басылым</t>
  </si>
  <si>
    <t>Ескендір-Эбдешев М.</t>
  </si>
  <si>
    <t>д403</t>
  </si>
  <si>
    <t>Қазақ халқының салт-дәстурлерi. Традиции и обряды казахского народа. Kazakh traditions and customs (каз., рус., англ.яз.)</t>
  </si>
  <si>
    <t>С.Кенжеахметулы</t>
  </si>
  <si>
    <t>д404</t>
  </si>
  <si>
    <t>Қазақ халқының тұрмысы мен мәдениеті. Быт и культура казахского народа. Life and culture of the Kazakh people (каз., рус., англ.яз.)</t>
  </si>
  <si>
    <t>С.Кенжеахметұлы</t>
  </si>
  <si>
    <t>д405</t>
  </si>
  <si>
    <t>Қазақ халқының ұлттық киімдері. Национальная одежда казахского народа. National clofhes of Kazakh people (каз., рус., англ.яз.)</t>
  </si>
  <si>
    <t>Хинаят Б.</t>
  </si>
  <si>
    <t>д406</t>
  </si>
  <si>
    <t>Қазақстан қорықтары. Заповедный Казахстан.Kazakhstan protected wilderness (каз,рус,англ)</t>
  </si>
  <si>
    <t>Якушкин В.</t>
  </si>
  <si>
    <t>д407</t>
  </si>
  <si>
    <t>Қазақстан халқы ертегілері. 4-7 жас аралығындағы балаларға арналған</t>
  </si>
  <si>
    <t>Құрастарған К. Әлпейісова</t>
  </si>
  <si>
    <t>д408</t>
  </si>
  <si>
    <t>Қазақстан халқы ертегілері. 8-11 жас аралығындағы балаларға арналған</t>
  </si>
  <si>
    <t>д409</t>
  </si>
  <si>
    <t>Қазақстанның ғажайып табиғаты.Удивительная природа Казахстана The wondering nature of Kazakhstan (каз., рус., англ.яз.)</t>
  </si>
  <si>
    <t>д41</t>
  </si>
  <si>
    <t>Балаларға Қазақстан Республикасының Конституциясы туралы</t>
  </si>
  <si>
    <t>д410</t>
  </si>
  <si>
    <t>Қазақтың дарқан дастарқаны. Национальная кухня казахов</t>
  </si>
  <si>
    <t>Кенжеахметұлы С.</t>
  </si>
  <si>
    <t>д411</t>
  </si>
  <si>
    <t>Қазақтың дәстурлі кару-жарағының этнографиясы</t>
  </si>
  <si>
    <t>К. Ахметжан</t>
  </si>
  <si>
    <t>д412</t>
  </si>
  <si>
    <t>Қазақтың дәстурлі музыкалық аспаптары</t>
  </si>
  <si>
    <t>Жакишева З.</t>
  </si>
  <si>
    <t>д413</t>
  </si>
  <si>
    <t>Қазақтың дәстүрлі құрақ бұйымдары. Традиционные лоскутные изделия казахов. Kazakh traditional patchwork (каз., рус., англ.яз.)</t>
  </si>
  <si>
    <t>Секеева А.М.</t>
  </si>
  <si>
    <t>д414</t>
  </si>
  <si>
    <t>Қазақтың зергелік өнер. Ювелирное искусство казахов. Jeweler's art of Kazakhs (каз., рус., англ.яз.)</t>
  </si>
  <si>
    <t>Ш.Тохтабаева</t>
  </si>
  <si>
    <t>д415</t>
  </si>
  <si>
    <t>Қазақтың кесте тігу өнері. Вышивальное искусство казахов. Embroidery art of Kazakhs</t>
  </si>
  <si>
    <t>Тохтабаева Ш.</t>
  </si>
  <si>
    <t>д416</t>
  </si>
  <si>
    <t>Қалай сыпайы сөйлесуге болады. Как вести себя вежливо. How to speak well</t>
  </si>
  <si>
    <t>д417</t>
  </si>
  <si>
    <t>Қарақшылар туралы 10 оқиға</t>
  </si>
  <si>
    <t>д418</t>
  </si>
  <si>
    <t>Қобыланды батыр (каз., ағылш.)</t>
  </si>
  <si>
    <t>д419</t>
  </si>
  <si>
    <t>Қобыланды батыр (рус., англ.)</t>
  </si>
  <si>
    <t>д42</t>
  </si>
  <si>
    <t>Балансировочная доска «Улитка»</t>
  </si>
  <si>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</si>
  <si>
    <t>д420</t>
  </si>
  <si>
    <t>Қозы Корпеш - Баян сулу (каз., агылш.)</t>
  </si>
  <si>
    <t>д421</t>
  </si>
  <si>
    <t>Қош келдің, әз-Наурыз! (сандық- кітап)</t>
  </si>
  <si>
    <t>д422</t>
  </si>
  <si>
    <t>Қуырмаш (тақпақтар, жаңылтпаштар, жұмбактар мен мақал-мәтелдер)</t>
  </si>
  <si>
    <t>С.Раева</t>
  </si>
  <si>
    <t>д423</t>
  </si>
  <si>
    <t>Қуырмаш (тақпақтар, жаңылтпаштар, жұмбақтар мен мақал-мәтелдер)</t>
  </si>
  <si>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</si>
  <si>
    <t>д424</t>
  </si>
  <si>
    <t>Қыз Жiбек (каз.)</t>
  </si>
  <si>
    <t>Бейімдеген А.Файзуллаұлы</t>
  </si>
  <si>
    <t>д425</t>
  </si>
  <si>
    <t>Қыз Жiбек (рус.)</t>
  </si>
  <si>
    <t>Адапт. А. Файзуллаұлы</t>
  </si>
  <si>
    <t>д426</t>
  </si>
  <si>
    <t>Қызғаныштан қалай құтыламын. Как побороть в себе зависть. How to remove jealousy</t>
  </si>
  <si>
    <t>д427</t>
  </si>
  <si>
    <t>Лак защитный</t>
  </si>
  <si>
    <t>Акриловый лак на водной основе, предназначенный для защиты детских изделий и поделок. Используется в творческой деятельности для повышения износостойкости, защиты от влаги и придания аккуратного внешнего вида. Безопасен при использовании в детской среде.</t>
  </si>
  <si>
    <t>д428</t>
  </si>
  <si>
    <t>Леонардо да Винчи. Leonardo da Vinci (каз., рус., англ.яз.)</t>
  </si>
  <si>
    <t>Карен Бол (перевод Сужикова А., Асанова М.)</t>
  </si>
  <si>
    <t>д429</t>
  </si>
  <si>
    <t>Лепка (методическое руководство)</t>
  </si>
  <si>
    <t>Электронное методическое пособие по организации занятий по лепке для детей младшего возраста. Используется педагогами для планирования и проведения развивающих занятий, направленных на развитие моторики и творчества.</t>
  </si>
  <si>
    <t>д43</t>
  </si>
  <si>
    <t>Балансировочная подушка</t>
  </si>
  <si>
    <t>Балансировочная подушка применяется при выполнении упражнений на равновесие и устойчивость. Используется как опора при стоянии, сидении и выполнении движений. Поверхность изделия обеспечивает нестабильную опору, стимулируя удержание баланса. Размер подушки составляет не менее 16×16 см. Материал водонепроницаемый и рассчитан на многократное использование.</t>
  </si>
  <si>
    <t>д430</t>
  </si>
  <si>
    <t>Лестница-стремянка</t>
  </si>
  <si>
    <t>Лестница-стремянка с 3–5 ступенями, предназначена для хозяйственных и обслуживающих работ в помещениях. Конструкция устойчивая, металлическая, с противоскользящими ступенями, обеспечивает безопасное использование.</t>
  </si>
  <si>
    <t>д431</t>
  </si>
  <si>
    <t>Логические деревянные игры</t>
  </si>
  <si>
    <t>Наборы развивающих игр из дерева, направленные на развитие мышления, памяти и внимания. Используются в индивидуальной и групповой работе с детьми. Способствуют формированию навыков анализа и решения задач.</t>
  </si>
  <si>
    <t>д432</t>
  </si>
  <si>
    <t>Логопедическая игра «Фишки со звуком Л»</t>
  </si>
  <si>
    <t>Дидактическое пособие для автоматизации звука и развития связной речи. Используется логопедом в коррекционных занятиях. Способствует развитию фонематического слуха и речевых навыков.</t>
  </si>
  <si>
    <t>д433</t>
  </si>
  <si>
    <t>Логопедические игры</t>
  </si>
  <si>
    <t>Набор игр и пособий для развития речи и коррекции звукопроизношения. Используются в индивидуальной и подгрупповой работе. Способствуют развитию фонематического слуха и речевого дыхания.</t>
  </si>
  <si>
    <t>д434</t>
  </si>
  <si>
    <t>Логопедический тренажёр «Аэробол»</t>
  </si>
  <si>
    <t>Дыхательный логопедический тренажёр предназначен для развития силы и плавности воздушной струи, дыхания и голоса. Используется в логопедических, психологических и развивающих занятиях. Материал — дерево. В комплекте 2 шарика.</t>
  </si>
  <si>
    <t>д435</t>
  </si>
  <si>
    <t>Логопедический тренажёр перекидной</t>
  </si>
  <si>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</si>
  <si>
    <t>д436</t>
  </si>
  <si>
    <t>Лотки пластиковые</t>
  </si>
  <si>
    <t>Настольные пластиковые лотки для хранения документов и дидактических материалов. Используются для организации рабочего пространства педагога и поддержания порядка.</t>
  </si>
  <si>
    <t>д437</t>
  </si>
  <si>
    <t>д438</t>
  </si>
  <si>
    <t>Лупа</t>
  </si>
  <si>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</si>
  <si>
    <t>д439</t>
  </si>
  <si>
    <t>Лупа детская увеличительная</t>
  </si>
  <si>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</si>
  <si>
    <t>д44</t>
  </si>
  <si>
    <t>Балансировочные дорожки</t>
  </si>
  <si>
    <t>Балансировочные дорожки используются для организации двигательной активности с элементами ходьбы и равновесия. Представляют собой последовательность элементов, по которым выполняется передвижение. Применяются для упражнений на координацию и устойчивость. Конструкция рассчитана на напольное размещение и использование в помещениях.</t>
  </si>
  <si>
    <t>д440</t>
  </si>
  <si>
    <t>Магнитная рыбалка</t>
  </si>
  <si>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</si>
  <si>
    <t>д441</t>
  </si>
  <si>
    <t>Магнитные блоки (49 шт.)</t>
  </si>
  <si>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</si>
  <si>
    <t>д442</t>
  </si>
  <si>
    <t>Магнитные палочки</t>
  </si>
  <si>
    <t>Развивающее пособие с магнитными элементами для соединения и построения конструкций. Используется для развития моторики, координации и логического мышления.</t>
  </si>
  <si>
    <t>д443</t>
  </si>
  <si>
    <t>Магнитный набор</t>
  </si>
  <si>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</si>
  <si>
    <t>д444</t>
  </si>
  <si>
    <t>Магнитный строительный конструктор (набор)</t>
  </si>
  <si>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</si>
  <si>
    <t>д445</t>
  </si>
  <si>
    <t>Магнитофон</t>
  </si>
  <si>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</si>
  <si>
    <t>д446</t>
  </si>
  <si>
    <t>Марионеточный театр</t>
  </si>
  <si>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</si>
  <si>
    <t>д447</t>
  </si>
  <si>
    <t>Масса для лепки на водной основе</t>
  </si>
  <si>
    <t>Воздушно-сушащаяся масса для лепки, предназначенная для творческих занятий. Используется без обжига, удобна для детского творчества. Способствует развитию моторики и воображения.</t>
  </si>
  <si>
    <t>д448</t>
  </si>
  <si>
    <t>Массажные мячи разной формы и текстуры</t>
  </si>
  <si>
    <t>Набор мячей с различной поверхностью для сенсорной стимуляции. Используется на занятиях по физическому развитию и релаксации. Способствует развитию тактильных ощущений.</t>
  </si>
  <si>
    <t>д449</t>
  </si>
  <si>
    <t>Математика. Оңай әрі жеңіл</t>
  </si>
  <si>
    <t>под ред. С. Маклауд (перевод Набиев Р.)</t>
  </si>
  <si>
    <t>д45</t>
  </si>
  <si>
    <t>Балансировочные подушки (набор)</t>
  </si>
  <si>
    <t>Набор балансировочных подушек используется для выполнения упражнений на развитие равновесия и устойчивости. Применяются в двигательной активности с различными вариантами опоры. Поверхность подушек обеспечивает нестабильную опору. Размер каждого изделия — не менее 16×16 см. Материалы рассчитаны на интенсивную эксплуатацию.</t>
  </si>
  <si>
    <t>д450</t>
  </si>
  <si>
    <t>Математика. Просто и легко</t>
  </si>
  <si>
    <t>под ред. С. Маклауд (перевод Шаяхметов А)</t>
  </si>
  <si>
    <t>д451</t>
  </si>
  <si>
    <t>Математические пазлы</t>
  </si>
  <si>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</si>
  <si>
    <t>д452</t>
  </si>
  <si>
    <t>Материалы для запуска речевой активности</t>
  </si>
  <si>
    <t>Материалы используются для выполнения упражнений, направленных на активизацию речевой деятельности. Применяются в индивидуальной и подгрупповой работе. В процессе использования выполняются задания на звукопроизношение, дыхание и артикуляцию. Рассчитаны на регулярное применение.</t>
  </si>
  <si>
    <t>д453</t>
  </si>
  <si>
    <t>Материалы и инструменты для апликации</t>
  </si>
  <si>
    <t xml:space="preserve"> цветная бумага, цветной и белый картон, ткань, клей, ножницы, клейкая лент</t>
  </si>
  <si>
    <t>д454</t>
  </si>
  <si>
    <t>Материалы и инструменты для аппликации</t>
  </si>
  <si>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</si>
  <si>
    <t>д455</t>
  </si>
  <si>
    <t>Материалы и инструменты для изобразительной деятельности</t>
  </si>
  <si>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</si>
  <si>
    <t>д456</t>
  </si>
  <si>
    <t>Материалы и инструменты для поделок</t>
  </si>
  <si>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</si>
  <si>
    <t>д457</t>
  </si>
  <si>
    <t>Матрёшки</t>
  </si>
  <si>
    <t>Деревянная разборная игрушка, используемая в игровой и образовательной деятельности. Применяется для развития мелкой моторики, логического мышления, навыков соотнесения размеров и знакомства с элементами народной культуры.</t>
  </si>
  <si>
    <t>д458</t>
  </si>
  <si>
    <t>Маты</t>
  </si>
  <si>
    <t>Спортивные маты для занятий физической культурой и подвижных игр. Используются для обеспечения безопасности при выполнении гимнастических упражнений, перекатов и кувырков. Обладают оптимальной амортизацией и подходят для регулярной дезинфекции.</t>
  </si>
  <si>
    <t>д459</t>
  </si>
  <si>
    <t>Маты гимнастические складные</t>
  </si>
  <si>
    <t>Гимнастические маты используются для обеспечения мягкой и амортизирующей поверхности при выполнении упражнений. Складная конструкция облегчает хранение и транспортировку. Размер одного мата составляет не менее 180×80×10 см. Материалы обеспечивают защиту от ударов и предотвращают скольжение.</t>
  </si>
  <si>
    <t>д46</t>
  </si>
  <si>
    <t>Балансировочные полусферы с массажной поверхностью</t>
  </si>
  <si>
    <t>Балансировочные полусферы используются при выполнении упражнений на равновесие и устойчивость. Поверхность с выступами обеспечивает дополнительное тактильное воздействие при опоре. Применяются в двигательной активности и физических упражнениях. Размер каждой полусферы — не менее 16×16 см. В комплект входит 2 изделия.</t>
  </si>
  <si>
    <t>д460</t>
  </si>
  <si>
    <t>Маты настенные, напольные</t>
  </si>
  <si>
    <t>Защитные маты для размещения на полу и стенах спортивных и игровых зон. Используются для снижения травмоопасности и создания безопасной среды при активной двигательной деятельности детей.</t>
  </si>
  <si>
    <t>д461</t>
  </si>
  <si>
    <t>Машина</t>
  </si>
  <si>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</si>
  <si>
    <t>д462</t>
  </si>
  <si>
    <t>Машина (набор машинок, мультиколор)</t>
  </si>
  <si>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</si>
  <si>
    <t>д463</t>
  </si>
  <si>
    <t>Машинка</t>
  </si>
  <si>
    <t>Детская машинка-толокар, предназначенная для активных игр. Используется для развития общей моторики, координации и ориентации в пространстве.</t>
  </si>
  <si>
    <t>д464</t>
  </si>
  <si>
    <t>Машинка (металлическая модель)</t>
  </si>
  <si>
    <t>Модель транспортного средства для игровых и коллекционных целей. Используется для расширения игровых сценариев и развития интереса к технике.</t>
  </si>
  <si>
    <t>д465</t>
  </si>
  <si>
    <t>Машинка автобус</t>
  </si>
  <si>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</si>
  <si>
    <t>д466</t>
  </si>
  <si>
    <t>Машинка полиция</t>
  </si>
  <si>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</si>
  <si>
    <t>д467</t>
  </si>
  <si>
    <t>Машинка с ковшом</t>
  </si>
  <si>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</si>
  <si>
    <t>д468</t>
  </si>
  <si>
    <t>Машинка самосвал</t>
  </si>
  <si>
    <t>Инерционная игрушечная машина, используемая в сюжетных играх. Развивает воображение, мелкую моторику и интерес к техническим объектам.</t>
  </si>
  <si>
    <t>д469</t>
  </si>
  <si>
    <t>Машинка-конструктор</t>
  </si>
  <si>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</si>
  <si>
    <t>д47</t>
  </si>
  <si>
    <t>Баластан</t>
  </si>
  <si>
    <t>д470</t>
  </si>
  <si>
    <t>Машинки (коллекция)</t>
  </si>
  <si>
    <t>Набор игрушечных машинок с простым механизмом движения. Используется для групповых игр, способствует развитию коммуникативных навыков и координации.</t>
  </si>
  <si>
    <t>д471</t>
  </si>
  <si>
    <t>Машинки деревянные</t>
  </si>
  <si>
    <t>Набор деревянных машинок без механизма. Используется для сюжетно-ролевых игр и развития тактильных ощущений, воображения и мелкой моторики.</t>
  </si>
  <si>
    <t>д472</t>
  </si>
  <si>
    <t>Машинки спецтехника</t>
  </si>
  <si>
    <t>Набор игрушечной специальной техники для моделирования трудовых и строительных процессов. Используется в сюжетно-ролевых играх и развивает представления о профессиях.</t>
  </si>
  <si>
    <t>д473</t>
  </si>
  <si>
    <t>Мәнгілік тұлға - ұлы Абай (книга-альбом)</t>
  </si>
  <si>
    <t>Әбубәкір Ж., Сужикова А., Кайрамбаева М.</t>
  </si>
  <si>
    <t>д474</t>
  </si>
  <si>
    <t>Мен баламды білемін бе? Бала психологиясы туралы ата-анаға көмек</t>
  </si>
  <si>
    <t>д475</t>
  </si>
  <si>
    <t>Мен бір жұмбақ. Адаммын оны да ойла....</t>
  </si>
  <si>
    <t>Абай Кунанбаев</t>
  </si>
  <si>
    <t>д476</t>
  </si>
  <si>
    <t>Менің Отаным – Қазақстан (юрта)</t>
  </si>
  <si>
    <t>А. Сужикова</t>
  </si>
  <si>
    <t>д477</t>
  </si>
  <si>
    <t>Менмендікті қалай жеңуге болады. Как преодолеть гордыню. How to overcome pride</t>
  </si>
  <si>
    <t>д478</t>
  </si>
  <si>
    <t>Мерные стаканы (набор)</t>
  </si>
  <si>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</si>
  <si>
    <t>д479</t>
  </si>
  <si>
    <t>Методические пособия</t>
  </si>
  <si>
    <t>Печатные и электронные материалы для педагогов и специалистов. Используются при планировании и проведении коррекционно-развивающих и образовательных занятий.</t>
  </si>
  <si>
    <t>д48</t>
  </si>
  <si>
    <t>Баскетбольное кольцо для подвижных игр</t>
  </si>
  <si>
    <t>Баскетбольное кольцо используется для организации подвижных игр с бросками мяча. Размещается на высоте, соответствующей использованию в детской среде. В процессе игры выполняются метательные движения и координация действий. Конструкция выполнена из прочного пластика и предназначена для эксплуатации в помещениях.</t>
  </si>
  <si>
    <t>д486</t>
  </si>
  <si>
    <t>Мешочек для хранения игрушек</t>
  </si>
  <si>
    <t>Текстильный мешочек для хранения мелких игрушек и дидактических материалов. Используется для поддержания порядка и удобной организации пространства.</t>
  </si>
  <si>
    <t>д487</t>
  </si>
  <si>
    <t>Мешочки с песком</t>
  </si>
  <si>
    <t>Утяжелённые мешочки для упражнений и сенсорных игр. Используются для развития координации, тактильных ощущений и мышечного контроля.</t>
  </si>
  <si>
    <t>д488</t>
  </si>
  <si>
    <t>Многофункциональная рамка-вкладыш «Часы» с элементами сортера и шнуровки</t>
  </si>
  <si>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</si>
  <si>
    <t>д489</t>
  </si>
  <si>
    <t>Мозаика детская, 240 элементов, 2 поля</t>
  </si>
  <si>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</si>
  <si>
    <t>д49</t>
  </si>
  <si>
    <t>Батпырауық</t>
  </si>
  <si>
    <t>Қ.А.Ахетов</t>
  </si>
  <si>
    <t>д490</t>
  </si>
  <si>
    <t>Мозаика классическая, 240 элементов, 2 поля</t>
  </si>
  <si>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</si>
  <si>
    <t>д491</t>
  </si>
  <si>
    <t>Мозаика крупная «Бабочка», 27 элементов</t>
  </si>
  <si>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</si>
  <si>
    <t>д493</t>
  </si>
  <si>
    <t>Мольберт детский складной, магнитная поверхность, размер не менее 480×630 мм</t>
  </si>
  <si>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</si>
  <si>
    <t>д494</t>
  </si>
  <si>
    <t>Мольберт магнитный многофункциональный с принадлежностями</t>
  </si>
  <si>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</si>
  <si>
    <t>д495</t>
  </si>
  <si>
    <t>Мольберт напольный двухсторонний регулируемый</t>
  </si>
  <si>
    <t>Напольный мольберт предназначен для рисования, письма и демонстрационных упражнений в группе. Конструкция двухсторонняя: одна сторона используется для рисования маркером/крепления магнитов, другая — для письма/рисования мелом или размещения бумаги (в зависимости от комплектации). Регулировка по высоте — не менее 2 положений, что позволяет адаптировать мольберт под рост детей. Материал стойки — дерево или аналогичный прочный материал, устойчивый к раскачиванию; углы и кромки обработаны для безопасного использования. Мольберт способствует развитию графомоторных навыков, координации, творческого воображения и навыков презентации работ. Предусмотрена полка/лоток для принадлежностей не менее 1 шт.</t>
  </si>
  <si>
    <t>д496</t>
  </si>
  <si>
    <t>Монстера (крупное напольное растение)</t>
  </si>
  <si>
    <t>Крупное декоративно-лиственное растение используется для оформления предметно-пространственной среды дошкольного учреждения. Размещается в зонах отдыха, наблюдений и экологического воспитания. Способствует созданию благоприятного психологического климата, формированию эстетического восприятия и интереса к живой природе. Растение размещается вне зоны активных игр, в устойчивом кашпо, безопасном для детей.</t>
  </si>
  <si>
    <t>д497</t>
  </si>
  <si>
    <t>Монтессори деревянная игра-головоломка «Цвет–форма»</t>
  </si>
  <si>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</si>
  <si>
    <t>д498</t>
  </si>
  <si>
    <t>Монтессори для малышей, годовой курс, от 1 года до 6 лет,</t>
  </si>
  <si>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</si>
  <si>
    <t>д499</t>
  </si>
  <si>
    <t>Моя Родина – Казахстан (юрта)</t>
  </si>
  <si>
    <t>д5</t>
  </si>
  <si>
    <t>"Кел, балалар, оқылық" өлендер жинағы</t>
  </si>
  <si>
    <t>Ы.Алтынсарин</t>
  </si>
  <si>
    <t>д50</t>
  </si>
  <si>
    <t>Бизиборд настенный из дерева с игровыми элементами</t>
  </si>
  <si>
    <t>Бизиборд представляет собой настенную игровую панель с различными подвижными и функциональными элементами. В процессе взаимодействия выполняются действия по открыванию, вращению, переключению и перемещению деталей. Такая форма деятельности направлена на развитие мелкой моторики, координации движений и практических навыков обращения с предметами. Основа выполнена из дерева с элементами из пластика. Конструкция рассчитана на настенное размещение.</t>
  </si>
  <si>
    <t>д500</t>
  </si>
  <si>
    <t>Музыкальная игрушка микрофон</t>
  </si>
  <si>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</si>
  <si>
    <t>д501</t>
  </si>
  <si>
    <t>Музыкальная книга «Кто где живёт?»</t>
  </si>
  <si>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</si>
  <si>
    <t>д503</t>
  </si>
  <si>
    <t>Муляжи овощей и фруктов</t>
  </si>
  <si>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</si>
  <si>
    <t>д504</t>
  </si>
  <si>
    <t>Мусорная корзина</t>
  </si>
  <si>
    <t>Предназначена для сбора отходов, используется в медицинском кабинете и вспомогательных помещениях.</t>
  </si>
  <si>
    <t>д505</t>
  </si>
  <si>
    <t>Мусорное ведро</t>
  </si>
  <si>
    <t>Ведро для сбора отходов применяется в санитарно-бытовых и хозяйственных помещениях ДОУ. Обеспечивает соблюдение санитарно-гигиенических требований и организацию чистоты. Удобно для ежедневного использования и регулярной очистки.</t>
  </si>
  <si>
    <t>д506</t>
  </si>
  <si>
    <t>Мұрагерім- балайқайым. Моим юным наследникам.</t>
  </si>
  <si>
    <t>Қ.Баянбай</t>
  </si>
  <si>
    <t>д507</t>
  </si>
  <si>
    <t>Мысалдар</t>
  </si>
  <si>
    <t>И.Крылов (перевод А.Асылбек)</t>
  </si>
  <si>
    <t>д508</t>
  </si>
  <si>
    <t>Мягкие дизайнерские пуфики</t>
  </si>
  <si>
    <t>Мягкие пуфики для комфортного чтения и отдыха. Лёгкие, безопасные, без острых углов. Форма — фигурная. Размер — 400–500 мм, высота 300–350 мм.</t>
  </si>
  <si>
    <t>д509</t>
  </si>
  <si>
    <t>Мягкие игрушки для сюжетных игр</t>
  </si>
  <si>
    <t>Предназначены для сюжетно-ролевых, коммуникативных и терапевтических игр с детьми дошкольного возраста. Используются для развития воображения, эмоциональной сферы, речи и социальных навыков. Изготовлены из мягких, безопасных материалов, не имеют острых элементов, подходят для ежедневного использования в условиях ДОУ.</t>
  </si>
  <si>
    <t>д51</t>
  </si>
  <si>
    <t>Бизикуб развивающий «Классик»</t>
  </si>
  <si>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</si>
  <si>
    <t>д510</t>
  </si>
  <si>
    <t>Мягкие кубики</t>
  </si>
  <si>
    <t>Используются в игровой и развивающей деятельности для формирования моторики, сенсорного восприятия, представлений о форме и цвете. Кубики с тематическими изображениями выполнены из текстильных материалов с мягким наполнителем, безопасны при активной игре и падениях.</t>
  </si>
  <si>
    <t>д511</t>
  </si>
  <si>
    <t>Мягкие модули (кубы, цилиндры, дорожки)</t>
  </si>
  <si>
    <t>Предназначены для организации двигательной активности, сенсорных упражнений и построения игровых маршрутов. Набор включает элементы различной формы и размера, позволяя использовать их для лазания, балансировки и сюжетных игр. Наполнитель мягкий и упругий, поверхность износостойкая и пригодна для регулярной очистки.</t>
  </si>
  <si>
    <t>д512</t>
  </si>
  <si>
    <t>Мягкий диван для ребёнка в кабинете психолога</t>
  </si>
  <si>
    <t>Диван divan. Размеры 500x1200x600 мм</t>
  </si>
  <si>
    <t>д513</t>
  </si>
  <si>
    <t>Мягкий классический диван для индивидуального приёма у психолога</t>
  </si>
  <si>
    <t xml:space="preserve">Диван 2-местный. Размеры: 129x70x71 (ШхГхВ) </t>
  </si>
  <si>
    <t>д514</t>
  </si>
  <si>
    <t>Мягкий конструктор</t>
  </si>
  <si>
    <t>Используется для развивающих и двигательных игр, направленных на формирование пространственного мышления, координации движений и творческих навыков. Элементы безопасны, легко соединяются и подходят для групповой и индивидуальной работы.</t>
  </si>
  <si>
    <t>д515</t>
  </si>
  <si>
    <t>Мягкий напольный коврик</t>
  </si>
  <si>
    <t>Мягкий напольный коврик размером 2,5х2 м, изготовлен из плотного, износостойкого и гипоаллергенного материала. Толщина покрытия обеспечивает высокую амортизацию и комфорт при ходьбе и играх. Поверхность коврика мягкая, нескользящая, легко очищается и устойчива к ежедневному использованию в детских учреждениях. Материал не впитывает влагу, сохраняет форму и цвет, безопасен для детей.</t>
  </si>
  <si>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</si>
  <si>
    <t>д517</t>
  </si>
  <si>
    <t>Используется для подвижных игр и физических упражнений, направленных на развитие ловкости, координации и командного взаимодействия. Подходит для занятий в помещении и на открытом воздухе.</t>
  </si>
  <si>
    <t>д518</t>
  </si>
  <si>
    <t>Предназначен для игровых и тренировочных упражнений, способствует развитию реакции, координации движений и навыков взаимодействия в группе. Устойчив к регулярной эксплуатации.</t>
  </si>
  <si>
    <t>д519</t>
  </si>
  <si>
    <t>Мяч для большого тенниса (твёрдый)</t>
  </si>
  <si>
    <t>Используется в упражнениях на развитие силы хвата, точности движений и реакции. Подходит для индивидуальной и групповой работы с детьми и взрослыми, безопасен при использовании в помещении.</t>
  </si>
  <si>
    <t>д52</t>
  </si>
  <si>
    <t>Бизикуб с игровыми элементами</t>
  </si>
  <si>
    <t>Бизикуб представляет собой объёмную игровую конструкцию с размещёнными на гранях различными манипулятивными элементами. В процессе игры выполняются действия по вращению, открыванию и перемещению деталей. Такая деятельность способствует развитию мелкой моторики, сенсомоторной координации и концентрации внимания. Корпус выполнен из фанеры.</t>
  </si>
  <si>
    <t>д520</t>
  </si>
  <si>
    <t>Предназначен для метательных упражнений и развития силы, координации и моторного контроля. Используется в спортивных и коррекционных занятиях.</t>
  </si>
  <si>
    <t>д521</t>
  </si>
  <si>
    <t>Мяч для настольного тенниса</t>
  </si>
  <si>
    <t>Лёгкий мяч для развивающих и координационных упражнений. Используется для развития реакции, внимания и мелкой моторики в дидактических и игровых заданиях.</t>
  </si>
  <si>
    <t>д522</t>
  </si>
  <si>
    <t>Универсальный мяч для свободных игр и физических упражнений. Используется в помещении и на улице, сохраняет форму и упругость при активной эксплуатации.</t>
  </si>
  <si>
    <t>д523</t>
  </si>
  <si>
    <t>Мяч резиновый 100 мм</t>
  </si>
  <si>
    <t>Мяч малого диаметра для игр и упражнений на координацию и метание. Удобен для детской руки, хорошо отскакивает от поверхности.</t>
  </si>
  <si>
    <t>д524</t>
  </si>
  <si>
    <t>Мяч с шипами (сенсорный)</t>
  </si>
  <si>
    <t>Используется для тактильной стимуляции, релаксации и развития мелкой моторики. Поверхность с мягкими шипами способствует активизации рецепторов и снятию напряжения.</t>
  </si>
  <si>
    <t>д525</t>
  </si>
  <si>
    <t>Мяч-прыгун с ручкой</t>
  </si>
  <si>
    <t>Применяется для активных игр и упражнений на развитие равновесия, координации и крупной моторики. Наличие ручки обеспечивает удобный и безопасный захват. Используется под контролем педагога.</t>
  </si>
  <si>
    <t>д526</t>
  </si>
  <si>
    <t>Мячи разных размеров (резиновые, мягкие, массажные)</t>
  </si>
  <si>
    <t>Комплект предназначен для организации разнообразной двигательной и коррекционной деятельности, сенсорных и игровых упражнений.</t>
  </si>
  <si>
    <t>д527</t>
  </si>
  <si>
    <t>Набор «Большой супермаркет»</t>
  </si>
  <si>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</si>
  <si>
    <t>д528</t>
  </si>
  <si>
    <t>Набор «Рыбалка»</t>
  </si>
  <si>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</si>
  <si>
    <t>д529</t>
  </si>
  <si>
    <t>Набор «Строительные машины» с коробом для хранения</t>
  </si>
  <si>
    <t>Используется в сюжетно-ролевых и конструктивных играх. Способствует развитию воображения, пространственного мышления и навыков совместной деятельности. Короб обеспечивает удобное хранение элементов.</t>
  </si>
  <si>
    <t>д53</t>
  </si>
  <si>
    <t>Биология. Оңай әрі жеңіл</t>
  </si>
  <si>
    <t>под ред. Д. Ганеш (перевод Қарт Ұ.М.)</t>
  </si>
  <si>
    <t>д530</t>
  </si>
  <si>
    <t>Набор анатомических моделей органов артикуляции: язык, зубы, губы</t>
  </si>
  <si>
    <t>Набор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Комплект включает не менее 3 моделей (язык, зубной ряд, губы) либо комбинированную модель с выделенными элементами. Материал изделий — безопасный пластик или силикон, поверхность гладкая, допускает регулярную обработку и протирание. Модели используются логопедом для демонстрации движений и точек контакта, что облегчает понимание ребёнком инструкций. Пособие помогает формировать правильные артикуляционные уклады, развивает кинестетические ощущения и внимание к речевым движениям. Применяется в индивидуальной и подгрупповой работе с обязательным контролем специалиста.</t>
  </si>
  <si>
    <t>д531</t>
  </si>
  <si>
    <t>Набор балансирующих ступенек</t>
  </si>
  <si>
    <t>Используется для развития равновесия, координации движений и моторного контроля. Подходит для подвижных, физкультурных и коррекционных занятий.</t>
  </si>
  <si>
    <t>д532</t>
  </si>
  <si>
    <t>Набор восковых карандашей (9 шт.)</t>
  </si>
  <si>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</si>
  <si>
    <t>д533</t>
  </si>
  <si>
    <t>Набор гаек и болтов</t>
  </si>
  <si>
    <t>Развивающий набор для сборки и конструирования, направленный на тренировку мелкой моторики, силы пальцев, координации движений и понимания причинно-следственных связей (закручивание/откручивание). Цветовая маркировка помогает развивать восприятие цвета и навыки сортировки. Удобный контейнер обеспечивает хранение и профилактику потери деталей. Материал: пластик. Комплектация: гайки, болты, контейнер (по набору).</t>
  </si>
  <si>
    <t>д534</t>
  </si>
  <si>
    <t>Набор геометрических фигур и разверток (демонстрационный)</t>
  </si>
  <si>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</si>
  <si>
    <t>д535</t>
  </si>
  <si>
    <t>Набор гербариев</t>
  </si>
  <si>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</si>
  <si>
    <t>д536</t>
  </si>
  <si>
    <t>Набор декоративных фруктов и овощей (искусственные)</t>
  </si>
  <si>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</si>
  <si>
    <t>д537</t>
  </si>
  <si>
    <t>Набор деревянных игр для счета</t>
  </si>
  <si>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</si>
  <si>
    <t>д538</t>
  </si>
  <si>
    <t>Набор деревянных сенсорных инструментов</t>
  </si>
  <si>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</si>
  <si>
    <t>д539</t>
  </si>
  <si>
    <t>Набор деревянных фигурок «Люди и животные»</t>
  </si>
  <si>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</si>
  <si>
    <t>д54</t>
  </si>
  <si>
    <t>Биология. Просто и легко</t>
  </si>
  <si>
    <t>д540</t>
  </si>
  <si>
    <t>Набор детских музыкальных инструментов</t>
  </si>
  <si>
    <t>Комплект простых музыкальных инструментов предназначен для музыкально-ритмических игр, занятий по развитию слуха и чувства ритма. Используется в музыкальных занятиях, свободной деятельности и праздничных мероприятиях. Игра на инструментах способствует развитию координации движений, слухового восприятия и эмоциональной выразительности.</t>
  </si>
  <si>
    <t>д541</t>
  </si>
  <si>
    <t>Набор детских музыкальных инструментов (33 предмета)</t>
  </si>
  <si>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</si>
  <si>
    <t>д542</t>
  </si>
  <si>
    <t>Набор детских ударных и шумовых музыкальных инструментов с сумкой</t>
  </si>
  <si>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</si>
  <si>
    <t>д543</t>
  </si>
  <si>
    <t>Набор диатонических ручных колокольчиков (8 тонов)</t>
  </si>
  <si>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</si>
  <si>
    <t>д544</t>
  </si>
  <si>
    <t>Набор для игры в доктора (15 предметов)</t>
  </si>
  <si>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</si>
  <si>
    <t>д545</t>
  </si>
  <si>
    <t>Набор для игры с песком</t>
  </si>
  <si>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</si>
  <si>
    <t>д546</t>
  </si>
  <si>
    <t>Набор для конструирования роботизированный (тема «Домашние животные»)</t>
  </si>
  <si>
    <t>Роботизированный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В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передачи/шарниры — в зависимости от комплектации). Набор подходит для занятий в STEM/робоклассе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Материал: прочный пластик (конструктивные элементы), металлические крепёжные детали (при наличии), электронные компоненты (при наличии: мотор/блок управления/кабели). Комплектация: набор деталей для сборки нескольких моделей, элементы крепления, инструкция/методические карточки (по комплекту). Рекомендуемая организация хранения: контейнер/кейс с сортировкой деталей по секциям.</t>
  </si>
  <si>
    <t>д547</t>
  </si>
  <si>
    <t>Набор для опытов «Солнечная система»</t>
  </si>
  <si>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</si>
  <si>
    <t>д548</t>
  </si>
  <si>
    <t>Набор для песка «Семья»</t>
  </si>
  <si>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</si>
  <si>
    <t>д549</t>
  </si>
  <si>
    <t>Набор для песочницы</t>
  </si>
  <si>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</si>
  <si>
    <t>д55</t>
  </si>
  <si>
    <t>Біздің сүйікті қаламыз Алматы: деректі повесть</t>
  </si>
  <si>
    <t>Туреханова З.</t>
  </si>
  <si>
    <t>д550</t>
  </si>
  <si>
    <t>Набор для подвижных игр «Кольцеброс»</t>
  </si>
  <si>
    <t>Набор предназначен для метания колец на стойку/цель в подвижной игровой деятельности. В процессе игры выполняются действия на точность броска, прицеливание и контроль силы. Используется в помещении и на улице при организации двигательных игр. Материал изготовления — пластик, устойчивый к регулярному применению. Комплект включает основание и набор колец не менее 4–5 шт. (по типовой комплектации).</t>
  </si>
  <si>
    <t>д551</t>
  </si>
  <si>
    <t>Набор доктора «Волшебная аптечка» в чемоданчике (25 предметов)</t>
  </si>
  <si>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</si>
  <si>
    <t>д552</t>
  </si>
  <si>
    <t>Набор домашних животных</t>
  </si>
  <si>
    <t>Игровой набор фигурок домашних животных предназначен для познавательных и сюжетно-ролевых игр. Используется для ознакомления с животным миром, развития речи, классификации и формирования элементарных представлений об окружающей среде. Фигурки выполнены из эластичного безопасного материала, удобны для детской руки и подходят для систематического использования в условиях ДОУ.</t>
  </si>
  <si>
    <t>д553</t>
  </si>
  <si>
    <t>Набор домашних животных «Я играю в зоопарк» (6 фигур)</t>
  </si>
  <si>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</si>
  <si>
    <t>д554</t>
  </si>
  <si>
    <t>Набор дорожных знаков детских напольных (75 см)</t>
  </si>
  <si>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</si>
  <si>
    <t>д555</t>
  </si>
  <si>
    <t>Набор игровой «Динозавры» (6 предметов)</t>
  </si>
  <si>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</si>
  <si>
    <t>д556</t>
  </si>
  <si>
    <t>Набор игровой «Пожарная станция»</t>
  </si>
  <si>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</si>
  <si>
    <t>д557</t>
  </si>
  <si>
    <t>Набор игровой «Полицейская машина-кейс»</t>
  </si>
  <si>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</si>
  <si>
    <t>д558</t>
  </si>
  <si>
    <t>Набор игровой «Юрта и её убранство»</t>
  </si>
  <si>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</si>
  <si>
    <t>д559</t>
  </si>
  <si>
    <t>Набор игровых элементов с бусинами на шнурках</t>
  </si>
  <si>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</si>
  <si>
    <t>д56</t>
  </si>
  <si>
    <t>Бревно гимнастическое напольное мягкое</t>
  </si>
  <si>
    <t>Гимнастическое бревно используется для выполнения упражнений на равновесие и координацию движений. Представляет собой низкую напольную конструкцию с мягким покрытием. Верхняя часть выполнена из деревянного бруса с амортизирующим слоем и винилискожей. Длина изделия составляет не менее 5 м. Конструкция рассчитана на использование в помещениях.</t>
  </si>
  <si>
    <t>д560</t>
  </si>
  <si>
    <t>Набор игрушек «Большие игровые фигурки животных»</t>
  </si>
  <si>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</si>
  <si>
    <t>д561</t>
  </si>
  <si>
    <t>Набор игрушек «Птицы»</t>
  </si>
  <si>
    <t>Набор фигурок птиц предназначен для познавательных и сюжетно-ролевых игр, а также для занятий по ознакомлению с окружающим миром. Используется для расширения представлений о животном мире, развития речи, классификации и сравнения объектов. Фигурки выполнены в реалистичной форме, удобны для детской руки, подходят для индивидуальной и групповой работы.</t>
  </si>
  <si>
    <t>д562</t>
  </si>
  <si>
    <t>Набор игрушек для игры с песком</t>
  </si>
  <si>
    <t>Игровой набор предназначен для организации игр с песком в помещении и на открытом воздухе. Используется для развития мелкой моторики, координации движений, тактильных ощущений и элементарных трудовых навыков. Включает основные инструменты для пересыпания, просеивания и переливания песка. Элементы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t>
  </si>
  <si>
    <t>д563</t>
  </si>
  <si>
    <t>Набор игрушек для песка и воды</t>
  </si>
  <si>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</si>
  <si>
    <t>д564</t>
  </si>
  <si>
    <t>Набор игрушечной посуды</t>
  </si>
  <si>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</si>
  <si>
    <t>д565</t>
  </si>
  <si>
    <t>Набор игрушечных продуктов «Хлеб»</t>
  </si>
  <si>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</si>
  <si>
    <t>д566</t>
  </si>
  <si>
    <t>Набор из 20 игрушечных машинок</t>
  </si>
  <si>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</si>
  <si>
    <t>д567</t>
  </si>
  <si>
    <t>Набор из двух зеркал для опытов с симметрией</t>
  </si>
  <si>
    <t>Набор предназначен для проведения познавательных и экспериментальных занятий, изучения симметрии и отражения. Используется в образовательной деятельности и исследовательских играх. Конструкция обеспечивает устойчивую фиксацию зеркал. Материалы безопасны и подходят для использования детьми под контролем педагога.</t>
  </si>
  <si>
    <t>д568</t>
  </si>
  <si>
    <t>Набор камней "Минералы"</t>
  </si>
  <si>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</si>
  <si>
    <t>д569</t>
  </si>
  <si>
    <t>Набор камней для балансировки</t>
  </si>
  <si>
    <t>Развивающий набор предназначен для упражнений на равновесие, координацию и развитие крупной моторики. Используется в подвижных играх и сенсомоторных упражнениях. Элементы устойчивы, имеют безопасную форму и подходят для использования в помещении.</t>
  </si>
  <si>
    <t>д570</t>
  </si>
  <si>
    <t>Набор картонных книг «Животные», 4 шт.</t>
  </si>
  <si>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</si>
  <si>
    <t>д571</t>
  </si>
  <si>
    <t>Набор карточек «Цифры и цвета»</t>
  </si>
  <si>
    <t>Дидактический набор предназначен для запуска и развития речи, формирования навыков коммуникации и обучения базовым понятиям. Используется в индивидуальной и групповой логопедической работе. Карточки ламинированы, устойчивы к износу и удобны для частого использования.</t>
  </si>
  <si>
    <t>д572</t>
  </si>
  <si>
    <t>Игровой набор предназначен для подвижных и координационных игр. Используется для развития меткости, ловкости, координации движений и командного взаимодействия. Подходит для использования в спортивных и игровых зонах ДОУ.</t>
  </si>
  <si>
    <t>д573</t>
  </si>
  <si>
    <t>Набор керамических горшков в виде животных</t>
  </si>
  <si>
    <t>Набор предназначен для оформления уголка природы, экологического воспитания и ухода за растениями. Используется для посадки суккулентов и декоративных растений. Наличие дренажных отверстий обеспечивает правильный уход за растениями. Форма изделий способствует формированию интереса к природе и эстетического вкуса.</t>
  </si>
  <si>
    <t>д574</t>
  </si>
  <si>
    <t>Набор книг для малышей «Крохе», 6 шт.</t>
  </si>
  <si>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</si>
  <si>
    <t>д575</t>
  </si>
  <si>
    <t>Набор книг с глазками</t>
  </si>
  <si>
    <t>Набор предназначен для раннего чтения и развития познавательного интереса. Используется для формирования речи, внимания и эмоционального отклика у детей младшего возраста. Книги выполнены из плотных материалов, удобны для самостоятельного рассматривания.</t>
  </si>
  <si>
    <t>д576</t>
  </si>
  <si>
    <t>Набор костюма «Человек-паук»</t>
  </si>
  <si>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</si>
  <si>
    <t>д577</t>
  </si>
  <si>
    <t>Набор кубиков «Алфавит с цифрами»</t>
  </si>
  <si>
    <t>Набор деревянных кубиков предназначен для обучения детей алфавиту и цифрам. Используется для развития логики, памяти, мелкой моторики, навыков счёта и цветоразличения. Материал безопасный, подходит для дошкольного возраста.</t>
  </si>
  <si>
    <t>д578</t>
  </si>
  <si>
    <t>Набор кукол (семья, 7 фигур)</t>
  </si>
  <si>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</si>
  <si>
    <t>д579</t>
  </si>
  <si>
    <t>Набор кукол на шарнирах</t>
  </si>
  <si>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</si>
  <si>
    <t>д58</t>
  </si>
  <si>
    <t>Бумага цветная для творческих и аппликационных работ</t>
  </si>
  <si>
    <t>Цветная бумага предназначена для выполнения аппликаций, поделок и простых художественных работ. Используется при вырезании, складывании и комбинировании элементов. Работа с бумагой способствует формированию аккуратности и координации движений рук. В комплект входит не менее 200 листов. Плотность бумаги — не менее 80 г/м². Цвета включают жёлтый и фиолетовый.</t>
  </si>
  <si>
    <t>д580</t>
  </si>
  <si>
    <t>Набор кукольного театра</t>
  </si>
  <si>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</si>
  <si>
    <t>д581</t>
  </si>
  <si>
    <t>Набор мерных ёмкостей «Маэстро»</t>
  </si>
  <si>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</si>
  <si>
    <t>д582</t>
  </si>
  <si>
    <t>Набор мини-блоков для конструирования, 100 элементов</t>
  </si>
  <si>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</si>
  <si>
    <t>д583</t>
  </si>
  <si>
    <t>Набор мини-домиков для сюжетно-ролевых игр</t>
  </si>
  <si>
    <t>Набор мини-домиков используется как игровое пособие для построения сюжетов «город», «семья», «улица», «путешествие» и для моделирования жизненных ситуаций. В комплект входит не менее 5 домиков различной формы, высотой не менее 5 см каждый, чтобы их было удобно держать и переставлять ребёнку. Материал — дерево или безопасный пластик с гладкой обработкой поверхности и закруглёнными углами. Домики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Набор помогает формировать пространственные представления (рядом/далеко, слева/справа), а также навыки организации игрового пространства. Хранение возможно в коробке/контейнере, пригодном для регулярной санитарной обработки.</t>
  </si>
  <si>
    <t>д584</t>
  </si>
  <si>
    <t xml:space="preserve">Набор мини-насекомых </t>
  </si>
  <si>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</si>
  <si>
    <t>д585</t>
  </si>
  <si>
    <t>Набор мини-фигур человека для ролевых и проективных игр</t>
  </si>
  <si>
    <t>Набор мини-фигур человека предназначен для сюжетно-ролевых, коммуникативных и проективных игр (семья, детский сад, дружба, правила поведения). В комплект входит не менее 5 фигурок и не более 10, высотой не менее 8 см каждая, чтобы их можно было устойчиво размещать на поверхности. Материал — безопасный пластик/дерево/силикон с гладкими краями, допускающий регулярную очистку. Фигуры используются для разыгрывания ситуаций: ребёнок описывает действия персонажей, учится выражать эмоции словами и обсуждать решения. Игровые сценарии помогают формировать навыки взаимодействия, понимание социальных ролей и развитие связной речи. Набор удобен для занятий с педагогом/психологом, так как позволяет мягко обсуждать поведение и чувства через персонажей.</t>
  </si>
  <si>
    <t>д586</t>
  </si>
  <si>
    <t>Набор мини-фигурок животных в коробках для игровых и классификационных заданий</t>
  </si>
  <si>
    <t>Набор мини-фигурок животных предназначен для сюжетных игр, классификации и тематических занятий (домашние/дикие, среда обитания, питание). В комплект входит не менее 10 фигурок животных размером не менее 3 см каждая и не более 8 см, удобных для детской руки. Фигурки выполнены из безопасного пластика/дерева, устойчивого к влажной обработке, без острых выступов. Наличие отдельных коробочек/контейнеров (не менее 1 комплекта для хранения) упрощает сортировку и приучает ребёнка к порядку: «каждому животному — своё место». В игре дети составляют истории, описывают признаки и действия животных, что развивает словарь и связную речь. Набор также подходит для упражнений на внимание и память (найди пару, назови по описанию, разложи по группам).</t>
  </si>
  <si>
    <t>д587</t>
  </si>
  <si>
    <t>Набор миниатюрных фигурок «Профессии», комплект 7 шт.</t>
  </si>
  <si>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</si>
  <si>
    <t>д588</t>
  </si>
  <si>
    <t>Набор миниатюрных фигурок домашних птиц</t>
  </si>
  <si>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</si>
  <si>
    <t>д589</t>
  </si>
  <si>
    <t>Набор мишеней на липучках для метательных упражнений</t>
  </si>
  <si>
    <t>Мишень на липучках предназначена для подвижных игр и упражнений на меткость, координацию и контроль силы броска. Комплект включает мишень (основа) диаметром/стороной не менее 30 см и набор мягких метательных элементов (не менее 3 шт.) с липучками. Материал основы — плотный текстиль (полиэстер) или аналогичный, устойчивый к многократному креплению и снятию элементов. Мишень может крепиться на стену или устанавливаться на опору, обеспечивая безопасную игровую дистанцию в помещении. Игра формирует глазомер, развивает внимание и способность следовать правилам (очередность, подсчёт попаданий, соблюдение дистанции). Мягкие элементы исключают травмоопасность при случайном падении или промахе при соблюдении правил игры.</t>
  </si>
  <si>
    <t>д59</t>
  </si>
  <si>
    <t>Бумага цветная формата А4</t>
  </si>
  <si>
    <t>Цветная бумага используется для выполнения аппликаций, поделок и графических работ. Применяется при вырезании, складывании и комбинировании элементов. Подходит для использования с различными изобразительными материалами. Поставляется в формате А4 в виде набора листов.</t>
  </si>
  <si>
    <t>д590</t>
  </si>
  <si>
    <t>Набор обучающих игрушек (фетровая доска)</t>
  </si>
  <si>
    <t>Обучающий набор предназначен для комплексного развития навыков: речи, мышления, самообслуживания и ориентации в окружающем мире. Используется в индивидуальной и групповой работе, удобен для путешествий и занятий вне группы.</t>
  </si>
  <si>
    <t>д591</t>
  </si>
  <si>
    <t>Набор обучающих карточек «Уроки экологии»</t>
  </si>
  <si>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</si>
  <si>
    <t>д592</t>
  </si>
  <si>
    <t>Набор парикмахера детский</t>
  </si>
  <si>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</si>
  <si>
    <t>д593</t>
  </si>
  <si>
    <t>Набор плакатов для малыша (0–3 года)</t>
  </si>
  <si>
    <t>Дидактический набор предназначен для раннего развития, знакомства с базовыми понятиями и расширения словарного запаса. Используется в наглядной форме при работе с детьми раннего возраста.</t>
  </si>
  <si>
    <t>д594</t>
  </si>
  <si>
    <t>Набор повара детский</t>
  </si>
  <si>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</si>
  <si>
    <t>д595</t>
  </si>
  <si>
    <t>Набор полезных ископаемых</t>
  </si>
  <si>
    <t xml:space="preserve">Набор из 4-38 шт. редких кристаллов, камень минерал, кристаллический кластер, отдельный кристаллический минеральный камень, </t>
  </si>
  <si>
    <t>д596</t>
  </si>
  <si>
    <t>Набор посудок</t>
  </si>
  <si>
    <t>Игровой набор посудки. набор чайный. Материал металл.</t>
  </si>
  <si>
    <t>д597</t>
  </si>
  <si>
    <t>Набор посуды в коробке</t>
  </si>
  <si>
    <t>Возрастное ограничение 3+, материал метал, в наборе 13 предметов, размер упаковки 22*32*9 см, производство Китай.</t>
  </si>
  <si>
    <t>д598</t>
  </si>
  <si>
    <t>Набор предметных картинок по темам</t>
  </si>
  <si>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</si>
  <si>
    <t>д599</t>
  </si>
  <si>
    <t>Набор принадлежностей для наблюдения за насекомыми и мелкими объектами</t>
  </si>
  <si>
    <t>Образовательный набор предназначен для проведения опытов и наблюдений с детьми дошкольного возраста. Используется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В комплект входят смотровой ящик, ловушка для насекомых, пинцет и инструкция по эксплуатации. Все элементы изготовлены из безопасных материалов и подходят для использования под контролем педагога.</t>
  </si>
  <si>
    <t>д6</t>
  </si>
  <si>
    <t>"Өзің жаса"Топтамасы. Жабайы аңдар. Серия "Сделай сам!" Домашние животные из картона</t>
  </si>
  <si>
    <t>д60</t>
  </si>
  <si>
    <t>Бұл менікі емес...Жапсырма - кітапша. Ферма</t>
  </si>
  <si>
    <t>д600</t>
  </si>
  <si>
    <t>Набор пупсов</t>
  </si>
  <si>
    <t>Игровой набор пупсов предназначен для сюжетно-ролевых игр детей дошкольного возраста. Используется для формирования навыков заботы, развития эмоциональной сферы, воображения и коммуникативных умений. В набор входят 6 пупсов высотой около 11 см. Куклы выполнены из безопасного пластика, одежда изготовлена из текстильных материалов. Подходит для групповых и индивидуальных игр.</t>
  </si>
  <si>
    <t>д601</t>
  </si>
  <si>
    <t>Набор стекаемых пластиковых корзин для хранения</t>
  </si>
  <si>
    <t>Органайзер предназначен для систематизации и хранения игрушек, дидактических материалов и пособий. Используется в групповых помещениях и кабинетах ДОУ. Корзины компактно складываются, устойчивы, лёгкие и безопасные. Обеспечивают порядок и доступность материалов для детей.</t>
  </si>
  <si>
    <t>д602</t>
  </si>
  <si>
    <t>Набор строительных блоков с крупными элементами для конструирования. (крупные строительные блоки)</t>
  </si>
  <si>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</si>
  <si>
    <t>д603</t>
  </si>
  <si>
    <t>Набор супергероев (5 фигурок)</t>
  </si>
  <si>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</si>
  <si>
    <t>д604</t>
  </si>
  <si>
    <t>Набор транспорта (легковой, грузовой, воздушный, водный, специальный)</t>
  </si>
  <si>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</si>
  <si>
    <t>д605</t>
  </si>
  <si>
    <t>Набор фигурок животных Африки, Америки, Австралии, Европы и Азии</t>
  </si>
  <si>
    <t>Игровой и обучающий набор фигурок животных предназначен для ознакомления детей с животным миром разных континентов. Используется в образовательной и сюжетно-ролевой деятельности для формирования представлений о природе, расширения кругозора, развития речи и воображения. Фигурки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t>
  </si>
  <si>
    <t>д606</t>
  </si>
  <si>
    <t>Набор фигурок насекомых с реалистичными изображениями и пропорциями</t>
  </si>
  <si>
    <t>Дидактический набор предназначен для изучения мира насекомых в процессе игровых и познавательных занятий. Используется для развития наблюдательности, внимания, логического мышления и познавательного интереса. В комплект входит 12 статичных фигурок насекомых, выполненных из прочного полимерного материала. Подходит для индивидуальной и групповой работы в ДОУ.</t>
  </si>
  <si>
    <t>д607</t>
  </si>
  <si>
    <t>Набор яиц</t>
  </si>
  <si>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</si>
  <si>
    <t>д608</t>
  </si>
  <si>
    <t>Набор-конструктор робототехники для изучения простых механизмов (121 предмет)</t>
  </si>
  <si>
    <t>Образовательный набор предназначен для знакомства детей с основами конструирования и простых механизмов. Используется в развивающих занятиях для формирования инженерного мышления, логики, навыков анализа и решения задач. В комплект входит 121 элемент, позволяющий собирать различные модели механизмов. Подходит для организованной образовательной деятельности под руководством педагога.</t>
  </si>
  <si>
    <t>д609</t>
  </si>
  <si>
    <t>Наглядный материал «Картотека предметных картинок: Фрукты и овощи»</t>
  </si>
  <si>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</si>
  <si>
    <t>д61</t>
  </si>
  <si>
    <t>Бұл өте оңай! Қызықты химия</t>
  </si>
  <si>
    <t>Р.Уинстон</t>
  </si>
  <si>
    <t>д610</t>
  </si>
  <si>
    <t>Напёрстки</t>
  </si>
  <si>
    <t>Детские напёрстки предназначены для использования в занятиях по ручному труду, шитью и развитию мелкой моторики. Используются для защиты пальцев и формирования навыков аккуратной работы с иглой и нитками. Подходят для применения в кружковой и творческой деятельности в ДОУ.</t>
  </si>
  <si>
    <t>д611</t>
  </si>
  <si>
    <t>Наполеон. Napoleon (каз., рус., англ.яз.)</t>
  </si>
  <si>
    <t>Л.Ледбридж (перевод Сужикова А., Асанова М. )</t>
  </si>
  <si>
    <t>д612</t>
  </si>
  <si>
    <t>Нарукавники тканевые</t>
  </si>
  <si>
    <t>Тканевые нарукавники предназначены для защиты одежды детей во время занятий творчеством, изобразительной деятельностью и экспериментированием. Оснащены резинкой для удобной фиксации, выполнены из водоотталкивающего материала. В комплект входят два нарукавника и кармашек. Подходят для использования детьми разного возраста.</t>
  </si>
  <si>
    <t>д613</t>
  </si>
  <si>
    <t>Настенный модуль «Медведь»</t>
  </si>
  <si>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</si>
  <si>
    <t>д614</t>
  </si>
  <si>
    <t>Настенный модуль для упражнений в развитии запястья (движение по прорези)</t>
  </si>
  <si>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</si>
  <si>
    <t>д615</t>
  </si>
  <si>
    <t>Настенный флипчарт с бумажным блоком</t>
  </si>
  <si>
    <t>Настенный флипчарт предназначен для использования в кабинете детского психолога при диагностической, коррекционной и арт-терапевтической работе. Оснащён отрывным бумажным блоком, позволяющим детям рисовать, выполнять задания и выражать эмоции. Крепление к стене обеспечивает устойчивость, безопасность и экономию пространства.</t>
  </si>
  <si>
    <t>д616</t>
  </si>
  <si>
    <t>Настольная игра «3D ҮШБҰРЫШ»</t>
  </si>
  <si>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</si>
  <si>
    <t>д617</t>
  </si>
  <si>
    <t>Настольная игра «Доска умножения» (учебная)</t>
  </si>
  <si>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</si>
  <si>
    <t>д618</t>
  </si>
  <si>
    <t>Настольная игра «КӨБЕЛЕКТЕР»</t>
  </si>
  <si>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</si>
  <si>
    <t>д619</t>
  </si>
  <si>
    <t>Настольная игра «КӨРКЕМ ӨРНЕК»</t>
  </si>
  <si>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</si>
  <si>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д62</t>
  </si>
  <si>
    <t>Веер набор</t>
  </si>
  <si>
    <t>Веер набор, касса букв и цифр, на казахском языке, Пчелка Н-1 №904</t>
  </si>
  <si>
    <t>д620</t>
  </si>
  <si>
    <t>Настольная игра «Мемори»</t>
  </si>
  <si>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</si>
  <si>
    <t>д621</t>
  </si>
  <si>
    <t>Настольная игра «Пингвин на льдине»</t>
  </si>
  <si>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</si>
  <si>
    <t>д622</t>
  </si>
  <si>
    <t>Настольная игра «Построй башню»</t>
  </si>
  <si>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</si>
  <si>
    <t>д623</t>
  </si>
  <si>
    <t>Настольная игра «СӘУЛЕТШІ»</t>
  </si>
  <si>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</si>
  <si>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д624</t>
  </si>
  <si>
    <t>Настольная игра «ТАЯҚШАЛАР»</t>
  </si>
  <si>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</si>
  <si>
    <t>д625</t>
  </si>
  <si>
    <t>Настольная игра «ТЕЗ ТАП»</t>
  </si>
  <si>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</si>
  <si>
    <t>д626</t>
  </si>
  <si>
    <t>Настольная игра «ТҮРЛІ-ТҮСТІ БӨЛШЕКТЕР»</t>
  </si>
  <si>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</si>
  <si>
    <t>д627</t>
  </si>
  <si>
    <t>Настольная игра «Шнуровка»</t>
  </si>
  <si>
    <t>Развивающая игра в форме предмета быта предназначена для развития мелкой моторики, координации движений и зрительно-моторной согласованности. Используется в индивидуальной и подгрупповой работе с детьми дошкольного возраста. Материалы безопасны, шнурки удобны для детской руки.</t>
  </si>
  <si>
    <t>д628</t>
  </si>
  <si>
    <t>Настольная игра «Candy»</t>
  </si>
  <si>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</si>
  <si>
    <t>д629</t>
  </si>
  <si>
    <t>Настольная игра со шнуровками, пуговицами, ремешками, замочками</t>
  </si>
  <si>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</si>
  <si>
    <t>д63</t>
  </si>
  <si>
    <t>Великие чудеса света</t>
  </si>
  <si>
    <t>д630</t>
  </si>
  <si>
    <t>Настольная рабочая станция (музыкальная студия)</t>
  </si>
  <si>
    <t>Настольная рабочая станция предназначена для организации рабочего места музыкального руководителя в музыкальном зале ДОУ. Используется для подготовки и проведения музыкальных занятий, воспроизведения и записи звука, сопровождения утренников и праздничных мероприятий. Обеспечивает удобное размещение оборудования и способствует повышению качества музыкально-педагогической работы.</t>
  </si>
  <si>
    <t>д631</t>
  </si>
  <si>
    <t>Настольная развивающая игра «Математический тренажер на липучках»</t>
  </si>
  <si>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</si>
  <si>
    <t>д632</t>
  </si>
  <si>
    <t>Настольная развивающая игра «Собери урожай»</t>
  </si>
  <si>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</si>
  <si>
    <t>д633</t>
  </si>
  <si>
    <t>Настольно-развивающая игра "КӨБЕЛЕКТЕР"</t>
  </si>
  <si>
    <t>Игра предназначена для развития
логического мышления посредством нахождения соответствующих по форме и виду бабочек
• Концентрацию внимания
• Память
• Визуальное восприятие
• Логическое мышление
• Различие цветов
• Скорость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узорами - 36 шт</t>
  </si>
  <si>
    <t>д634</t>
  </si>
  <si>
    <t>Настольноразвивающая игра "Тез Тап"</t>
  </si>
  <si>
    <t xml:space="preserve">Игра предназначена для расширения познания ребенка и ознакомления его со средой обитания
животных.
- желтые карты – 16 шт.
- оранжевые карты – 24 шт.
- зеленые карты – 20 шт.
- синие карты – 16 шт.
- фиолетовые карты – 16 шт.
- карточки для формирования игрового поля – 9 шт.
- инструкция -1 шт.
</t>
  </si>
  <si>
    <t>д635</t>
  </si>
  <si>
    <t>Настольные развивающие игры</t>
  </si>
  <si>
    <t>Развивающие настольные игры направлены на тренировку логики, памяти, внимания, стратегического мышления и речи у детей</t>
  </si>
  <si>
    <t>д636</t>
  </si>
  <si>
    <t>Настольный декоративный фонтан с эффектом водопада</t>
  </si>
  <si>
    <t>Настольный фонтан используется как элемент интерьерного оформления. Создаёт визуальный эффект движения воды и мягкий фоновый звук. Применяется для формирования спокойной атмосферы в помещении. Конструкция рассчитана на установку на горизонтальной поверхности.</t>
  </si>
  <si>
    <t>д637</t>
  </si>
  <si>
    <t>Натуральный кристаллический гравий для аквариумов (разноцветные мини-камешки, 65 г)</t>
  </si>
  <si>
    <t>Натуральный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Применяется при оформлении аквариумов, сенсорных зон, тематических уголков, а также в образовательной и предметно-пространственной среде детского сада. Может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Материал экологически безопасен, не имеет острых краёв, устойчив к влаге и механическому воздействию. Характеристики изделия обеспечивают безопасную и удобную эксплуатацию в помещениях ДОУ. Конструкция и материалы соответствуют требованиям использования в детских учреждениях.</t>
  </si>
  <si>
    <t>д638</t>
  </si>
  <si>
    <t>Национальная игра «Асық»</t>
  </si>
  <si>
    <t>Набор для национальной игры «Асық» используется в игровой деятельности с элементами традиционной культуры. В процессе игры выполняются действия по метанию, подбору и сортировке игровых элементов. Такая форма игры способствует развитию координации движений и интереса к народным играм. Игровые элементы изготовлены из прочных материалов.</t>
  </si>
  <si>
    <t>д639</t>
  </si>
  <si>
    <t>Национальный костюм для девочек</t>
  </si>
  <si>
    <t>Представляем вашему вниманию национальное платье для девочки в голубом цвете, в комплекте с головным убором. Изготовлено из легкой и практичной ткани, обеспечивающей комфорт и долговечность. Идеально подходит для выступлений, праздничных мероприятий и национальных празднико</t>
  </si>
  <si>
    <t>д64</t>
  </si>
  <si>
    <t>Великий Абай. Энциклопедия</t>
  </si>
  <si>
    <t>д640</t>
  </si>
  <si>
    <t>Национальный костюм для мальчиков</t>
  </si>
  <si>
    <t>Карнавальный и праздничный костюм предназначен для участия детей в культурных, тематических и национальных мероприятиях. Используется в сюжетно-ролевых играх, театрализованных постановках и праздниках. Способствует формированию интереса к традиционной культуре и развитию эмоциональной выразительности.</t>
  </si>
  <si>
    <t>д641</t>
  </si>
  <si>
    <t>Национальный элемент «Шаңырақ» (декоративный)</t>
  </si>
  <si>
    <t>Декоративный элемент в виде казахского шаңырака для оформления этнокультурной атмосферы детской библиотеки. Устанавливается стационарно в углу помещения, крепится к стене, служит интерьерным акцентом. Материал — дерево или облегчённый композит. Размещение — настенное, угловое.</t>
  </si>
  <si>
    <t>д642</t>
  </si>
  <si>
    <t>Нейроскутер</t>
  </si>
  <si>
    <t>Балансировочная доска на колесиках (роллерборд), цвет бежевый, выполнен из фанеры. Предназначен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t>
  </si>
  <si>
    <t>д643</t>
  </si>
  <si>
    <t>Нейротренажер для рук</t>
  </si>
  <si>
    <t>Развивающий нейротренажер предназначен для стимуляции сенсомоторных зон кистей, развития координации движений, речи и межполушарного взаимодействия. Используется в коррекционно-развивающей работе с детьми дошкольного возраста, в том числе в логопедической практике.</t>
  </si>
  <si>
    <t>д644</t>
  </si>
  <si>
    <t>Нельсон. Nelson (каз., рус., англ.яз.)</t>
  </si>
  <si>
    <t>М.Лейси (перевод Сужикова А., Асанова М.)</t>
  </si>
  <si>
    <t>д645</t>
  </si>
  <si>
    <t>Нитки</t>
  </si>
  <si>
    <t>Набор ниток предназначен для использования в творческой и учебной деятельности детей. Применяется на занятиях по ручному труду, аппликации и шитью под контролем педагога.</t>
  </si>
  <si>
    <t>д646</t>
  </si>
  <si>
    <t>Ножницы</t>
  </si>
  <si>
    <t>Детские ножницы предназначены для занятий по изобразительной деятельности и ручному труду. Используются для развития мелкой моторики и координации движений. Конструкция адаптирована для безопасного использования детьми.</t>
  </si>
  <si>
    <t>д647</t>
  </si>
  <si>
    <t>Ножницы с одним острым концом прямые</t>
  </si>
  <si>
    <t>Медицинские ножницы для проведения процедур, требующих точности.</t>
  </si>
  <si>
    <t>д648</t>
  </si>
  <si>
    <t>Ножницы тупоконечные</t>
  </si>
  <si>
    <t>Используются для медицинских и хозяйственных нужд. Безопасны за счёт закруглённых концов.</t>
  </si>
  <si>
    <t>д65</t>
  </si>
  <si>
    <t>Вертушки для подвижных игр на улице</t>
  </si>
  <si>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</si>
  <si>
    <t>д650</t>
  </si>
  <si>
    <t>Облучатель бактерицидный obn-150-kront</t>
  </si>
  <si>
    <t xml:space="preserve">Бакт. Эффективность: 99,9% - 99,0% - 95,0%_Производительность: 100 - 150 - 230  м3/час_Бактерицидные лампы: 2 х 30 Вт_Параметры: 1090х150х100 мм
</t>
  </si>
  <si>
    <t>д651</t>
  </si>
  <si>
    <t>Оборудование для лазания и координации движений</t>
  </si>
  <si>
    <t>Оборудование используется для организации двигательной активности с элементами лазания и преодоления препятствий. В процессе выполнения упражнений задействуются координация движений и ориентировка в пространстве. Предназначено для размещения в помещениях.</t>
  </si>
  <si>
    <t>д652</t>
  </si>
  <si>
    <t>Образовательные карточки</t>
  </si>
  <si>
    <t>Образовательные карточки предназначены для использования в образовательной деятельности с детьми дошкольного возраста. Применяются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Карточки содержат изображения по тематическим категориям (домашние и дикие животные, морские обитатели, насекомые, птицы, фрукты, овощи и др.). Материал карточек плотный, износостойкий, безопасный для детей, обеспечивает удобство использования и долговечность при эксплуатации в условиях ДОУ.</t>
  </si>
  <si>
    <t>д653</t>
  </si>
  <si>
    <t>Обручи разных размеров</t>
  </si>
  <si>
    <t>Комплект обручей различных диаметров предназначен для организации разнообразных подвижных и спортивных игр в условиях ДОУ. Используется для упражнений на координацию, развитие гибкости, ориентации в пространстве, а также в эстафетах и сюжетных играх. Обручи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t>
  </si>
  <si>
    <t>д654</t>
  </si>
  <si>
    <t>Обучающая игра «Состав числа» (набор карточек)</t>
  </si>
  <si>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</si>
  <si>
    <t>д655</t>
  </si>
  <si>
    <t>Обучающие карточки «Времена года» (дидактический материал)</t>
  </si>
  <si>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</si>
  <si>
    <t>д656</t>
  </si>
  <si>
    <t>Обучающие плакаты для дошкольников</t>
  </si>
  <si>
    <t>Набор обучающих плакатов предназначен для оформления развивающей предметно-пространственной среды в группах ДОУ. Используется для наглядного обучения и систематизации знаний детей дошкольного возраста. Тематика плакатов охватывает основные образовательные направления: цвета и формы, алфавит, счёт, животные, времена года, сутки и часы. Плакаты выполнены в наглядной и доступной форме, безопасны и удобны для размещения в помещениях детского сада.</t>
  </si>
  <si>
    <t>д657</t>
  </si>
  <si>
    <t>Обучающий набор развивающих карточек на казахском языке</t>
  </si>
  <si>
    <t>Обучающий набор предназначен для развития речевых и познавательных навыков детей дошкольного возраста. Используется в образовательной деятельности для изучения окружающего мира, расширения словарного запаса и формирования многоязычной среды. Карточки сгруппированы по тематическим разделам и содержат наименования предметов на казахском, русском и английском языках. Набор способствует развитию памяти, внимания и коммуникативных навыков. Материалы безопасны и соответствуют условиям эксплуатации в ДОУ.</t>
  </si>
  <si>
    <t>д659</t>
  </si>
  <si>
    <t>Одеяло детское</t>
  </si>
  <si>
    <t>Детское одеяло предназначено для использования в условиях дошкольного учреждения во время дневного сна и отдыха детей. Изготовлено из безопасных, гипоаллергенных материалов, обеспечивает комфортный микроклимат и соответствует санитарно-гигиеническим требованиям, предъявляемым к изделиям для детских учреждений.</t>
  </si>
  <si>
    <t>д66</t>
  </si>
  <si>
    <t>Весы детские</t>
  </si>
  <si>
    <t>В набор входит:
• весы с двумя лотками;
• 6 грузов различного веса.
Цвет в ассортименте без возможности выбора.
Размер игрушки: 28 x 13 x 12,7 см.
Материал: пластик.</t>
  </si>
  <si>
    <t>д661</t>
  </si>
  <si>
    <t>Ойсана әліппесі. Шуақты шумақтар</t>
  </si>
  <si>
    <t>Ж.Калжанова</t>
  </si>
  <si>
    <t>д662</t>
  </si>
  <si>
    <t>Они были первыми</t>
  </si>
  <si>
    <t>Кумисбаев Ш.</t>
  </si>
  <si>
    <t>д663</t>
  </si>
  <si>
    <t>Опасные животные Казахстана</t>
  </si>
  <si>
    <t>Казенас В., Митяев И., Ященко Р.</t>
  </si>
  <si>
    <t>д664</t>
  </si>
  <si>
    <t>Ортодон Коврик массажный модульный</t>
  </si>
  <si>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</si>
  <si>
    <t>д665</t>
  </si>
  <si>
    <t>Ортопедический коврик / массажный коврик модульный</t>
  </si>
  <si>
    <t>Ортопедический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Используется в физкультурно-оздоровительной и коррекционной работе. Коврик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t>
  </si>
  <si>
    <t>д666</t>
  </si>
  <si>
    <t>Өнер. Түсіндірмесімен</t>
  </si>
  <si>
    <t>д667</t>
  </si>
  <si>
    <t>Пазл деревянный «Зверюшки»</t>
  </si>
  <si>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</si>
  <si>
    <t>д668</t>
  </si>
  <si>
    <t>Пазл картонный фигурный (3–8 элементов, 4 в 1)</t>
  </si>
  <si>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</si>
  <si>
    <t>д669</t>
  </si>
  <si>
    <t>Пазл на липучках «Мама и малыш»</t>
  </si>
  <si>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</si>
  <si>
    <t>д67</t>
  </si>
  <si>
    <t>Весы напольные</t>
  </si>
  <si>
    <t>Весы предназначены для измерения массы тела детей и взрослых, используются в медицинском кабинете.</t>
  </si>
  <si>
    <t>д670</t>
  </si>
  <si>
    <t>Пазл-палочки деревянный (10 элементов)</t>
  </si>
  <si>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</si>
  <si>
    <t>д671</t>
  </si>
  <si>
    <t>Пазл-переодевание «Медвежонок»</t>
  </si>
  <si>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</si>
  <si>
    <t>д672</t>
  </si>
  <si>
    <t>Пазлы деревянные и магнитные (тематические наборы)</t>
  </si>
  <si>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</si>
  <si>
    <t>д673</t>
  </si>
  <si>
    <t>Пазлы картонные классические (наборы 26–60 элементов)</t>
  </si>
  <si>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</si>
  <si>
    <t>д674</t>
  </si>
  <si>
    <t>Пазлы с формами животных и транспорта</t>
  </si>
  <si>
    <t>Развивающие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Используются в образовательной и игровой деятельности детей дошкольного возраста. Изготовлены из древесного материала, элементы имеют чёткие формы и безопасные края, что обеспечивает удобство и безопасность использования в детских учреждениях.</t>
  </si>
  <si>
    <t>д675</t>
  </si>
  <si>
    <t>Палка гимнастическая предназначена для использования в физкультурно-оздоровительной и коррекционно-развивающей работе с детьми. Применяется для выполнения упражнений на координацию движений, развитие осанки, равновесия и общей моторики. Используется в подвижных играх, гимнастике и физкультурных занятиях. Изготовлена из прочного и безопасного материала, имеет гладкую поверхность, удобна для детского хвата и соответствует требованиям эксплуатации в ДОУ.</t>
  </si>
  <si>
    <t>д676</t>
  </si>
  <si>
    <t>Пальчиковые краски</t>
  </si>
  <si>
    <t>Пальчиковые краски предназначены для изобразительной и арт-терапевтической деятельности с детьми дошкольного возраста. Используются для развития сенсорного восприятия, мелкой моторики, творческого мышления и эмоционального самовыражения. Применяются в индивидуальных и групповых занятиях. Краски безопасны для детей, легко смываются, имеют яркие цвета и подходят для использования в условиях детских учреждений.</t>
  </si>
  <si>
    <t>д677</t>
  </si>
  <si>
    <t>Пальчиковые персонажи</t>
  </si>
  <si>
    <t>Пальчиковые игровые персонажи предназначены для развития мелкой моторики, речи, воображения и коммуникативных навыков у детей дошкольного возраста. Используются в сюжетно-ролевых играх, сказкотерапии, арт- и коррекционно-развивающих занятиях. Изготовлены из мягких, нетоксичных и гипоаллергенных материалов, легко очищаются и устойчивы к частому использованию в условиях ДОУ.</t>
  </si>
  <si>
    <t>д678</t>
  </si>
  <si>
    <t>Пальчиковый театр (сказки, 5 в 1)</t>
  </si>
  <si>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</si>
  <si>
    <t>д679</t>
  </si>
  <si>
    <t>Пальчиковый театр из фетра</t>
  </si>
  <si>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</si>
  <si>
    <t>д68</t>
  </si>
  <si>
    <t>Весы с предметами для измерения</t>
  </si>
  <si>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</si>
  <si>
    <t>д681</t>
  </si>
  <si>
    <t>Папка</t>
  </si>
  <si>
    <t>Папка-регистратор формата А4 предназначена для хранения, систематизации и архивирования документации, методических материалов, планов занятий и отчётных документов. Используется в административной, педагогической и методической деятельности дошкольного учреждения. Обеспечивает удобный доступ к документам, их сохранность и аккуратное размещение. Подходит для эксплуатации в условиях ДОУ.</t>
  </si>
  <si>
    <t>д682</t>
  </si>
  <si>
    <t>Папоротники</t>
  </si>
  <si>
    <t>Декоративные папоротники предназначены для оформления предметно-пространственной среды дошкольного учреждения. Используются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Способствуют формированию у детей эстетического восприятия и интереса к миру растений.</t>
  </si>
  <si>
    <t>д683</t>
  </si>
  <si>
    <t>Парашют игровой (групповые игры)</t>
  </si>
  <si>
    <t>Игровой парашют предназначен для проведения подвижных и групповых игр с детьми дошкольного возраста. Используется для развития координации движений, командного взаимодействия, внимания и чувства ритма. Применяется в физкультурных занятиях, игровых паузах и коррекционно-развивающей работе. Изготовлен из прочного текстильного материала, безопасен и удобен для использования в помещении и на улице.</t>
  </si>
  <si>
    <t>д684</t>
  </si>
  <si>
    <t>Паром круизный «Silja Symphony»</t>
  </si>
  <si>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</si>
  <si>
    <t>д686</t>
  </si>
  <si>
    <t>Передвижные книжные держатели (мобильные)</t>
  </si>
  <si>
    <t>Передвижная книжная стойка с полками для размещения детской литературы. Оснащена меловой доской для рисования и обозначения тематических подборок. Имеет колёса с фиксаторами для удобного перемещения и устойчивости. Материал — дерево или ЛДСП. Размер — 410 × 410 × 950 мм. Назначение — оформление мобильных книжных зон и тематических выставок.</t>
  </si>
  <si>
    <t>д687</t>
  </si>
  <si>
    <t>Песочная терапия. Стол</t>
  </si>
  <si>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</si>
  <si>
    <t>д688</t>
  </si>
  <si>
    <t>Песочные часы</t>
  </si>
  <si>
    <t>Песочные часы предназначены для формирования у детей представлений о времени, развития концентрации внимания и саморегуляции. Используются в образовательной, игровой и коррекционной деятельности для ограничения и контроля времени выполнения заданий. Конструкция устойчивая, с безопасными краями, подходит для эксплуатации в детских учреждениях.</t>
  </si>
  <si>
    <t>д689</t>
  </si>
  <si>
    <t>Песочные часы / таймер</t>
  </si>
  <si>
    <t>Таймер с песочным механизмом используется для наглядного отсчёта времени в процессе занятий, игр и режимных моментов. Способствует развитию навыков планирования, ожидания и соблюдения временных рамок. Применяется в индивидуальной и групповой работе с детьми дошкольного возраста.</t>
  </si>
  <si>
    <t>д69</t>
  </si>
  <si>
    <t>Весы db-200h</t>
  </si>
  <si>
    <t>_Грузоподъемность: 200 кг; Чувствительность: 50/100 г</t>
  </si>
  <si>
    <t>д690</t>
  </si>
  <si>
    <t>Песочный набор</t>
  </si>
  <si>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</si>
  <si>
    <t>д691</t>
  </si>
  <si>
    <t>Синтезатор Medeli A810 Музыкальный инструмент предназначен для сопровождения музыкальных занятий, развития слуха, ритма и вокальных навыков у детей дошкольного возраста. Используется в музыкальном зале и на праздничных мероприятиях. Конструкция устойчивая, поверхности безопасны для детей, эксплуатация соответствует требованиям использования музыкального оборудования в ДОУ.</t>
  </si>
  <si>
    <t>д692</t>
  </si>
  <si>
    <t>Пинцет анатомический</t>
  </si>
  <si>
    <t>Применяется для медицинских манипуляций, захвата и удержания материалов.</t>
  </si>
  <si>
    <t>д693</t>
  </si>
  <si>
    <t>Пирамида из шести шестерёнок</t>
  </si>
  <si>
    <t>Развивающая пирамида с шестерёнками предназначена для формирования причинно-следственных связей, развития логического мышления и мелкой моторики. Используется в игровой и образовательной деятельности детей дошкольного возраста. Элементы яркие, подвижные, безопасные и удобные для детского восприятия.</t>
  </si>
  <si>
    <t>д694</t>
  </si>
  <si>
    <t>Пирамидка</t>
  </si>
  <si>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</si>
  <si>
    <t>д695</t>
  </si>
  <si>
    <t>Пирамидка конусная</t>
  </si>
  <si>
    <t>Конусная пирамидка предназначена для развития логического мышления, мелкой моторики и навыков сортировки у детей дошкольного возраста. Используется в игровой и обучающей деятельности. Конструкция безопасна, элементы легко удерживаются детской рукой.</t>
  </si>
  <si>
    <t>д696</t>
  </si>
  <si>
    <t>Пирамидка логическая «Фигурки»</t>
  </si>
  <si>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</si>
  <si>
    <t>д697</t>
  </si>
  <si>
    <t>Пирамидка радуга из дерева</t>
  </si>
  <si>
    <t>Деревянная пирамидка в форме радуги предназначена для развития пространственного мышления, воображения и сенсорного восприятия. Используется в свободной игре и образовательных занятиях. Натуральный материал и плавные формы обеспечивают безопасность и долговечность изделия.</t>
  </si>
  <si>
    <t>д698</t>
  </si>
  <si>
    <t>Пирамидка разного размера</t>
  </si>
  <si>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</si>
  <si>
    <t>д699</t>
  </si>
  <si>
    <t>Пирамидки деревянные бусы</t>
  </si>
  <si>
    <t>Деревянные пирамидки-бусы предназначены для сортировки, нанизывания и сравнения форм и цветов. Используются для развития мелкой моторики, координации рук и внимания. Подходят для индивидуальной и подгрупповой работы в ДОУ.</t>
  </si>
  <si>
    <t>д7</t>
  </si>
  <si>
    <t>"Өзің жаса"Топтамасы. Үй жануарлары. Серия "Сделай сам!" Домашние животные из картона</t>
  </si>
  <si>
    <t>д70</t>
  </si>
  <si>
    <t>Весы sw-10 dd</t>
  </si>
  <si>
    <t>Грузоподъемность: 10 кг; Чувствительность: 5 г</t>
  </si>
  <si>
    <t>д700</t>
  </si>
  <si>
    <t>Пирамидки разные</t>
  </si>
  <si>
    <t>Разнообразные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Подходят для систематического использования в образовательной среде детского сада.</t>
  </si>
  <si>
    <t>д701</t>
  </si>
  <si>
    <t>Піл мен жолбарыс.Ертегі.Боямақ</t>
  </si>
  <si>
    <t>Құрастарған Сужикова А.</t>
  </si>
  <si>
    <t>д702</t>
  </si>
  <si>
    <t>Плакаты артикуляционной гимнастики</t>
  </si>
  <si>
    <t>Демонстрационные плакаты предназначены для проведения артикуляционной гимнастики и логопедических занятий. Наглядно отображают положение языка, губ и зубов при выполнении упражнений. Используются в коррекционной и развивающей работе с детьми дошкольного возраста.</t>
  </si>
  <si>
    <t>д703</t>
  </si>
  <si>
    <t>Плакаты с правильным произношением звуков</t>
  </si>
  <si>
    <t>Плакаты предназначены для формирования правильного произношения звуков (в том числе [Р], [Л], [С] и других). Используются в логопедической практике для визуальной поддержки артикуляционных упражнений и развития фонематического слуха у детей.</t>
  </si>
  <si>
    <t>д704</t>
  </si>
  <si>
    <t>Планшет развивающий</t>
  </si>
  <si>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</si>
  <si>
    <t>д705</t>
  </si>
  <si>
    <t>Пластилин</t>
  </si>
  <si>
    <t>Детский мягкий пластилин предназначен для лепки и художественно-творческой деятельности. Используется для развития мелкой моторики, воображения и сенсорных навыков у детей дошкольного возраста. Подходит для индивидуальных и групповых занятий.</t>
  </si>
  <si>
    <t>д706</t>
  </si>
  <si>
    <t>Пластилины (набор)</t>
  </si>
  <si>
    <t>Набор пластилина с большим количеством цветов предназначен для творческой деятельности детей. Используется в образовательной и развивающей среде ДОУ для лепки, моделирования и художественного самовыражения. Материал безопасен при соблюдении правил эксплуатации.</t>
  </si>
  <si>
    <t>д707</t>
  </si>
  <si>
    <t>Плед / покрывало</t>
  </si>
  <si>
    <t>Плед или покрывало предназначено для использования в групповых помещениях дошкольного учреждения. Применяется в зонах отдыха, релаксации или во время дневного сна. Обеспечивает комфорт и уют, подходит для регулярного использования.</t>
  </si>
  <si>
    <t>д708</t>
  </si>
  <si>
    <t>Подушка детская</t>
  </si>
  <si>
    <t>Детская подушка предназначена для использования в групповых помещениях и зонах отдыха дошкольного учреждения. Обеспечивает комфорт и поддержку во время отдыха. Изготовлена из гипоаллергенных материалов, подходит для регулярного использования.</t>
  </si>
  <si>
    <t>д709</t>
  </si>
  <si>
    <t>Поезд (деревянный)</t>
  </si>
  <si>
    <t>Деревянный поезд предназначен для сюжетно-ролевых и развивающих игр детей дошкольного возраста. Способствует развитию воображения, логического мышления, мелкой моторики и координации движений. Изготовлен из натурального дерева, безопасен для использования в ДОУ.</t>
  </si>
  <si>
    <t>д71</t>
  </si>
  <si>
    <t>Виброплатформа</t>
  </si>
  <si>
    <t>Виброплатформа используется для выполнения упражнений с вибрационной нагрузкой. Применяется при занятиях, направленных на активацию мышц и поддержание физической активности. Работает от сети 220 В, мощность устройства — не менее 200 Вт. Рассчитана на нагрузку до 150 кг.</t>
  </si>
  <si>
    <t>д710</t>
  </si>
  <si>
    <t>Пожарная машина</t>
  </si>
  <si>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</si>
  <si>
    <t>д711</t>
  </si>
  <si>
    <t>Пожарная машинка</t>
  </si>
  <si>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</si>
  <si>
    <t>д712</t>
  </si>
  <si>
    <t>Полевые цветы (обучающие карточки)</t>
  </si>
  <si>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</si>
  <si>
    <t>д713</t>
  </si>
  <si>
    <t>Полицейский вертолет трансформер</t>
  </si>
  <si>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</si>
  <si>
    <t>д714</t>
  </si>
  <si>
    <t>Полоса препятствий модульная (4 элемента)</t>
  </si>
  <si>
    <t>Модульный набор используется для организации двигательной активности с упражнениями на преодоление препятствий. В процессе прохождения выполняются действия на баланс, шагание, перелезание и проползание. Такая активность способствует развитию координации движений и общей моторики. Комплект включает не менее 4 элементов. Конструкция предназначена для использования в помещениях.</t>
  </si>
  <si>
    <t>д715</t>
  </si>
  <si>
    <t>Полотенце детское</t>
  </si>
  <si>
    <t>Детское полотенце предназначено для индивидуального использования детьми в условиях дошкольного учреждения. Изготовлено из гигиеничных, безопасных и легко очищаемых материалов.</t>
  </si>
  <si>
    <t>д716</t>
  </si>
  <si>
    <t>Посуда, игровой набор металлический (11 предметов)</t>
  </si>
  <si>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</si>
  <si>
    <t>д717</t>
  </si>
  <si>
    <t>Потолочный светильник в виде книги</t>
  </si>
  <si>
    <t>Потолочный светильник в форме раскрытой книги, предназначен для общего освещения библиотечного пространства. Декоративный элемент поддерживает тематику чтения и обучения, создаёт уютную атмосферу.</t>
  </si>
  <si>
    <t>д718</t>
  </si>
  <si>
    <t>Потолочный фиберооптический модуль «Тучка»</t>
  </si>
  <si>
    <t>Сенсорный потолочный модуль в виде облака предназначен для создания расслабляющей атмосферы. Оснащён 600 фибероптическими волокнами длиной 2,2 м, управляется пультом ДУ. Размер 120×120 см. Используется в сенсорных и релаксационных зонах ДОУ.</t>
  </si>
  <si>
    <t>д719</t>
  </si>
  <si>
    <t>Предметные картинки разной формы</t>
  </si>
  <si>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</si>
  <si>
    <t>д72</t>
  </si>
  <si>
    <t>Воздушно-пузырьковая колонна с подсветкой</t>
  </si>
  <si>
    <t>Воздушно-пузырьковая колонна используется как декоративный и световой элемент интерьера. Представляет собой акриловую трубу, заполненную водой с подачей воздуха, создающей движение пузырьков. Оснащена RGB-подсветкой с возможностью выбора режимов. Диаметр колонны — не менее 10 см, высота — не менее 120 см.</t>
  </si>
  <si>
    <t>д720</t>
  </si>
  <si>
    <t>Принадлежности для работы на участке (комплект)</t>
  </si>
  <si>
    <t>Комплект предназначен для игровой и трудовой деятельности на участке ДОУ. Включает тачку, лопаты, грабли, метлу, ведро, совок. Материал — полипропилен. Способствует развитию трудовых навыков и координации движений.</t>
  </si>
  <si>
    <t>д721</t>
  </si>
  <si>
    <t>Проектор «Звёздное небо / Северное сияние»</t>
  </si>
  <si>
    <t>Световой проектор предназначен для создания расслабляющей и эмоционально-комфортной атмосферы в помещениях дошкольного учреждения. Оснащён RGB-светодиодами и лазерами, поддерживает до 13 режимов цветовых эффектов. Имеет пульт дистанционного управления, встроенный Bluetooth Hi-Fi динамик, воспроизводит звуки природы (прибой, дождь, гроза, ночной лес). Используется в сенсорных, релаксационных и психологических зонах.</t>
  </si>
  <si>
    <t>д722</t>
  </si>
  <si>
    <t>Прозрачные контейнеры</t>
  </si>
  <si>
    <t xml:space="preserve">Прозрачные пластиковые контейнеры предназначены для хранения и систематизации дидактических материалов, игрушек и принадлежностей. </t>
  </si>
  <si>
    <t>д723</t>
  </si>
  <si>
    <t>Протектор стеновой мягкий, м²</t>
  </si>
  <si>
    <t>Мягкие стеновые панели предназначены для защиты стен и обеспечения безопасности детей в зонах активного движения. Основа — амортизирующий наполнитель (поролон, ППУ). Покрытие — износостойкий влагостойкий материал (ПВХ-ткань, винилискожа, экокожа). Крепление скрытое, края закруглённые. Устойчивы к дезинфекции, гипоаллергенные, соответствуют требованиям использования в ДОУ.</t>
  </si>
  <si>
    <t>д724</t>
  </si>
  <si>
    <t>Пузырь для льда</t>
  </si>
  <si>
    <t>Используется для местного охлаждения при ушибах и других медицинских показаниях.</t>
  </si>
  <si>
    <t>д725</t>
  </si>
  <si>
    <t>Пұшайман Федора</t>
  </si>
  <si>
    <t>Чуковский К.</t>
  </si>
  <si>
    <t>д726</t>
  </si>
  <si>
    <t>Развивающая игра — нейротренажёр «Логопедический пальцеход»</t>
  </si>
  <si>
    <t>Нейротренажёр предназначен для развития мелкой моторики, координации движений и речевых навыков. Может использоваться как стандартный пальцеход и как база для логопедических упражнений. Размер основы: 7,5×23 см. В комплекте 31 фишка.</t>
  </si>
  <si>
    <t>д727</t>
  </si>
  <si>
    <t>Развивающая игра «Всякая всячина»</t>
  </si>
  <si>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</si>
  <si>
    <t>д728</t>
  </si>
  <si>
    <t>Развивающая игра «Кто что ест?»</t>
  </si>
  <si>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</si>
  <si>
    <t>д729</t>
  </si>
  <si>
    <t>Развивающая игра «Математика для дошкольников»</t>
  </si>
  <si>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</si>
  <si>
    <t>д73</t>
  </si>
  <si>
    <t>Восковые карандаши</t>
  </si>
  <si>
    <t>Восковые карандаши используются для рисования и раскрашивания. Обеспечивают плотное нанесение цвета и плавное скольжение по поверхности бумаги. В набор входит не менее 24 карандашей различных цветов. Подходят для художественных и творческих работ.</t>
  </si>
  <si>
    <t>д730</t>
  </si>
  <si>
    <t>Развивающая игра «Считай и проверяй»</t>
  </si>
  <si>
    <t>Настольная развивающая игра для формирования навыков счёта и сравнения. В комплект входят двусторонние карточки-задания, фигурки, элементы весов и основа. Используется для развития логического мышления и математических представлений.</t>
  </si>
  <si>
    <t>д731</t>
  </si>
  <si>
    <t>Развивающая игра «Цветные рыбки»</t>
  </si>
  <si>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</si>
  <si>
    <t>д732</t>
  </si>
  <si>
    <t>Развивающая игра с разноцветными стаканами</t>
  </si>
  <si>
    <t>Игра предназначена для развития цветового восприятия, координации движений, логического мышления и моторики у детей дошкольного возраста.</t>
  </si>
  <si>
    <t>д733</t>
  </si>
  <si>
    <t>Развивающая игрушка «Весёлые совята» (37 элементов)</t>
  </si>
  <si>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</si>
  <si>
    <t>д734</t>
  </si>
  <si>
    <t>Развивающая игрушка «Моя первая лаборатория. Колбы с подставкой» (6 элементов)</t>
  </si>
  <si>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</si>
  <si>
    <t>д735</t>
  </si>
  <si>
    <t>Развивающая игрушка «Моя первая лаборатория. Юный исследователь» (22 элемента)</t>
  </si>
  <si>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</si>
  <si>
    <t>д736</t>
  </si>
  <si>
    <t>Развивающая игрушка «Ягодный пирог» (68 элементов)</t>
  </si>
  <si>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</si>
  <si>
    <t>д737</t>
  </si>
  <si>
    <t>Развивающая настольная игра «Домино. Фрукты и овощи»</t>
  </si>
  <si>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</si>
  <si>
    <t>д738</t>
  </si>
  <si>
    <t>Развивающая настольная игра «Chair stack»</t>
  </si>
  <si>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</si>
  <si>
    <t>д739</t>
  </si>
  <si>
    <t>Развивающая настольная игра для развития пространственного мышленпия</t>
  </si>
  <si>
    <t>Набор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</si>
  <si>
    <t>д74</t>
  </si>
  <si>
    <t>Гантели детские пластмассовые</t>
  </si>
  <si>
    <t>Детские гантели используются для выполнения простых физических упражнений. Представляют собой неразборную конструкцию с пластиковым покрытием. Вес одной гантели составляет не более 0,5 кг. Применяются при организации двигательной активности.</t>
  </si>
  <si>
    <t>д740</t>
  </si>
  <si>
    <t>Развивающая настольная логопедическая игра «Я говорю» (фразовый конструктор)</t>
  </si>
  <si>
    <t>Логопедическая игра предназначена для формирования связной речи. Включает карточки на липучках для составления фраз. Используется в работе логопеда с детьми от 3 до 7 лет.</t>
  </si>
  <si>
    <t>д741</t>
  </si>
  <si>
    <t>Развивающая настольная магнитная игра «Учимся сортировать мусор»</t>
  </si>
  <si>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</si>
  <si>
    <t>д742</t>
  </si>
  <si>
    <t>Развивающая пирамидка</t>
  </si>
  <si>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</si>
  <si>
    <t>д743</t>
  </si>
  <si>
    <t>Развивающие игрушки «Милый ёжик»</t>
  </si>
  <si>
    <t>Сенсорная развивающая игрушка предназначена для стимуляции тактильных ощущений и мелкой моторики. Материал — пластик. Используется в индивидуальных и групповых играх.</t>
  </si>
  <si>
    <t>д744</t>
  </si>
  <si>
    <t>Развивающие карточки</t>
  </si>
  <si>
    <t>Развивающие карточки предназначены для запуска и развития речи у детей дошкольного возраста. Используются в логопедической и коррекционной работе.</t>
  </si>
  <si>
    <t>д745</t>
  </si>
  <si>
    <t>Развивающие карточки «Начинаю говорить» (набор)</t>
  </si>
  <si>
    <t>Набор включает двусторонние карточки с первыми словами и изображениями для работы над словарём. В процессе занятий выполняется называние, группировка по темам и составление простых предложений. В комплект входит не менее 50 карточек и буклет с заданиями. Материал подходит для индивидуальной и подгрупповой работы. Рассчитан на многократное использование.</t>
  </si>
  <si>
    <t>д746</t>
  </si>
  <si>
    <t>Развивающие карточки для малышей IQ-ZABIAKA</t>
  </si>
  <si>
    <t>Тактильные карточки предназначены для сенсорного развития и раннего обучения. Используются для знакомства с животными и стимуляции тактильного восприятия.</t>
  </si>
  <si>
    <t>д747</t>
  </si>
  <si>
    <t>Развивающий набор «Весёлые звуки»</t>
  </si>
  <si>
    <t>Развивающий набор предназначен для тренировки слуха, памяти и мышления. Используется в образовательной и коррекционной деятельности с детьми дошкольного возраста.</t>
  </si>
  <si>
    <t>д748</t>
  </si>
  <si>
    <t>Развивающий набор «Волшебная мозаика»</t>
  </si>
  <si>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</si>
  <si>
    <t>д749</t>
  </si>
  <si>
    <t>Развивающий набор «Кубик с мозаикой»</t>
  </si>
  <si>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</si>
  <si>
    <t>д75</t>
  </si>
  <si>
    <t>Геометрическая головоломка «Цветок»</t>
  </si>
  <si>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</si>
  <si>
    <t>д750</t>
  </si>
  <si>
    <t>Развитие речи и художественная литература</t>
  </si>
  <si>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</si>
  <si>
    <t>д751</t>
  </si>
  <si>
    <t>Раздаточные материалы для занятий по рисованию</t>
  </si>
  <si>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</si>
  <si>
    <t>д752</t>
  </si>
  <si>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</si>
  <si>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</si>
  <si>
    <t>д753</t>
  </si>
  <si>
    <t>Раздаточные материалы по аппликации 2+ лет</t>
  </si>
  <si>
    <t>Раздаточные материалы предназначены для выполнения аппликационных заданий и практических работ. Используются при освоении приёмов наклеивания и комбинирования элементов. Задания направлены на формирование представлений о форме, цвете и композиции. Применяются в индивидуальной и групповой работе.</t>
  </si>
  <si>
    <t>д754</t>
  </si>
  <si>
    <t>Раздаточные материалы по развитию речи и художественной литературе</t>
  </si>
  <si>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</si>
  <si>
    <t>д755</t>
  </si>
  <si>
    <t>Разделитель для папки</t>
  </si>
  <si>
    <t>Пластиковые разделители с индексами предназначены для систематизации документов, методических материалов и рабочей документации. Используются в папках формата А4, обеспечивают удобство навигации и хранения.</t>
  </si>
  <si>
    <t>д756</t>
  </si>
  <si>
    <t>Ракушки морские натуральные для декора</t>
  </si>
  <si>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</si>
  <si>
    <t>д757</t>
  </si>
  <si>
    <t>Рамка-вкладыш «Кто где живёт»</t>
  </si>
  <si>
    <t>Рамка-вкладыш представляет собой деревянную основу с фигурными элементами по тематике среды обитания животных. В процессе работы выполняется подбор и размещение деталей в соответствующие отверстия. Такая деятельность способствует развитию наглядно-образного мышления и навыков соотнесения. Набор включает не менее 11 элементов.</t>
  </si>
  <si>
    <t>д758</t>
  </si>
  <si>
    <t>Раскраска «Жабайы жануарларды білесің бе?»</t>
  </si>
  <si>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</si>
  <si>
    <t>д759</t>
  </si>
  <si>
    <t>Раскраска «Kazakhstan. Astana»</t>
  </si>
  <si>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</si>
  <si>
    <t>д76</t>
  </si>
  <si>
    <t>д760</t>
  </si>
  <si>
    <t>Растения (цветы)</t>
  </si>
  <si>
    <t>Неприхотливые в уходе, безопасные для детей растения, не имеющие острых элементов и токсичных свойств. Высота растений — 400–800 мм, диаметр горшка — 180–250 мм.</t>
  </si>
  <si>
    <t>д761</t>
  </si>
  <si>
    <t>Растения с крупными листьями для изучения формы</t>
  </si>
  <si>
    <t>Растения с крупными выразительными листьями предназначены для наглядного изучения формы, размера и структуры листа в образовательной деятельности. Используются в экологическом воспитании, сенсорном развитии и ознакомлении с окружающим миром. Подбираются нетоксичные, безопасные для детей виды, устойчивые к комнатным условиям.</t>
  </si>
  <si>
    <t>д762</t>
  </si>
  <si>
    <t>Растения, набор</t>
  </si>
  <si>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</si>
  <si>
    <t>д763</t>
  </si>
  <si>
    <t>ренажёр логопедический, перекидной. Звукотренировка. Чистоговорки, игры</t>
  </si>
  <si>
    <t>Логопедический тренажёр предназначен для формирования и автоматизации звуков [Р], [Р’], [Л], [Л’], развития фонематического слуха и навыков анализа звуков в словах. Используется в индивидуальной и подгрупповой логопедической работе. Перекидные карточки соединены пружиной, что предотвращает их потерю. Цветовая маркировка твёрдых и мягких согласных облегчает восприятие материала.</t>
  </si>
  <si>
    <t>д765</t>
  </si>
  <si>
    <t>Ростомер механический напольный РП «Эконом»</t>
  </si>
  <si>
    <t>Используется для измерения роста детей. Устойчивый, простой в эксплуатации, соответствует требованиям ДОУ.</t>
  </si>
  <si>
    <t>д766</t>
  </si>
  <si>
    <t>Ростомер настенный</t>
  </si>
  <si>
    <t>Ростомер используется для измерения роста. Изготовлен в виде наклеек, размещаемых на стене. Высота шкалы составляет около 135 см. Материал — плёнка.</t>
  </si>
  <si>
    <t>д767</t>
  </si>
  <si>
    <t>Рукомойник с коленным управлением ce-dke50x40</t>
  </si>
  <si>
    <t>Нержавеющая сталь 430; Параметры: 500X400X310 mm</t>
  </si>
  <si>
    <t>д768</t>
  </si>
  <si>
    <t>Ручная кукла животных</t>
  </si>
  <si>
    <t>Ручные куклы животных предназначены для сюжетно-ролевых игр, театрализованных занятий и развития речи. Используются в коррекционной, игровой и образовательной деятельности.</t>
  </si>
  <si>
    <t>д769</t>
  </si>
  <si>
    <t>Салфетки</t>
  </si>
  <si>
    <t>Салфетки влажные и сухие предназначены для санитарно-гигиенических нужд, ухода за поверхностями и соблюдения чистоты в помещениях дошкольного учреждения.</t>
  </si>
  <si>
    <t>д77</t>
  </si>
  <si>
    <t>Гидропонная установка учебно-демонстрационная</t>
  </si>
  <si>
    <t>Гидропонная установка используется для наглядного выращивания растений без использования грунта. Позволяет наблюдать процесс развития корневой системы и надземной части растений. Габаритные размеры установки составляют не менее 205×205×50 мм. Конструкция рассчитана на эксплуатацию в помещениях.</t>
  </si>
  <si>
    <t>д770</t>
  </si>
  <si>
    <t>Сан сауалдың жауабы. Энциклопедиясы</t>
  </si>
  <si>
    <t>под ред. П. Френсис, Р. Хьюстон (перевод Шарипова А.)</t>
  </si>
  <si>
    <t>д771</t>
  </si>
  <si>
    <t>Саят. Казахская традиционная охота. (рус., англ.)</t>
  </si>
  <si>
    <t>д772</t>
  </si>
  <si>
    <t>Саятшылық. Қазақтың дәстурлі аншылығы (каз., англ.)</t>
  </si>
  <si>
    <t>д773</t>
  </si>
  <si>
    <t xml:space="preserve">Сәулетші </t>
  </si>
  <si>
    <t>Игра «Сәулетші» включает в себя 200 шт палочки, инструкцию</t>
  </si>
  <si>
    <t>д774</t>
  </si>
  <si>
    <t>Сборник стихов к 110-летию поэта. Тажибаев А. (Рухани жаңғыру)</t>
  </si>
  <si>
    <t>Тажибаев А.</t>
  </si>
  <si>
    <t>д775</t>
  </si>
  <si>
    <t>Светлые дни (о Б.Момышулы)</t>
  </si>
  <si>
    <t>Ахметова З.</t>
  </si>
  <si>
    <t>д776</t>
  </si>
  <si>
    <t>Светодиодная лента для оформления с пультом RGB</t>
  </si>
  <si>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</si>
  <si>
    <t>д777</t>
  </si>
  <si>
    <t>Светодиодная лента RGB с пультом</t>
  </si>
  <si>
    <t>д778</t>
  </si>
  <si>
    <t>Свисток</t>
  </si>
  <si>
    <t>Свисток предназначен для подачи звуковых сигналов во время подвижных игр, занятий по физическому развитию и организации дисциплины. Изготовлен из безопасных материалов, прост в использовании, устойчив к частому применению.</t>
  </si>
  <si>
    <t>д78</t>
  </si>
  <si>
    <t>Гимнастическая скамейка</t>
  </si>
  <si>
    <t>Гимнастическая скамейка используется при выполнении физических упражнений и двигательных заданий. Представляет собой устойчивую опорную конструкцию. Длина изделия —240 см, ширина — 24 см, высота — 30 см. Рассчитана на нагрузку до 100 кг.</t>
  </si>
  <si>
    <t>д780</t>
  </si>
  <si>
    <t>Несгораемый сейф предназначен для хранения важных документов и ценностей. Обеспечивает защиту содержимого от огня и механических воздействий.</t>
  </si>
  <si>
    <t>д783</t>
  </si>
  <si>
    <t>Сенсорные звуковые цилиндры</t>
  </si>
  <si>
    <t>Сенсорные звуковые цилиндры предназначены для развития слухового восприятия, внимания и различения звуков. Используются в сенсорных и коррекционных занятиях.</t>
  </si>
  <si>
    <t>д784</t>
  </si>
  <si>
    <t>Сенсорный лоток для настольных игр</t>
  </si>
  <si>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</si>
  <si>
    <t>д786</t>
  </si>
  <si>
    <t>Сенсорный стол с песком</t>
  </si>
  <si>
    <t>Сенсорный стол с песком используется в психологической и коррекционной работе. Развивает тактильную чувствительность, мелкую моторику, внимание и способствует эмоциональной стабилизации.</t>
  </si>
  <si>
    <t>д787</t>
  </si>
  <si>
    <t>Серии картинок «Времена года»</t>
  </si>
  <si>
    <t>Дидактический комплект предназначен для формирования представлений о временах года, природе, жизни животных и деятельности людей. Используется в образовательной работе, соответствует возрастным особенностям детей.</t>
  </si>
  <si>
    <t>д788</t>
  </si>
  <si>
    <t>Серия "Мектеп кiтапханасы" - "Школьная библиотека"</t>
  </si>
  <si>
    <t>д789</t>
  </si>
  <si>
    <t>Сиқырлы математика. Математика өмірдің барлық саласында</t>
  </si>
  <si>
    <t>Болл Дж.</t>
  </si>
  <si>
    <t>д79</t>
  </si>
  <si>
    <t>Глина для лепки</t>
  </si>
  <si>
    <t>Глина используется для лепки и формообразования. Подходит для ручной работы и использования на гончарном круге. Материал самозатвердевающий, нетоксичный и готовый к применению. Применяется при выполнении творческих и художественных работ.</t>
  </si>
  <si>
    <t>д790</t>
  </si>
  <si>
    <t>Скакалки (по возрасту)</t>
  </si>
  <si>
    <t>Скакалки предназначены для занятий физической культурой и подвижных игр. Подбираются по возрасту детей, способствуют развитию координации, выносливости и моторики.</t>
  </si>
  <si>
    <t>д791</t>
  </si>
  <si>
    <t>Скалка для творчества</t>
  </si>
  <si>
    <t>Скалка предназначена для лепки из пластилина, теста и глины. Изготовлена из безопасных материалов, используется в творческой и изобразительной деятельности.</t>
  </si>
  <si>
    <t>д793</t>
  </si>
  <si>
    <t>Скатерть на стол</t>
  </si>
  <si>
    <t>Скатерть предназначена для защиты поверхности стола и оформления пространства. Изготовлена из износостойкого материала, легко очищается.</t>
  </si>
  <si>
    <t>д794</t>
  </si>
  <si>
    <t>Скейтборд (пенниборд)</t>
  </si>
  <si>
    <t>Скейтборд предназначен для активного отдыха и развития координации движений. Используется под контролем взрослых в специально отведённых зонах.</t>
  </si>
  <si>
    <t>д795</t>
  </si>
  <si>
    <t>Скоро в школу</t>
  </si>
  <si>
    <t>Елубаев Е.</t>
  </si>
  <si>
    <t>д796</t>
  </si>
  <si>
    <t>Совместная эластичная верёвка</t>
  </si>
  <si>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</si>
  <si>
    <t>д797</t>
  </si>
  <si>
    <t>Соединяющиеся кубики (100 элементов)</t>
  </si>
  <si>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</si>
  <si>
    <t>д798</t>
  </si>
  <si>
    <t>Соль для монтажа (высший сорт)</t>
  </si>
  <si>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</si>
  <si>
    <t>д799</t>
  </si>
  <si>
    <t>Соль для монтажа. Высший сорт. (с
доставкой)</t>
  </si>
  <si>
    <t>д8</t>
  </si>
  <si>
    <t>«3Д ұшбұрыш» (Интеллектум)</t>
  </si>
  <si>
    <t xml:space="preserve">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
ствии с инструкцией. </t>
  </si>
  <si>
    <t>д80</t>
  </si>
  <si>
    <t>Глобус физический</t>
  </si>
  <si>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</si>
  <si>
    <t>д800</t>
  </si>
  <si>
    <t>Сортер «Гномики»</t>
  </si>
  <si>
    <t>Деревянный сортер предназначен для развития логического мышления, мелкой моторики и навыков сортировки по цвету и форме.</t>
  </si>
  <si>
    <t>д801</t>
  </si>
  <si>
    <t>Сортер «Лесное дерево»</t>
  </si>
  <si>
    <t>Развивающая игра в форме дерева с фигурками животных и птиц. Используется для развития логики, моторики и познавательных навыков.</t>
  </si>
  <si>
    <t>д802</t>
  </si>
  <si>
    <t>Сортер «Рыбалка»</t>
  </si>
  <si>
    <t>Магнитный сортер предназначен для развития координации рук, внимания и точности движений.</t>
  </si>
  <si>
    <t>д803</t>
  </si>
  <si>
    <t>Сортер деревянный «Волшебный сундучок»</t>
  </si>
  <si>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</si>
  <si>
    <t>д804</t>
  </si>
  <si>
    <t>Сортер для шариков</t>
  </si>
  <si>
    <t>Деревянный сортер предназначен для развития координации движений, внимания и навыков сортировки.</t>
  </si>
  <si>
    <t>д805</t>
  </si>
  <si>
    <t>Сортер разноцветные фигурки</t>
  </si>
  <si>
    <t>Сортер предназначен для обучения сортировке по цвету и форме. Развивает внимание и мелкую моторику.</t>
  </si>
  <si>
    <t>д806</t>
  </si>
  <si>
    <t>Сортер фигур</t>
  </si>
  <si>
    <t>Деревянный сортер с платформой и геометрическими фигурками. Используется для развития логического мышления и моторики.</t>
  </si>
  <si>
    <t>д807</t>
  </si>
  <si>
    <t>Сортировочный набор</t>
  </si>
  <si>
    <t>Набор предназначен для обучения сортировке и захвату предметов. Включает деревянные стаканчики, шары, ложку и пинцет.</t>
  </si>
  <si>
    <t>д808</t>
  </si>
  <si>
    <t>Спатифиллум</t>
  </si>
  <si>
    <t>Комнатное растение с крупными листьями, используется для озеленения помещений и изучения формы листа. Способствует улучшению микроклимата и формированию экологических представлений у детей.</t>
  </si>
  <si>
    <t>д809</t>
  </si>
  <si>
    <t>Стеки для лепки</t>
  </si>
  <si>
    <t>Детский набор стеков для лепки, 4 штуки. Предназначен для работы с пластилином, тестом и глиной. Развивает мелкую моторику, координацию движений и творческие способности. Материал — безопасный пластик.</t>
  </si>
  <si>
    <t>д81</t>
  </si>
  <si>
    <t>Головоломка с животными</t>
  </si>
  <si>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</si>
  <si>
    <t>д810</t>
  </si>
  <si>
    <t>Стеллаж «Чудо домик»</t>
  </si>
  <si>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</si>
  <si>
    <t>д811</t>
  </si>
  <si>
    <t>Стенды для объявлений</t>
  </si>
  <si>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</si>
  <si>
    <t>д812</t>
  </si>
  <si>
    <t>Стенды для обьявления</t>
  </si>
  <si>
    <t>д813</t>
  </si>
  <si>
    <t>Степ-платформа детская</t>
  </si>
  <si>
    <t>Детская степ-платформа размером 45×28 см. Используется для физических упражнений, развития координации, выносливости и двигательной активности.</t>
  </si>
  <si>
    <t>д814</t>
  </si>
  <si>
    <t>Стетоскоп</t>
  </si>
  <si>
    <t>Медицинский инструмент для прослушивания дыхания и сердечных тонов.</t>
  </si>
  <si>
    <t>д815</t>
  </si>
  <si>
    <t>Стол игровой развивающий для конструктора</t>
  </si>
  <si>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</si>
  <si>
    <t>д816</t>
  </si>
  <si>
    <t>Строительные блоки</t>
  </si>
  <si>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</si>
  <si>
    <t>д817</t>
  </si>
  <si>
    <t>Строительный набор из крупных кубиков, 49 элементов</t>
  </si>
  <si>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</si>
  <si>
    <t>д818</t>
  </si>
  <si>
    <t>Сумка для девочек</t>
  </si>
  <si>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</si>
  <si>
    <t>д819</t>
  </si>
  <si>
    <t>Сумка с ручками</t>
  </si>
  <si>
    <t>Детская сумка с ручками предназначена для использования в детском саду (переноска личных вещей, сменной одежды, пособий). Материал — ПВХ. Размер — 22×23 см.</t>
  </si>
  <si>
    <t>д82</t>
  </si>
  <si>
    <t>Гончарный круг детский</t>
  </si>
  <si>
    <t>Гончарный круг используется для выполнения лепных и формовочных работ с глиной. Представляет собой низкооборотное устройство, обеспечивающее плавное вращение. Применяется для создания простых изделий: сосудов, тарелок и форм. Работа с кругом способствует развитию координации движений и творческого мышления. Конструкция рассчитана на безопасное использование.</t>
  </si>
  <si>
    <t>д820</t>
  </si>
  <si>
    <t>Сумочки</t>
  </si>
  <si>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</si>
  <si>
    <t>д821</t>
  </si>
  <si>
    <t>Сундук (сандық)</t>
  </si>
  <si>
    <t>Декоративный сундук для хранения книг, настольных игр и текстильных элементов. Используется также как интерьерный элемент. Материал — дерево или ЛДСП.</t>
  </si>
  <si>
    <t>д822</t>
  </si>
  <si>
    <t>Сундучок логопеда</t>
  </si>
  <si>
    <t>Многофункциональный логопедический комплект, предназначенный для коррекционно-развивающей работы с детьми. Включает программное обеспечение на USB-носителе,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t>
  </si>
  <si>
    <t>д824</t>
  </si>
  <si>
    <t>Сухой бассейн с шариками</t>
  </si>
  <si>
    <t>Сухой бассейн предназначен для сенсорной стимуляции, развития моторики и эмоциональной разгрузки детей. Используется в групповых и индивидуальных занятиях.</t>
  </si>
  <si>
    <t>д825</t>
  </si>
  <si>
    <t>Сухой интерактивный бассейн угловой</t>
  </si>
  <si>
    <t>Угловой сухой бассейн с подсветкой. Материал — поролон с покрытием из винилискожи. Радиус — 1,7 м. Оснащён гибкой мультиколорной подсветкой с пультом дистанционного управления и различными режимами свечения.</t>
  </si>
  <si>
    <t>д826</t>
  </si>
  <si>
    <t>Сұр көжек. Ертегі.Боямақ</t>
  </si>
  <si>
    <t>д827</t>
  </si>
  <si>
    <t>Счётные палочки</t>
  </si>
  <si>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</si>
  <si>
    <t>д828</t>
  </si>
  <si>
    <t>Счётный материал</t>
  </si>
  <si>
    <t>Касса цифр и счётных материалов предназначена для обучения детей основам счёта. Материал — пластик, элементы безопасны для использования в ДОУ.</t>
  </si>
  <si>
    <t>д829</t>
  </si>
  <si>
    <t>Счётный материал «Матрёшки» (деревянный набор)</t>
  </si>
  <si>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</si>
  <si>
    <t>д83</t>
  </si>
  <si>
    <t>Горшечные растения с ароматными травами (базилик, тимьян, розмарин, мята, орегано, шалфей)</t>
  </si>
  <si>
    <t>Горшечные растения с ароматными травами используются для проведения экспериментов и изучения растений для детей ДОУ. Применяются для визуального и сенсорного восприятия запахов натуральных растений. Размещаются в помещениях в декоративных ёмкостях. Не требуют сложного ухода и подходят для эксплуатации в закрытых пространствах.</t>
  </si>
  <si>
    <t>д830</t>
  </si>
  <si>
    <t>Счёты учебные для формирования навыков счёта</t>
  </si>
  <si>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</si>
  <si>
    <t>д832</t>
  </si>
  <si>
    <t>Сюжетные картинки</t>
  </si>
  <si>
    <t>Набор сюжетных картинок используется для развития речи, мышления и воображения детей. Применяется в индивидуальной и групповой работе.</t>
  </si>
  <si>
    <t>д833</t>
  </si>
  <si>
    <t>Сюжетные картинки / комплекты</t>
  </si>
  <si>
    <t>Набор сюжетных картинок по теме «Окружающий мир». Материал — бумага, картон. Используется в образовательной деятельности ДОУ.</t>
  </si>
  <si>
    <t>д834</t>
  </si>
  <si>
    <t>Сюжетные картинки для детей раннего возраста</t>
  </si>
  <si>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</si>
  <si>
    <t>д835</t>
  </si>
  <si>
    <t>Таза мінсіз асыл сөз (XV-XVII ғасырлардағы жыраулардың)</t>
  </si>
  <si>
    <t>д836</t>
  </si>
  <si>
    <t>Тактильно-развивающая панель «Гусеница»</t>
  </si>
  <si>
    <t>Настенная тактильно-сенсорная панель из дерева, предназначена для детей от 3 лет. Состоит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t>
  </si>
  <si>
    <t>д837</t>
  </si>
  <si>
    <t>Тактильные "Мячики-пищалки"</t>
  </si>
  <si>
    <t>Игравой набор сенсорной- тактильных мячиков 6 штук. Материал резина</t>
  </si>
  <si>
    <t>д838</t>
  </si>
  <si>
    <t>Тактильные дорожки</t>
  </si>
  <si>
    <t>Сенсорные дорожки с различными поверхностями предназначены для развития тактильного восприятия, координации движений и баланса. Материал покрытия — текстиль.</t>
  </si>
  <si>
    <t>д839</t>
  </si>
  <si>
    <t>Тактильные карточки</t>
  </si>
  <si>
    <t>Тактильные карточки используются для развития сенсорного восприятия, речи и мелкой моторики у детей дошкольного возраста.</t>
  </si>
  <si>
    <t>д84</t>
  </si>
  <si>
    <t>Грузовые машинки с веревкой</t>
  </si>
  <si>
    <t>Грузовые машинки с веревкой, длина не менее 18 см, высота не менее 11 см, в комплекте разноцветные игрушки (красный, голубой, желтый). Предназначены для сюжетно-ролевых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t>
  </si>
  <si>
    <t>д840</t>
  </si>
  <si>
    <t>Тактильные мешочки разноцветные</t>
  </si>
  <si>
    <t>Набор тактильных мешочков предназначен для развития мелкой моторики, тактильного восприятия и координации движений. Размер мешочков — 9×9 см, количество — 3 шт., общий вес — 60 г. Дополнительно в комплекте кинезио-мячи диаметром 6 см — 2 шт. Материалы безопасные и прочные.</t>
  </si>
  <si>
    <t>д841</t>
  </si>
  <si>
    <t>Тарихи тулғалар</t>
  </si>
  <si>
    <t>Б.Тогысбаев, А.Сужикова</t>
  </si>
  <si>
    <t>д842</t>
  </si>
  <si>
    <t>Таяқшалар</t>
  </si>
  <si>
    <t xml:space="preserve">Интеллектум. </t>
  </si>
  <si>
    <t>д843</t>
  </si>
  <si>
    <t xml:space="preserve">Таяқшалар </t>
  </si>
  <si>
    <t>д844</t>
  </si>
  <si>
    <t>Театр теней «Колобок»</t>
  </si>
  <si>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</si>
  <si>
    <t>д845</t>
  </si>
  <si>
    <t xml:space="preserve">тез тап </t>
  </si>
  <si>
    <t>д846</t>
  </si>
  <si>
    <t>Тележка для белья</t>
  </si>
  <si>
    <t>Тележка предназначена для сбора, хранения и транспортировки чистого и использованного белья в помещениях дошкольной организации. Конструкция устойчивая, мобильная, оснащена колёсами для удобного перемещения. Материалы прочные, моющиеся, безопасные для эксплуатации в детских учреждениях.</t>
  </si>
  <si>
    <t>д847</t>
  </si>
  <si>
    <t>Тележка для белья tekne 2700k</t>
  </si>
  <si>
    <t>Внешние размеры: 640x1040x790h мм; Внутренние размеры: 590x930x515h мм; Грузоподъемность: 250 кг</t>
  </si>
  <si>
    <t>д848</t>
  </si>
  <si>
    <t>Тележка для гастроемкостей 1-1 ce-agn1-1x16</t>
  </si>
  <si>
    <t>Нержавеющая сталь AISI 430; Вместимость тележки: 16; Размеры подноса: GN 1/1; Параметры: 383x530x1650 mm</t>
  </si>
  <si>
    <t>д849</t>
  </si>
  <si>
    <t>Тележка для мелкого инвентаря</t>
  </si>
  <si>
    <t>Тележка предназначена для хранения и перемещения мелкого хозяйственного, игрового или спортивного инвентаря в помещениях ДОУ. Обеспечивает удобную организацию пространства и мобильность. Конструкция устойчивая, материалы износостойкие и безопасные.</t>
  </si>
  <si>
    <t>д85</t>
  </si>
  <si>
    <t>Гуашь художественная (набор)</t>
  </si>
  <si>
    <t>Гуашь используется для выполнения живописных и декоративных работ. Применяется при рисовании кистью и создании цветовых композиций. Позволяет получать плотное матовое покрытие и смешивать цвета. Подходит для занятий по изобразительной деятельности и творческих работ.</t>
  </si>
  <si>
    <t>д850</t>
  </si>
  <si>
    <t>Тележка сервисная 2-ур. ce-asi55x86x2</t>
  </si>
  <si>
    <t>Нержавеющая сталь AISI 430; С 2 полками  и 4 колесами; Параметры: 550x860x900 mm</t>
  </si>
  <si>
    <t>д851</t>
  </si>
  <si>
    <t>Телескопический жираф</t>
  </si>
  <si>
    <t>Развивающая игра для детей дошкольного возраста. Набор включает цветные фигурки жирафов с телескопическим механизмом. Используется для развития мелкой моторики, координации движений, цветового восприятия и логического мышления. Материал — безопасный пластик.</t>
  </si>
  <si>
    <t>д852</t>
  </si>
  <si>
    <t>Телескопический стаканчик с крышкой</t>
  </si>
  <si>
    <t>Телескопический складной стаканчик предназначен для использования в быту и образовательной деятельности. Компактный, удобен для хранения и переноски. Материал — пластик. Объём — 100 мл. Может использоваться для воды, занятий творчеством и хозяйственных нужд.</t>
  </si>
  <si>
    <t>д853</t>
  </si>
  <si>
    <t>Термоконтейнер</t>
  </si>
  <si>
    <t>Контейнер для временного хранения и транспортировки медикаментов с поддержанием температурного режима.</t>
  </si>
  <si>
    <t>д854</t>
  </si>
  <si>
    <t>Прибор для измерения температуры тела. Используется в медицинском кабинете ДОУ.</t>
  </si>
  <si>
    <t>д855</t>
  </si>
  <si>
    <t>Техническая раковина ce-me50x58</t>
  </si>
  <si>
    <t>Нержавеющая сталь AISI 430; Мойка 40x40x25 см; Параметры: 500x580x800 мм</t>
  </si>
  <si>
    <t>д856</t>
  </si>
  <si>
    <t>Тихая книга</t>
  </si>
  <si>
    <t>Развивающая фетровая книга предназначена для сенсорного, познавательного и речевого развития детей дошкольного возраста. Используется в индивидуальных и подгрупповых занятиях. Способствует развитию мелкой моторики, внимания, самостоятельности. Материалы мягкие, безопасные, износостойкие.</t>
  </si>
  <si>
    <t>д857</t>
  </si>
  <si>
    <t>Ткани</t>
  </si>
  <si>
    <t>Ткань предназначена для творческой деятельности: аппликаций, пошива игрушек, квилтинга, пэчворка, скрапбукинга. Размер полотна — 50×50 см, ширина — 50 см. Используется в образовательной и художественно-творческой работе.</t>
  </si>
  <si>
    <t>д858</t>
  </si>
  <si>
    <t>Ткани фетр</t>
  </si>
  <si>
    <t>Цветной фетр предназначен для изготовления аппликаций, поделок и развивающих пособий. Легко режется, клеится, безопасен для детского творчества. Используется в образовательной деятельности ДОУ.</t>
  </si>
  <si>
    <t>д859</t>
  </si>
  <si>
    <t>Тоннели тканевые</t>
  </si>
  <si>
    <t>Мягкие тканевые тоннели предназначены для подвижных игр, физкультурных занятий и ЛФК. Используются для развития координации, ловкости, равновесия и общей моторики. Изготовлены из прочной влагостойкой ткани с мягким наполнителем, безопасны для детей.</t>
  </si>
  <si>
    <t>д86</t>
  </si>
  <si>
    <t>Губки для сглаживания (набор)</t>
  </si>
  <si>
    <t>Набор губок используется при работе с глиной и пластичными материалами. Применяется для увлажнения поверхности, сглаживания формы и удаления мелких неровностей на разных этапах лепки. Использование отдельных губок для каждого этапа позволяет сохранять чистоту изделий. В комплект входит не менее 12 губок.</t>
  </si>
  <si>
    <t>д860</t>
  </si>
  <si>
    <t>Тонометр</t>
  </si>
  <si>
    <t>Прибор для измерения артериального давления, используется при медицинских осмотрах детей и персонала.</t>
  </si>
  <si>
    <t>д861</t>
  </si>
  <si>
    <t>Төрт түлік сөздігі</t>
  </si>
  <si>
    <t>д862</t>
  </si>
  <si>
    <t>Традесканция</t>
  </si>
  <si>
    <t>Комнатное растение с декоративными листьями, используется для озеленения помещений дошкольного учреждения. Способствует формированию эстетического восприятия и ознакомлению с живой природой.</t>
  </si>
  <si>
    <t>д863</t>
  </si>
  <si>
    <t>Трактор</t>
  </si>
  <si>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</si>
  <si>
    <t>д864</t>
  </si>
  <si>
    <t>Три задачи. Сказка</t>
  </si>
  <si>
    <t>д865</t>
  </si>
  <si>
    <t>Туалетный набор</t>
  </si>
  <si>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</si>
  <si>
    <t>д866</t>
  </si>
  <si>
    <t>Тумба для ИЗО-деятельности</t>
  </si>
  <si>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</si>
  <si>
    <t>д867</t>
  </si>
  <si>
    <t>Тумба для кухонного гарнитура с полкой</t>
  </si>
  <si>
    <t>д868</t>
  </si>
  <si>
    <t>Түрлі түсті бөлшектер</t>
  </si>
  <si>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</si>
  <si>
    <t>д869</t>
  </si>
  <si>
    <t>Тұнғыштар</t>
  </si>
  <si>
    <t>Ш.Күмісбаев</t>
  </si>
  <si>
    <t>д87</t>
  </si>
  <si>
    <t>Дәрумен кейіпкерлермен бірге оқып - ұйренеміз. Картоп мырза.</t>
  </si>
  <si>
    <t>д870</t>
  </si>
  <si>
    <t>Уголок уединения</t>
  </si>
  <si>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</si>
  <si>
    <t>д871</t>
  </si>
  <si>
    <t>Уголок уюта</t>
  </si>
  <si>
    <t>Комплекс для релаксации и психологического комфорта детей. Включает бескаркасное кресло, подвесной шатёр, плед и мягкие подушки. Используется для отдыха, релаксации и коррекционной работы. Материалы мягкие, безопасные, износостойкие.</t>
  </si>
  <si>
    <t>д872</t>
  </si>
  <si>
    <t>Уголок-кухня</t>
  </si>
  <si>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</si>
  <si>
    <t>д873</t>
  </si>
  <si>
    <t>Умные игры с картами. Рассказы по картинкам</t>
  </si>
  <si>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</si>
  <si>
    <t>д874</t>
  </si>
  <si>
    <t>Утяжелители для рук и ног</t>
  </si>
  <si>
    <t>Утяжелители для рук и ног, вес одного не менее 0,5 кг, комплект из 2 штук, форма браслетов на липучках, материал нейлон и полиэстер. Предназначены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t>
  </si>
  <si>
    <t>д875</t>
  </si>
  <si>
    <t>Учебный микроскоп для демонстрационных и исследовательских опытов</t>
  </si>
  <si>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</si>
  <si>
    <t>д876</t>
  </si>
  <si>
    <t>Учимся вместе с героями - витаминами. Малышка Клубника.</t>
  </si>
  <si>
    <t>д877</t>
  </si>
  <si>
    <t>Учимся вместе с героями - витаминами. Мисс Морковка.</t>
  </si>
  <si>
    <t>д878</t>
  </si>
  <si>
    <t>Учимся вместе с героями - витаминами. Мистер Картофель.</t>
  </si>
  <si>
    <t>д879</t>
  </si>
  <si>
    <t>Учимся вместе с героями - витаминами. Мистер Яблоко.</t>
  </si>
  <si>
    <t>д88</t>
  </si>
  <si>
    <t>Двусторонняя доска для творчества с зоной выставки</t>
  </si>
  <si>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</si>
  <si>
    <t>д880</t>
  </si>
  <si>
    <t>Үй жануарларын білесің бе? Ақылды боямақ</t>
  </si>
  <si>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</si>
  <si>
    <t>д881</t>
  </si>
  <si>
    <t>Ұлы Ескендір. Александр Великий. Alexander the Great (каз., рус., англ.яз.)</t>
  </si>
  <si>
    <t>Д.Бингхэм (перевод Сужикова А., Пернебекова Н.)</t>
  </si>
  <si>
    <t>д882</t>
  </si>
  <si>
    <t>Ұлы Жібек жолы. Великий Шелковый путь. The Great Silk Road (каз., рус., англ.яз.)</t>
  </si>
  <si>
    <t>Мамраимов А.</t>
  </si>
  <si>
    <t>д883</t>
  </si>
  <si>
    <t>Фартук</t>
  </si>
  <si>
    <t>Защитный фартук предназначен для занятий творчеством, изобразительной деятельностью, трудовыми и игровыми видами деятельности. Водонепроницаемый материал защищает одежду ребёнка от загрязнений.</t>
  </si>
  <si>
    <t>д884</t>
  </si>
  <si>
    <t>Фартук детский из водостойкого материала (с нарукавниками)</t>
  </si>
  <si>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</si>
  <si>
    <t>д885</t>
  </si>
  <si>
    <t>Фартуки для дежурных</t>
  </si>
  <si>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</si>
  <si>
    <t>д886</t>
  </si>
  <si>
    <t>Фиброоптический тоннель</t>
  </si>
  <si>
    <t>Мягкий сенсорный тоннель предназначен для занятий в сенсорной комнате. Оснащён фиброоптическими волокнами и LED-подсветкой, создающими эффект «звёздного неба». Используется для сенсорной стимуляции, релаксации и эмоциональной разгрузки детей. Размер 1200×900×800 мм. Материалы: винилискожа, пенополиуретан, карпет.</t>
  </si>
  <si>
    <t>д887</t>
  </si>
  <si>
    <t>Фигуры семейных персонажей</t>
  </si>
  <si>
    <t>Набор фигур предназначен для работы с эмоциональной сферой, социальными и семейными ролями детей. Используется в проективных, сюжетно-ролевых и коррекционных играх. Комплект включает фигурки членов семьи. Материалы безопасные, края закруглённые.</t>
  </si>
  <si>
    <t>д888</t>
  </si>
  <si>
    <t>Фигуры-персонажи для самостоятельного рисования</t>
  </si>
  <si>
    <t>Набор фигур предназначен для творческой деятельности детей. Используется для рисования, оформления персонажей и развития воображения, мелкой моторики и эмоционального самовыражения. Применяется в индивидуальной и групповой работе.</t>
  </si>
  <si>
    <t>д889</t>
  </si>
  <si>
    <t>Физика. Оңай әрі жеңіл</t>
  </si>
  <si>
    <t>под ред. Б. Морган (перевод Мусатай С.)</t>
  </si>
  <si>
    <t>д89</t>
  </si>
  <si>
    <t>Декоративное растение «Драцена»</t>
  </si>
  <si>
    <t>Растение используется для оформления интерьера и создания озеленённой среды. Размещается в помещении в напольном или настольном горшке. Не требует сложного ухода и используется как элемент декоративного оформления.</t>
  </si>
  <si>
    <t>д890</t>
  </si>
  <si>
    <t>Физика. Просто и легко</t>
  </si>
  <si>
    <t>под ред. Б. Морган (перевод Кедрук Е.Ю.)</t>
  </si>
  <si>
    <t>д891</t>
  </si>
  <si>
    <t>Физическая культура</t>
  </si>
  <si>
    <t>Методическое руководство для организации занятий по физической культуре с детьми дошкольного возраста. Используется педагогами для планирования и проведения образовательной деятельности.</t>
  </si>
  <si>
    <t>д892</t>
  </si>
  <si>
    <t>Фикус</t>
  </si>
  <si>
    <t>Комнатное декоративно-лиственное растение с крупными листьями. Используется для озеленения помещений и ознакомления детей с формой листьев. Неприхотлив в уходе, подходит для детских учреждений.</t>
  </si>
  <si>
    <t>д893</t>
  </si>
  <si>
    <t>Фитбол</t>
  </si>
  <si>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</si>
  <si>
    <t>д895</t>
  </si>
  <si>
    <t>Флажки, ленты для ритмики</t>
  </si>
  <si>
    <t>Набор цветных флажков и лент предназначен для занятий ритмикой, танцами и музыкально-двигательной деятельностью. Используется для развития чувства ритма, координации и выразительности движений.</t>
  </si>
  <si>
    <t>д896</t>
  </si>
  <si>
    <t>Разноцветный флажок предназначен для подвижных и музыкально-ритмических игр, праздников и занятий физической культурой. Материалы — ткань и дерево. Лёгкий и безопасный в использовании.</t>
  </si>
  <si>
    <t>д897</t>
  </si>
  <si>
    <t>Фланеграф</t>
  </si>
  <si>
    <t>Настенный фланелеграф с набором фетровых фигурок предназначен для наглядно-дидактической работы с детьми. Используется для развития речи, мышления и представлений об окружающем мире.</t>
  </si>
  <si>
    <t>д898</t>
  </si>
  <si>
    <t>Фланеграф «Домашние животные»</t>
  </si>
  <si>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</si>
  <si>
    <t>д899</t>
  </si>
  <si>
    <t>Фланелеграф</t>
  </si>
  <si>
    <t>Дидактическое пособие для крепления фигурок и карточек из фетра. Используется в образовательной деятельности для визуализации учебного материала.</t>
  </si>
  <si>
    <t>д9</t>
  </si>
  <si>
    <t>«Жол бағдар» (Интеллектум)</t>
  </si>
  <si>
    <t xml:space="preserve">Игра предназначена для развития
логического мышления
посредством объединения дорог
по знакам. </t>
  </si>
  <si>
    <t>д90</t>
  </si>
  <si>
    <t>Декоративное растение алоказия</t>
  </si>
  <si>
    <t>Декоративное растение используется для оформления интерьера и создания эстетичной среды. Применяется как элемент озеленения помещений. Размещается в горшке и не требует активного ухода. Предназначено для использования в помещениях.</t>
  </si>
  <si>
    <t>д900</t>
  </si>
  <si>
    <t>Фланелеграф из фетра с комплектом съёмных персонажей по мотивам сказок</t>
  </si>
  <si>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</si>
  <si>
    <t>д901</t>
  </si>
  <si>
    <t>Фланелеграф тканевый</t>
  </si>
  <si>
    <t>Большой тканевый фланелеграф с карманами для хранения элементов. Используется для творческих, обучающих и игровых занятий с детьми.</t>
  </si>
  <si>
    <t>д903</t>
  </si>
  <si>
    <t>Фломастеры</t>
  </si>
  <si>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</si>
  <si>
    <t>д904</t>
  </si>
  <si>
    <t>Фонарь</t>
  </si>
  <si>
    <t>Фонарь ручной, предназначен для временного локального освещения при выполнении хозяйственных, технических и аварийных работ. Удобен в эксплуатации, компактный, безопасный в использовании.</t>
  </si>
  <si>
    <t>д905</t>
  </si>
  <si>
    <t>Формочки</t>
  </si>
  <si>
    <t>Набор формочек предназначен для лепки и моделирования. Используется для работы с пластилином, тестом и другими материалами. Развивает мелкую моторику и воображение.</t>
  </si>
  <si>
    <t>д906</t>
  </si>
  <si>
    <t>Ханшайымның 10 оқиғасы</t>
  </si>
  <si>
    <t>д907</t>
  </si>
  <si>
    <t>Химия. Оңай әрі жеңіл</t>
  </si>
  <si>
    <t>под ред. М. Рамасвами (перевод Қарт Ұ.М.)</t>
  </si>
  <si>
    <t>д908</t>
  </si>
  <si>
    <t>Химия. Просто и легко</t>
  </si>
  <si>
    <t>д909</t>
  </si>
  <si>
    <t>Хлорофитум</t>
  </si>
  <si>
    <t>Комнатное растение, очищающее воздух. Используется для озеленения помещений дошкольного учреждения и формирования у детей экологических представлений.</t>
  </si>
  <si>
    <t>д91</t>
  </si>
  <si>
    <t>Декоративные ароматные травы в горшках</t>
  </si>
  <si>
    <t>Горшечные растения с ароматными травами используются для декоративного оформления помещений и создания благоприятной визуальной среды. Применяются как элемент озеленения интерьера. Размещаются в контейнерах и не требуют сложного ухода. Предназначены для использования в помещениях.</t>
  </si>
  <si>
    <t>д911</t>
  </si>
  <si>
    <t>Христофор Колумб. Christopher Columbus (каз., рус., англ.яз.)</t>
  </si>
  <si>
    <t>М.Лейси (перевод Сужикова А., Пернебекова Н.)</t>
  </si>
  <si>
    <t>д912</t>
  </si>
  <si>
    <t>Художественная литература</t>
  </si>
  <si>
    <t>Демонстрационный материал для развития речи, воображения и художественного восприятия детей дошкольного возраста. Используется педагогами в образовательной деятельности.</t>
  </si>
  <si>
    <t>д913</t>
  </si>
  <si>
    <t>Цветы (комнатные растения)</t>
  </si>
  <si>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</si>
  <si>
    <t>д914</t>
  </si>
  <si>
    <t>Чайник</t>
  </si>
  <si>
    <t>д915</t>
  </si>
  <si>
    <t>Часы настенные</t>
  </si>
  <si>
    <t>Часы настенные, предназначены для контроля времени в рабочем кабинете. Обеспечивают четкую и видимую индикацию времени, устойчивы к воздействию окружающей среды, для офисного использования.</t>
  </si>
  <si>
    <t>д916</t>
  </si>
  <si>
    <t>Чокан. Путеводная звезда востока</t>
  </si>
  <si>
    <t>д917</t>
  </si>
  <si>
    <t>Чудесное путешествие. Хрестоматия для 2-4 классов</t>
  </si>
  <si>
    <t>без автора</t>
  </si>
  <si>
    <t>д918</t>
  </si>
  <si>
    <t>Шапочка (Медвежонок, Волчонок, Тигр, Серый заяц, Бельчонок/Белочка)</t>
  </si>
  <si>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</si>
  <si>
    <t>д919</t>
  </si>
  <si>
    <t>Шарики</t>
  </si>
  <si>
    <t>Пластиковые шарики предназначены для использования в сухом бассейне, сенсорных и подвижных играх. Количество в наборе — 100 шт. Цвета разноцветные. Материал — лёгкий пластик.</t>
  </si>
  <si>
    <t>д92</t>
  </si>
  <si>
    <t>Декоративные фрукты и овощи</t>
  </si>
  <si>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</si>
  <si>
    <t>д920</t>
  </si>
  <si>
    <t>Шарики для бассейна прозрачные</t>
  </si>
  <si>
    <t>Прозрачные шарики предназначены для наполнения сухого бассейна. Диаметр одного шарика — около 7 см. Количество — 1500 шт. Используются для сенсорной и игровой активности детей.</t>
  </si>
  <si>
    <t>д921</t>
  </si>
  <si>
    <t>Шестигранная детская мозаика</t>
  </si>
  <si>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</si>
  <si>
    <t>д922</t>
  </si>
  <si>
    <t>Шеффлера</t>
  </si>
  <si>
    <t>Комнатное декоративно-лиственное растение с крупными выразительными листьями. Используется для озеленения помещений и ознакомления детей с формами листьев. Подходит для детских учреждений.</t>
  </si>
  <si>
    <t>д923</t>
  </si>
  <si>
    <t>Ширма деревянная для кукольного театра</t>
  </si>
  <si>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</si>
  <si>
    <t>д924</t>
  </si>
  <si>
    <t>Ширма для театра</t>
  </si>
  <si>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</si>
  <si>
    <t>д925</t>
  </si>
  <si>
    <t>Шляпки</t>
  </si>
  <si>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</si>
  <si>
    <t>д926</t>
  </si>
  <si>
    <t>Шнуровка «Развивающие пуговки»</t>
  </si>
  <si>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</si>
  <si>
    <t>д927</t>
  </si>
  <si>
    <t>Шнуровка для малышей</t>
  </si>
  <si>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</si>
  <si>
    <t>д928</t>
  </si>
  <si>
    <t>Шоқан Уәлиханов - географ және саяхатшы</t>
  </si>
  <si>
    <t>Бірмагамбетов Ә.</t>
  </si>
  <si>
    <t>д929</t>
  </si>
  <si>
    <t>Шоқан. Шығыстың жарық жұлдызы</t>
  </si>
  <si>
    <t>д93</t>
  </si>
  <si>
    <t>Декоративный элемент «Шишка сосновая» (искусственная)</t>
  </si>
  <si>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</si>
  <si>
    <t>д931</t>
  </si>
  <si>
    <t>Шуакты кундер (Б.Момышұлы туралы)</t>
  </si>
  <si>
    <t>д932</t>
  </si>
  <si>
    <t>Ыбырай. Даланың таза бұлагы</t>
  </si>
  <si>
    <t>Оспанов М., Өтелбаева С. (И.Алтынсарин туралы)</t>
  </si>
  <si>
    <t>д933</t>
  </si>
  <si>
    <t>Ыбырай. Чистый родник степи</t>
  </si>
  <si>
    <t>Оспанов М., Утельбаева С.</t>
  </si>
  <si>
    <t>д934</t>
  </si>
  <si>
    <t>Электронная игра на память с музыкой и светом</t>
  </si>
  <si>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</si>
  <si>
    <t>д935</t>
  </si>
  <si>
    <t>Эмоциональное яйцо</t>
  </si>
  <si>
    <t>Эмоциональное яйцо предназначено для интерактивных занятий с детьми дошкольного возраста. Используется для выражения, распознавания и обсуждения эмоций в игровой форме. Способствует развитию эмоционального интеллекта, саморегуляции и коммуникативных навыков.</t>
  </si>
  <si>
    <t>д936</t>
  </si>
  <si>
    <t>Эмоциональные стикеры</t>
  </si>
  <si>
    <t>Набор стикеров предназначен для работы с эмоциональной сферой детей. Используется для обозначения настроения, анализа чувств, выполнения игровых, коррекционных и диагностических заданий. Подходит для индивидуальной и групповой работы.</t>
  </si>
  <si>
    <t>д937</t>
  </si>
  <si>
    <t>Энциклопедия «Жануарлар»</t>
  </si>
  <si>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</si>
  <si>
    <t>д938</t>
  </si>
  <si>
    <t>Эстафетные палочки</t>
  </si>
  <si>
    <t>Эстафетные палочки предназначены для проведения подвижных и спортивных игр. Длина — около 300 мм, диаметр — около 30 мм. Выполнены в виде ярко окрашенных полых цилиндров с гладкой поверхностью. Материал — алюминий. Используются для эстафет и командных игр в спортивном зале и на улице.</t>
  </si>
  <si>
    <t>д939</t>
  </si>
  <si>
    <t>Astana - the heart of our Motherland</t>
  </si>
  <si>
    <t>д94</t>
  </si>
  <si>
    <t>Демонстрационное пособие</t>
  </si>
  <si>
    <t>Демонстрационное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Набор представляет собой собрание примеров сырьевых и готовых материалов, оформленное на планшетах. Использовать комплект можно как наглядный и раздаточный материал. Коллекция обеспечит соблюдение принципа наглядности на уроках, посвященных значению и применению тканей. В материале представлены текстильные материалы: животного происхождения (шёлк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т.д.) Пособие представляет собой складную папку с планшетками, на которых прикреплены образцы. Экспонаты пронумерованы и выложены согласно прилагаемому списку. Назначение набора – познакомить учащихся с различными видами текстиля. В состав входят: 1 складная папка 2 паспарту (планшета) паспорт В целях безопасной транспортировки и хранения изделие поставляется в упаковке размером 40х30х1,5 см в термоусадочной пленке. Вес пособия не превышает 0,5 кг.</t>
  </si>
  <si>
    <t>д940</t>
  </si>
  <si>
    <t>DIMASH ҚҰДАЙБЕРГЕН.ШЕКСІЗ МУЗЫКА.ФОТОАЛЬБОМ (КАЗ.РУСС.АНГЛ)</t>
  </si>
  <si>
    <t>Жанузакова М.Т</t>
  </si>
  <si>
    <t>д941</t>
  </si>
  <si>
    <t>DIMASH ҚҰДАЙБЕРГЕН.VIP.ШЕКСІЗ МУЗЫКА.ФОТОАЛЬБОМ (КАЗ.РУСС.АНГЛ)</t>
  </si>
  <si>
    <t>д942</t>
  </si>
  <si>
    <t>Kazakhstan, My Native Land (юрта)</t>
  </si>
  <si>
    <t>д943</t>
  </si>
  <si>
    <t>LEGO® Education SPIKE™ Essential</t>
  </si>
  <si>
    <t>Образовательный набор для конструирования и первичного программирования, предназначенный для детей дошкольного и младшего школьного возраста. Используется для развития логического мышления, навыков решения задач, командной работы и базовых инженерных представлений. Подходит для индивидуальной и групповой работы.</t>
  </si>
  <si>
    <t>д944</t>
  </si>
  <si>
    <t>Matata Pro Set Coding</t>
  </si>
  <si>
    <t>Matatalab Pro Set представляет собой универсальный набор для
изучения основ программирования.
Включает в себя робота, блоки программирования и различные
аксессуары для создания множества увлекательных проектов.
Программа для робота создается используя физические
программные блоки. Учащиеся не используют никакие дисплеи,
тем самым защищают свои глаза от синего излучения мониторов.
Набор обучает основам алгоритмического мышления, полученные
знания облегчают дальнейшее обучение программированию.</t>
  </si>
  <si>
    <t>д945</t>
  </si>
  <si>
    <t>Shokan.The Lodestar of the East</t>
  </si>
  <si>
    <t>Сужикова А. (перевод Асанова М.)</t>
  </si>
  <si>
    <t>д946</t>
  </si>
  <si>
    <t>STEAM-набор для конструирования</t>
  </si>
  <si>
    <t>Развивающий набор предназначен для освоения основ инженерного мышления, конструирования и командной работы. Используется в образовательной деятельности детей дошкольного возраста.</t>
  </si>
  <si>
    <t>д949</t>
  </si>
  <si>
    <t>Tale Bot</t>
  </si>
  <si>
    <t>Tale-Bot Pro - это новейшая разработка от MATATALAB.
Это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Яркие и удобные в использовании модули помогают
разнообразить вид заданий что очень важно
для сохранения концентрации у детей.
Милый и интуитивно понятный дизайн способен
покорить внимание каждого ребенка.</t>
  </si>
  <si>
    <t>д95</t>
  </si>
  <si>
    <t>Демонстрационные картинки «Головные уборы»</t>
  </si>
  <si>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</si>
  <si>
    <t>д950</t>
  </si>
  <si>
    <t>Tale map</t>
  </si>
  <si>
    <t>Игровое программируемое поле, предназначенное для работы с интерактивным роботом Tale-Bot Pro. Используется для построения маршрутов, выполнения алгоритмических заданий и моделирования различных игровых ситуаций. Позволяет детям осваивать основы программирования, развивать логическое и пространственное мышление, навыки планирования и решения задач. Поле имеет разметку для перемещения робота и подходит для индивидуальной и групповой работы в образовательной среде.</t>
  </si>
  <si>
    <t>д951</t>
  </si>
  <si>
    <t>The Great Abai</t>
  </si>
  <si>
    <t>А. Сужикова, М. Кайрамбаева</t>
  </si>
  <si>
    <t>д952</t>
  </si>
  <si>
    <t>Welcome, Nauryz!</t>
  </si>
  <si>
    <t>д953</t>
  </si>
  <si>
    <t>XXL НАБОР ДЛЯ ДЕТСКОГО САДА: "ЮНЫЙ ИЗОБРЕТАТЕЛЬ"</t>
  </si>
  <si>
    <t>Комплексный образовательный набор, предназначенный для использования в условиях дошкольного учреждения. Используется для организации познавательной, исследовательской и конструкторской деятельности детей. Способствует развитию инженерного мышления, логики, воображения, навыков экспериментирования, командной работы и решения задач. Включает элементы для конструирования, моделирования, простых опытов и STEAM-занятий. Материалы набора безопасны для детей, адаптированы для индивидуальной и групповой работы, соответствуют требованиям эксплуатации в ДОУ.</t>
  </si>
  <si>
    <t>д954</t>
  </si>
  <si>
    <t>Шкаф медицинский</t>
  </si>
  <si>
    <t>Шкаф медицинский двухстворчатый из полипропилена, размер 800х400х1800 мм
МЕДИЦИНСКИЙ ШКАФ HILFE МД 2 1780/SG</t>
  </si>
  <si>
    <t>д956</t>
  </si>
  <si>
    <t>Бесконтактный инфракрасный термометр</t>
  </si>
  <si>
    <t>Бесконтактный термометр идеален для измерения температуры тела у взрослых, детей и новорожденных</t>
  </si>
  <si>
    <t>д958</t>
  </si>
  <si>
    <t xml:space="preserve">Ростомер механический </t>
  </si>
  <si>
    <t>Ростомер механический 400х398х2360</t>
  </si>
  <si>
    <t>д959</t>
  </si>
  <si>
    <t>Таблица для проверки зрения</t>
  </si>
  <si>
    <t>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(V=0.1, 1.0 и т.д.)</t>
  </si>
  <si>
    <t>д96</t>
  </si>
  <si>
    <t>Демонстрационные картинки «Грибы съедобные и несъедобные»</t>
  </si>
  <si>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</si>
  <si>
    <t>д960</t>
  </si>
  <si>
    <t>Измерительная лента</t>
  </si>
  <si>
    <t>д961</t>
  </si>
  <si>
    <t>Медицинские халаты</t>
  </si>
  <si>
    <t>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</si>
  <si>
    <t>д965</t>
  </si>
  <si>
    <t>Кровать для кукол</t>
  </si>
  <si>
    <t>Миниатюрная кровать для кукол с покрывалом. Используется в сюжетно-ролевых и бытовых играх.</t>
  </si>
  <si>
    <t>д967</t>
  </si>
  <si>
    <t>Мозаика настольная развивающая</t>
  </si>
  <si>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</si>
  <si>
    <t>д969</t>
  </si>
  <si>
    <t>Холодильник фармацевтический</t>
  </si>
  <si>
    <t>Холодильник предназначен для хранения медикаментов с соблюдением температурного режима, установленного санитарными требованиями.</t>
  </si>
  <si>
    <t>д97</t>
  </si>
  <si>
    <t>Демонстрационные картинки «Деревья и кустарники»</t>
  </si>
  <si>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</si>
  <si>
    <t>д98</t>
  </si>
  <si>
    <t>Демонстрационные картинки «Дикие животные – 1»</t>
  </si>
  <si>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</si>
  <si>
    <t>д980</t>
  </si>
  <si>
    <t>УФ-устройство</t>
  </si>
  <si>
    <t>Аппарат для УВЧ-терапии N=0,12квт В=220В - УВЧ-60</t>
  </si>
  <si>
    <t>д982</t>
  </si>
  <si>
    <t>Ознакомление с окружающим миром (электронная версия)</t>
  </si>
  <si>
    <t>2+ Ознакомление с окружающим миром. Методическое пособие (электронная версия)</t>
  </si>
  <si>
    <t>д983</t>
  </si>
  <si>
    <t>Ознакомление с окружающим миром (раздаточный материал)</t>
  </si>
  <si>
    <t>2+ Ознакомление с окружающим миром. Раздаточный материал</t>
  </si>
  <si>
    <t>д984</t>
  </si>
  <si>
    <t>д985</t>
  </si>
  <si>
    <t xml:space="preserve">Верстак </t>
  </si>
  <si>
    <t>Верстак для столярных работ и работы с деревом</t>
  </si>
  <si>
    <t>д986</t>
  </si>
  <si>
    <t>Стол-верстак</t>
  </si>
  <si>
    <t>Стол-верстак для проектной деятельности</t>
  </si>
  <si>
    <t>д987</t>
  </si>
  <si>
    <t>Мобильный стол</t>
  </si>
  <si>
    <t>Мобильный стол для экспериментов с песком и водой</t>
  </si>
  <si>
    <t>д988</t>
  </si>
  <si>
    <t xml:space="preserve">Стол с линзами </t>
  </si>
  <si>
    <t>Стол с линзами для макро-наблюдений объектов</t>
  </si>
  <si>
    <t>д989</t>
  </si>
  <si>
    <t>Стол для демонстрации находок и коллекций</t>
  </si>
  <si>
    <t>д99</t>
  </si>
  <si>
    <t>Демонстрационные картинки «Дикие животные – 2»</t>
  </si>
  <si>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</si>
  <si>
    <t>д991</t>
  </si>
  <si>
    <t>Стеллаж для хранения STEM-наборов и лотков</t>
  </si>
  <si>
    <t>д992</t>
  </si>
  <si>
    <t>Набор глубоких лотков для мелких деталей</t>
  </si>
  <si>
    <t>д993</t>
  </si>
  <si>
    <t>Стулья для всей группы (высота сиденья 25 см)</t>
  </si>
  <si>
    <t>д994</t>
  </si>
  <si>
    <t>Ковер «Космос» для занятий на полу</t>
  </si>
  <si>
    <t>д995</t>
  </si>
  <si>
    <t>Стойка для сушки работ после экспериментов</t>
  </si>
  <si>
    <t>д996</t>
  </si>
  <si>
    <t>Набор для дошкольного изучения Computer science and AI</t>
  </si>
  <si>
    <t>д997</t>
  </si>
  <si>
    <t>BricQ Motion Essential</t>
  </si>
  <si>
    <t>д998</t>
  </si>
  <si>
    <t>LEGO® Education STEAM Park</t>
  </si>
  <si>
    <t>д999</t>
  </si>
  <si>
    <t>Инструменты для конструирования из картона для начальной школы</t>
  </si>
  <si>
    <t>м1</t>
  </si>
  <si>
    <t>Вешалка напольная для верхней одежды</t>
  </si>
  <si>
    <t>Напольная вешалка. Размеры высота 1700мм, кол-во крючков 8шт.</t>
  </si>
  <si>
    <t>м10</t>
  </si>
  <si>
    <t>Зеркало настенное среднего размера</t>
  </si>
  <si>
    <t>Настенное зеркало используется для визуального контроля внешнего вида и ориентации в пространстве. Размещается на стене в помещениях общего пользования. Размер зеркала относится к средней категории и подходит для настенного монтажа.</t>
  </si>
  <si>
    <t>м100</t>
  </si>
  <si>
    <t>Производственный стол предназначен для хозяйственных работ. Размеры  1800х600х850</t>
  </si>
  <si>
    <t>м101</t>
  </si>
  <si>
    <t>Стол промежуточный vpn7-2</t>
  </si>
  <si>
    <t xml:space="preserve">Размеры: 800X700X300 мм
</t>
  </si>
  <si>
    <t>м102</t>
  </si>
  <si>
    <t>Стол рабочий</t>
  </si>
  <si>
    <t>Рабочий стол с металлической поверхностью. Устойчивый, легко моющийся. Размеры  1800х600х850</t>
  </si>
  <si>
    <t>м103</t>
  </si>
  <si>
    <t>Стол разгрузки посудомойки ce-tbc70x75</t>
  </si>
  <si>
    <t>Нержавеющая сталь AISI 430; Без нижней  полки и бортика; Параметры: 700x750x850 мм</t>
  </si>
  <si>
    <t>м104</t>
  </si>
  <si>
    <t>Стол руководителя с приставной тумбой</t>
  </si>
  <si>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</si>
  <si>
    <t>м105</t>
  </si>
  <si>
    <t>Стол с 2 мойками</t>
  </si>
  <si>
    <t>м106</t>
  </si>
  <si>
    <t>Стол с 2 мойками ce-tce120x70</t>
  </si>
  <si>
    <t>м107</t>
  </si>
  <si>
    <t>Стол с одной полкой</t>
  </si>
  <si>
    <t>Стол производственный рабочий CE-TC1120X60. Нержавеющая сталь. С одной полкой и бортиком. Размер: 1200x600x850мм</t>
  </si>
  <si>
    <t>м108</t>
  </si>
  <si>
    <t>Стол ce-tc080x70</t>
  </si>
  <si>
    <t>Нержавеющая сталь 430; Габариты: 800x700x850 мм</t>
  </si>
  <si>
    <t>м109</t>
  </si>
  <si>
    <t>Стол-ромашка (3 половинки) на регулируемых ножках</t>
  </si>
  <si>
    <t xml:space="preserve">Детский стол состоит из трёх половинок, общий диаметр — 160 см. Предназначен для групповой работы и занятий. </t>
  </si>
  <si>
    <t>м110</t>
  </si>
  <si>
    <t>Столик для игры с песком и водой</t>
  </si>
  <si>
    <t>Пластиковый столик для игр с песком и водой с крышкой. Используется для сенсорных и развивающих занятий, устойчивый, безопасный, легко очищается.</t>
  </si>
  <si>
    <t>м111</t>
  </si>
  <si>
    <t>Стул</t>
  </si>
  <si>
    <t>Стул офисный BSB 388 со спинкой,с удобной посадкой. Размеры 530х560х820 см.</t>
  </si>
  <si>
    <t>м112</t>
  </si>
  <si>
    <t xml:space="preserve">Детский стул со спинкой </t>
  </si>
  <si>
    <t>Детский стул со спинкой, предназначенный для безопасного и комфортного сидения детей. Конструкция выполнена из качественного дерева или прочного пластика, обеспечивая лёгкость, устойчивость и долговечность.
Размеры изделия: высота стула — 48 см, высота сиденья — 28 см, ширина — 30 см.
Стул прочный, с тщательно обработанными краями и безопасными углами, подходит для ежедневного использования в детских учреждениях."</t>
  </si>
  <si>
    <t>м114</t>
  </si>
  <si>
    <t>Стул для воспитателя с спинкой</t>
  </si>
  <si>
    <t>м115</t>
  </si>
  <si>
    <t>Стул для зрителей</t>
  </si>
  <si>
    <t>Стул предназначен для оснащения актового зала. Размеры (ШхГхВ) 500х650х860мм</t>
  </si>
  <si>
    <t>м116</t>
  </si>
  <si>
    <t>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t>
  </si>
  <si>
    <t>м119</t>
  </si>
  <si>
    <t>Учительский стол</t>
  </si>
  <si>
    <t>м12</t>
  </si>
  <si>
    <t>Конференц-стол для совещаний</t>
  </si>
  <si>
    <t>Конференц-стол для проведения совещаний и рабочих встреч. Размеры 2700х1000х750мм</t>
  </si>
  <si>
    <t>м120</t>
  </si>
  <si>
    <t xml:space="preserve">Используется для лазания, упражнений на координацию, силу и гибкость. Настенное крепление, прорезиненные ступени. Максимальная нагрузка — до 100 кг. Размеры ширина 1400мм, высота 2400мм </t>
  </si>
  <si>
    <t>м121</t>
  </si>
  <si>
    <t>Шкаф</t>
  </si>
  <si>
    <t>Оснащён полками. Размеры 800х380х2000</t>
  </si>
  <si>
    <t>м122</t>
  </si>
  <si>
    <t>Шкаф 5-секционный</t>
  </si>
  <si>
    <t>м123</t>
  </si>
  <si>
    <t>Шкаф в буфетной ДОУ  предназначен для хранения чистой посуды и столовых приборов</t>
  </si>
  <si>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</si>
  <si>
    <t>м124</t>
  </si>
  <si>
    <t>Шкаф для грязного белья</t>
  </si>
  <si>
    <t>Шкаф для временного хранения грязного белья.Конструкция устойчивая, легко моется и дезинфицируется. Размеры 600х500х1860</t>
  </si>
  <si>
    <t>м125</t>
  </si>
  <si>
    <t>Шкаф для документации, закрытый. Размеры: 800×450×1200 мм.</t>
  </si>
  <si>
    <t>м128</t>
  </si>
  <si>
    <t>м130</t>
  </si>
  <si>
    <t>Шкаф для тканей        Отдельное хранение тканей</t>
  </si>
  <si>
    <t>Шкаф для тканей, закрытый. Размеры: 800×450×1200 мм.</t>
  </si>
  <si>
    <t>м131</t>
  </si>
  <si>
    <t>Шкаф закрытый. Размеры: 800×450×1200 мм.</t>
  </si>
  <si>
    <t>м132</t>
  </si>
  <si>
    <t>Шкаф навесной с газ.лифтом.</t>
  </si>
  <si>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</si>
  <si>
    <t>м133</t>
  </si>
  <si>
    <t>Шкаф расстоечный vmk-2</t>
  </si>
  <si>
    <t>Вместимость: 8 противней 40x60; 3.2 кВт / 230В; Размеры: 940x790x850 мм</t>
  </si>
  <si>
    <t>м134</t>
  </si>
  <si>
    <t>Шкаф хозяйственный</t>
  </si>
  <si>
    <t>Шкаф предназначен для хранения хозяйственного инвентаря, уборочных принадлежностей, моющих и дезинфицирующих средств. Оснащается полками и/или отделением для швабр и ведер. Размеры 600х500х1860</t>
  </si>
  <si>
    <t>м135</t>
  </si>
  <si>
    <t>Шкаф ce-dm120x60</t>
  </si>
  <si>
    <t>Нержавеющая сталь 430; С 2 дверями, 4 полками; Параметры: 1200x600x1600 мм</t>
  </si>
  <si>
    <t>м137</t>
  </si>
  <si>
    <t>Стол однотумбовый с 2 выдвижными ящиками</t>
  </si>
  <si>
    <t xml:space="preserve">Стол однотумбовый с 2 выдвижными ящиками, ЛДСП 16 мм, размер 1200х700х750мм
</t>
  </si>
  <si>
    <t>м138</t>
  </si>
  <si>
    <t>Кровать детская для изолятора</t>
  </si>
  <si>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</si>
  <si>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t>м14</t>
  </si>
  <si>
    <t>Кресло офисное</t>
  </si>
  <si>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</si>
  <si>
    <t>м140</t>
  </si>
  <si>
    <t xml:space="preserve">Стеллаж производственный </t>
  </si>
  <si>
    <t xml:space="preserve">Стеллаж ПРОФИ СКН-10/5С4П-01, (ВхШхГ) 1850х1000х500, каркас труба нерж 40х40, полка сплошная </t>
  </si>
  <si>
    <t>м141</t>
  </si>
  <si>
    <t>Доска маркерная/меловая поворотная</t>
  </si>
  <si>
    <t>Доска двухсторонняя 1200*2400 см (маркерная +меловая + магнитная) на подставке, передвижная на колесиках</t>
  </si>
  <si>
    <t>м144</t>
  </si>
  <si>
    <t>Набор/комплект для магнитно-маркерной доски</t>
  </si>
  <si>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</si>
  <si>
    <t>м145</t>
  </si>
  <si>
    <t>Стеллаж для горшков</t>
  </si>
  <si>
    <t>Шкаф для горшков на 20 мест на ножках ШГ-20 - Азбука (Синий) ШхГхВ 135х32х113 Материал ЛДСП</t>
  </si>
  <si>
    <t>м146</t>
  </si>
  <si>
    <t>Ролл шторы белые однотонные. Услуги доставки и монтажа</t>
  </si>
  <si>
    <t>м149</t>
  </si>
  <si>
    <t>Строительство соляной пещеры №1</t>
  </si>
  <si>
    <t>Ценовое предложение на строительство соляной пещеры №1. Комплектация: люкс</t>
  </si>
  <si>
    <t>м150</t>
  </si>
  <si>
    <t>Строительство соляной пещеры №2</t>
  </si>
  <si>
    <t>Ценовое предложение на строительство соляной пещеры №2. Комплектация: люкс</t>
  </si>
  <si>
    <t>м151</t>
  </si>
  <si>
    <t>Ведро 18л</t>
  </si>
  <si>
    <t>Объем 18 л
Материал ABS плластик
Тип Ведро без крышки
Форма Прямоугольная</t>
  </si>
  <si>
    <t>м152</t>
  </si>
  <si>
    <t>Двухведёрная тележка</t>
  </si>
  <si>
    <t>Материа Пластик
Максимальная нагрузка на всю конструкцию 80 кг
Количество поворотных колес 4 шт
Количество ведер 2 шт</t>
  </si>
  <si>
    <t>м153</t>
  </si>
  <si>
    <t>Швабра с платформой</t>
  </si>
  <si>
    <t>Длина насадки 40см
Ширина насадки 12 см
Высота насадки 1,5 см
Длина ручки 130 см</t>
  </si>
  <si>
    <t>м154</t>
  </si>
  <si>
    <t>Шкаф металлический для одежды и инвентаря</t>
  </si>
  <si>
    <t>Шкаф ШРМ-АК-У, размер 1860*500*500 мм</t>
  </si>
  <si>
    <t>м156</t>
  </si>
  <si>
    <t xml:space="preserve">Ведро </t>
  </si>
  <si>
    <t>м157</t>
  </si>
  <si>
    <t>Зеркало</t>
  </si>
  <si>
    <t>Ширина (см) 55
Высота (см) 80
Подсветка нет</t>
  </si>
  <si>
    <t>м158</t>
  </si>
  <si>
    <t>Крючки</t>
  </si>
  <si>
    <t>Крючки для хранения полотенец, фартуков. Материал крючка : Сплав металлов</t>
  </si>
  <si>
    <t>м159</t>
  </si>
  <si>
    <t>Швабра</t>
  </si>
  <si>
    <t>м16</t>
  </si>
  <si>
    <t>Кресло FX-888 кзам АОД подл.пл.818/1(кзам),крест.пл.d680 м/п, кол JL</t>
  </si>
  <si>
    <t>м160</t>
  </si>
  <si>
    <t>м161</t>
  </si>
  <si>
    <t>Диспенсер антивандальный для туалетной бумаги</t>
  </si>
  <si>
    <t>м162</t>
  </si>
  <si>
    <t>Детский стол для 3-х лет</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</si>
  <si>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</si>
  <si>
    <t>м163</t>
  </si>
  <si>
    <t>Детский стол для 4-х, 5-ти лет</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</si>
  <si>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</si>
  <si>
    <t>м165</t>
  </si>
  <si>
    <t>Мягкая подушка</t>
  </si>
  <si>
    <t>Набор подушек для создания мягкой зоны, размер 30х30см</t>
  </si>
  <si>
    <t>м166</t>
  </si>
  <si>
    <t>Скамья детская узкая</t>
  </si>
  <si>
    <t>м17</t>
  </si>
  <si>
    <t>Кресло-груша с гранулами</t>
  </si>
  <si>
    <t>Мягкое бескаркасное кресло наполнено полистирольными гранулами и принимает форму тела сидящего. Используется в зонах отдыха, релаксации и индивидуальной работы. Способствует созданию комфортной, неформальной обстановки и снижению эмоционального напряжения.</t>
  </si>
  <si>
    <t>м170</t>
  </si>
  <si>
    <t>Навесной шкаф</t>
  </si>
  <si>
    <t>Шкаф навесной, двухстворчатый, распашной. Материал: ЛДСП, ПВХ. Размеры: 800х300х720мм</t>
  </si>
  <si>
    <t>м171</t>
  </si>
  <si>
    <t xml:space="preserve">Диван </t>
  </si>
  <si>
    <t xml:space="preserve">Диван Quick Lab Alim Sofa Длина: 1900 мм, ширина: 800 мм, высота: 850 мм. </t>
  </si>
  <si>
    <t>м172</t>
  </si>
  <si>
    <t>Диван руководителя</t>
  </si>
  <si>
    <t>Ширина, мм 1480
Глубина, мм 820
Высота, мм 670</t>
  </si>
  <si>
    <t>м173</t>
  </si>
  <si>
    <t>Детский стул с спинкой (2-3 лет)</t>
  </si>
  <si>
    <t>Детский стул со спинкой для 3 лет. 260×200×550/250 мм</t>
  </si>
  <si>
    <t>м174</t>
  </si>
  <si>
    <t>Детский стул с спинкой (4+ лет)</t>
  </si>
  <si>
    <t>Детский стул со спинкой для 4+. 300×220×590/270</t>
  </si>
  <si>
    <t>м175</t>
  </si>
  <si>
    <t>Гардеробная вешалка</t>
  </si>
  <si>
    <t>Ширина 109 см
Высота 179 см
Глубина 74 см
Материал Металл</t>
  </si>
  <si>
    <t>м18</t>
  </si>
  <si>
    <t>Кровать</t>
  </si>
  <si>
    <t>Игровая или декоративная кровать с комплектом текстильных элементов. Используется в сюжетно-ролевых играх.</t>
  </si>
  <si>
    <t>м180</t>
  </si>
  <si>
    <t>Стойка ресепшен</t>
  </si>
  <si>
    <t>Стойка ресепшен прямая. Размеры: Ширина, 1640 мм. Глубина, 510 мм. Высота, 1150 мм</t>
  </si>
  <si>
    <t>м185</t>
  </si>
  <si>
    <t>Сценический занавес и карниз</t>
  </si>
  <si>
    <t>Система горизонтального раздвижного занавеса с электроприводом с пультом дистанционного управления.</t>
  </si>
  <si>
    <t>м186</t>
  </si>
  <si>
    <t>Диван (мягкий)</t>
  </si>
  <si>
    <t>Диван (мягкий), 3-х местный, с подлокотниками</t>
  </si>
  <si>
    <t>м187</t>
  </si>
  <si>
    <t>Гардеробная на 70 мест</t>
  </si>
  <si>
    <t>Гардеробный шкаф для верхней одежды Размеры: ширина 2.2 м, длина 3.3 м, высота 1.8м. Расстояние между крючками: 330мм</t>
  </si>
  <si>
    <t>м188</t>
  </si>
  <si>
    <t>Государственная символика</t>
  </si>
  <si>
    <t>Стенд объемный настенный "ГОССИМВОЛЫ РК"</t>
  </si>
  <si>
    <t>м19</t>
  </si>
  <si>
    <t>Кровать для сна (группы 3+)</t>
  </si>
  <si>
    <t>м22</t>
  </si>
  <si>
    <t>Круглый стол</t>
  </si>
  <si>
    <t>Стол для совместного чтения, обсуждений и игровых занятий. Способствует развитию общения между детьми. Материал — ЛДСП или дерево. Диаметр — 1000–1200 мм.</t>
  </si>
  <si>
    <t>м23</t>
  </si>
  <si>
    <t>Круглый стол напольный (d 1200 мм)</t>
  </si>
  <si>
    <t>Круглый стол используется для организации совместной деятельности. Диаметр столешницы составляет не менее 1200 мм, высота — около 550 мм. Конструкция обеспечивает удобное размещение участников вокруг стола. Предназначен для использования в помещениях.</t>
  </si>
  <si>
    <t>м24</t>
  </si>
  <si>
    <t>Кушетка процедурная</t>
  </si>
  <si>
    <t>Кушетка предназначена для осмотров, процедур и медицинских манипуляций в медблоке ДОУ. Размеры 560х1930х670</t>
  </si>
  <si>
    <t>м26</t>
  </si>
  <si>
    <t>Матрас</t>
  </si>
  <si>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</si>
  <si>
    <t>м27</t>
  </si>
  <si>
    <t xml:space="preserve">Матрас </t>
  </si>
  <si>
    <t>Размеры изделия, по параметрам кровати: длина — 1400 мм, ширина — 600 мм.
Гипоаллергенный матрас для детской кровати.</t>
  </si>
  <si>
    <t>Матрас (группа 2-х лет)</t>
  </si>
  <si>
    <t>Размеры изделия, по параметрам кровати: длина — 120 см, ширина — 60 см.
Гипоаллергенный матрас для детской кровати.</t>
  </si>
  <si>
    <t>м28</t>
  </si>
  <si>
    <t>Многофункциональный детский стол. Мягкие настенные сиденья с пуфиками — комплект</t>
  </si>
  <si>
    <t>Многофункциональный стол для чтения, рисования и настольных занятий, подходит для групповой и индивидуальной работы детей. Закруглённые углы обеспечивают безопасность. Форма — прямоугольная или модульная. Материал — ЛДСП или массив дерева. Мягкие сиденья стационарно закреплены к стене и предназначены для организации зоны чтения и отдыха. Под сиденьями размещаются мягкие пуфики, которые легко задвигаются под конструкцию, обеспечивая компактное хранение и удобство использования.</t>
  </si>
  <si>
    <t>м29</t>
  </si>
  <si>
    <t>Модуль стеллажный с открытыми полками для хранения материалов</t>
  </si>
  <si>
    <t xml:space="preserve">Модуль с открытыми полками для хранения игрушек. Габариты изделия — 900×340×700 мм. Материал корпуса — ЛДСП, с кромкой ПВХ. </t>
  </si>
  <si>
    <t>м30</t>
  </si>
  <si>
    <t>Настенная вешалка для фартуков</t>
  </si>
  <si>
    <t>Оснащена тремя крючками для удобного распределения изделий. Изготовлена из стали. Крепится к поверхности без сверления при помощи двусторонней ленты.</t>
  </si>
  <si>
    <t>м32</t>
  </si>
  <si>
    <t>Настенная полка для хранения дидактических материалов психолога</t>
  </si>
  <si>
    <t>Крепится к стене. Размеры 1000х200х630</t>
  </si>
  <si>
    <t>м33</t>
  </si>
  <si>
    <t>Настенное зеркало в раме</t>
  </si>
  <si>
    <t>Настенное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Устанавливается на стену, имеет прочную раму и безопасную конструкцию, соответствующую требованиям детских учреждений.</t>
  </si>
  <si>
    <t>м34</t>
  </si>
  <si>
    <t>Настенные держатели для обручей</t>
  </si>
  <si>
    <t>Настенные держатели предназначены для удобного и безопасного хранения спортивного инвентаря. Используются в спортивных и игровых зонах дошкольного учреждения, обеспечивают порядок, экономию пространства и быстрый доступ к оборудованию.</t>
  </si>
  <si>
    <t>м35</t>
  </si>
  <si>
    <t>Настенный держатель для инвентаря</t>
  </si>
  <si>
    <t>Настенный держатель предназначен для хранения различного игрового и спортивного инвентаря. Крепится к стене, обеспечивает устойчивость конструкции и безопасность эксплуатации в условиях ДОУ.</t>
  </si>
  <si>
    <t>м36</t>
  </si>
  <si>
    <t>Натяжной потолок с подсветкой</t>
  </si>
  <si>
    <t>Потолочная конструкция с встроенной светодиодной подсветкой. Обеспечивает равномерное освещение и декоративный эффект в помещении.</t>
  </si>
  <si>
    <t>м37</t>
  </si>
  <si>
    <t>Открытая полка</t>
  </si>
  <si>
    <t>Стеллаж 8 секций Размеры:720x390x1820 мм</t>
  </si>
  <si>
    <t>м38</t>
  </si>
  <si>
    <t>Открытые стеллажи с контейнерами</t>
  </si>
  <si>
    <t>Открытые стеллажи с контейнерами. Размеры 1800х430х620мм</t>
  </si>
  <si>
    <t>м39</t>
  </si>
  <si>
    <t xml:space="preserve">Открытый стеллаж </t>
  </si>
  <si>
    <t>м4</t>
  </si>
  <si>
    <t>Детский стол</t>
  </si>
  <si>
    <t>Детский стол на 4 - 5посадочных места, предназначенный для групповой работы детей. Конструкция выполнена из качественного дерева, МДФ или металла с ламинированной столешницей, что обеспечивает долговечность, устойчивость и лёгкость ухода.
Размеры изделия: высота — 480 мм, длина — 1180 мм, ширина — 580 мм.
Стол устойчивый, с безопасными округлыми кромками, рассчитан на ежедневное использование в детских учреждениях.</t>
  </si>
  <si>
    <t>м40</t>
  </si>
  <si>
    <t>Подставка для детских инструментов</t>
  </si>
  <si>
    <t>Подставка предназначена для хранения и размещения детских музыкальных инструментов (бубны, маракасы, треугольники, ксилофоны и др.). Используется в музыкальном зале дошкольного учреждения для поддержания порядка, удобного доступа и безопасного хранения инвентаря.</t>
  </si>
  <si>
    <t>м41</t>
  </si>
  <si>
    <t>Подставка для домбры / настенный держатель</t>
  </si>
  <si>
    <t>Подставка или настенный держатель предназначены для безопасного хранения домбры в музыкальном зале ДОУ. Обеспечивают сохранность инструмента и рациональную организацию пространства. Конструкция устойчивая, с защитными элементами в местах соприкосновения с инструментом.</t>
  </si>
  <si>
    <t>м42</t>
  </si>
  <si>
    <t>Подставка для зеркала индивидуальная</t>
  </si>
  <si>
    <t>Подставка используется для установки или подвешивания зеркала. Обеспечивает устойчивость и возможность изменения расположения.</t>
  </si>
  <si>
    <t>м43</t>
  </si>
  <si>
    <t>Подставка для цветов</t>
  </si>
  <si>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</si>
  <si>
    <t>м44</t>
  </si>
  <si>
    <t>Подставка для цветов напольная / на подоконник</t>
  </si>
  <si>
    <t>Деревянная подставка для цветов предназначена для размещения растений на полу или подоконнике. Используется в дошкольном учреждении для эстетического оформления помещений и рационального размещения растений. Конструкция устойчивая и безопасная для использования в помещениях ДОУ.</t>
  </si>
  <si>
    <t>м45</t>
  </si>
  <si>
    <t>Подставка vpn7-4</t>
  </si>
  <si>
    <t>Размеры: 800x574x550 мм</t>
  </si>
  <si>
    <t>м46</t>
  </si>
  <si>
    <t>Подставка vpn7-5</t>
  </si>
  <si>
    <t>Размеры: 1200x574x550 мм</t>
  </si>
  <si>
    <t>м47</t>
  </si>
  <si>
    <t>Подтоварник ce-st50120</t>
  </si>
  <si>
    <t>Нержавеющая сталь 430; С перфорированной полкой; Параметры: 1200x500x300 mm</t>
  </si>
  <si>
    <t>м48</t>
  </si>
  <si>
    <t>Полка для вытяжки ce-dofr320x40</t>
  </si>
  <si>
    <t>Нержавеющая сталь 430; Параметры: 3200x400x500 мм</t>
  </si>
  <si>
    <t>м49</t>
  </si>
  <si>
    <t>Полка предназначена для хранения детской и методической литературы. Размеры: Ширина 540 мм
Глубина360 мм Высота 460 мм</t>
  </si>
  <si>
    <t>м51</t>
  </si>
  <si>
    <t>Полка книжная настенная</t>
  </si>
  <si>
    <t>Настенная книжная полка. Размеры: Ширина 530 мм, Глубина120 мм, Высота 800 мм</t>
  </si>
  <si>
    <t>м52</t>
  </si>
  <si>
    <t>Полка настенная ce-dr140x30</t>
  </si>
  <si>
    <t>Нержавеющая сталь 430; Одинарная; Параметры: 1400x300x40 мм</t>
  </si>
  <si>
    <t>м53</t>
  </si>
  <si>
    <t>Полка настенная ce-dr150x30</t>
  </si>
  <si>
    <t>Нержавеющая сталь 430; Размеры:1500х300х40 мм</t>
  </si>
  <si>
    <t>м54</t>
  </si>
  <si>
    <t>Полка настенная ce-dr180x30</t>
  </si>
  <si>
    <t xml:space="preserve">Нержавеющая сталь 430; Одинарная; Параметры: 1800x300x40 мм
</t>
  </si>
  <si>
    <t>м56</t>
  </si>
  <si>
    <t>Пуф-мешок напольный для зоны отдыха и чтения</t>
  </si>
  <si>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</si>
  <si>
    <t>м57</t>
  </si>
  <si>
    <t>Пуфик-кресло с гранулами разных размеров</t>
  </si>
  <si>
    <t>Пуфик-кресло типа «груша» предназначено для зон отдыха, релаксации и индивидуальной работы с детьми. Максимальная нагрузка — 100 кг. Наполнитель — гранулы пенополистирола (0,5–3 мм). Материал внешнего чехла — ткань Оксфорд, чехол съёмный. Цвет — жёлтый.</t>
  </si>
  <si>
    <t>м61</t>
  </si>
  <si>
    <t>Сервисная полка двухуровневая ce-sr2180x40</t>
  </si>
  <si>
    <t>Нержавеющая сталь 430; 2-х уровневая;Размеры: 1800x400x700 мм</t>
  </si>
  <si>
    <t>м62</t>
  </si>
  <si>
    <t>Стеллаж (открытый)</t>
  </si>
  <si>
    <t>Стеллаж. Размеры 900×340×700 мм</t>
  </si>
  <si>
    <t>м63</t>
  </si>
  <si>
    <t>Стеллаж детский игровой с выкатными ящиками</t>
  </si>
  <si>
    <t xml:space="preserve">Закрытый стеллаж. Есть 4 секции с закрывающимися дверцами и 2 выдвижных ящика. Размер: 730х434х1148 мм. (ШхГхВ)
</t>
  </si>
  <si>
    <t>м64</t>
  </si>
  <si>
    <t>Стеллаж для дидактических материалов</t>
  </si>
  <si>
    <t>Размеры: Ширина 1000 мм, глубина 300 мм, высота 1280 мм</t>
  </si>
  <si>
    <t>м67</t>
  </si>
  <si>
    <t>Металлический стеллаж предназначен для хранения инвентаря и материалов. Отличается прочностью, устойчивостью и долговечностью. Размеры 2500х1000х600</t>
  </si>
  <si>
    <t>м68</t>
  </si>
  <si>
    <t>Стеллаж ce-ir120x40x180</t>
  </si>
  <si>
    <t>Нержавеющая сталь 430; С 4 сплошными полками; Размеры: 1200x400x1800 мм</t>
  </si>
  <si>
    <t>м69</t>
  </si>
  <si>
    <t>Стеллаж ce-ir120x50x180</t>
  </si>
  <si>
    <t>Нержавеющая сталь 430; С 4 сплошными полками; Размеры: 1200x500x1800 мм</t>
  </si>
  <si>
    <t>м70</t>
  </si>
  <si>
    <t>Стеллаж ce-ir130x40x180</t>
  </si>
  <si>
    <t>Нержавеющая сталь 430; С 4 сплошными полками; Размеры: 1300x400x1800 мм</t>
  </si>
  <si>
    <t>м71</t>
  </si>
  <si>
    <t>Стеллаж ce-ir140x50x180</t>
  </si>
  <si>
    <t>Нержавеющая сталь 430; С 4 сплошными полками; Размеры: 1400x500x1800 мм</t>
  </si>
  <si>
    <t>м72</t>
  </si>
  <si>
    <t>Стеллаж ce-ir170x50x180</t>
  </si>
  <si>
    <t>Нержавеющая сталь 430; С 4 сплошными полками; Размеры: 1700x500x1800 мм</t>
  </si>
  <si>
    <t>м73</t>
  </si>
  <si>
    <t>Стеллаж ce-ir180x50x180</t>
  </si>
  <si>
    <t>Нержавеющая сталь 430; С 4 сплошными полками; Размеры: 1800x500x1800 мм</t>
  </si>
  <si>
    <t>м74</t>
  </si>
  <si>
    <t>Стеллаж-полка «Ёлка»</t>
  </si>
  <si>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</si>
  <si>
    <t>м75</t>
  </si>
  <si>
    <t>Стенд для поделок</t>
  </si>
  <si>
    <t>Стенд предназначен для демонстрации детских поделок и творческих работ. Размер 1550×740 мм, используется в групповых помещениях и коридорах ДОУ.</t>
  </si>
  <si>
    <t>м76</t>
  </si>
  <si>
    <t>Стойка для цветов</t>
  </si>
  <si>
    <t>Подставка для размещения комнатных растений. Предназначена для организации зелёных зон в помещении, устойчивая и безопасная в использовании.</t>
  </si>
  <si>
    <t>м77</t>
  </si>
  <si>
    <t>Стол</t>
  </si>
  <si>
    <t xml:space="preserve">Простой стол без полок, предназначен для раскладывания и размещения предметов, материалов и принадлежностей в образовательной среде. 1200x750x750 (ШхГхВ)
</t>
  </si>
  <si>
    <t>м78</t>
  </si>
  <si>
    <t>Стол 1 полка ce-tc1100x70</t>
  </si>
  <si>
    <t>Нержавеющая сталь 430; С одной полкой и  бортиком; Параметры: 1000x700x850 мм</t>
  </si>
  <si>
    <t>м79</t>
  </si>
  <si>
    <t>Стол 1 полка ce-tc1110x70</t>
  </si>
  <si>
    <t>Нержавеющая сталь 430; С одной полкой и бортиком; Параметры: 1100x700x850 мм</t>
  </si>
  <si>
    <t>м8</t>
  </si>
  <si>
    <t>Диван прямой нераскладной</t>
  </si>
  <si>
    <t>Прямой диван используется для сидения и кратковременного отдыха. Конструкция нераскладная, с обивкой из экокожи или винилискожи. Высота изделия составляет не менее 50 см, глубина — около 40 см. Подходит для размещения в помещениях.</t>
  </si>
  <si>
    <t>м80</t>
  </si>
  <si>
    <t>Стол 1 полка ce-tc1120x70</t>
  </si>
  <si>
    <t>Нержавеющая сталь AISI 430; С одной полкой и бортиком; Параметры: 1200x700x850 мм</t>
  </si>
  <si>
    <t>м81</t>
  </si>
  <si>
    <t>Стол 1 полка ce-tc1130x70</t>
  </si>
  <si>
    <t>Нержавеющая сталь 430; С одной полкой и бортиком; Параметры: 1300x700x850 мм</t>
  </si>
  <si>
    <t>м82</t>
  </si>
  <si>
    <t>Стол 1 полка ce-tc1140x70</t>
  </si>
  <si>
    <t>Нержавеющая сталь AISI 430; С одной полкой и бортиком; Параметры: 1400x700x850 мм</t>
  </si>
  <si>
    <t>м83</t>
  </si>
  <si>
    <t>Стол 1 полка ce-tc1150x70</t>
  </si>
  <si>
    <t>Нержавеющая сталь AISI 430; С одной полкой и бортиком; Параметры: 1500x700x850 мм</t>
  </si>
  <si>
    <t>м84</t>
  </si>
  <si>
    <t>Стол 1 полка ce-tc1180x70</t>
  </si>
  <si>
    <t>Нержавеющая сталь AISI 430; С одной полкой и бортиком; Параметры: 1800x700x850 мм</t>
  </si>
  <si>
    <t>м85</t>
  </si>
  <si>
    <t>Стол верх пэ ce-tcp180x70</t>
  </si>
  <si>
    <t>Нержавеющая сталь 430; Толщина полиэтилена: 4 см; Без полки, с бортиком; Параметры: 1800x700x850 мм</t>
  </si>
  <si>
    <t>м86</t>
  </si>
  <si>
    <t>Детский стол предназначен для занятий, игр и приёма пищи в группах дошкольного учреждения. Конструкция устойчивая, с закруглёнными углами, размеры и высота соответствуют ростовой группе детей. Материал — ЛДСП или массив дерева, поверхность легко очищается.</t>
  </si>
  <si>
    <t>м87</t>
  </si>
  <si>
    <t>Стол для грязной посуды ce-tbs100x75</t>
  </si>
  <si>
    <t>Нержавеющая сталь AISI 430; С воронкой для отходов, без полки; Параметры: 1000x700x850 мм</t>
  </si>
  <si>
    <t>м88</t>
  </si>
  <si>
    <t>Размеры: 1500×600×750 мм.Тумба предназначена для хранения бумаги, документации и методических материалов. Оснащена выдвижными ящиками</t>
  </si>
  <si>
    <t>м89</t>
  </si>
  <si>
    <t>Стол для мытья овощей с отверстием для отходов ce-tys120x80sd</t>
  </si>
  <si>
    <t>Нержавеющая сталь, с полкой, с бортами с трех сторон, полностью сварной, профильная труба ножек - 40х40 мм, столешница усилена ребром жесткости из нержавеющей стали, толщина стали - 1 мм, с отсерстием для отходов, габариты: 1200х80х850 мм</t>
  </si>
  <si>
    <t>м9</t>
  </si>
  <si>
    <t>Зеркало акриловое настенное</t>
  </si>
  <si>
    <t>Акриловое зеркало используется для безопасного визуального отражения в помещениях. Материал отличается малым весом и устойчивостью к повреждениям. Предназначено для размещения в проёмах и между оконными зонами.</t>
  </si>
  <si>
    <t>м90</t>
  </si>
  <si>
    <t>Стол для мытья овощей ce-tsy120x70</t>
  </si>
  <si>
    <t>Нержавеющая сталь AISI 430; Раковина
для мытья и сушки; Параметры:
1200x700x850 мм</t>
  </si>
  <si>
    <t>м91</t>
  </si>
  <si>
    <t>Стол для обработки рыбы ce-tbh120x70</t>
  </si>
  <si>
    <t>Нержавеющая сталь AISI 430; Раковина для мытья и сушки, c полиэтиленовой доской для резки; Параметры: 1200x700x850 мм</t>
  </si>
  <si>
    <t>м93</t>
  </si>
  <si>
    <t>Стол для экспериментирования с песком и водой</t>
  </si>
  <si>
    <t>Стол предназначен для сенсорных и исследовательских занятий. Размеры: 850×500×460 мм. Оснащён двумя цветными пластиковыми ёмкостями для воды и сыпучих материалов, нижней открытой полкой для инвентаря. Установлен на колёсных опорах диаметром 50 мм. Материал — ЛДСП 16 мм. Все углы скруглены.</t>
  </si>
  <si>
    <t>м94</t>
  </si>
  <si>
    <t>Стол инструментальный</t>
  </si>
  <si>
    <t>Стол используется для размещения медицинских инструментов и расходных материалов. (600х400х860 мм)</t>
  </si>
  <si>
    <t>м95</t>
  </si>
  <si>
    <t>Стол на роликах ce-tch120x60</t>
  </si>
  <si>
    <t>Нержавеющая сталь AISI 430; С полкой и 4 колесами; Параметры: 1200x600x850 ммй</t>
  </si>
  <si>
    <t>м96</t>
  </si>
  <si>
    <t>Стол на роликах ce-tch180x70</t>
  </si>
  <si>
    <t>Нержавеющая сталь AISI 430; С полкой и 4 колесами; Параметры: 1800x700x850 мм</t>
  </si>
  <si>
    <t>м97</t>
  </si>
  <si>
    <t>Стол обеденный</t>
  </si>
  <si>
    <t>Стол обеденный предназначен для приёма пищи персонала. Конструкция устойчивая, поверхность моющаяся и устойчивая к воздействию влаги и моющих средств. Размеры 750х1000х600</t>
  </si>
  <si>
    <t>м99</t>
  </si>
  <si>
    <t>Стол подачи посудомойки ce-tbg100x75</t>
  </si>
  <si>
    <t>Нержавеющая сталь AISI 430; С одной  раковиной без полки; Мойка: 50x40x25 см; Параметры: 1000x750x850 мм</t>
  </si>
  <si>
    <t>т1</t>
  </si>
  <si>
    <t>Microlab M-106, 10Вт (2,5Вт*2+5Вт), выход 2RCA, вход 3.5 MiniJack</t>
  </si>
  <si>
    <t>т11</t>
  </si>
  <si>
    <t>Гарнитура</t>
  </si>
  <si>
    <t>Гарнитура А4Tech HU-35</t>
  </si>
  <si>
    <t>т12</t>
  </si>
  <si>
    <t>Гладильный стол складной omega</t>
  </si>
  <si>
    <t>Электрообогрев с термостатическим управлением; Стандартные функции включают в себя: вакуумный двигатель и поддержку PONY Baby; Напряжение: 230-1-50 Гц; Двигатель 73 Вт; Габариты: 40x140xh92 см</t>
  </si>
  <si>
    <t>т13</t>
  </si>
  <si>
    <t>Интерактивная панель 75 дюймов</t>
  </si>
  <si>
    <t xml:space="preserve">Интерактивная панель SAMSUNG c диагональю 75 дюймов, 8 ядерный, с разрешением экрана 4K (3840 x 2160), встроенная внутренняя память 64 GB, оперативная память 8 GB, ОС Android 13.0 с EDLA сертификацией (Поддержка Google Play), с ПО по 3D урокам Mozaik. Программное обеспечение для демонстрации опытов по естественным наукам для преподавателя Mozaik с 3 годовым доступом. Контентное содержание программного обеспечения: Программное обеспечение предназначено для проведения демонстрационных опытов по предметам химии, биологии, физики. Имеет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Программное обеспечение распознает жесты для вращения 3D объектов, увеличения 3D объектов. 
</t>
  </si>
  <si>
    <t>т14</t>
  </si>
  <si>
    <t>Картофелечистка pat 650t</t>
  </si>
  <si>
    <t>Вместимость: 5-10 кг; Пластиковый редуктор; 380 В; Мощность: 0.55 кВт; Размеры: 48x76x102 см</t>
  </si>
  <si>
    <t>т15</t>
  </si>
  <si>
    <t>Котел варочный электрический vpe7-23</t>
  </si>
  <si>
    <t>Объем: 80 л; 0,55 м3/15 кВт-400 В; Размеры: 700X800X850 мм</t>
  </si>
  <si>
    <t>т16</t>
  </si>
  <si>
    <t>Кулер</t>
  </si>
  <si>
    <t>Кулер для воды SVC Aqua 1</t>
  </si>
  <si>
    <t>т17</t>
  </si>
  <si>
    <t>Ламинатор GBC Fusion 1100L Офисное оборудование для ламинирования печатных материалов формата А4. Используется для защиты методических пособий, карточек и наглядных материалов от износа и загрязнений. Подходит для применения в образовательной среде.</t>
  </si>
  <si>
    <t>т170</t>
  </si>
  <si>
    <t>Мобильная стойка</t>
  </si>
  <si>
    <t xml:space="preserve">Мобильная стойка для интерактивной панели на колёсах. Диагональ экрана 75 дюймов. </t>
  </si>
  <si>
    <t>т18</t>
  </si>
  <si>
    <t>Машина для резки овощей seb 210m</t>
  </si>
  <si>
    <t>Вместимость: 300 кг/час; Настольный; 5 ножей; 220 В; Мощность: 0.37 кВт; Размеры: 27x88x108 см</t>
  </si>
  <si>
    <t>т19</t>
  </si>
  <si>
    <t>Микроволновая печь предназначена для разогрева готовых блюд и напитков в бытовой/служебной зоне дошкольного учреждения. Объём камеры — не менее 20 л, мощность микроволн — не менее 700 Вт, что обеспечивает быстрый разогрев стандартных порций. Управление выполняется с помощью механических или электронных регуляторов с таймером не менее 30 минут и звуковым сигналом окончания цикла. Внутренняя камера имеет покрытие, устойчивое к загрязнениям и допускающее регулярную влажную очистку. Дверца оснащена надёжным замком и ручкой, исключающей случайное самопроизвольное открывание. Устройство устанавливается на устойчивую поверхность, подключается к сети 220 В и используется взрослыми сотрудниками.</t>
  </si>
  <si>
    <t>т2</t>
  </si>
  <si>
    <t>Акустическая система для музыкального зала</t>
  </si>
  <si>
    <t>Акустическая система Electro-Voice ZLX12 G2 предназначена для озвучивания музыкального зала во время занятий и праздничных мероприятий. Наличие беспроводного микрофона. Обеспечивает качественное воспроизведение звука и ограничение уровня громкости в соответствии с требованиями. Корпус выполнен без острых углов и рассчитан на стационарное использование.</t>
  </si>
  <si>
    <t>т20</t>
  </si>
  <si>
    <t>Микшерный пульт для управления звуковыми источниками</t>
  </si>
  <si>
    <t>Микшерный пульт Razer Audio Maker предназначен для сведения и регулирования звуковых сигналов при проведении музыкальных занятий, утренников и мероприятий. Количество входных каналов — не менее 4, с отдельной регулировкой уровня громкости каждого канала для балансировки микрофонов и фонограммы. Пульт обеспечивает настройку тембра/эквализации не менее по 2 параметрам на канал либо общий эквалайзер для коррекции звучания помещения. Предусмотрена функция защиты от резких звуковых пиков (лимитер/ограничение уровня) или плавная регулировка, уменьшающая риск неприятных «всплесков» громкости. Корпус устойчивый, с читаемой маркировкой органов управления и возможностью размещения на столе/стойке в зоне педагога, вне доступа детей. Подключение осуществляется через стандартные аудиоразъёмы, питание — от сети, эксплуатация соответствует требованиям электробезопасности. Используется для создания разборчивой речи и комфортного музыкального сопровождения.</t>
  </si>
  <si>
    <t>т21</t>
  </si>
  <si>
    <t>МФУ Epson M2110, A4, 15 ppm,1440 x 720 dpi, USB, LAN, tray 150</t>
  </si>
  <si>
    <t>МФУ Epson M2110, A4, 15 ppm,1440 x 720 dpi, USB, LAN, tray 151</t>
  </si>
  <si>
    <t>МФУ Epson M2110, A4, 15 ppm,1440 x 720 dpi, USB, LAN, tray 152</t>
  </si>
  <si>
    <t>МФУ Epson M2110, A4, 15 ppm,1440 x 720 dpi, USB, LAN, tray 153</t>
  </si>
  <si>
    <t>МФУ Epson M2110, A4, 15 ppm,1440 x 720 dpi, USB, LAN, tray 154</t>
  </si>
  <si>
    <t>т22</t>
  </si>
  <si>
    <t xml:space="preserve">Моноблок </t>
  </si>
  <si>
    <t>Моноблок Avtech G40, Intel® Core™ i3-10100 частота 3.60-4,30 GHz 4 ядра 8 потоков, Intel HD Graphics 630, ОЗУ DDR4 8G, ПЗУ SSD 256G, Windows 10/11</t>
  </si>
  <si>
    <t>т23</t>
  </si>
  <si>
    <t>Музыкальный центр (портативная акустическая система)</t>
  </si>
  <si>
    <t>Музыкальный центр Panasonic SC-HC410ee-SАкустическая система предназначена для воспроизведения музыкального и речевого сопровождения в залах и групповых помещениях. Используется при проведении музыкальных занятий, утренников, подвижных игр и мероприятий. Конструкция обеспечивает мобильность, устойчивость и удобство перемещения. Эксплуатируется взрослыми сотрудниками ДОУ.</t>
  </si>
  <si>
    <t>т24</t>
  </si>
  <si>
    <t>Мясорубка epa 22t</t>
  </si>
  <si>
    <t>Хромированный; No:22; Вместимость: 400кг; 380 В; Мощность: 1.1 kW; Размеры:36x78x52 см</t>
  </si>
  <si>
    <t>т25</t>
  </si>
  <si>
    <t>Наушники накладные</t>
  </si>
  <si>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</si>
  <si>
    <t>т26</t>
  </si>
  <si>
    <t>Ноутбук ASUS B1502CVA, Core i7 1355U/15,6"FHD/8GB/256GB SSD/Intel UHD/WL/BT/Cam/W11Pro</t>
  </si>
  <si>
    <t>т27</t>
  </si>
  <si>
    <t>Освещение для вытяжки ce-dla90</t>
  </si>
  <si>
    <t>Нержавеющая сталь 430; 0.03 кВт;  Параметры: 880x30x40 mm</t>
  </si>
  <si>
    <t>т28</t>
  </si>
  <si>
    <t>Очиститель воздуха</t>
  </si>
  <si>
    <t xml:space="preserve">Очиститель воздуха Smartmi Air Purifier P2 </t>
  </si>
  <si>
    <t>т29</t>
  </si>
  <si>
    <t>Парогенератор с утюгом baby 1.8</t>
  </si>
  <si>
    <t>Ручная подача воды; Объем: 1,8 л; 230-1-50 Гц; Размеры: 400x230x320 мм</t>
  </si>
  <si>
    <t>т30</t>
  </si>
  <si>
    <t>Пароконвектомат электрический 217839</t>
  </si>
  <si>
    <t>Пароконвектомат SkyLine Premium, бойлерный; С цифровой панелью управления; На 10 уровней GN 1/1; Программируемый; Встроенная система мойки; Размеры: 867x775x1058 мм; Мощность: 19 кВт; 380-415 V 3N 50-60 Гц</t>
  </si>
  <si>
    <t>т31</t>
  </si>
  <si>
    <t>Плита электрическая vpe7-07</t>
  </si>
  <si>
    <t>6 конфорок; 0,84 м3; Мощность: 15,6 кВт-400 В; Габариты: 1200х700х300 мм</t>
  </si>
  <si>
    <t>т32</t>
  </si>
  <si>
    <t>Посудомоечная машина купольная wz-100-d</t>
  </si>
  <si>
    <t>_Корпус, передняя и боковые панели, моечный бак изготовлены из нержавеющей стали 18/10; Стандартное оборудование: ополаскивающий насос, операционная система 24 В, сливной насос; Корзина: 50х50 см; 3 программы; Продолжительность программ: 1, 1.5 и 2 мин.; Производительность: 1000 тарелок/час, 40 корзин/час</t>
  </si>
  <si>
    <t>т33</t>
  </si>
  <si>
    <t>Пылесос</t>
  </si>
  <si>
    <t>т34</t>
  </si>
  <si>
    <t xml:space="preserve">Рециркулятор </t>
  </si>
  <si>
    <t>ОБЛУЧАТЕЛЬ-РЕЦИРКУЛЯТОР БАКТЕРИЦИДНЫЙ (2х15 ВТ) 825х155х130мм, без подставки, Масса без упаковки, кг: 7</t>
  </si>
  <si>
    <t>т36</t>
  </si>
  <si>
    <t>Сетевой фильтр 5 м.</t>
  </si>
  <si>
    <t>т37</t>
  </si>
  <si>
    <t>Сковорода опрокидываемая электрическая vpe7-22</t>
  </si>
  <si>
    <t>Температура: 50-230 C; Объем: 50 л;  Мощность: 7.2 кВт; Напряжение: 400 V; Габариты: 700x800x850 мм</t>
  </si>
  <si>
    <t>т38</t>
  </si>
  <si>
    <t>Слайсер jp.gd.250</t>
  </si>
  <si>
    <t>Корпус из нержавеющей стали; Изготовлен из анодированного алюминия; Диаметр лезвия: 250 мм; Электрическое подключение: 220 В - 50 Гц; Мощность: 0.24 кВт; Размеры: 535x475x490 мм</t>
  </si>
  <si>
    <t>т39</t>
  </si>
  <si>
    <t>Стерилизатор ножей vbs-10</t>
  </si>
  <si>
    <t>Вместимость: 10 ножей; 0,02 кВт / 230 В; Ультрафиолет; Таймер 0-90 мин; Размеры: 500x117x600мм</t>
  </si>
  <si>
    <t>т4</t>
  </si>
  <si>
    <t>Беговая дорожка электрическая</t>
  </si>
  <si>
    <t>Беговая дорожка Torneo Magic T-400BL используется для выполнения ходьбы и бега в помещении. Оснащена электрическим приводом с регулировкой скорости движения полотна от 1 до 10 км/ч. Размер бегового полотна составляет не менее 94×38 см. Предусмотрена регулировка угла наклона и складная конструкция. Рассчитана на пользователей с массой тела до 90 кг.</t>
  </si>
  <si>
    <t>т40</t>
  </si>
  <si>
    <t>Стиральная машина + сушильная машина qps10</t>
  </si>
  <si>
    <t>т41</t>
  </si>
  <si>
    <t>Стиральная машина fx 240</t>
  </si>
  <si>
    <t>Вместимость: (1:09) 27 кг, (1:10) 24 кг; Объем барабана: 240 л; G-Фактор: 400; Диаметр барабана: 750 mm; Обороты стирки: 42 rpm; Обороты отжима: 980 rpm; 100% горячая вода нагрев: 90 C; Электрический нагрев: 18 Kw; 380-415V/50-60Hz/3Ph+N</t>
  </si>
  <si>
    <t>т42</t>
  </si>
  <si>
    <t>Сушильная машина t 24</t>
  </si>
  <si>
    <t>Вместимость: (1:18) 25 кг, (1:22) 24 кг;Объем барабана: 530 л; Диаметр барабана: 930 мм; Средняя скорость сушки: 0.384 л/мин; Электрическая мощность: 30/36 кВт; 380-415 В/50-60 Гц/3 фазы; Размеры: 1975x965x1270 мм</t>
  </si>
  <si>
    <t>т43</t>
  </si>
  <si>
    <t>Сушильно-гладильная машина i33 200</t>
  </si>
  <si>
    <t>Диаметр вала: 320 мм; Длина вала: 2080 мм; Электрический нагрев; 380-415V/50-60Hz/3Ph+N; Электрический нагрев: 27,9 кВт; Мощность двигателя вала: 0,18 кВт; Мощность двигателя вентилятора: 0,08 (50Hz) кВт; Загрузка: 70 кг/ч</t>
  </si>
  <si>
    <t>т46</t>
  </si>
  <si>
    <t>Тестомес hym 600t</t>
  </si>
  <si>
    <t>Вместимость (мука+вода): 25 кг + 20 л; Котел: o600x290 мм; Размеры: 70x100x104 см; 380 В (Трехфазный); Мощность: 1.1 кВт</t>
  </si>
  <si>
    <t>т47</t>
  </si>
  <si>
    <t>Увлажнитель воздуха</t>
  </si>
  <si>
    <t>Увлажнитель воздуха Redmond RHF-3316</t>
  </si>
  <si>
    <t>т48</t>
  </si>
  <si>
    <t>Уничтожитель документов</t>
  </si>
  <si>
    <t>Устройство предназначено для уничтожения бумажных документов с целью защиты конфиденциальной информации. Используется в административных и служебных помещениях дошкольного учреждения. Обеспечивает механическое измельчение бумаги, подходит для регулярного офисного использования. Конструкция безопасна в эксплуатации, проста в обслуживании, размещается в рабочей зоне персонала.</t>
  </si>
  <si>
    <t>т49</t>
  </si>
  <si>
    <t>Уничтожитель насекомых kp 40</t>
  </si>
  <si>
    <t>Решетчатая система; 220 В / 50 Гц с 2 короткими лампами по 20 Вт; Потребляет 0,04 кВт электроэнергии на 40 Вт; Площадь воздействия 40 м2; Размеры: 700 x 215 x 390 мм.</t>
  </si>
  <si>
    <t>т5</t>
  </si>
  <si>
    <t>Беспроводная микрофонная система для музыкального зала</t>
  </si>
  <si>
    <t>Беспроводная микрофонная система JBL VM200. Комплект включает 1 передатчик (микрофон) и 1 приёмник с возможностью подключения к акустике. Дальность устойчивой работы — не менее 20 м в помещении, приём сигнала стабильный, без слышимых помех при штатной эксплуатации. Корпус элементов выполнен из прочного материала, обеспечивающего защиту от случайных ударов и безопасное использование под контролем взрослого. Система предусматривает защиту от резких звуковых пиков и плавную регулировку уровня, что важно для соблюдения комфортной громкости для детей. Питание — от батарей/аккумуляторов с временем непрерывной работы не менее 3 часов.</t>
  </si>
  <si>
    <t>т50</t>
  </si>
  <si>
    <t>Холодильная камера 4190x3000x2400</t>
  </si>
  <si>
    <t>т500</t>
  </si>
  <si>
    <t>Тепловая завеса</t>
  </si>
  <si>
    <t>Компактная тепловая завеса</t>
  </si>
  <si>
    <t>т52</t>
  </si>
  <si>
    <t>Холодильный стол vsy-2</t>
  </si>
  <si>
    <t>Температура: -2/+8; 0,3 кВт/230 В 1+Н  50/60 Гц; Габариты: 1340х700х850 мм</t>
  </si>
  <si>
    <t>т53</t>
  </si>
  <si>
    <t>Холодильный стол vsy-3</t>
  </si>
  <si>
    <t>Температура: -2/+8 С; Мощность: 0,39 кВт; 230В 1+Н 50/60Гц; Габариты: 1820x700x850 мм</t>
  </si>
  <si>
    <t>т54</t>
  </si>
  <si>
    <t>Холодильный шкаф 1 дверь vsp-1</t>
  </si>
  <si>
    <t>Температура: -2/+8 С; Мощность: 0,3 кВт; 230В 1+Н 50/60Гц; Габариты: 656x811x2050 мм</t>
  </si>
  <si>
    <t>т56</t>
  </si>
  <si>
    <t>Швейная машинка</t>
  </si>
  <si>
    <t>Janome, автомат, электромеханическая, количество швейных операций
22, контроль натяжения нитей, тип челнока вертикальный</t>
  </si>
  <si>
    <t>т57</t>
  </si>
  <si>
    <t>Светодиодный экран предназначен для визуального сопровождения занятий, мероприятий и презентаций. Используется в образовательных и развивающих целях в помещениях дошкольного учреждения.
Размер 2х3 м</t>
  </si>
  <si>
    <t>т6</t>
  </si>
  <si>
    <t>Вентиляция вытяжная</t>
  </si>
  <si>
    <t>Система принудительной вытяжной вентиляции для обеспечения воздухообмена и поддержания комфортного микроклимата в помещении.</t>
  </si>
  <si>
    <t>т63</t>
  </si>
  <si>
    <t>Источник бесперебойного питания UPS SVC V2000-L, 2000VA, 1200W, 2x12v/9 Ah, AVR 175-275V, 2 розет.	Техника	шт.	1	119 000,00	119 000,00			71 339</t>
  </si>
  <si>
    <t>Источник бесперебойного питания UPS SVC V2000-L, 2000VA, 1200W, 2x12v/9 Ah, AVR 175-275V, 2 розет.	Техника	шт.	1	119 000,00	119 000,00			71 340</t>
  </si>
  <si>
    <t>Источник бесперебойного питания UPS SVC V2000-L, 2000VA, 1200W, 2x12v/9 Ah, AVR 175-275V, 2 розет.	Техника	шт.	1	119 000,00	119 000,00			71 341</t>
  </si>
  <si>
    <t>Источник бесперебойного питания UPS SVC V2000-L, 2000VA, 1200W, 2x12v/9 Ah, AVR 175-275V, 2 розет.	Техника	шт.	1	119 000,00	119 000,00			71 342</t>
  </si>
  <si>
    <t>Источник бесперебойного питания UPS SVC V2000-L, 2000VA, 1200W, 2x12v/9 Ah, AVR 175-275V, 2 розет.	Техника	шт.	1	119 000,00	119 000,00			71 343</t>
  </si>
  <si>
    <t>Источник бесперебойного питания UPS SVC V2000-L, 2000VA, 1200W, 2x12v/9 Ah, AVR 175-275V, 2 розет.	Техника	шт.	1	119 000,00	119 000,00			71 344</t>
  </si>
  <si>
    <t>Источник бесперебойного питания UPS SVC V2000-L, 2000VA, 1200W, 2x12v/9 Ah, AVR 175-275V, 2 розет.	Техника	шт.	1	119 000,00	119 000,00			71 345</t>
  </si>
  <si>
    <t>Источник бесперебойного питания UPS SVC V2000-L, 2000VA, 1200W, 2x12v/9 Ah, AVR 175-275V, 2 розет.	Техника	шт.	1	119 000,00	119 000,00			71 346</t>
  </si>
  <si>
    <t>т64</t>
  </si>
  <si>
    <t>Кабель HDMI-HDMI</t>
  </si>
  <si>
    <t>Кабель HDMI-HDMI. Длина: 5м.</t>
  </si>
  <si>
    <t>т65</t>
  </si>
  <si>
    <t>Кабель USB</t>
  </si>
  <si>
    <t>Кабель USB 2.0 Type. Длина: 3 м.</t>
  </si>
  <si>
    <t>т66</t>
  </si>
  <si>
    <t>Телевизор 65"</t>
  </si>
  <si>
    <t>Коммерческий телевизор - 65UN640S, 65 дюймов типа LG</t>
  </si>
  <si>
    <t>Телевизор SONY с функцией Smart TV, диагональ 65 дюймов. Разрешение 3840 x 2160 (Ultra HD)</t>
  </si>
  <si>
    <t>т67</t>
  </si>
  <si>
    <t>Компьютерная мышь</t>
  </si>
  <si>
    <t>т68</t>
  </si>
  <si>
    <t>МФУ цветной</t>
  </si>
  <si>
    <t>т7</t>
  </si>
  <si>
    <t>Зонт вытяжной вентиляционный размерами 1200х700мм с устройством для сбора жировых отложений</t>
  </si>
  <si>
    <t>т8</t>
  </si>
  <si>
    <t xml:space="preserve">Зонт вытяжной вентиляционный </t>
  </si>
  <si>
    <t>Зонт вытяжной вентиляционный размерами 1200х1200мм с устройством для сбора 
жировых отложений</t>
  </si>
  <si>
    <t>т9</t>
  </si>
  <si>
    <t>Зонт вытяжной вентиляционный размерами 3200х2200мм с устройством для сбора 
жировых отложений</t>
  </si>
  <si>
    <t>Совпадение %</t>
  </si>
  <si>
    <t>Код и наименование</t>
  </si>
  <si>
    <r>
      <rPr>
        <b/>
        <sz val="12"/>
        <color theme="1"/>
        <rFont val="Times New Roman"/>
      </rPr>
      <t>Приложение 1</t>
    </r>
  </si>
  <si>
    <t>Приложение 1</t>
  </si>
  <si>
    <r>
      <rPr>
        <sz val="10"/>
        <color theme="1"/>
        <rFont val="Times New Roman"/>
      </rPr>
      <t>521-101-0302 - Стол рабочий на 4 детей. Размер 900*900*570(В) мм, опоры металлические и регулируются по высоте, столешница из мдф толщиной 18 мм</t>
    </r>
  </si>
  <si>
    <r>
      <rPr>
        <sz val="10"/>
        <color theme="1"/>
        <rFont val="Times New Roman"/>
      </rPr>
      <t>Стол рабочий на 4 детей. Размер 900*900*570(В) мм, опоры металлические и регулируются по высоте, столешница из мдф толщиной 18 мм</t>
    </r>
  </si>
  <si>
    <r>
      <rPr>
        <sz val="10"/>
        <color rgb="FF000000"/>
        <rFont val="Times New Roman"/>
      </rPr>
      <t xml:space="preserve">521-101-0304-0006 - Стенка в
</t>
    </r>
    <r>
      <rPr>
        <sz val="10"/>
        <color rgb="FF000000"/>
        <rFont val="Times New Roman"/>
      </rPr>
      <t>игровую "Кухня" 1160х380х900 мм</t>
    </r>
  </si>
  <si>
    <t>Стенка в
игровую "Кухня" 1160х380х900 мм</t>
  </si>
  <si>
    <r>
      <rPr>
        <sz val="10"/>
        <color rgb="FF000000"/>
        <rFont val="Times New Roman"/>
      </rPr>
      <t xml:space="preserve">Материал изготовления ЛДСП 16 мм, класс эмиссии Е1. Кромки деталей облицованы полимерным кромочным материалом (ПВХ), толщиной 1,5 мм.
</t>
    </r>
    <r>
      <rPr>
        <sz val="10"/>
        <color rgb="FF000000"/>
        <rFont val="Times New Roman"/>
      </rPr>
      <t>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r>
  </si>
  <si>
    <r>
      <rPr>
        <sz val="10"/>
        <color rgb="FF000000"/>
        <rFont val="Times New Roman"/>
      </rPr>
      <t xml:space="preserve">521-101-0304-0007 - Стенка в
</t>
    </r>
    <r>
      <rPr>
        <sz val="10"/>
        <color rgb="FF000000"/>
        <rFont val="Times New Roman"/>
      </rPr>
      <t>игровую "Парикмахерская" 1200х300х1300 мм</t>
    </r>
  </si>
  <si>
    <t>Стенка в
игровую "Парикмахерская" 1200х300х1300 мм</t>
  </si>
  <si>
    <r>
      <rPr>
        <sz val="10"/>
        <color theme="1"/>
        <rFont val="Times New Roman"/>
      </rPr>
      <t>Материал изготовления ЛДСП 16 мм, класс эмиссии Е1. Кромки деталей облицованы полимерным кромочным материалом (ПВХ), толщиной 1,5 мм. Укомплектовано обработанным зеркалом.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r>
  </si>
  <si>
    <r>
      <rPr>
        <sz val="10"/>
        <color rgb="FF000000"/>
        <rFont val="Times New Roman"/>
      </rPr>
      <t xml:space="preserve">521-101-0304-0008 - Стенка в
</t>
    </r>
    <r>
      <rPr>
        <sz val="10"/>
        <color rgb="FF000000"/>
        <rFont val="Times New Roman"/>
      </rPr>
      <t>игровую "Магазин" 1200х500х960 мм</t>
    </r>
  </si>
  <si>
    <t>Стенка в
игровую "Магазин" 1200х500х960 мм</t>
  </si>
  <si>
    <r>
      <rPr>
        <sz val="10"/>
        <color theme="1"/>
        <rFont val="Times New Roman"/>
      </rPr>
      <t>Материал изготовления ЛДСП 16 мм, класс эмиссии Е1. Кромки деталей одлицованы полимерным кромочным материалом (ПВХ), толщиной 1,5 мм.Фасады изготавливаются из цветного ЛДСП.Фурнитура: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t>
    </r>
  </si>
  <si>
    <r>
      <rPr>
        <sz val="10"/>
        <color rgb="FF000000"/>
        <rFont val="Times New Roman"/>
      </rPr>
      <t xml:space="preserve">521-101-0304-0009 - Стенка
</t>
    </r>
    <r>
      <rPr>
        <sz val="10"/>
        <color rgb="FF000000"/>
        <rFont val="Times New Roman"/>
      </rPr>
      <t>модульная, материал ЛДСП 16 мм, кромка ПВХ, размеры 3600х470х2030 мм</t>
    </r>
  </si>
  <si>
    <t>Стенка
модульная, материал ЛДСП 16 мм, кромка ПВХ, размеры 3600х470х2030 мм</t>
  </si>
  <si>
    <r>
      <rPr>
        <sz val="10"/>
        <color theme="1"/>
        <rFont val="Times New Roman"/>
      </rPr>
      <t>Материал ЛДСП 16 мм, кромка ПВХ 0,4 мм. Стенка состоит из трех шкафов. Первый шкаф длиной 800 мм, состоит из 5 закрытых секций и 2 открытых. Второй длиной 2000 мм и высотой 1200 мм, состоит из 4 закрытых и 3 открытых секций. Третий шкаф длиной 800 и высотой 1600 мм, состоит из 5 закрытых и 2 открытых секций. Фасады имеют комбинированную расцветку.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Петля для дверок должна быть шарнирная накладная с функцией «softclose». Мебельные ножки должны регулироваться по высоте для компенсации неровностей пола.</t>
    </r>
  </si>
  <si>
    <r>
      <rPr>
        <sz val="10"/>
        <color rgb="FF000000"/>
        <rFont val="Times New Roman"/>
      </rPr>
      <t xml:space="preserve">521-101-0304-0010 - Стенка
</t>
    </r>
    <r>
      <rPr>
        <sz val="10"/>
        <color rgb="FF000000"/>
        <rFont val="Times New Roman"/>
      </rPr>
      <t>"Домик", материал из ЛДСП 16 мм, размеры 1800х450х1318 мм</t>
    </r>
  </si>
  <si>
    <t>Стенка
"Домик", материал из ЛДСП 16 мм, размеры 1800х450х1318 мм</t>
  </si>
  <si>
    <r>
      <rPr>
        <sz val="10"/>
        <color rgb="FF000000"/>
        <rFont val="Times New Roman"/>
      </rPr>
      <t xml:space="preserve">Стенка выполнена из ЛДСП 16 мм. Домик установлена на ЛДСП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¾ радиусом 90мм.
</t>
    </r>
    <r>
      <rPr>
        <sz val="10"/>
        <color rgb="FF000000"/>
        <rFont val="Times New Roman"/>
      </rPr>
      <t xml:space="preserve">Задняя стенка ЛДСП 16 мм. С двух сторон полки размером 290х448, первый ряд расположен на высоте 412 мм от пола, второй ряд 774 мм. На полках 1 угол с закруглением радиусом 120 мм. Полки закрепленына задней стенке выполненной из ЛДСП с фигурным вырезом. С 2х сторон у основания домика расположены соединительные элементы 145х170 мм, закруглена на ¾ радиусом 90 мм. Изделие установлено на пластиковые
</t>
    </r>
    <r>
      <rPr>
        <sz val="10"/>
        <color rgb="FF000000"/>
        <rFont val="Times New Roman"/>
      </rPr>
      <t>опоры размером 30 мм.</t>
    </r>
  </si>
  <si>
    <r>
      <rPr>
        <sz val="10"/>
        <color rgb="FF000000"/>
        <rFont val="Times New Roman"/>
      </rPr>
      <t xml:space="preserve">521-101-0304-0011 - Стенка под
</t>
    </r>
    <r>
      <rPr>
        <sz val="10"/>
        <color rgb="FF000000"/>
        <rFont val="Times New Roman"/>
      </rPr>
      <t>пуфы на 12 ячеек, материал ЛДСП 16 мм, размеры 1324х400х1790 мм</t>
    </r>
  </si>
  <si>
    <t>Стенка под
пуфы на 12 ячеек, материал ЛДСП 16 мм, размеры 1324х400х1790 мм</t>
  </si>
  <si>
    <r>
      <rPr>
        <sz val="10"/>
        <color theme="1"/>
        <rFont val="Times New Roman"/>
      </rPr>
      <t>Стенка представляет из себя открытый стеллаж, поделенный вертикальными и горизонтальными стойками на 12 ячеек. Несущие части, полки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Мебельные ножки должны регулироваться по высоте для компенсации неровностей пола.</t>
    </r>
  </si>
  <si>
    <r>
      <rPr>
        <sz val="10"/>
        <color theme="1"/>
        <rFont val="Times New Roman"/>
      </rPr>
      <t>521-101-0305 - Мебель для игрушек</t>
    </r>
  </si>
  <si>
    <r>
      <rPr>
        <sz val="10"/>
        <color rgb="FF000000"/>
        <rFont val="Times New Roman"/>
      </rPr>
      <t xml:space="preserve">Мебель для игрушек. Состоит из стеллажей с пластиковыми лотками, изготовлены из ЛДСП, задняя стенка ХДФ, размеры
</t>
    </r>
    <r>
      <rPr>
        <sz val="10"/>
        <color rgb="FF000000"/>
        <rFont val="Times New Roman"/>
      </rPr>
      <t>520/930/1340/930/520*2300*350мм.</t>
    </r>
  </si>
  <si>
    <r>
      <rPr>
        <sz val="10"/>
        <color theme="1"/>
        <rFont val="Times New Roman"/>
      </rPr>
      <t>521-101-0307-0001 - Шкаф стеллаж для игрушек и пособий, ЛДСП 16 мм, размеры 2572х425х1230мм</t>
    </r>
  </si>
  <si>
    <t>Шкаф стеллаж для игрушек и пособий, ЛДСП 16 мм, размеры 2572х425х1230мм</t>
  </si>
  <si>
    <r>
      <rPr>
        <sz val="10"/>
        <color rgb="FF000000"/>
        <rFont val="Times New Roman"/>
      </rPr>
      <t xml:space="preserve">Шкаф стеллаж для игрушек и пособий, ЛДСП 16 мм, ножки регулируемые.
</t>
    </r>
    <r>
      <rPr>
        <sz val="10"/>
        <color rgb="FF000000"/>
        <rFont val="Times New Roman"/>
      </rPr>
      <t>Размеры 2572х425х1230мм</t>
    </r>
  </si>
  <si>
    <r>
      <rPr>
        <sz val="10"/>
        <color theme="1"/>
        <rFont val="Times New Roman"/>
      </rPr>
      <t>521-101-0401-0028 - 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r>
  </si>
  <si>
    <r>
      <rPr>
        <sz val="10"/>
        <color rgb="FF000000"/>
        <rFont val="Times New Roman"/>
      </rPr>
      <t xml:space="preserve">- Компьютер Smart SSP CT РК 1996-2010 (с поддержкой казахского языка);
</t>
    </r>
    <r>
      <rPr>
        <sz val="10"/>
        <color rgb="FF000000"/>
        <rFont val="Times New Roman"/>
      </rPr>
      <t xml:space="preserve">- Корпус: цельнометаллический корпус с перфорацией Smart SSP ГОСТ 32126.1-2013 Размеры: (430мм*90мм*395мм); - Процессор:Intel CoreI5 13400 10 / 16 ; L3 20 МБ; Базовая частота процессора (МГц) 1,8 ГГц; Максимальная частота (МГц) 4,6 ГГц; встроенный графический процессор;
</t>
    </r>
    <r>
      <rPr>
        <sz val="10"/>
        <color rgb="FF000000"/>
        <rFont val="Times New Roman"/>
      </rPr>
      <t xml:space="preserve">- Оперативная память: Комплект модулей памяти DDR5, 16GB Тактовая частота: 4800 Мгц Жесткий диск: SSD 512 M2 Порты и системы передачи данных: 7 портов: 2 порта USB 3.0, 2 порта USB 2.0, 1 порта HDMI, 1
</t>
    </r>
    <r>
      <rPr>
        <sz val="10"/>
        <color rgb="FF000000"/>
        <rFont val="Times New Roman"/>
      </rPr>
      <t xml:space="preserve">Type-C, RJ-45 х 1, 1 VGA; 1 Материнская плата не менее 1 (одного) разъема М.2, не менее 1 (одного) слота PCI Express 3.0 x 4, не менее 1 (одного) Ethernet-скорость – не менее 1 Гбит/сек. Блока питания 300 Вт. 80 PLUS Gold. Кабель питания 1,8 метра; - Монитор: SMART IPS 24 с ультратонкой рамкой FHD 1920x1080 Герц (Гц) 75 HDMI, 1 порт Display Port. Разъем для наушников, аудиовход 3.5 мм MiniJack; встроенные динамики  2х2 Вт; режимы –  умное энергосбережение, безопасный режим мерцания, режим чтения, динамическая синхронизация действий; яркость экрана - 250 кд/кв.м; - Сетевой фильтр 1,8 метра сумарная мощность нагрузки 2200 / 10А - Веб-камера: Full Hd, 3 мегапикселя; - Микрофонно-телефонная гарнитура: Тип крепления гарнитуры - дуговое. Частотный диапазон: нижняя граница не более 20Гц и верхняя граница 20000 Гц. Мощность 50 мВт. Сопротивление 32 Ом. Длина кабеля 1,8 м, мягкие
</t>
    </r>
    <r>
      <rPr>
        <sz val="10"/>
        <color rgb="FF000000"/>
        <rFont val="Times New Roman"/>
      </rPr>
      <t xml:space="preserve">накладки-амбушюры, регулятор громкости, специальный разъем для подключения к компьютеру. Аудиовыход комбинированный 3.5 мм; - Клавиатура Мышь: Клавиатура+мышь(с поддержкой казахского языка); -
</t>
    </r>
    <r>
      <rPr>
        <sz val="10"/>
        <color rgb="FF000000"/>
        <rFont val="Times New Roman"/>
      </rPr>
      <t>Программное обеспечение: Windows 11 PRO/ Office 2019 - Гарантия 3 года, на обслуживание 5 лет;</t>
    </r>
  </si>
  <si>
    <r>
      <rPr>
        <sz val="10"/>
        <color rgb="FF000000"/>
        <rFont val="Times New Roman"/>
      </rPr>
      <t xml:space="preserve">521-101-0401-0030 - Системный
</t>
    </r>
    <r>
      <rPr>
        <sz val="10"/>
        <color rgb="FF000000"/>
        <rFont val="Times New Roman"/>
      </rPr>
      <t xml:space="preserve">блок HP Pro Tower 400 G9 P 260W / Intel Core i3-14100 4.70G 12 MB 4
</t>
    </r>
    <r>
      <rPr>
        <sz val="10"/>
        <color rgb="FF000000"/>
        <rFont val="Times New Roman"/>
      </rPr>
      <t xml:space="preserve">cores 65W CPU / 8GB (1x8GB) DDR5 4800 UDIMM Memory / 256GB 2280 PCIe NVMe Value Solid State Drive / Windows 11 Pro 64 / HP 125 BLK Wired Keyboard / HP Black 125 Wired Mouse / HP 3 year Next Business Day Onsite Desktop excl.
</t>
    </r>
    <r>
      <rPr>
        <sz val="10"/>
        <color rgb="FF000000"/>
        <rFont val="Times New Roman"/>
      </rPr>
      <t>External Monitor Hardware Support</t>
    </r>
  </si>
  <si>
    <t>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</si>
  <si>
    <r>
      <rPr>
        <sz val="10"/>
        <color theme="1"/>
        <rFont val="Times New Roman"/>
      </rPr>
      <t>- Персональный компьютер HP Pro Tower 400 G9 260W - Програмное обеспечение (ПО) Windows 11 Pro - Клавиатура HP 125 BLK Wired  - Компьютерная мышь HP Black 125 Wired - Office LTSC Professional Plus 2021 - Акустическая система Logitech Z150</t>
    </r>
  </si>
  <si>
    <r>
      <rPr>
        <sz val="10"/>
        <color rgb="FF000000"/>
        <rFont val="Times New Roman"/>
      </rPr>
      <t xml:space="preserve">521-101-0401-0031 - Lenovo Neo
</t>
    </r>
    <r>
      <rPr>
        <sz val="10"/>
        <color rgb="FF000000"/>
        <rFont val="Times New Roman"/>
      </rPr>
      <t xml:space="preserve">50s/Core™ i5-12400 Processor (P-cores 2.50 GHz up to 4.40
</t>
    </r>
    <r>
      <rPr>
        <sz val="10"/>
        <color rgb="FF000000"/>
        <rFont val="Times New Roman"/>
      </rPr>
      <t xml:space="preserve">GHz)/256 GB SSD M.2 2280/4 GB
</t>
    </r>
    <r>
      <rPr>
        <sz val="10"/>
        <color rgb="FF000000"/>
        <rFont val="Times New Roman"/>
      </rPr>
      <t>DDR4-3200MHz+ монитор Lenovo C24-40</t>
    </r>
  </si>
  <si>
    <t>Lenovo Neo
50s/Core™ i5-12400 Processor (P-cores 2.50 GHz up to 4.40
GHz)/256 GB SSD M.2 2280/4 GB
DDR4-3200MHz+ монитор Lenovo C24-40</t>
  </si>
  <si>
    <r>
      <rPr>
        <sz val="10"/>
        <color rgb="FF000000"/>
        <rFont val="Times New Roman"/>
      </rPr>
      <t xml:space="preserve">-Компьютер Lenovo Neo 50s, Core™ i5-12400/Processor (P-cores 2.50 GHz up to 4.40 GHz)/256 GB SSD M.2 2280/4 GB DDR4-3200MHz (UDIMM)
</t>
    </r>
    <r>
      <rPr>
        <sz val="10"/>
        <color rgb="FF000000"/>
        <rFont val="Times New Roman"/>
      </rPr>
      <t xml:space="preserve">-Монитор
</t>
    </r>
    <r>
      <rPr>
        <sz val="10"/>
        <color rgb="FF000000"/>
        <rFont val="Times New Roman"/>
      </rPr>
      <t>Lenovo C24-40, 23.8"/VA/1920x1080/16:9/75 Hz</t>
    </r>
  </si>
  <si>
    <r>
      <rPr>
        <sz val="10"/>
        <color theme="1"/>
        <rFont val="Times New Roman"/>
      </rPr>
      <t>521-101-0401-0066 - Персональный компьютер Smart SSP, монитор Smart IPS 23,8/ i5-12400/8GB/SSD 240GB</t>
    </r>
  </si>
  <si>
    <r>
      <rPr>
        <sz val="10"/>
        <color rgb="FF000000"/>
        <rFont val="Times New Roman"/>
      </rPr>
      <t xml:space="preserve">Персональный компьютер Smart SSP CT РК 1996-2010; монитор SMART IPS 23.8 с ультратонкой рамкой FHD 1920x1080 Герц (Гц)  75; процессор
</t>
    </r>
    <r>
      <rPr>
        <sz val="10"/>
        <color rgb="FF000000"/>
        <rFont val="Times New Roman"/>
      </rPr>
      <t>i5-12400; охлаждение центрального процессора S1700/1200/115x/775/AMD, 100W,12cm fan, 1600rpm; оперативная память 8GB; твёрдотельный накопитель SSD 240Gb; корпус Smart SSP  цельнометаллический корпус с перфорацией (430мм*90мм*395мм); ПО Windows 10PRO; клавиатура+мышь; 3 года гарантии+2 года сервис.</t>
    </r>
  </si>
  <si>
    <r>
      <rPr>
        <sz val="10"/>
        <color theme="1"/>
        <rFont val="Times New Roman"/>
      </rPr>
      <t>521-101-0401-0067 - Сетевой фильтр типа Surge Protector</t>
    </r>
  </si>
  <si>
    <r>
      <rPr>
        <sz val="10"/>
        <color theme="1"/>
        <rFont val="Times New Roman"/>
      </rPr>
      <t>Производитель HONGKONG SUNO TECHNOLOGY LIMITED,  Мощность на выходе 2200 Вт, Напряжение на входе 220-230В,  Тип устройства Сетевой фильр,  Количество выходных розеток 6, Тип розеток , Длина кабеля 5м, Вес изделия (кг) 0,700.</t>
    </r>
  </si>
  <si>
    <r>
      <rPr>
        <sz val="10"/>
        <color rgb="FF000000"/>
        <rFont val="Times New Roman"/>
      </rPr>
      <t xml:space="preserve">521-101-0401-0080 - Компьютер
</t>
    </r>
    <r>
      <rPr>
        <sz val="10"/>
        <color rgb="FF000000"/>
        <rFont val="Times New Roman"/>
      </rPr>
      <t>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r>
  </si>
  <si>
    <t>Компьютер
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</si>
  <si>
    <r>
      <rPr>
        <sz val="10"/>
        <color rgb="FF000000"/>
        <rFont val="Times New Roman"/>
      </rPr>
      <t xml:space="preserve">Тактовая частота: 3200 Мгц, система беспроводной передачи данных и наличие 6 портов: 2 порта USB 3.0, 2 порта USB 2.0, 1 порта HDMI,  RJ-45 х 1, 1 для аудио/микрофона или порты с иной раскладкой превосходящие текущие параметры. Устройство хранения данных: 512 Гб SSD, материнская плата  1 разъема М.2,  1 слота PCI Express 3.0 x 4. Системный блок с кабелем питания. Монитор: разрешение экрана –  1920x1080, диагональ -  23,8 дюймов; Порты 1 порта HDMI, 1 порта Display Port.
</t>
    </r>
    <r>
      <rPr>
        <sz val="10"/>
        <color rgb="FF000000"/>
        <rFont val="Times New Roman"/>
      </rPr>
      <t xml:space="preserve">Разъем для наушников, аудиовход 3.5 мм MiniJack. Умное энергосбережение, безопасный режим мерцания, режим чтения, динамическая синхронизация действий. Минимальная яркость экрана  250 кд/кв.м. Матрица  VA или IPS. Максимальная частота обновления кадров не менее 75 Гц. Мин. время отклика пикселя не более 4 мс. Веб-камера: 2 МП, поддержка Full Hd. Клавиатура: проводная; языки: казахский/русский/английский с заводским нанесением букв, мембранная, длина провода  1,5 метра. Мышь: проводная, оптическая, USB 1,5 метра с ковриком. Микрофонно-телефонная гарнитура: тип крепления дуговое, длина кабеля  1,8 м. Мягкие накладки-амбушюры, регулятор громкости.
</t>
    </r>
    <r>
      <rPr>
        <sz val="10"/>
        <color rgb="FF000000"/>
        <rFont val="Times New Roman"/>
      </rPr>
      <t xml:space="preserve">Аудиовыход комбинированный  3.5 мм. Сетевой фильтр: количество выходных розеток 5, длина шнура 1.8 м. В комплекте с системным блоком, клавиатурой, мышью (с ковриком), микрофонной  гарнитурой, веб-камерой,
</t>
    </r>
    <r>
      <rPr>
        <sz val="10"/>
        <color rgb="FF000000"/>
        <rFont val="Times New Roman"/>
      </rPr>
      <t>сетевым фильтром, монитором.</t>
    </r>
  </si>
  <si>
    <r>
      <rPr>
        <sz val="10"/>
        <color rgb="FF000000"/>
        <rFont val="Times New Roman"/>
      </rPr>
      <t xml:space="preserve">521-101-0410-0008 - Ноутбук
</t>
    </r>
    <r>
      <rPr>
        <sz val="10"/>
        <color rgb="FF000000"/>
        <rFont val="Times New Roman"/>
      </rPr>
      <t>Lenovo ThinkBook 15 G4/Core™ i3-1215U Processor/256 GB SSD+мышь Lenovo ThinkPad Essential Wireless Mouse</t>
    </r>
  </si>
  <si>
    <t>Ноутбук
Lenovo ThinkBook 15 G4/Core™ i3-1215U Processor/256 GB SSD+мышь Lenovo ThinkPad Essential Wireless Mouse</t>
  </si>
  <si>
    <r>
      <rPr>
        <sz val="10"/>
        <color rgb="FF000000"/>
        <rFont val="Times New Roman"/>
      </rPr>
      <t xml:space="preserve">- Ноутбук  Lenovo ThinkBook 15 G4/Core™ i3-1215U Processor (E-cores up to 3.30 GHz P-cores up to 4.40 GHz)/256 GB SSD M.2 2242 PCIe Gen4 TLC/8 GB (8GB Onboard + 0 SoDIMM) DDR4 3200MHz
</t>
    </r>
    <r>
      <rPr>
        <sz val="10"/>
        <color rgb="FF000000"/>
        <rFont val="Times New Roman"/>
      </rPr>
      <t xml:space="preserve">- Лицензия Office Home and
</t>
    </r>
    <r>
      <rPr>
        <sz val="10"/>
        <color rgb="FF000000"/>
        <rFont val="Times New Roman"/>
      </rPr>
      <t xml:space="preserve">Student 2021                                                       - ПО Windows 11 Pro 64 Academ
</t>
    </r>
    <r>
      <rPr>
        <sz val="10"/>
        <color rgb="FF000000"/>
        <rFont val="Times New Roman"/>
      </rPr>
      <t>- Мышь Lenovo ThinkPad Essential Wireless Mouse</t>
    </r>
  </si>
  <si>
    <r>
      <rPr>
        <sz val="10"/>
        <color theme="1"/>
        <rFont val="Times New Roman"/>
      </rPr>
      <t>521-101-0410-0049 - 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r>
  </si>
  <si>
    <r>
      <rPr>
        <sz val="10"/>
        <color rgb="FF000000"/>
        <rFont val="Times New Roman"/>
      </rPr>
      <t xml:space="preserve">Клавиатура и мышь. Покрытие экрана: Матовое, Частота обновления: 60 Гц, Яркость: 250 Кд/м², Плотность пикселей: 141 ppi, Внешний вид: Цвет: черный, Материал корпуса: Алюминий, Шторка веб-камеры имеется.
</t>
    </r>
    <r>
      <rPr>
        <sz val="10"/>
        <color rgb="FF000000"/>
        <rFont val="Times New Roman"/>
      </rPr>
      <t xml:space="preserve">Распознавание лица: нет, Устройства ввода: клавиатура, Раскладка клавиатуры: английская/русская/казахская, Цифровой блок клавиатуры: имеется, Подсветка клавиш: одноцветная (белая), Тачпад: стандартный тачпад, Интернет/передача данных: Bluetooth: 5.2, Wifi: WIFI 6(802.11ax1), Разъемы периферии: RJ45: 1,  HDMI 2.0: 1, Type-C: 1, USB-A 3.0: 2, USB-A
</t>
    </r>
    <r>
      <rPr>
        <sz val="10"/>
        <color rgb="FF000000"/>
        <rFont val="Times New Roman"/>
      </rPr>
      <t xml:space="preserve">2.0: 1,  Аудиоразъем 3 .5 мм jack (микрофон/аудио): 1. SD card: 1, Питание:
</t>
    </r>
    <r>
      <rPr>
        <sz val="10"/>
        <color rgb="FF000000"/>
        <rFont val="Times New Roman"/>
      </rPr>
      <t>Батарея: 49.08Wh (11.55V/4250MA), Приблизительное время автономной работы: 6 ч, Выходная мощность адаптера питания: 65 Вт</t>
    </r>
  </si>
  <si>
    <r>
      <rPr>
        <sz val="10"/>
        <color theme="1"/>
        <rFont val="Times New Roman"/>
      </rPr>
      <t>521-101-0417-0009 - Коммерческий телевизор - 86UN640S, 86 дюймов типа LG</t>
    </r>
  </si>
  <si>
    <t>Коммерческий телевизор</t>
  </si>
  <si>
    <t>86UN640S, 86 дюймов типа LG</t>
  </si>
  <si>
    <r>
      <rPr>
        <sz val="10"/>
        <color theme="1"/>
        <rFont val="Times New Roman"/>
      </rPr>
      <t>Базовая комплектация: пульт дистанционного управления L-Con, кабель питания (2 м, прилагается) Дополнительный противоугонный аксессуар Chromecast</t>
    </r>
  </si>
  <si>
    <r>
      <rPr>
        <sz val="10"/>
        <color theme="1"/>
        <rFont val="Times New Roman"/>
      </rPr>
      <t>521-101-0417-0010 - Коммерческий телевизор - 75UN640S, 75 дюймов типа LG</t>
    </r>
  </si>
  <si>
    <t>75UN640S, 75 дюймов типа LG</t>
  </si>
  <si>
    <r>
      <rPr>
        <sz val="10"/>
        <color theme="1"/>
        <rFont val="Times New Roman"/>
      </rPr>
      <t>Базовая комплектация: пульт дистанционного управления L-Con, кабель питания (2 м, прилагается) Дополнительно приобретаемая комплектация: противоугонный аксессуар Chromecast</t>
    </r>
  </si>
  <si>
    <r>
      <rPr>
        <sz val="10"/>
        <color theme="1"/>
        <rFont val="Times New Roman"/>
      </rPr>
      <t>521-101-0417-0011 - Коммерческий телевизор - 65UN640S, 65 дюймов типа LG</t>
    </r>
  </si>
  <si>
    <t>65UN640S, 65 дюймов типа LG</t>
  </si>
  <si>
    <r>
      <rPr>
        <sz val="10"/>
        <color theme="1"/>
        <rFont val="Times New Roman"/>
      </rPr>
      <t>Базовая комплектация: пульт дистанционного управления типа S-can, отсоединенный кабель питания (1,5 м, прямой), противоугонная крышка для ключа Chromecast</t>
    </r>
  </si>
  <si>
    <r>
      <rPr>
        <sz val="10"/>
        <color theme="1"/>
        <rFont val="Times New Roman"/>
      </rPr>
      <t>521-101-0417-0012 - Коммерческий телевизор - 55UN640S, 55 дюймов типа LG</t>
    </r>
  </si>
  <si>
    <t>55UN640S, 55 дюймов типа LG</t>
  </si>
  <si>
    <r>
      <rPr>
        <sz val="10"/>
        <color theme="1"/>
        <rFont val="Times New Roman"/>
      </rPr>
      <t>Базовая комплектация: пульт дистанционного управления типа S-can, отсоединенный кабель питания (1,5 м, прямой), противоугонная крышка для ключа Chromecast</t>
    </r>
  </si>
  <si>
    <r>
      <rPr>
        <sz val="10"/>
        <color theme="1"/>
        <rFont val="Times New Roman"/>
      </rPr>
      <t>521-101-0417-0013 - Коммерческий телевизор - 50UN640S, 50 дюймов типа LG</t>
    </r>
  </si>
  <si>
    <t>50UN640S, 50 дюймов типа LG</t>
  </si>
  <si>
    <r>
      <rPr>
        <sz val="10"/>
        <color theme="1"/>
        <rFont val="Times New Roman"/>
      </rPr>
      <t>Базовая комплектация: пульт дистанционного управления типа S-can, отсоединенный кабель питания (1,5 м, прямой), противоугонная крышка для ключа Chromecast</t>
    </r>
  </si>
  <si>
    <r>
      <rPr>
        <sz val="10"/>
        <color theme="1"/>
        <rFont val="Times New Roman"/>
      </rPr>
      <t>521-101-0417-0014 - Коммерческий телевизор - 43UN640S, 43 дюйма типа LG</t>
    </r>
  </si>
  <si>
    <t>43UN640S, 43 дюйма типа LG</t>
  </si>
  <si>
    <r>
      <rPr>
        <sz val="10"/>
        <color theme="1"/>
        <rFont val="Times New Roman"/>
      </rPr>
      <t>Базовая комплектация: пульт дистанционного управления типа S-can, отсоединенный кабель питания (1,5 м, прямой), противоугонная крышка для ключа Chromecast</t>
    </r>
  </si>
  <si>
    <r>
      <rPr>
        <sz val="10"/>
        <color rgb="FF000000"/>
        <rFont val="Times New Roman"/>
      </rPr>
      <t xml:space="preserve">521-101-0419-0012 - Принтер
</t>
    </r>
    <r>
      <rPr>
        <sz val="10"/>
        <color rgb="FF000000"/>
        <rFont val="Times New Roman"/>
      </rPr>
      <t xml:space="preserve">Катюша P247, монохромный лазерный, 47 стр/мин, А4 Ч/Б, 1200 dpi, CPU 800 МГц, 512 Мб RAM,
</t>
    </r>
    <r>
      <rPr>
        <sz val="10"/>
        <color rgb="FF000000"/>
        <rFont val="Times New Roman"/>
      </rPr>
      <t>Ethernet, USB, USB-host, Wi-Fi, PS3, PCL5/6, PDF, GDI</t>
    </r>
  </si>
  <si>
    <t>Принтер
Катюша P247, монохромный лазерный, 47 стр/мин, А4 Ч/Б, 1200 dpi, CPU 800 МГц, 512 Мб RAM,
Ethernet, USB, USB-host, Wi-Fi, PS3, PCL5/6, PDF, GDI</t>
  </si>
  <si>
    <r>
      <rPr>
        <sz val="10"/>
        <color theme="1"/>
        <rFont val="Times New Roman"/>
      </rPr>
      <t>2,2" экран, клавиатура. Тонер 3 000 отп., заменяемый 13 000 отп.</t>
    </r>
  </si>
  <si>
    <r>
      <rPr>
        <sz val="10"/>
        <color rgb="FF000000"/>
        <rFont val="Times New Roman"/>
      </rPr>
      <t xml:space="preserve">521-101-0419-0013 - Принтер
</t>
    </r>
    <r>
      <rPr>
        <sz val="10"/>
        <color rgb="FF000000"/>
        <rFont val="Times New Roman"/>
      </rPr>
      <t>Катюша P247e, монохромный лазерный, 47 стр/мин, А4 Ч/Б, 1200 dpi, CPU 1 ГГц, 2 ГБ RAM, Ethernet, USB, USB-host, Wi-Fi. PS3, PCL5/6, PDF, GDI</t>
    </r>
  </si>
  <si>
    <t>Принтер
Катюша P247e, монохромный лазерный, 47 стр/мин, А4 Ч/Б, 1200 dpi, CPU 1 ГГц, 2 ГБ RAM, Ethernet, USB, USB-host, Wi-Fi. PS3, PCL5/6, PDF, GDI</t>
  </si>
  <si>
    <r>
      <rPr>
        <sz val="10"/>
        <color theme="1"/>
        <rFont val="Times New Roman"/>
      </rPr>
      <t>2,2" экран, клавиатура. Тонер 3 000 отп., 13 000 отп.</t>
    </r>
  </si>
  <si>
    <r>
      <rPr>
        <sz val="10"/>
        <color rgb="FF000000"/>
        <rFont val="Times New Roman"/>
      </rPr>
      <t xml:space="preserve">521-101-0419-0014 - Принтер
</t>
    </r>
    <r>
      <rPr>
        <sz val="10"/>
        <color rgb="FF000000"/>
        <rFont val="Times New Roman"/>
      </rPr>
      <t>Катюша P133, монохромный лазерный, 33 стр/мин А4 Ч/Б, 1200 dpi. 256 МБ RAM, Ethernet, USB, USB-host</t>
    </r>
  </si>
  <si>
    <t>Принтер
Катюша P133, монохромный лазерный, 33 стр/мин А4 Ч/Б, 1200 dpi. 256 МБ RAM, Ethernet, USB, USB-host</t>
  </si>
  <si>
    <r>
      <rPr>
        <sz val="10"/>
        <color theme="1"/>
        <rFont val="Times New Roman"/>
      </rPr>
      <t>Тонер в комплекте на 700 отп</t>
    </r>
  </si>
  <si>
    <r>
      <rPr>
        <sz val="10"/>
        <color rgb="FF000000"/>
        <rFont val="Times New Roman"/>
      </rPr>
      <t xml:space="preserve">521-101-0419-0019 - Принтер
</t>
    </r>
    <r>
      <rPr>
        <sz val="10"/>
        <color rgb="FF000000"/>
        <rFont val="Times New Roman"/>
      </rPr>
      <t xml:space="preserve">монохромный, Xerox, B230DNI, B230V_DNI, лазерный, А4, 34 стр./мин., подача 251 лист, ЖК Дисплей, 1 ГГц CPU, 256 МБ RAM,
</t>
    </r>
    <r>
      <rPr>
        <sz val="10"/>
        <color rgb="FF000000"/>
        <rFont val="Times New Roman"/>
      </rPr>
      <t>USB 2.0, Ethernet 10/100, Wi-Fi</t>
    </r>
  </si>
  <si>
    <t>Принтер
монохромный, Xerox, B230DNI, B230V_DNI, лазерный, А4, 34 стр./мин., подача 251 лист, ЖК Дисплей, 1 ГГц CPU, 256 МБ RAM,
USB 2.0, Ethernet 10/100, Wi-Fi</t>
  </si>
  <si>
    <r>
      <rPr>
        <sz val="10"/>
        <color theme="1"/>
        <rFont val="Times New Roman"/>
      </rPr>
      <t>Принтер Xerox B230DNI, шнур питания, чёрный картридж (ресурс 1200 страниц), диск с программным обеспечением и документацией, паспорт безопасности продукта, краткое руководство пользователя</t>
    </r>
  </si>
  <si>
    <r>
      <rPr>
        <sz val="10"/>
        <color rgb="FF000000"/>
        <rFont val="Times New Roman"/>
      </rPr>
      <t xml:space="preserve">521-101-0419-0020 - Принтер
</t>
    </r>
    <r>
      <rPr>
        <sz val="10"/>
        <color rgb="FF000000"/>
        <rFont val="Times New Roman"/>
      </rPr>
      <t xml:space="preserve">монохромный, Xerox, B410DN, B410V_DN, лазерный, А4, 47 стр./мин., подача 650 листов, сенсорный дисплей 4.3", 1 ГГц CPU,
</t>
    </r>
    <r>
      <rPr>
        <sz val="10"/>
        <color rgb="FF000000"/>
        <rFont val="Times New Roman"/>
      </rPr>
      <t xml:space="preserve">1 ГБ RAM, 8 ГБ eMMC, USB 2.0,
</t>
    </r>
    <r>
      <rPr>
        <sz val="10"/>
        <color rgb="FF000000"/>
        <rFont val="Times New Roman"/>
      </rPr>
      <t>Ethernet 10/100/1000</t>
    </r>
  </si>
  <si>
    <t>Принтер
монохромный, Xerox, B410DN, B410V_DN, лазерный, А4, 47 стр./мин., подача 650 листов, сенсорный дисплей 4.3", 1 ГГц CPU,
1 ГБ RAM, 8 ГБ eMMC, USB 2.0,
Ethernet 10/100/1000</t>
  </si>
  <si>
    <r>
      <rPr>
        <sz val="10"/>
        <color theme="1"/>
        <rFont val="Times New Roman"/>
      </rPr>
      <t>Принтер Xerox B410DN, шнур питания, чёрный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t>
    </r>
  </si>
  <si>
    <r>
      <rPr>
        <sz val="10"/>
        <color rgb="FF000000"/>
        <rFont val="Times New Roman"/>
      </rPr>
      <t xml:space="preserve">521-101-0419-0021 - Принтер
</t>
    </r>
    <r>
      <rPr>
        <sz val="10"/>
        <color rgb="FF000000"/>
        <rFont val="Times New Roman"/>
      </rPr>
      <t xml:space="preserve">монохромный, Xerox, VersaLink B620DN, B620V_DN, лазерный, А4, 61 стр./мин., подача 550 листов,
</t>
    </r>
    <r>
      <rPr>
        <sz val="10"/>
        <color rgb="FF000000"/>
        <rFont val="Times New Roman"/>
      </rPr>
      <t xml:space="preserve">сенсорный дисплей 5", 1.2 ГГц CPU,
</t>
    </r>
    <r>
      <rPr>
        <sz val="10"/>
        <color rgb="FF000000"/>
        <rFont val="Times New Roman"/>
      </rPr>
      <t xml:space="preserve">2 ГБ RAM, 32 ГБ eMMC, USB 2.0,
</t>
    </r>
    <r>
      <rPr>
        <sz val="10"/>
        <color rgb="FF000000"/>
        <rFont val="Times New Roman"/>
      </rPr>
      <t>Ethernet 10/100/1000, NFC</t>
    </r>
  </si>
  <si>
    <t>Принтер
монохромный, Xerox, VersaLink B620DN, B620V_DN, лазерный, А4, 61 стр./мин., подача 550 листов,
сенсорный дисплей 5", 1.2 ГГц CPU,
2 ГБ RAM, 32 ГБ eMMC, USB 2.0,
Ethernet 10/100/1000, NFC</t>
  </si>
  <si>
    <r>
      <rPr>
        <sz val="10"/>
        <color theme="1"/>
        <rFont val="Times New Roman"/>
      </rPr>
      <t>Принтер Xerox B620,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r>
  </si>
  <si>
    <r>
      <rPr>
        <sz val="10"/>
        <color rgb="FF000000"/>
        <rFont val="Times New Roman"/>
      </rPr>
      <t xml:space="preserve">521-101-0419-0022 - Принтер
</t>
    </r>
    <r>
      <rPr>
        <sz val="10"/>
        <color rgb="FF000000"/>
        <rFont val="Times New Roman"/>
      </rPr>
      <t xml:space="preserve">цветной, Xerox, C410DN, C410V_DN, лазерный , А4, 40 стр./мин., подача 251 лист, сенсорный дисплей 4.3", 1 ГГц CPU,
</t>
    </r>
    <r>
      <rPr>
        <sz val="10"/>
        <color rgb="FF000000"/>
        <rFont val="Times New Roman"/>
      </rPr>
      <t xml:space="preserve">1 ГБ RAM, 8 ГБ eMMC, USB 2.0,
</t>
    </r>
    <r>
      <rPr>
        <sz val="10"/>
        <color rgb="FF000000"/>
        <rFont val="Times New Roman"/>
      </rPr>
      <t>Ethernet 10/100/1000</t>
    </r>
  </si>
  <si>
    <t>Принтер
цветной, Xerox, C410DN, C410V_DN, лазерный , А4, 40 стр./мин., подача 251 лист, сенсорный дисплей 4.3", 1 ГГц CPU,
1 ГБ RAM, 8 ГБ eMMC, USB 2.0,
Ethernet 10/100/1000</t>
  </si>
  <si>
    <r>
      <rPr>
        <sz val="10"/>
        <color theme="1"/>
        <rFont val="Times New Roman"/>
      </rPr>
      <t>Принтер Xerox C410,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жёлтый) — ресурс 2000 страниц, чёрный картридж — ресурс 2400 страниц</t>
    </r>
  </si>
  <si>
    <r>
      <rPr>
        <sz val="10"/>
        <color rgb="FF000000"/>
        <rFont val="Times New Roman"/>
      </rPr>
      <t xml:space="preserve">521-101-0419-0023 - Принтер
</t>
    </r>
    <r>
      <rPr>
        <sz val="10"/>
        <color rgb="FF000000"/>
        <rFont val="Times New Roman"/>
      </rPr>
      <t xml:space="preserve">цветной, Xerox, VersaLink C620DN, C620V_DN, лазерный , А4, 50 стр./мин., подача 650 листов, сенсорный дисплей 5", 1.2 ГГц CPU,
</t>
    </r>
    <r>
      <rPr>
        <sz val="10"/>
        <color rgb="FF000000"/>
        <rFont val="Times New Roman"/>
      </rPr>
      <t xml:space="preserve">2 ГБ RAM, 32 ГБ eMMC, USB 2.0,
</t>
    </r>
    <r>
      <rPr>
        <sz val="10"/>
        <color rgb="FF000000"/>
        <rFont val="Times New Roman"/>
      </rPr>
      <t>Ethernet 10/100/1000, NFC</t>
    </r>
  </si>
  <si>
    <t>Принтер
цветной, Xerox, VersaLink C620DN, C620V_DN, лазерный , А4, 50 стр./мин., подача 650 листов, сенсорный дисплей 5", 1.2 ГГц CPU,
2 ГБ RAM, 32 ГБ eMMC, USB 2.0,
Ethernet 10/100/1000, NFC</t>
  </si>
  <si>
    <r>
      <rPr>
        <sz val="10"/>
        <color theme="1"/>
        <rFont val="Times New Roman"/>
      </rPr>
      <t>Принтер Xerox C620,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тонер-картриджи CMY — ресурс 7000 страниц, принт-картридж K — ресурс 8000 страниц</t>
    </r>
  </si>
  <si>
    <r>
      <rPr>
        <sz val="10"/>
        <color rgb="FF000000"/>
        <rFont val="Times New Roman"/>
      </rPr>
      <t xml:space="preserve">521-101-0420-0036 - 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t>
    </r>
    <r>
      <rPr>
        <sz val="10"/>
        <color rgb="FF000000"/>
        <rFont val="Times New Roman"/>
      </rPr>
      <t>Интерфейсы подключения: PCIe NVMe M.2</t>
    </r>
  </si>
  <si>
    <t>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</si>
  <si>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r>
      <rPr>
        <sz val="10"/>
        <color rgb="FF000000"/>
        <rFont val="Times New Roman"/>
      </rPr>
      <t xml:space="preserve">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t>
    </r>
    <r>
      <rPr>
        <sz val="10"/>
        <color rgb="FF000000"/>
        <rFont val="Times New Roman"/>
      </rPr>
      <t xml:space="preserve">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 20
</t>
    </r>
    <r>
      <rPr>
        <sz val="10"/>
        <color rgb="FF000000"/>
        <rFont val="Times New Roman"/>
      </rPr>
      <t>Мб.</t>
    </r>
  </si>
  <si>
    <r>
      <rPr>
        <sz val="10"/>
        <color rgb="FF000000"/>
        <rFont val="Times New Roman"/>
      </rPr>
      <t xml:space="preserve">521-101-0420-0037 - 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t>
    </r>
    <r>
      <rPr>
        <sz val="10"/>
        <color rgb="FF000000"/>
        <rFont val="Times New Roman"/>
      </rPr>
      <t>Интерфейсы подключения: PCIe NVMe M.2</t>
    </r>
  </si>
  <si>
    <t>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</si>
  <si>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r>
      <rPr>
        <sz val="10"/>
        <color rgb="FF000000"/>
        <rFont val="Times New Roman"/>
      </rPr>
      <t xml:space="preserve">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t>
    </r>
    <r>
      <rPr>
        <sz val="10"/>
        <color rgb="FF000000"/>
        <rFont val="Times New Roman"/>
      </rPr>
      <t xml:space="preserve">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уровня:20
</t>
    </r>
    <r>
      <rPr>
        <sz val="10"/>
        <color rgb="FF000000"/>
        <rFont val="Times New Roman"/>
      </rPr>
      <t>Мб.</t>
    </r>
  </si>
  <si>
    <r>
      <rPr>
        <sz val="10"/>
        <color theme="1"/>
        <rFont val="Times New Roman"/>
      </rPr>
      <t>521-101-0420-0038 - 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r>
  </si>
  <si>
    <t>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</si>
  <si>
    <r>
      <rPr>
        <sz val="10"/>
        <color theme="1"/>
        <rFont val="Times New Roman"/>
      </rPr>
      <t>Клавиатура и мышь. Камера 2MP; Встроенными микрофоном 2 штук; Динамики 2 шт по 3W; 1 слот для kensington lock; 3 х USB 2.0 Type-А; 2 х USB 3.0 Type-А; 1 x HDMI; 1 х RJ-45;1 х power connector; Порты ввода/вывода на боковой панели корпуса: 1 х USB 3.0 Type-А; 1 х USB Type-C; 1 х 2in1 combo jack;  1 x Line-Out Jack 3,5mm; 1 x Mic-In Jack 3,5mm; Процессор: I7-13620H; Общее количество ядер: 10, Количество потоков: 16, Тактовая частота: 2.4 ГГц, Максимальная тактовая частота: 4.9 ГГц, Объем кэша третьего уровня: 24 Мб.</t>
    </r>
  </si>
  <si>
    <r>
      <rPr>
        <sz val="10"/>
        <color rgb="FF000000"/>
        <rFont val="Times New Roman"/>
      </rPr>
      <t xml:space="preserve">521-101-0421-0001 - МФУ Катюша
</t>
    </r>
    <r>
      <rPr>
        <sz val="10"/>
        <color rgb="FF000000"/>
        <rFont val="Times New Roman"/>
      </rPr>
      <t xml:space="preserve">M247, монохромный лазерный, принтер/копир/сканер/факс, 47 стр/мин A4, Ч/Б печать, 1200 dpi. Сканер цвет А4-А3, до 60 стр/мин. CPU 800 МГц (4 ядра), 1 Гб RAM,
</t>
    </r>
    <r>
      <rPr>
        <sz val="10"/>
        <color rgb="FF000000"/>
        <rFont val="Times New Roman"/>
      </rPr>
      <t>Ethernet, USB, USB-host, Wi-Fi. PS3, PCL, PDF, GDI. ADF 50 листов</t>
    </r>
  </si>
  <si>
    <t>МФУ Катюша
M247, монохромный лазерный, принтер/копир/сканер/факс, 47 стр/мин A4, Ч/Б печать, 1200 dpi. Сканер цвет А4-А3, до 60 стр/мин. CPU 800 МГц (4 ядра), 1 Гб RAM,
Ethernet, USB, USB-host, Wi-Fi. PS3, PCL, PDF, GDI. ADF 50 листов</t>
  </si>
  <si>
    <r>
      <rPr>
        <sz val="10"/>
        <color theme="1"/>
        <rFont val="Times New Roman"/>
      </rPr>
      <t>6" панель управления, клавиатура. Тонер 3 000 отп., заменяемый 13 000 отп.</t>
    </r>
  </si>
  <si>
    <r>
      <rPr>
        <sz val="10"/>
        <color rgb="FF000000"/>
        <rFont val="Times New Roman"/>
      </rPr>
      <t xml:space="preserve">521-101-0421-0002 - МФУ Катюша
</t>
    </r>
    <r>
      <rPr>
        <sz val="10"/>
        <color rgb="FF000000"/>
        <rFont val="Times New Roman"/>
      </rPr>
      <t xml:space="preserve">M247e, монохромный лазерный, принтер/копир/сканер/факс. 47 стр/мин A4, Ч/Б печать, 1200 dpi. Сканер цвет А4-А3, до 60 стр/мин. CPU 1 ГГц, 1 ГБ RAM, Ethernet, USB, USB-host, Wi-Fi. PS3, PCL,
</t>
    </r>
    <r>
      <rPr>
        <sz val="10"/>
        <color rgb="FF000000"/>
        <rFont val="Times New Roman"/>
      </rPr>
      <t>PDF, GDI. ADF 50 листов</t>
    </r>
  </si>
  <si>
    <t>МФУ Катюша
M247e, монохромный лазерный, принтер/копир/сканер/факс. 47 стр/мин A4, Ч/Б печать, 1200 dpi. Сканер цвет А4-А3, до 60 стр/мин. CPU 1 ГГц, 1 ГБ RAM, Ethernet, USB, USB-host, Wi-Fi. PS3, PCL,
PDF, GDI. ADF 50 листов</t>
  </si>
  <si>
    <r>
      <rPr>
        <sz val="10"/>
        <color theme="1"/>
        <rFont val="Times New Roman"/>
      </rPr>
      <t>6" панель управления, клавиатура. Тонер 3 000 отп., заменяемый 13 000 отп.</t>
    </r>
  </si>
  <si>
    <r>
      <rPr>
        <sz val="10"/>
        <color rgb="FF000000"/>
        <rFont val="Times New Roman"/>
      </rPr>
      <t xml:space="preserve">521-101-0421-0003 - МФУ Катюша
</t>
    </r>
    <r>
      <rPr>
        <sz val="10"/>
        <color rgb="FF000000"/>
        <rFont val="Times New Roman"/>
      </rPr>
      <t xml:space="preserve">M348, монохромный лазерный цветной, принтер/копир/сканер, А3, 48 стр/мин, Ч/Б печать А4, 1200 dpi. Сканер цвет А4-А3 до 70 стр/мин. CPU 1,2ГГц, 2 Гб RAM, Ethernet, USB, USB-host. PS3, PCL, PDF, ADF
</t>
    </r>
    <r>
      <rPr>
        <sz val="10"/>
        <color rgb="FF000000"/>
        <rFont val="Times New Roman"/>
      </rPr>
      <t>100 листов</t>
    </r>
  </si>
  <si>
    <t>МФУ Катюша
M348, монохромный лазерный цветной, принтер/копир/сканер, А3, 48 стр/мин, Ч/Б печать А4, 1200 dpi. Сканер цвет А4-А3 до 70 стр/мин. CPU 1,2ГГц, 2 Гб RAM, Ethernet, USB, USB-host. PS3, PCL, PDF, ADF
100 листов</t>
  </si>
  <si>
    <r>
      <rPr>
        <sz val="10"/>
        <color theme="1"/>
        <rFont val="Times New Roman"/>
      </rPr>
      <t>10,1" панель. Тонер 20 000 отп., замена 30 000 отп. до 200 000 отп/мес.</t>
    </r>
  </si>
  <si>
    <r>
      <rPr>
        <sz val="10"/>
        <color rgb="FF000000"/>
        <rFont val="Times New Roman"/>
      </rPr>
      <t xml:space="preserve">521-101-0421-0004 - МФУ Катюша
</t>
    </r>
    <r>
      <rPr>
        <sz val="10"/>
        <color rgb="FF000000"/>
        <rFont val="Times New Roman"/>
      </rPr>
      <t xml:space="preserve">M133, монохромный лазерный, принтер/копир/сканер, 33 стр/мин А4 Ч/Б, 1200 dpi. 512МБ RAM,
</t>
    </r>
    <r>
      <rPr>
        <sz val="10"/>
        <color rgb="FF000000"/>
        <rFont val="Times New Roman"/>
      </rPr>
      <t>Ethernet, USB, USB-host</t>
    </r>
  </si>
  <si>
    <t>МФУ Катюша
M133, монохромный лазерный, принтер/копир/сканер, 33 стр/мин А4 Ч/Б, 1200 dpi. 512МБ RAM,
Ethernet, USB, USB-host</t>
  </si>
  <si>
    <r>
      <rPr>
        <sz val="10"/>
        <color theme="1"/>
        <rFont val="Times New Roman"/>
      </rPr>
      <t>Тонер в комплекте на 700 отп</t>
    </r>
  </si>
  <si>
    <r>
      <rPr>
        <sz val="10"/>
        <color rgb="FF000000"/>
        <rFont val="Times New Roman"/>
      </rPr>
      <t xml:space="preserve">521-101-0421-0005 - МФУ Катюша
</t>
    </r>
    <r>
      <rPr>
        <sz val="10"/>
        <color rgb="FF000000"/>
        <rFont val="Times New Roman"/>
      </rPr>
      <t xml:space="preserve">M240, монохромный светодиодный, принтер/копир/сканер/факс, 40 стр/мин А4, ч/б, 1200 dpi. Скан: цвет/чб 1200 dpi. 4 ГБ RAM, 1000 Мб Ethernet, 1200 МГц USB,
</t>
    </r>
    <r>
      <rPr>
        <sz val="10"/>
        <color rgb="FF000000"/>
        <rFont val="Times New Roman"/>
      </rPr>
      <t>USB-host. 75 листов</t>
    </r>
  </si>
  <si>
    <t>МФУ Катюша
M240, монохромный светодиодный, принтер/копир/сканер/факс, 40 стр/мин А4, ч/б, 1200 dpi. Скан: цвет/чб 1200 dpi. 4 ГБ RAM, 1000 Мб Ethernet, 1200 МГц USB,
USB-host. 75 листов</t>
  </si>
  <si>
    <r>
      <rPr>
        <sz val="10"/>
        <color theme="1"/>
        <rFont val="Times New Roman"/>
      </rPr>
      <t>Тонер в комплекте 3 000 отпечатков</t>
    </r>
  </si>
  <si>
    <r>
      <rPr>
        <sz val="10"/>
        <color rgb="FF000000"/>
        <rFont val="Times New Roman"/>
      </rPr>
      <t xml:space="preserve">521-101-0421-0009 - МФУ Sindoh
</t>
    </r>
    <r>
      <rPr>
        <sz val="10"/>
        <color rgb="FF000000"/>
        <rFont val="Times New Roman"/>
      </rPr>
      <t xml:space="preserve">N511, монохромный лазерный, принтер/копир/сканер, А3. 28 стр/мин, 1800х600 dpi.
</t>
    </r>
    <r>
      <rPr>
        <sz val="10"/>
        <color rgb="FF000000"/>
        <rFont val="Times New Roman"/>
      </rPr>
      <t xml:space="preserve">Автоподатчик DF-628, 130 листов, скорость сканирования до 45 стр/мин. Нагрузка до 28 000 отп/мес. Процессор 1,2ГГц (2 ядра), 2 Гб (4Гб макс.) RAM, 250 ГБ HDD,
</t>
    </r>
    <r>
      <rPr>
        <sz val="10"/>
        <color rgb="FF000000"/>
        <rFont val="Times New Roman"/>
      </rPr>
      <t xml:space="preserve">1000 Мб Ethernet, USB, USB-host. PS3, PCL5\6. Бумага 60-220 г/м2,
</t>
    </r>
    <r>
      <rPr>
        <sz val="10"/>
        <color rgb="FF000000"/>
        <rFont val="Times New Roman"/>
      </rPr>
      <t>подача 1100 листов, вывод 250 листов</t>
    </r>
  </si>
  <si>
    <t>МФУ Sindoh
N511, монохромный лазерный, принтер/копир/сканер, А3. 28 стр/мин, 1800х600 dpi.
Автоподатчик DF-628, 130 листов, скорость сканирования до 45 стр/мин. Нагрузка до 28 000 отп/мес. Процессор 1,2ГГц (2 ядра), 2 Гб (4Гб макс.) RAM, 250 ГБ HDD,
1000 Мб Ethernet, USB, USB-host. PS3, PCL5\6. Бумага 60-220 г/м2,
подача 1100 листов, вывод 250 листов</t>
  </si>
  <si>
    <r>
      <rPr>
        <sz val="10"/>
        <color theme="1"/>
        <rFont val="Times New Roman"/>
      </rPr>
      <t>7" панель управления. Автоподатчик, тонер и тумба для хранения и наполного размещения в комплекте</t>
    </r>
  </si>
  <si>
    <r>
      <rPr>
        <sz val="10"/>
        <color rgb="FF000000"/>
        <rFont val="Times New Roman"/>
      </rPr>
      <t xml:space="preserve">521-101-0421-0010 - МФУ Sindoh
</t>
    </r>
    <r>
      <rPr>
        <sz val="10"/>
        <color rgb="FF000000"/>
        <rFont val="Times New Roman"/>
      </rPr>
      <t xml:space="preserve">N512, монохромный лазерный, принтер/копир/сканер, А3. 36 стр/мин, 1800х600 dpi.
</t>
    </r>
    <r>
      <rPr>
        <sz val="10"/>
        <color rgb="FF000000"/>
        <rFont val="Times New Roman"/>
      </rPr>
      <t xml:space="preserve">Автоподатчик DF-628, 130 листов, скорость сканирования до 45 стр/мин. Нагрузка до 48 000 отп/мес. Процессор 1,2ГГц, 2 Гб (4Гб макс.) RAM, 250 ГБ HDD, 1000
</t>
    </r>
    <r>
      <rPr>
        <sz val="10"/>
        <color rgb="FF000000"/>
        <rFont val="Times New Roman"/>
      </rPr>
      <t xml:space="preserve">Мб Ethernet, USB, USB-host. PS3, PCL5\6. Бумага 60-220 г/м2, подача
</t>
    </r>
    <r>
      <rPr>
        <sz val="10"/>
        <color rgb="FF000000"/>
        <rFont val="Times New Roman"/>
      </rPr>
      <t>1100 листов, вывод 250 листов</t>
    </r>
  </si>
  <si>
    <t>МФУ Sindoh
N512, монохромный лазерный, принтер/копир/сканер, А3. 36 стр/мин, 1800х600 dpi.
Автоподатчик DF-628, 130 листов, скорость сканирования до 45 стр/мин. Нагрузка до 48 000 отп/мес. Процессор 1,2ГГц, 2 Гб (4Гб макс.) RAM, 250 ГБ HDD, 1000
Мб Ethernet, USB, USB-host. PS3, PCL5\6. Бумага 60-220 г/м2, подача
1100 листов, вывод 250 листов</t>
  </si>
  <si>
    <r>
      <rPr>
        <sz val="10"/>
        <color theme="1"/>
        <rFont val="Times New Roman"/>
      </rPr>
      <t>7" панель управления. Автоподатчик, тонер и тумба для хранения и наполного размещения в комплекте</t>
    </r>
  </si>
  <si>
    <r>
      <rPr>
        <sz val="10"/>
        <color rgb="FF000000"/>
        <rFont val="Times New Roman"/>
      </rPr>
      <t xml:space="preserve">521-101-0421-0011 - МФУ Sindoh
</t>
    </r>
    <r>
      <rPr>
        <sz val="10"/>
        <color rgb="FF000000"/>
        <rFont val="Times New Roman"/>
      </rPr>
      <t xml:space="preserve">D330e полноцветный лазерный принтер/копир/сканер, А3. 22 стр/мин, 1800х600 dpi.
</t>
    </r>
    <r>
      <rPr>
        <sz val="10"/>
        <color rgb="FF000000"/>
        <rFont val="Times New Roman"/>
      </rPr>
      <t xml:space="preserve">Автоподатчик DF-633, 130 листов, скорость сканирования до 55 стр/мин. До 80 000 отп/мес. CPU
</t>
    </r>
    <r>
      <rPr>
        <sz val="10"/>
        <color rgb="FF000000"/>
        <rFont val="Times New Roman"/>
      </rPr>
      <t xml:space="preserve">1,6ГГц (4 ядра), 6 Гб RAM, 256 ГБ
</t>
    </r>
    <r>
      <rPr>
        <sz val="10"/>
        <color rgb="FF000000"/>
        <rFont val="Times New Roman"/>
      </rPr>
      <t xml:space="preserve">SSD, 1000 Мб Ethernet, USB, USB-host. PS3, PCL5\6. Бумага 60-256 г/м2, подача 1100 листов,
</t>
    </r>
    <r>
      <rPr>
        <sz val="10"/>
        <color rgb="FF000000"/>
        <rFont val="Times New Roman"/>
      </rPr>
      <t>вывод 250 листов</t>
    </r>
  </si>
  <si>
    <t>МФУ Sindoh
D330e полноцветный лазерный принтер/копир/сканер, А3. 22 стр/мин, 1800х600 dpi.
Автоподатчик DF-633, 130 листов, скорость сканирования до 55 стр/мин. До 80 000 отп/мес. CPU
1,6ГГц (4 ядра), 6 Гб RAM, 256 ГБ
SSD, 1000 Мб Ethernet, USB, USB-host. PS3, PCL5\6. Бумага 60-256 г/м2, подача 1100 листов,
вывод 250 листов</t>
  </si>
  <si>
    <r>
      <rPr>
        <sz val="10"/>
        <color theme="1"/>
        <rFont val="Times New Roman"/>
      </rPr>
      <t>7" панель управления. Блок фотобарабана K\CMY 80\70 000 отпечатков. Автоподатчик, комплект тонеров и тумба для хранения и наполного размещения в комплекте</t>
    </r>
  </si>
  <si>
    <r>
      <rPr>
        <sz val="10"/>
        <color rgb="FF000000"/>
        <rFont val="Times New Roman"/>
      </rPr>
      <t xml:space="preserve">521-101-0421-0012 - МФУ Sindoh
</t>
    </r>
    <r>
      <rPr>
        <sz val="10"/>
        <color rgb="FF000000"/>
        <rFont val="Times New Roman"/>
      </rPr>
      <t xml:space="preserve">D332e полноцветный лазерный принтер/копир/сканер, А3. 28 стр/мин, 1800х600 dpi.
</t>
    </r>
    <r>
      <rPr>
        <sz val="10"/>
        <color rgb="FF000000"/>
        <rFont val="Times New Roman"/>
      </rPr>
      <t xml:space="preserve">Автоподатчик DF-633, 130 листов, скорость сканирования до 55 стр/мин. До 108 000 отп/мес. CPU
</t>
    </r>
    <r>
      <rPr>
        <sz val="10"/>
        <color rgb="FF000000"/>
        <rFont val="Times New Roman"/>
      </rPr>
      <t xml:space="preserve">1,6ГГц (4 ядра), 6 Гб RAM, 256 ГБ
</t>
    </r>
    <r>
      <rPr>
        <sz val="10"/>
        <color rgb="FF000000"/>
        <rFont val="Times New Roman"/>
      </rPr>
      <t xml:space="preserve">SSD, 1000 Мб Ethernet, USB, USB-host. PS3, PCL5\6. Бумага 60-256 г/м2, подача 1100 листов,
</t>
    </r>
    <r>
      <rPr>
        <sz val="10"/>
        <color rgb="FF000000"/>
        <rFont val="Times New Roman"/>
      </rPr>
      <t>вывод 250 листов</t>
    </r>
  </si>
  <si>
    <t>МФУ Sindoh
D332e полноцветный лазерный принтер/копир/сканер, А3. 28 стр/мин, 1800х600 dpi.
Автоподатчик DF-633, 130 листов, скорость сканирования до 55 стр/мин. До 108 000 отп/мес. CPU
1,6ГГц (4 ядра), 6 Гб RAM, 256 ГБ
SSD, 1000 Мб Ethernet, USB, USB-host. PS3, PCL5\6. Бумага 60-256 г/м2, подача 1100 листов,
вывод 250 листов</t>
  </si>
  <si>
    <r>
      <rPr>
        <sz val="10"/>
        <color rgb="FF000000"/>
        <rFont val="Times New Roman"/>
      </rPr>
      <t xml:space="preserve">7" панель управления. Блок фотобарабана K\CMY 105\90 000 отпечатков.
</t>
    </r>
    <r>
      <rPr>
        <sz val="10"/>
        <color rgb="FF000000"/>
        <rFont val="Times New Roman"/>
      </rPr>
      <t>Автоподатчик, комплект тонеров и тумба для хранения и наполного размещения в комплекте</t>
    </r>
  </si>
  <si>
    <r>
      <rPr>
        <sz val="10"/>
        <color rgb="FF000000"/>
        <rFont val="Times New Roman"/>
      </rPr>
      <t xml:space="preserve">521-101-0421-0013 - МФУ Sindoh
</t>
    </r>
    <r>
      <rPr>
        <sz val="10"/>
        <color rgb="FF000000"/>
        <rFont val="Times New Roman"/>
      </rPr>
      <t xml:space="preserve">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t>
    </r>
    <r>
      <rPr>
        <sz val="10"/>
        <color rgb="FF000000"/>
        <rFont val="Times New Roman"/>
      </rPr>
      <t>Wi-Fi. AirPrint, PCL, PWG, PDF.</t>
    </r>
  </si>
  <si>
    <t>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</si>
  <si>
    <r>
      <rPr>
        <sz val="10"/>
        <color theme="1"/>
        <rFont val="Times New Roman"/>
      </rPr>
      <t>Автоподатчик оригиналов 50 листов. Стартовый тонер на 700 отпечатков</t>
    </r>
  </si>
  <si>
    <r>
      <rPr>
        <sz val="10"/>
        <color rgb="FF000000"/>
        <rFont val="Times New Roman"/>
      </rPr>
      <t xml:space="preserve">521-101-0421-0015 - МФУ Катюша
</t>
    </r>
    <r>
      <rPr>
        <sz val="10"/>
        <color rgb="FF000000"/>
        <rFont val="Times New Roman"/>
      </rPr>
      <t xml:space="preserve">M325p, монохромный лазерный, принтер/копир/сканер, А3 формат, монохромный, 25 А4/мин, 1200 dpi.
</t>
    </r>
    <r>
      <rPr>
        <sz val="10"/>
        <color rgb="FF000000"/>
        <rFont val="Times New Roman"/>
      </rPr>
      <t>Сканер цвет/чб. CPU 1200 МГц, 4 ГБ RAM, Ethernet, USB, USB-host</t>
    </r>
  </si>
  <si>
    <t>МФУ Катюша
M325p, монохромный лазерный, принтер/копир/сканер, А3 формат, монохромный, 25 А4/мин, 1200 dpi.
Сканер цвет/чб. CPU 1200 МГц, 4 ГБ RAM, Ethernet, USB, USB-host</t>
  </si>
  <si>
    <r>
      <rPr>
        <sz val="10"/>
        <color theme="1"/>
        <rFont val="Times New Roman"/>
      </rPr>
      <t>8" панель. Тонер в комплекте 6000 отп. До 100 000 отп/мес.</t>
    </r>
  </si>
  <si>
    <r>
      <rPr>
        <sz val="10"/>
        <color rgb="FF000000"/>
        <rFont val="Times New Roman"/>
      </rPr>
      <t xml:space="preserve">521-101-0421-0016 - МФУ Катюша
</t>
    </r>
    <r>
      <rPr>
        <sz val="10"/>
        <color rgb="FF000000"/>
        <rFont val="Times New Roman"/>
      </rPr>
      <t xml:space="preserve">M350p, монохромный лазерный, принтер/копир/сканер, А3 формат, монохромный, 50 А4/мин, 1200 dpi.
</t>
    </r>
    <r>
      <rPr>
        <sz val="10"/>
        <color rgb="FF000000"/>
        <rFont val="Times New Roman"/>
      </rPr>
      <t>Сканер цвет/чб. CPU 1200 МГц, 4 ГБ RAM, Ethernet, USB, USB-host</t>
    </r>
  </si>
  <si>
    <t>МФУ Катюша
M350p, монохромный лазерный, принтер/копир/сканер, А3 формат, монохромный, 50 А4/мин, 1200 dpi.
Сканер цвет/чб. CPU 1200 МГц, 4 ГБ RAM, Ethernet, USB, USB-host</t>
  </si>
  <si>
    <r>
      <rPr>
        <sz val="10"/>
        <color theme="1"/>
        <rFont val="Times New Roman"/>
      </rPr>
      <t>8" панель. Тонер в комплекте 10 000 отп.</t>
    </r>
  </si>
  <si>
    <r>
      <rPr>
        <sz val="10"/>
        <color rgb="FF000000"/>
        <rFont val="Times New Roman"/>
      </rPr>
      <t xml:space="preserve">521-101-0421-0017 - МФУ Canon
</t>
    </r>
    <r>
      <rPr>
        <sz val="10"/>
        <color rgb="FF000000"/>
        <rFont val="Times New Roman"/>
      </rPr>
      <t>imageRUNNER C3326i, цветной, лазерный, А3, 26 стр/мин, 1.6 ГГц Dual Core Processor, 2.0Гб RAM</t>
    </r>
  </si>
  <si>
    <t>МФУ Canon
imageRUNNER C3326i, цветной, лазерный, А3, 26 стр/мин, 1.6 ГГц Dual Core Processor, 2.0Гб RAM</t>
  </si>
  <si>
    <r>
      <rPr>
        <sz val="10"/>
        <color rgb="FF000000"/>
        <rFont val="Times New Roman"/>
      </rPr>
      <t xml:space="preserve">С функцией цветной печати, А3, тип печати - лазерный, 26 стр/мин, время выхода первой страницы не более 7 секунд, емкость лотка для загрузки бумаги: не менее 250 листов; Тип сканера: планшетный с автоподатчиком,
</t>
    </r>
    <r>
      <rPr>
        <sz val="10"/>
        <color rgb="FF000000"/>
        <rFont val="Times New Roman"/>
      </rPr>
      <t>1.6ГГц Dual Core Processor, 2.0Гб RAM. МФУ, стенд-стойка, тонеры T10L (C/M/Y - 11 000 стр. ; Bk - 17 500 стр.)</t>
    </r>
  </si>
  <si>
    <r>
      <rPr>
        <sz val="10"/>
        <color rgb="FF000000"/>
        <rFont val="Times New Roman"/>
      </rPr>
      <t xml:space="preserve">521-101-0421-0018 - МФУ Canon
</t>
    </r>
    <r>
      <rPr>
        <sz val="10"/>
        <color rgb="FF000000"/>
        <rFont val="Times New Roman"/>
      </rPr>
      <t xml:space="preserve">i-SENSYS X 1440i, монохромный, А4, лазерный, 40 стр/мин, 1,2 ГГц Processor,  1Гб RAM, USB 2.0
</t>
    </r>
    <r>
      <rPr>
        <sz val="10"/>
        <color rgb="FF000000"/>
        <rFont val="Times New Roman"/>
      </rPr>
      <t xml:space="preserve">Hi-Speed,
</t>
    </r>
    <r>
      <rPr>
        <sz val="10"/>
        <color rgb="FF000000"/>
        <rFont val="Times New Roman"/>
      </rPr>
      <t xml:space="preserve">10BASE-T/100BASE-TX/1000Base-
</t>
    </r>
    <r>
      <rPr>
        <sz val="10"/>
        <color rgb="FF000000"/>
        <rFont val="Times New Roman"/>
      </rPr>
      <t>T, Wireless 802.11b/g/n, Wireless Direct Connection</t>
    </r>
  </si>
  <si>
    <t>МФУ Canon
i-SENSYS X 1440i, монохромный, А4, лазерный, 40 стр/мин, 1,2 ГГц Processor,  1Гб RAM, USB 2.0
Hi-Speed,
10BASE-T/100BASE-TX/1000Base-
T, Wireless 802.11b/g/n, Wireless Direct Connection</t>
  </si>
  <si>
    <r>
      <rPr>
        <sz val="10"/>
        <color rgb="FF000000"/>
        <rFont val="Times New Roman"/>
      </rPr>
      <t xml:space="preserve">Монохромное, А4, тип печати - лазерный, 40 стр/мин,  Время выхода первой страницы: не более 5 секунд; Емкость лотка для загрузки бумаги: не менее 250 листов; Тип сканера: планшетный с автоподатчиком, 1,2 ГГц Processor, 1GB RAM, USB 2.0 Hi-Speed,
</t>
    </r>
    <r>
      <rPr>
        <sz val="10"/>
        <color rgb="FF000000"/>
        <rFont val="Times New Roman"/>
      </rPr>
      <t>10BASE-T/100BASE-TX/1000Base-T, Wireless 802.11b/g/n, Wireless Direct Connection. МФУ, тонер T13 (Bk - 10 600 стр.)</t>
    </r>
  </si>
  <si>
    <r>
      <rPr>
        <sz val="10"/>
        <color rgb="FF000000"/>
        <rFont val="Times New Roman"/>
      </rPr>
      <t xml:space="preserve">521-101-0421-0019 - МФУ Canon
</t>
    </r>
    <r>
      <rPr>
        <sz val="10"/>
        <color rgb="FF000000"/>
        <rFont val="Times New Roman"/>
      </rPr>
      <t xml:space="preserve">C1538IF II, цветной, А4, лазерный, 38 стр./мин; 1.6ГГц Dual Core Processor, 2.0Гб RAM,
</t>
    </r>
    <r>
      <rPr>
        <sz val="10"/>
        <color rgb="FF000000"/>
        <rFont val="Times New Roman"/>
      </rPr>
      <t>1000Base-T/100Base-TX/10Base-T, Wireless LAN</t>
    </r>
  </si>
  <si>
    <t>МФУ Canon
C1538IF II, цветной, А4, лазерный, 38 стр./мин; 1.6ГГц Dual Core Processor, 2.0Гб RAM,
1000Base-T/100Base-TX/10Base-T, Wireless LAN</t>
  </si>
  <si>
    <r>
      <rPr>
        <sz val="10"/>
        <color rgb="FF000000"/>
        <rFont val="Times New Roman"/>
      </rPr>
      <t xml:space="preserve">Цветной, устройство с функцией цветной печати, А4, тип печати - лазерный, 38 стр./мин; Время выхода первой страницы: не более 6,9 секунд; Емкость лотка для загрузки бумаги: не менее 250 листов; Тип сканера: планшетный с автоподатчиком, 1.6ГГц Dual Core Processor, 2.0Гб RAM, 1000Base-T/100Base-TX/10Base-T, Wireless LAN (IEEE 802.11 b/g/n), USB
</t>
    </r>
    <r>
      <rPr>
        <sz val="10"/>
        <color rgb="FF000000"/>
        <rFont val="Times New Roman"/>
      </rPr>
      <t>2.0 (Host) x2, USB 2.0 (Device) x1. МФУ, тонеры T10L (C/M/Y - 5000 стр. ; Bk - 6000 стр.)</t>
    </r>
  </si>
  <si>
    <r>
      <rPr>
        <sz val="10"/>
        <color rgb="FF000000"/>
        <rFont val="Times New Roman"/>
      </rPr>
      <t xml:space="preserve">521-101-0421-0020 - МФУ
</t>
    </r>
    <r>
      <rPr>
        <sz val="10"/>
        <color rgb="FF000000"/>
        <rFont val="Times New Roman"/>
      </rPr>
      <t xml:space="preserve">монохромное, Xerox, VersaLink B415DN, B415V_DN, лазерное , А4, 47 стр./мин., подача 650 листов, двусторонний автоподатчик документов, до 98 изобр./мин., сенсорный дисплей 7", 1.2 ГГц CPU,
</t>
    </r>
    <r>
      <rPr>
        <sz val="10"/>
        <color rgb="FF000000"/>
        <rFont val="Times New Roman"/>
      </rPr>
      <t xml:space="preserve">2 ГБ RAM, 32 ГБ eMMC, USB 2.0,
</t>
    </r>
    <r>
      <rPr>
        <sz val="10"/>
        <color rgb="FF000000"/>
        <rFont val="Times New Roman"/>
      </rPr>
      <t>Ethernet 10/100/1000, NFC, Fax</t>
    </r>
  </si>
  <si>
    <t>МФУ
монохромное, Xerox, VersaLink B415DN, B415V_DN, лазерное , А4, 47 стр./мин., подача 650 листов, двусторонний автоподатчик документов, до 98 изобр./мин., сенсорный дисплей 7", 1.2 ГГц CPU,
2 ГБ RAM, 32 ГБ eMMC, USB 2.0,
Ethernet 10/100/1000, NFC, Fax</t>
  </si>
  <si>
    <r>
      <rPr>
        <sz val="10"/>
        <color theme="1"/>
        <rFont val="Times New Roman"/>
      </rPr>
      <t>МФУ B415 Сетевой шнур питания,Руководство по установке,Информационный буклет о продукте,Инструкция по технике безопасности,Буклет об обновлении программного,обеспечения,Диск с программным обеспечением и документацией,Чёрный картридж: ресурс печати — 6000 страниц</t>
    </r>
  </si>
  <si>
    <r>
      <rPr>
        <sz val="10"/>
        <color rgb="FF000000"/>
        <rFont val="Times New Roman"/>
      </rPr>
      <t xml:space="preserve">521-101-0421-0021 - МФУ
</t>
    </r>
    <r>
      <rPr>
        <sz val="10"/>
        <color rgb="FF000000"/>
        <rFont val="Times New Roman"/>
      </rPr>
      <t xml:space="preserve">монохромное, Xerox, VersaLink B625DN, B625V_DN, лазерное, А4, 61 стр./мин., подача 650 листов, двусторонний автоподатчик документов, до 144 изобр./мин., сенсорный дисплей 7", 1.2 ГГц CPU,
</t>
    </r>
    <r>
      <rPr>
        <sz val="10"/>
        <color rgb="FF000000"/>
        <rFont val="Times New Roman"/>
      </rPr>
      <t xml:space="preserve">4 ГБ RAM, 32 ГБ eMMC, USB 2.0,
</t>
    </r>
    <r>
      <rPr>
        <sz val="10"/>
        <color rgb="FF000000"/>
        <rFont val="Times New Roman"/>
      </rPr>
      <t>Ethernet 10/100/1000, NFC, Fax</t>
    </r>
  </si>
  <si>
    <t>МФУ
монохромное, Xerox, VersaLink B625DN, B625V_DN, лазерное, А4, 61 стр./мин., подача 650 листов, двусторонний автоподатчик документов, до 144 изобр./мин., сенсорный дисплей 7", 1.2 ГГц CPU,
4 ГБ RAM, 32 ГБ eMMC, USB 2.0,
Ethernet 10/100/1000, NFC, Fax</t>
  </si>
  <si>
    <r>
      <rPr>
        <sz val="10"/>
        <color theme="1"/>
        <rFont val="Times New Roman"/>
      </rPr>
      <t>МФУ B625,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r>
  </si>
  <si>
    <r>
      <rPr>
        <sz val="10"/>
        <color rgb="FF000000"/>
        <rFont val="Times New Roman"/>
      </rPr>
      <t xml:space="preserve">521-101-0421-0022 - МФУ цветное, Xerox, C325DNI, C325V_DNI,
</t>
    </r>
    <r>
      <rPr>
        <sz val="10"/>
        <color rgb="FF000000"/>
        <rFont val="Times New Roman"/>
      </rPr>
      <t xml:space="preserve">лазерное цветное, А4, 33 стр./мин., подача 251 лист, двусторонний автоподатчик документов, до 47 изобр./мин., сенсорный дисплей 4.3", 1.2 ГГц CPU, 2 ГБ RAM, 8 ГБ
</t>
    </r>
    <r>
      <rPr>
        <sz val="10"/>
        <color rgb="FF000000"/>
        <rFont val="Times New Roman"/>
      </rPr>
      <t xml:space="preserve">eMMC, USB 2.0, Ethernet
</t>
    </r>
    <r>
      <rPr>
        <sz val="10"/>
        <color rgb="FF000000"/>
        <rFont val="Times New Roman"/>
      </rPr>
      <t>10/100/1000, Wi-Fi, Fax</t>
    </r>
  </si>
  <si>
    <t>МФУ цветное, Xerox, C325DNI, C325V_DNI,
лазерное цветное, А4, 33 стр./мин., подача 251 лист, двусторонний автоподатчик документов, до 47 изобр./мин., сенсорный дисплей 4.3", 1.2 ГГц CPU, 2 ГБ RAM, 8 ГБ
eMMC, USB 2.0, Ethernet
10/100/1000, Wi-Fi, Fax</t>
  </si>
  <si>
    <r>
      <rPr>
        <sz val="10"/>
        <color theme="1"/>
        <rFont val="Times New Roman"/>
      </rPr>
      <t>Принтер Xerox C320,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жёлтый) — ресурс 1000 страниц, чёрный картридж — ресурс 1500 страниц</t>
    </r>
  </si>
  <si>
    <r>
      <rPr>
        <sz val="10"/>
        <color rgb="FF000000"/>
        <rFont val="Times New Roman"/>
      </rPr>
      <t xml:space="preserve">521-101-0421-0023 - МФУ цветное,
</t>
    </r>
    <r>
      <rPr>
        <sz val="10"/>
        <color rgb="FF000000"/>
        <rFont val="Times New Roman"/>
      </rPr>
      <t xml:space="preserve">Xerox, VersaLink C415DN, C415V_DN, лазерное, А4, 40 стр./мин., подача 251 лист, двусторонний автоподатчик документов, до 98 изобр./мин., сенсорный дисплей 7", 1.2 ГГц CPU,
</t>
    </r>
    <r>
      <rPr>
        <sz val="10"/>
        <color rgb="FF000000"/>
        <rFont val="Times New Roman"/>
      </rPr>
      <t xml:space="preserve">2 ГБ RAM, 32 ГБ eMMC, USB 2.0,
</t>
    </r>
    <r>
      <rPr>
        <sz val="10"/>
        <color rgb="FF000000"/>
        <rFont val="Times New Roman"/>
      </rPr>
      <t>Ethernet 10/100/1000, NFC, Fax</t>
    </r>
  </si>
  <si>
    <t>МФУ цветное,
Xerox, VersaLink C415DN, C415V_DN, лазерное, А4, 40 стр./мин., подача 251 лист, двусторонний автоподатчик документов, до 98 изобр./мин., сенсорный дисплей 7", 1.2 ГГц CPU,
2 ГБ RAM, 32 ГБ eMMC, USB 2.0,
Ethernet 10/100/1000, NFC, Fax</t>
  </si>
  <si>
    <r>
      <rPr>
        <sz val="10"/>
        <color theme="1"/>
        <rFont val="Times New Roman"/>
      </rPr>
      <t>МФУ Xerox C415,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стартовые картриджи: по одному каждого цвета (голубой, пурпурный, жёлтый) — ресурс 2000 страниц, чёрный картридж — ресурс 2400 страниц</t>
    </r>
  </si>
  <si>
    <r>
      <rPr>
        <sz val="10"/>
        <color rgb="FF000000"/>
        <rFont val="Times New Roman"/>
      </rPr>
      <t xml:space="preserve">521-101-0421-0024 - МФУ цветное,
</t>
    </r>
    <r>
      <rPr>
        <sz val="10"/>
        <color rgb="FF000000"/>
        <rFont val="Times New Roman"/>
      </rPr>
      <t xml:space="preserve">Xerox, VersaLink C625DN, C625V_DN, лазерное , А4, 50 стр./мин., подача 650 листов, двусторонний автоподатчик документов, до 98 изобр./мин., сенсорный дисплей 7", 1.2 ГГц CPU,
</t>
    </r>
    <r>
      <rPr>
        <sz val="10"/>
        <color rgb="FF000000"/>
        <rFont val="Times New Roman"/>
      </rPr>
      <t xml:space="preserve">4 ГБ RAM, 32 ГБ eMMC, USB 2.0,
</t>
    </r>
    <r>
      <rPr>
        <sz val="10"/>
        <color rgb="FF000000"/>
        <rFont val="Times New Roman"/>
      </rPr>
      <t>Ethernet 10/100/1000, NFC, Fax</t>
    </r>
  </si>
  <si>
    <t>МФУ цветное,
Xerox, VersaLink C625DN, C625V_DN, лазерное , А4, 50 стр./мин., подача 650 листов, двусторонний автоподатчик документов, до 98 изобр./мин., сенсорный дисплей 7", 1.2 ГГц CPU,
4 ГБ RAM, 32 ГБ eMMC, USB 2.0,
Ethernet 10/100/1000, NFC, Fax</t>
  </si>
  <si>
    <r>
      <rPr>
        <sz val="10"/>
        <color theme="1"/>
        <rFont val="Times New Roman"/>
      </rPr>
      <t>МФУ Xerox C625, сетевой шнур питания (AC),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CMY (голубой, пурпурный, жёлтый) — ресурс 7000 страниц, чёрный картридж (K) — ресурс 8000 страниц</t>
    </r>
  </si>
  <si>
    <r>
      <rPr>
        <sz val="10"/>
        <color rgb="FF000000"/>
        <rFont val="Times New Roman"/>
      </rPr>
      <t xml:space="preserve">521-101-0602-0001 - Шкаф для
</t>
    </r>
    <r>
      <rPr>
        <sz val="10"/>
        <color rgb="FF000000"/>
        <rFont val="Times New Roman"/>
      </rPr>
      <t>моющих средств 800х500х1800мм</t>
    </r>
  </si>
  <si>
    <t>Шкаф для
моющих средств 800х500х1800мм</t>
  </si>
  <si>
    <r>
      <rPr>
        <sz val="10"/>
        <color rgb="FF000000"/>
        <rFont val="Times New Roman"/>
      </rPr>
      <t xml:space="preserve">Шкаф для моющих средств 800х500х1800мм. Материал ЛДСП 16мм.
</t>
    </r>
    <r>
      <rPr>
        <sz val="10"/>
        <color rgb="FF000000"/>
        <rFont val="Times New Roman"/>
      </rPr>
      <t>Внутри секции имеются полки для инвентаря</t>
    </r>
  </si>
  <si>
    <r>
      <rPr>
        <sz val="10"/>
        <color rgb="FF000000"/>
        <rFont val="Times New Roman"/>
      </rPr>
      <t xml:space="preserve">521-101-0603-0001 - Шкаф
</t>
    </r>
    <r>
      <rPr>
        <sz val="10"/>
        <color rgb="FF000000"/>
        <rFont val="Times New Roman"/>
      </rPr>
      <t>металлический для хозинвентаря одностворчатый 500х400х1750мм</t>
    </r>
  </si>
  <si>
    <t>Шкаф
металлический для хозинвентаря одностворчатый 500х400х1750мм</t>
  </si>
  <si>
    <r>
      <rPr>
        <sz val="10"/>
        <color rgb="FF000000"/>
        <rFont val="Times New Roman"/>
      </rPr>
      <t xml:space="preserve">Шкаф металлический для хозинвентаря одностворчатый 500х400х1750мм.
</t>
    </r>
    <r>
      <rPr>
        <sz val="10"/>
        <color rgb="FF000000"/>
        <rFont val="Times New Roman"/>
      </rPr>
      <t>Внутри секции имеются полки для инвентаря</t>
    </r>
  </si>
  <si>
    <r>
      <rPr>
        <sz val="10"/>
        <color rgb="FF000000"/>
        <rFont val="Times New Roman"/>
      </rPr>
      <t xml:space="preserve">521-101-0603-0002 - Шкаф
</t>
    </r>
    <r>
      <rPr>
        <sz val="10"/>
        <color rgb="FF000000"/>
        <rFont val="Times New Roman"/>
      </rPr>
      <t>металлический для хозинвентаря двухстворчатый 800х400х1750мм</t>
    </r>
  </si>
  <si>
    <t>Шкаф
металлический для хозинвентаря двухстворчатый 800х400х1750мм</t>
  </si>
  <si>
    <r>
      <rPr>
        <sz val="10"/>
        <color rgb="FF000000"/>
        <rFont val="Times New Roman"/>
      </rPr>
      <t xml:space="preserve">Шкаф металлический для хозинвентаря двухстворчатый 800х400х1750мм.
</t>
    </r>
    <r>
      <rPr>
        <sz val="10"/>
        <color rgb="FF000000"/>
        <rFont val="Times New Roman"/>
      </rPr>
      <t>Внутри секции имеются полки для инвентаря</t>
    </r>
  </si>
  <si>
    <r>
      <rPr>
        <sz val="10"/>
        <color rgb="FF000000"/>
        <rFont val="Times New Roman"/>
      </rPr>
      <t xml:space="preserve">521-101-0603-0003 - Шкаф
</t>
    </r>
    <r>
      <rPr>
        <sz val="10"/>
        <color rgb="FF000000"/>
        <rFont val="Times New Roman"/>
      </rPr>
      <t>металлический односекционный для уборочного инвентаря с замком 600*500*1656мм, с полками и нишей. Покрытие — краска порошковая-полимерная.</t>
    </r>
  </si>
  <si>
    <t>Шкаф
металлический односекционный для уборочного инвентаря с замком 600*500*1656мм, с полками и нишей. Покрытие — краска порошковая-полимерная.</t>
  </si>
  <si>
    <r>
      <rPr>
        <sz val="10"/>
        <color theme="1"/>
        <rFont val="Times New Roman"/>
      </rPr>
      <t>Шкаф металлический для уборочного инвентаря 600*500*1656мм. Шкаф односекционный. Полки и ниша для инвентаря. Покрытие — краска порошковая-полимерная. Двери снабжены замком.</t>
    </r>
  </si>
  <si>
    <r>
      <rPr>
        <sz val="10"/>
        <color rgb="FF000000"/>
        <rFont val="Times New Roman"/>
      </rPr>
      <t xml:space="preserve">521-101-0604-0001 - Стеллаж для цветов 1500х300х1300мм. Каркас изготовлен из стального профиля.
</t>
    </r>
    <r>
      <rPr>
        <sz val="10"/>
        <color rgb="FF000000"/>
        <rFont val="Times New Roman"/>
      </rPr>
      <t>Полки ЛДСП 16 мм</t>
    </r>
  </si>
  <si>
    <t>Стеллаж для цветов 1500х300х1300мм. Каркас изготовлен из стального профиля.
Полки ЛДСП 16 мм</t>
  </si>
  <si>
    <r>
      <rPr>
        <sz val="10"/>
        <color theme="1"/>
        <rFont val="Times New Roman"/>
      </rPr>
      <t>Каркас изготовлен из стального профиля 25х25 мм (толщина 1,2 мм), покраска полимерно-порошковая на 2 слоя. Полки ЛДСП 16мм, торцы закатаны кромочным материалом ПВХ 1,5 мм.</t>
    </r>
  </si>
  <si>
    <r>
      <rPr>
        <sz val="10"/>
        <color rgb="FF000000"/>
        <rFont val="Times New Roman"/>
      </rPr>
      <t xml:space="preserve">521-101-0605-0001 - Шкаф 5-ти
</t>
    </r>
    <r>
      <rPr>
        <sz val="10"/>
        <color rgb="FF000000"/>
        <rFont val="Times New Roman"/>
      </rPr>
      <t>секционный с полками и крючками, 600*150*600. Материал -ЛДСП 16 мм.</t>
    </r>
  </si>
  <si>
    <t>Шкаф 5-ти
секционный с полками и крючками, 600*150*600. Материал -ЛДСП 16 мм.</t>
  </si>
  <si>
    <r>
      <rPr>
        <sz val="10"/>
        <color rgb="FF000000"/>
        <rFont val="Times New Roman"/>
      </rPr>
      <t xml:space="preserve">Шкаф 5-ти секционный с полками и крючками, 600*150*600. Материал
</t>
    </r>
    <r>
      <rPr>
        <sz val="10"/>
        <color rgb="FF000000"/>
        <rFont val="Times New Roman"/>
      </rPr>
      <t>-ЛДСП 16 мм.</t>
    </r>
  </si>
  <si>
    <r>
      <rPr>
        <sz val="10"/>
        <color rgb="FF000000"/>
        <rFont val="Times New Roman"/>
      </rPr>
      <t xml:space="preserve">521-101-0605-0002 - Вешалка 5-ти
</t>
    </r>
    <r>
      <rPr>
        <sz val="10"/>
        <color rgb="FF000000"/>
        <rFont val="Times New Roman"/>
      </rPr>
      <t>секционная с полками и крючками 658*116*1000. Материал - ЛДСП 16 мм.</t>
    </r>
  </si>
  <si>
    <t>Вешалка 5-ти
секционная с полками и крючками 658*116*1000. Материал</t>
  </si>
  <si>
    <t>ЛДСП 16 мм.</t>
  </si>
  <si>
    <r>
      <rPr>
        <sz val="10"/>
        <color theme="1"/>
        <rFont val="Times New Roman"/>
      </rPr>
      <t>Вешалка 5-ти секционная с полками и крючками 658*116*1000. Материал - ЛДСП 16 мм.</t>
    </r>
  </si>
  <si>
    <r>
      <rPr>
        <sz val="10"/>
        <color rgb="FF000000"/>
        <rFont val="Times New Roman"/>
      </rPr>
      <t xml:space="preserve">521-101-0605-0003 - Вешалка
</t>
    </r>
    <r>
      <rPr>
        <sz val="10"/>
        <color rgb="FF000000"/>
        <rFont val="Times New Roman"/>
      </rPr>
      <t>настенная на 14 крючков для одежды, размер 2256х254х263мм, ЛДСП 16мм</t>
    </r>
  </si>
  <si>
    <t>Вешалка
настенная на 14 крючков для одежды, размер 2256х254х263мм, ЛДСП 16мм</t>
  </si>
  <si>
    <r>
      <rPr>
        <sz val="10"/>
        <color theme="1"/>
        <rFont val="Times New Roman"/>
      </rPr>
      <t>Вешалка настенная на 14 крючков для одежды, размер 2256х254х263мм, ЛДСП 16мм</t>
    </r>
  </si>
  <si>
    <r>
      <rPr>
        <sz val="10"/>
        <color rgb="FF000000"/>
        <rFont val="Times New Roman"/>
      </rPr>
      <t xml:space="preserve">521-101-0611-0001 - Шкаф
</t>
    </r>
    <r>
      <rPr>
        <sz val="10"/>
        <color rgb="FF000000"/>
        <rFont val="Times New Roman"/>
      </rPr>
      <t>гардеробный 2300/1100х550х2200мм. Материал - ЛДСП 16мм, полки для головного убора и обуви, перекладина.</t>
    </r>
  </si>
  <si>
    <t>Шкаф
гардеробный 2300/1100х550х2200мм. Материал</t>
  </si>
  <si>
    <t>ЛДСП 16мм, полки для головного убора и обуви, перекладина.</t>
  </si>
  <si>
    <r>
      <rPr>
        <sz val="10"/>
        <color theme="1"/>
        <rFont val="Times New Roman"/>
      </rPr>
      <t>Шкаф гардеробный 2300/1100х550х2200мм. ЛДСП 16мм, полки для головного убора и обуви, перекладина.</t>
    </r>
  </si>
  <si>
    <r>
      <rPr>
        <sz val="10"/>
        <color rgb="FF000000"/>
        <rFont val="Times New Roman"/>
      </rPr>
      <t xml:space="preserve">521-101-0612-0001 - Кровать
</t>
    </r>
    <r>
      <rPr>
        <sz val="10"/>
        <color rgb="FF000000"/>
        <rFont val="Times New Roman"/>
      </rPr>
      <t>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r>
  </si>
  <si>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</si>
  <si>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r>
      <rPr>
        <sz val="10"/>
        <color theme="1"/>
        <rFont val="Times New Roman"/>
      </rPr>
      <t>Кровать детская односпальная, размеры 1436х650х600мм.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Боковины и царги кровати из ЛДСП 16 мм, все углы закруглены. Ложе 1400х600мм.</t>
    </r>
  </si>
  <si>
    <r>
      <rPr>
        <sz val="10"/>
        <color rgb="FF000000"/>
        <rFont val="Times New Roman"/>
      </rPr>
      <t xml:space="preserve">521-101-0612-0002 - Кровать
</t>
    </r>
    <r>
      <rPr>
        <sz val="10"/>
        <color rgb="FF000000"/>
        <rFont val="Times New Roman"/>
      </rPr>
      <t>детская односпальная, размеры 1440х650х700мм. Каркас ЛДСП 16мм, все углы закруглены. Ложе 1400х600мм.</t>
    </r>
  </si>
  <si>
    <t>Кровать
детская односпальная, размеры 1440х650х700мм. Каркас ЛДСП 16мм, все углы закруглены. Ложе 1400х600мм.</t>
  </si>
  <si>
    <r>
      <rPr>
        <sz val="10"/>
        <color theme="1"/>
        <rFont val="Times New Roman"/>
      </rPr>
      <t>Кровать детская односпальная, размеры 1440х650х700мм. Каркас ЛДСП 16мм, все углы закруглены. Ложе 1400х600мм.</t>
    </r>
  </si>
  <si>
    <r>
      <rPr>
        <sz val="10"/>
        <color rgb="FF000000"/>
        <rFont val="Times New Roman"/>
      </rPr>
      <t xml:space="preserve">521-101-0612-0003 - Кровать
</t>
    </r>
    <r>
      <rPr>
        <sz val="10"/>
        <color rgb="FF000000"/>
        <rFont val="Times New Roman"/>
      </rPr>
      <t>детская односпальная, размеры 1436х640х550мм. ЛДСП 16мм, все углы закруглены</t>
    </r>
  </si>
  <si>
    <t>Кровать
детская односпальная, размеры 1436х640х550мм. ЛДСП 16мм, все углы закруглены</t>
  </si>
  <si>
    <r>
      <rPr>
        <sz val="10"/>
        <color theme="1"/>
        <rFont val="Times New Roman"/>
      </rPr>
      <t>Кровать детская односпальная, размеры 1436х640х550мм. ЛДСП 16мм, все углы закруглены</t>
    </r>
  </si>
  <si>
    <r>
      <rPr>
        <sz val="10"/>
        <color rgb="FF000000"/>
        <rFont val="Times New Roman"/>
      </rPr>
      <t xml:space="preserve">521-101-0612-0004 - Кровать
</t>
    </r>
    <r>
      <rPr>
        <sz val="10"/>
        <color rgb="FF000000"/>
        <rFont val="Times New Roman"/>
      </rPr>
      <t>детская односпальная, размеры 1400х600х450мм, ЛДСП 16мм, без острых углов</t>
    </r>
  </si>
  <si>
    <t>Кровать
детская односпальная, размеры 1400х600х450мм, ЛДСП 16мм, без острых углов</t>
  </si>
  <si>
    <r>
      <rPr>
        <sz val="10"/>
        <color theme="1"/>
        <rFont val="Times New Roman"/>
      </rPr>
      <t>ЛДСП 16 мм, класс эмиссии Е1. Кромки деталей облицованы полимерным кромочным материалом (ПВХ), толщиной 2 мм. Фурнитура: стяжка типа Blum</t>
    </r>
  </si>
  <si>
    <r>
      <rPr>
        <sz val="10"/>
        <color rgb="FF000000"/>
        <rFont val="Times New Roman"/>
      </rPr>
      <t xml:space="preserve">521-101-0612-0005 - Кровать
</t>
    </r>
    <r>
      <rPr>
        <sz val="10"/>
        <color rgb="FF000000"/>
        <rFont val="Times New Roman"/>
      </rPr>
      <t>детская 1 ярус, материал изготовления ЛДСП 16 мм, габаритные размеры 1532х650х500 мм</t>
    </r>
  </si>
  <si>
    <t>Кровать
детская 1 ярус, материал изготовления ЛДСП 16 мм, габаритные размеры 1532х650х500 мм</t>
  </si>
  <si>
    <r>
      <rPr>
        <sz val="10"/>
        <color rgb="FF000000"/>
        <rFont val="Times New Roman"/>
      </rPr>
      <t xml:space="preserve">Для изготовления должна использоваться ЛДСП не менее 16 мм. Цвет на выбор по каталогу. Отделка видимы торцов должна быть из ПВХ не менее 2 мм, остальных элементов 0,4 мм. Основание кровати содержит 1 перемычку из профильной квадратной трубы 25х25 мм для более жесткой конструкции. Спинки и царги изготовлены из лдсп не менее 16мм, которые соединяются между собой с помощью винтовой стяжки м6 и гайки боченка.
</t>
    </r>
    <r>
      <rPr>
        <sz val="10"/>
        <color rgb="FF000000"/>
        <rFont val="Times New Roman"/>
      </rPr>
      <t xml:space="preserve">Спинки с внешним радиусом закругления не менее 800 мм и внутренним - не менее 550 мм, а царги имеют волнообразную форму. Опоры имеют на
</t>
    </r>
    <r>
      <rPr>
        <sz val="10"/>
        <color rgb="FF000000"/>
        <rFont val="Times New Roman"/>
      </rPr>
      <t>концах заглушки из ударопрочных полимеров, предотвращающих порчу полового покрытия.</t>
    </r>
  </si>
  <si>
    <r>
      <rPr>
        <sz val="10"/>
        <color rgb="FF000000"/>
        <rFont val="Times New Roman"/>
      </rPr>
      <t xml:space="preserve">521-101-0613-0001 - Кровать
</t>
    </r>
    <r>
      <rPr>
        <sz val="10"/>
        <color rgb="FF000000"/>
        <rFont val="Times New Roman"/>
      </rPr>
      <t xml:space="preserve">детская двухъярусная. Каркас цельносварная рамочная конструкция. Верхний ярус кровати с нижним соединяется лестницей.
</t>
    </r>
    <r>
      <rPr>
        <sz val="10"/>
        <color rgb="FF000000"/>
        <rFont val="Times New Roman"/>
      </rPr>
      <t xml:space="preserve">Боковины и царги кровати из ЛДСП 16 мм. Все углы закруглены.
</t>
    </r>
    <r>
      <rPr>
        <sz val="10"/>
        <color rgb="FF000000"/>
        <rFont val="Times New Roman"/>
      </rPr>
      <t>Размеры: 1477х657х1359мм. Ложе 1400х600мм.</t>
    </r>
  </si>
  <si>
    <t>Кровать
детская двухъярусная. Каркас цельносварная рамочная конструкция. Верхний ярус кровати с нижним соединяется лестницей.
Боковины и царги кровати из ЛДСП 16 мм. Все углы закруглены.
Размеры: 1477х657х1359мм. Ложе 1400х600мм.</t>
  </si>
  <si>
    <r>
      <rPr>
        <sz val="10"/>
        <color theme="1"/>
        <rFont val="Times New Roman"/>
      </rPr>
      <t>Кровать детская двухъярусная.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Верхний ярус кровати с нижним соединяется лестницей. Боковины и царги кровати из ЛДСП 16 мм. Все углы закруглены. Размеры: 1477х657х1359мм. Ложе 1400х600мм.</t>
    </r>
  </si>
  <si>
    <r>
      <rPr>
        <sz val="10"/>
        <color rgb="FF000000"/>
        <rFont val="Times New Roman"/>
      </rPr>
      <t xml:space="preserve">521-101-0613-0002 - Кровать
</t>
    </r>
    <r>
      <rPr>
        <sz val="10"/>
        <color rgb="FF000000"/>
        <rFont val="Times New Roman"/>
      </rPr>
      <t xml:space="preserve">детская двухъярусная. Каркас ЛДСП 16мм, все углы закруглены.
</t>
    </r>
    <r>
      <rPr>
        <sz val="10"/>
        <color rgb="FF000000"/>
        <rFont val="Times New Roman"/>
      </rPr>
      <t>Размеры 1450*700*1200мм.</t>
    </r>
  </si>
  <si>
    <t>Кровать
детская двухъярусная. Каркас ЛДСП 16мм, все углы закруглены.
Размеры 1450*700*1200мм.</t>
  </si>
  <si>
    <r>
      <rPr>
        <sz val="10"/>
        <color theme="1"/>
        <rFont val="Times New Roman"/>
      </rPr>
      <t>Кровать детская двухъярусная. Каркас ЛДСП 16мм, все углы закруглены. Верхний и нижний ярус соединяются лестницей из ЛДСП с перекладинами, покрытые лаковым покрытием. Размеры 1450*700*1200мм.</t>
    </r>
  </si>
  <si>
    <r>
      <rPr>
        <sz val="10"/>
        <color rgb="FF000000"/>
        <rFont val="Times New Roman"/>
      </rPr>
      <t xml:space="preserve">521-101-0614-0001 - Кровать
</t>
    </r>
    <r>
      <rPr>
        <sz val="10"/>
        <color rgb="FF000000"/>
        <rFont val="Times New Roman"/>
      </rPr>
      <t>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r>
  </si>
  <si>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</si>
  <si>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r>
      <rPr>
        <sz val="10"/>
        <color rgb="FF000000"/>
        <rFont val="Times New Roman"/>
      </rPr>
      <t xml:space="preserve">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t>
    </r>
    <r>
      <rPr>
        <sz val="10"/>
        <color rgb="FF000000"/>
        <rFont val="Times New Roman"/>
      </rPr>
      <t>Длина кровати при выдвижении 1680мм. Размеры 1610*600/1680*740мм.</t>
    </r>
  </si>
  <si>
    <r>
      <rPr>
        <sz val="10"/>
        <color rgb="FF000000"/>
        <rFont val="Times New Roman"/>
      </rPr>
      <t xml:space="preserve">521-101-0614-0002 - Кровать
</t>
    </r>
    <r>
      <rPr>
        <sz val="10"/>
        <color rgb="FF000000"/>
        <rFont val="Times New Roman"/>
      </rPr>
      <t>трехъярусная, телоскопическая, выполнена из ЛДСП 16мм, размеры 1528х693х923мм</t>
    </r>
  </si>
  <si>
    <t>Кровать
трехъярусная, телоскопическая, выполнена из ЛДСП 16мм, размеры 1528х693х923мм</t>
  </si>
  <si>
    <r>
      <rPr>
        <sz val="10"/>
        <color theme="1"/>
        <rFont val="Times New Roman"/>
      </rPr>
      <t>Кровать трехъярусная, телоскопическая, выполнена из ЛДСП 16мм, размеры 1528х693х923мм</t>
    </r>
  </si>
  <si>
    <r>
      <rPr>
        <sz val="10"/>
        <color rgb="FF000000"/>
        <rFont val="Times New Roman"/>
      </rPr>
      <t xml:space="preserve">521-102-0114-0001 - Мольберт
</t>
    </r>
    <r>
      <rPr>
        <sz val="10"/>
        <color rgb="FF000000"/>
        <rFont val="Times New Roman"/>
      </rPr>
      <t>напольный алюминиевый, размеры не менее 960х960х1800мм</t>
    </r>
  </si>
  <si>
    <t>Мольберт
напольный алюминиевый, размеры не менее 960х960х1800мм</t>
  </si>
  <si>
    <r>
      <rPr>
        <sz val="10"/>
        <color theme="1"/>
        <rFont val="Times New Roman"/>
      </rPr>
      <t>Мольберт напольный алюминиевый, размеры не менее 960х960х1800мм</t>
    </r>
  </si>
  <si>
    <r>
      <rPr>
        <sz val="10"/>
        <color theme="1"/>
        <rFont val="Times New Roman"/>
      </rPr>
      <t>521-103-0201-0001 - Шкаф для книг открытый. ЛДСП 16мм, размеры 1000х500х1800мм</t>
    </r>
  </si>
  <si>
    <r>
      <rPr>
        <sz val="10"/>
        <color theme="1"/>
        <rFont val="Times New Roman"/>
      </rPr>
      <t>Шкаф для книг открытый. ЛДСП 16мм, размеры 1000х500х1800мм. Полки открытые.</t>
    </r>
  </si>
  <si>
    <r>
      <rPr>
        <sz val="10"/>
        <color rgb="FF000000"/>
        <rFont val="Times New Roman"/>
      </rPr>
      <t xml:space="preserve">521-103-0301-0001 - Шкаф для
</t>
    </r>
    <r>
      <rPr>
        <sz val="10"/>
        <color rgb="FF000000"/>
        <rFont val="Times New Roman"/>
      </rPr>
      <t>документов. Вверх с открытой полкой, низ с закрытыми полками и дверьми. Размеры 1000*340*1200мм. ЛДСП 16мм.</t>
    </r>
  </si>
  <si>
    <t>Шкаф для
документов. Вверх с открытой полкой, низ с закрытыми полками и дверьми. Размеры 1000*340*1200мм. ЛДСП 16мм.</t>
  </si>
  <si>
    <r>
      <rPr>
        <sz val="10"/>
        <color theme="1"/>
        <rFont val="Times New Roman"/>
      </rPr>
      <t>Шкаф для документов. Вверх с открытой полкой, низ с закрытыми полками и дверьми. Размеры 1000*340*1200мм. ЛДСП 16мм.</t>
    </r>
  </si>
  <si>
    <r>
      <rPr>
        <sz val="10"/>
        <color rgb="FF000000"/>
        <rFont val="Times New Roman"/>
      </rPr>
      <t xml:space="preserve">521-103-0301-0002 - Шкаф для
</t>
    </r>
    <r>
      <rPr>
        <sz val="10"/>
        <color rgb="FF000000"/>
        <rFont val="Times New Roman"/>
      </rPr>
      <t>документов с открытыми верхними полками и закрытой нижней частью. Размеры 800*450*2000мм. ЛДСП 16мм.</t>
    </r>
  </si>
  <si>
    <t>Шкаф для
документов с открытыми верхними полками и закрытой нижней частью. Размеры 800*450*2000мм. ЛДСП 16мм.</t>
  </si>
  <si>
    <r>
      <rPr>
        <sz val="10"/>
        <color theme="1"/>
        <rFont val="Times New Roman"/>
      </rPr>
      <t>Шкаф для документов с открытыми верхними полками и закрытой нижней частью. Размеры 800*450*2000мм. ЛДСП 16мм.</t>
    </r>
  </si>
  <si>
    <r>
      <rPr>
        <sz val="10"/>
        <color rgb="FF000000"/>
        <rFont val="Times New Roman"/>
      </rPr>
      <t xml:space="preserve">521-103-0301-0003 - Шкаф для
</t>
    </r>
    <r>
      <rPr>
        <sz val="10"/>
        <color rgb="FF000000"/>
        <rFont val="Times New Roman"/>
      </rPr>
      <t>документов с открытыми верхними полками и закрытой нижней частью. Размеры 600х450х1800мм. ЛДСП 16мм.</t>
    </r>
  </si>
  <si>
    <t>Шкаф для
документов с открытыми верхними полками и закрытой нижней частью. Размеры 600х450х1800мм. ЛДСП 16мм.</t>
  </si>
  <si>
    <r>
      <rPr>
        <sz val="10"/>
        <color theme="1"/>
        <rFont val="Times New Roman"/>
      </rPr>
      <t>Шкаф для документов с открытыми верхними полками и закрытой нижней частью. Размеры 600х450х1800мм. ЛДСП 16мм.</t>
    </r>
  </si>
  <si>
    <r>
      <rPr>
        <sz val="10"/>
        <color rgb="FF000000"/>
        <rFont val="Times New Roman"/>
      </rPr>
      <t xml:space="preserve">521-103-0303-0001 - Стул из
</t>
    </r>
    <r>
      <rPr>
        <sz val="10"/>
        <color rgb="FF000000"/>
        <rFont val="Times New Roman"/>
      </rPr>
      <t>пластика, размер 465х530х800 мм</t>
    </r>
  </si>
  <si>
    <t>Стул из
пластика, размер 465х530х800 мм</t>
  </si>
  <si>
    <r>
      <rPr>
        <sz val="10"/>
        <color theme="1"/>
        <rFont val="Times New Roman"/>
      </rPr>
      <t>Материал сидушки и ножек пластик. Размеры 465х530х800мм.</t>
    </r>
  </si>
  <si>
    <r>
      <rPr>
        <sz val="10"/>
        <color rgb="FF000000"/>
        <rFont val="Times New Roman"/>
      </rPr>
      <t xml:space="preserve">521-103-0303-0002 - Стул из
</t>
    </r>
    <r>
      <rPr>
        <sz val="10"/>
        <color rgb="FF000000"/>
        <rFont val="Times New Roman"/>
      </rPr>
      <t>пластика, размер 500х550х820 мм</t>
    </r>
  </si>
  <si>
    <t>Стул из
пластика, размер 500х550х820 мм</t>
  </si>
  <si>
    <r>
      <rPr>
        <sz val="10"/>
        <color theme="1"/>
        <rFont val="Times New Roman"/>
      </rPr>
      <t>Материал пластик. Размеры 500х550х820мм. Стул цельнолитой.</t>
    </r>
  </si>
  <si>
    <r>
      <rPr>
        <sz val="10"/>
        <color rgb="FF000000"/>
        <rFont val="Times New Roman"/>
      </rPr>
      <t xml:space="preserve">521-103-0303-0003 - Стул из
</t>
    </r>
    <r>
      <rPr>
        <sz val="10"/>
        <color rgb="FF000000"/>
        <rFont val="Times New Roman"/>
      </rPr>
      <t>пластика, размер 590х590х840 мм</t>
    </r>
  </si>
  <si>
    <t>Стул из
пластика, размер 590х590х840 мм</t>
  </si>
  <si>
    <r>
      <rPr>
        <sz val="10"/>
        <color theme="1"/>
        <rFont val="Times New Roman"/>
      </rPr>
      <t>Материал сидушки и ножек пластик. Размеры 590х590х840мм.</t>
    </r>
  </si>
  <si>
    <r>
      <rPr>
        <sz val="10"/>
        <color theme="1"/>
        <rFont val="Times New Roman"/>
      </rPr>
      <t>521-103-0303-0004 - Стул офисный пластиковый, каркас хром</t>
    </r>
  </si>
  <si>
    <r>
      <rPr>
        <sz val="10"/>
        <color rgb="FF000000"/>
        <rFont val="Times New Roman"/>
      </rPr>
      <t xml:space="preserve">Стул изготовлен из пластика. Каркас из хромированного металла.
</t>
    </r>
    <r>
      <rPr>
        <sz val="10"/>
        <color rgb="FF000000"/>
        <rFont val="Times New Roman"/>
      </rPr>
      <t>Материал: основание - хром, спинка - пластик</t>
    </r>
  </si>
  <si>
    <r>
      <rPr>
        <sz val="10"/>
        <color theme="1"/>
        <rFont val="Times New Roman"/>
      </rPr>
      <t>521-103-0303-0005 - Стул офисный. Сиденье и спинка: пластик. Каркас стула: металл, хром.лак/черный муар. Размер: 460х480х840мм</t>
    </r>
  </si>
  <si>
    <r>
      <rPr>
        <sz val="10"/>
        <color theme="1"/>
        <rFont val="Times New Roman"/>
      </rPr>
      <t>Цвет по согласованию с заказчиком. Усиленный каркас до 240 кг.</t>
    </r>
  </si>
  <si>
    <r>
      <rPr>
        <sz val="10"/>
        <color theme="1"/>
        <rFont val="Times New Roman"/>
      </rPr>
      <t>521-103-0303-0006 - Стул офисный пластиковый. Материал сиденья и спинки полипропилен.</t>
    </r>
  </si>
  <si>
    <t>Стул офисный пластиковый. Материал сиденья и спинки полипропилен.</t>
  </si>
  <si>
    <r>
      <rPr>
        <sz val="10"/>
        <color theme="1"/>
        <rFont val="Times New Roman"/>
      </rPr>
      <t>Материал основания: пустотелая сталь. Размер: 860*592*515 мм. Цвет по согласованию</t>
    </r>
  </si>
  <si>
    <r>
      <rPr>
        <sz val="10"/>
        <color rgb="FF000000"/>
        <rFont val="Times New Roman"/>
      </rPr>
      <t xml:space="preserve">521-103-0303-0007 - Стул типа
</t>
    </r>
    <r>
      <rPr>
        <sz val="10"/>
        <color rgb="FF000000"/>
        <rFont val="Times New Roman"/>
      </rPr>
      <t>Форум. Цвет по согласованию с заказчиком. Материал - полипропилен. Габаритные размеры: 590х590х840мм</t>
    </r>
  </si>
  <si>
    <t>Стул типа
Форум. Цвет по согласованию с заказчиком. Материал</t>
  </si>
  <si>
    <t>полипропилен. Габаритные размеры: 590х590х840мм</t>
  </si>
  <si>
    <r>
      <rPr>
        <sz val="10"/>
        <color theme="1"/>
        <rFont val="Times New Roman"/>
      </rPr>
      <t>Стул типа Форум. Цвет по согласованию с заказчиком. Материал - полипропилен. Габаритные размеры: 590х590х840мм</t>
    </r>
  </si>
  <si>
    <r>
      <rPr>
        <sz val="10"/>
        <color rgb="FF000000"/>
        <rFont val="Times New Roman"/>
      </rPr>
      <t xml:space="preserve">521-103-0303-0008 - Стул типа
</t>
    </r>
    <r>
      <rPr>
        <sz val="10"/>
        <color rgb="FF000000"/>
        <rFont val="Times New Roman"/>
      </rPr>
      <t xml:space="preserve">ИМС. Материал - пластик. Цвет по согласованию с заказчиком.
</t>
    </r>
    <r>
      <rPr>
        <sz val="10"/>
        <color rgb="FF000000"/>
        <rFont val="Times New Roman"/>
      </rPr>
      <t xml:space="preserve">Материал - полипропилен.
</t>
    </r>
    <r>
      <rPr>
        <sz val="10"/>
        <color rgb="FF000000"/>
        <rFont val="Times New Roman"/>
      </rPr>
      <t>Габаритные размеры: 465х530х800мм</t>
    </r>
  </si>
  <si>
    <t>Стул типа
ИМС. Материал</t>
  </si>
  <si>
    <t>пластик. Цвет по согласованию с заказчиком.
Материал</t>
  </si>
  <si>
    <t>полипропилен.
Габаритные размеры: 465х530х800мм</t>
  </si>
  <si>
    <r>
      <rPr>
        <sz val="10"/>
        <color rgb="FF000000"/>
        <rFont val="Times New Roman"/>
      </rPr>
      <t xml:space="preserve">Стул типа ИМС. Материал - пластик. Цвет по согласованию с заказчиком.
</t>
    </r>
    <r>
      <rPr>
        <sz val="10"/>
        <color rgb="FF000000"/>
        <rFont val="Times New Roman"/>
      </rPr>
      <t>Материал - полипропилен. Габаритные размеры: 465х530х800мм</t>
    </r>
  </si>
  <si>
    <r>
      <rPr>
        <sz val="10"/>
        <color rgb="FF000000"/>
        <rFont val="Times New Roman"/>
      </rPr>
      <t xml:space="preserve">521-103-0303-0009 - Стул типа
</t>
    </r>
    <r>
      <rPr>
        <sz val="10"/>
        <color rgb="FF000000"/>
        <rFont val="Times New Roman"/>
      </rPr>
      <t xml:space="preserve">ЛАЙН. Материал - полипропилен.
</t>
    </r>
    <r>
      <rPr>
        <sz val="10"/>
        <color rgb="FF000000"/>
        <rFont val="Times New Roman"/>
      </rPr>
      <t>Габаритные размеры: 480х470х845мм. Цвет по согласованию с заказчиком</t>
    </r>
  </si>
  <si>
    <t>Стул типа
ЛАЙН. Материал</t>
  </si>
  <si>
    <t>полипропилен.
Габаритные размеры: 480х470х845мм. Цвет по согласованию с заказчиком</t>
  </si>
  <si>
    <r>
      <rPr>
        <sz val="10"/>
        <color theme="1"/>
        <rFont val="Times New Roman"/>
      </rPr>
      <t>Стул типа ЛАЙН. Материал - полипропилен. Габаритные размеры: 480х470х845мм. Цвет по согласованию с заказчиком</t>
    </r>
  </si>
  <si>
    <r>
      <rPr>
        <sz val="10"/>
        <color rgb="FF000000"/>
        <rFont val="Times New Roman"/>
      </rPr>
      <t xml:space="preserve">521-103-0303-0010 - Стул типа ЛЕО.
</t>
    </r>
    <r>
      <rPr>
        <sz val="10"/>
        <color rgb="FF000000"/>
        <rFont val="Times New Roman"/>
      </rPr>
      <t>Материал -полипропилен. Габаритные размеры: 465х415х845мм. Цвет по согласованию с заказчиком</t>
    </r>
  </si>
  <si>
    <t>Стул типа ЛЕО.
Материал -полипропилен. Габаритные размеры: 465х415х845мм. Цвет по согласованию с заказчиком</t>
  </si>
  <si>
    <r>
      <rPr>
        <sz val="10"/>
        <color theme="1"/>
        <rFont val="Times New Roman"/>
      </rPr>
      <t>Стул типа ЛЕО.  Материал -полипропилен. Габаритные размеры: 465х415х845мм. Цвет по согласованию с заказчиком</t>
    </r>
  </si>
  <si>
    <r>
      <rPr>
        <sz val="10"/>
        <color rgb="FF000000"/>
        <rFont val="Times New Roman"/>
      </rPr>
      <t xml:space="preserve">521-103-0303-0011 -
</t>
    </r>
    <r>
      <rPr>
        <sz val="10"/>
        <color rgb="FF000000"/>
        <rFont val="Times New Roman"/>
      </rPr>
      <t xml:space="preserve">Табурет-корзина типа Юна.
</t>
    </r>
    <r>
      <rPr>
        <sz val="10"/>
        <color rgb="FF000000"/>
        <rFont val="Times New Roman"/>
      </rPr>
      <t>Материал - полипропилен. Цвет-антрацит</t>
    </r>
  </si>
  <si>
    <t>521-103-0303-0011 -
Табурет-корзина типа Юна.
Материал</t>
  </si>
  <si>
    <t>полипропилен. Цвет-антрацит</t>
  </si>
  <si>
    <r>
      <rPr>
        <sz val="10"/>
        <color theme="1"/>
        <rFont val="Times New Roman"/>
      </rPr>
      <t>Табурет-корзина типа Юна. Материал - полипропилен. Цвет- антрацит</t>
    </r>
  </si>
  <si>
    <r>
      <rPr>
        <sz val="10"/>
        <color rgb="FF000000"/>
        <rFont val="Times New Roman"/>
      </rPr>
      <t xml:space="preserve">521-103-0303-0012 -
</t>
    </r>
    <r>
      <rPr>
        <sz val="10"/>
        <color rgb="FF000000"/>
        <rFont val="Times New Roman"/>
      </rPr>
      <t>Табурет-корзина типа Оркеш. Материал - полипропилен. Цвет-антрацит. Габаритные размеры: 395х250х310мм</t>
    </r>
  </si>
  <si>
    <t>521-103-0303-0012 -
Табурет-корзина типа Оркеш. Материал</t>
  </si>
  <si>
    <t>полипропилен. Цвет-антрацит. Габаритные размеры: 395х250х310мм</t>
  </si>
  <si>
    <r>
      <rPr>
        <sz val="10"/>
        <color rgb="FF000000"/>
        <rFont val="Times New Roman"/>
      </rPr>
      <t xml:space="preserve">Табурет-корзина типа Оркеш. Материал - полипропилен. Цвет- антрацит.
</t>
    </r>
    <r>
      <rPr>
        <sz val="10"/>
        <color rgb="FF000000"/>
        <rFont val="Times New Roman"/>
      </rPr>
      <t>Габаритные размеры: 395х250х310мм</t>
    </r>
  </si>
  <si>
    <r>
      <rPr>
        <sz val="10"/>
        <color rgb="FF000000"/>
        <rFont val="Times New Roman"/>
      </rPr>
      <t xml:space="preserve">521-103-0303-0013 - Табурет типа Тулип. Материал - полипропилен.
</t>
    </r>
    <r>
      <rPr>
        <sz val="10"/>
        <color rgb="FF000000"/>
        <rFont val="Times New Roman"/>
      </rPr>
      <t>Цвет- антрацит</t>
    </r>
  </si>
  <si>
    <t>Табурет типа Тулип. Материал</t>
  </si>
  <si>
    <t>полипропилен.
Цвет- антрацит</t>
  </si>
  <si>
    <r>
      <rPr>
        <sz val="10"/>
        <color theme="1"/>
        <rFont val="Times New Roman"/>
      </rPr>
      <t>Табурет типа Тулип. Материал - полипропилен. Цвет- антрацит</t>
    </r>
  </si>
  <si>
    <r>
      <rPr>
        <sz val="10"/>
        <color theme="1"/>
        <rFont val="Times New Roman"/>
      </rPr>
      <t>521-103-0303-0014 - Стул детский типа Фокси. Цвет по согласованию с заказчиком. Материал - полипропилен. Габаритные размеры: 390х400х585мм</t>
    </r>
  </si>
  <si>
    <t>Стул детский типа Фокси. Цвет по согласованию с заказчиком. Материал</t>
  </si>
  <si>
    <t>полипропилен. Габаритные размеры: 390х400х585мм</t>
  </si>
  <si>
    <r>
      <rPr>
        <sz val="10"/>
        <color theme="1"/>
        <rFont val="Times New Roman"/>
      </rPr>
      <t>Стул детский типа Фокси. Цвет по согласованию с заказчиком. Материал - полипропилен. Габаритные размеры: 390х400х585мм</t>
    </r>
  </si>
  <si>
    <r>
      <rPr>
        <sz val="10"/>
        <color rgb="FF000000"/>
        <rFont val="Times New Roman"/>
      </rPr>
      <t xml:space="preserve">521-103-0303-0015 - Стул из
</t>
    </r>
    <r>
      <rPr>
        <sz val="10"/>
        <color rgb="FF000000"/>
        <rFont val="Times New Roman"/>
      </rPr>
      <t>пластика, размер 470х390х770мм, металлический каркас</t>
    </r>
  </si>
  <si>
    <t>Стул из
пластика, размер 470х390х770мм, металлический каркас</t>
  </si>
  <si>
    <r>
      <rPr>
        <sz val="10"/>
        <color rgb="FF000000"/>
        <rFont val="Times New Roman"/>
      </rPr>
      <t xml:space="preserve">Обивка отсутствует. Жесткость сиденья средняя. Высота 770мм. Ширина 470мм. Глубина 390мм. Сиденье и спинка из полипропиленового пластика.
</t>
    </r>
    <r>
      <rPr>
        <sz val="10"/>
        <color rgb="FF000000"/>
        <rFont val="Times New Roman"/>
      </rPr>
      <t>Цвет по согласованию</t>
    </r>
  </si>
  <si>
    <r>
      <rPr>
        <sz val="10"/>
        <color rgb="FF000000"/>
        <rFont val="Times New Roman"/>
      </rPr>
      <t xml:space="preserve">521-103-0303-0016 - Стул из
</t>
    </r>
    <r>
      <rPr>
        <sz val="10"/>
        <color rgb="FF000000"/>
        <rFont val="Times New Roman"/>
      </rPr>
      <t>пластика, размер 440х400х780мм, ножки металлические</t>
    </r>
  </si>
  <si>
    <t>Стул из
пластика, размер 440х400х780мм, ножки металлические</t>
  </si>
  <si>
    <r>
      <rPr>
        <sz val="10"/>
        <color theme="1"/>
        <rFont val="Times New Roman"/>
      </rPr>
      <t>Каркас пластик. Ножки металлические с эффектом покраски под дерево</t>
    </r>
  </si>
  <si>
    <r>
      <rPr>
        <sz val="10"/>
        <color rgb="FF000000"/>
        <rFont val="Times New Roman"/>
      </rPr>
      <t xml:space="preserve">521-103-0303-0017 - Стул из
</t>
    </r>
    <r>
      <rPr>
        <sz val="10"/>
        <color rgb="FF000000"/>
        <rFont val="Times New Roman"/>
      </rPr>
      <t>пластика, размер 400х380х780мм, металлический каркас цветной</t>
    </r>
  </si>
  <si>
    <t>Стул из
пластика, размер 400х380х780мм, металлический каркас цветной</t>
  </si>
  <si>
    <r>
      <rPr>
        <sz val="10"/>
        <color rgb="FF000000"/>
        <rFont val="Times New Roman"/>
      </rPr>
      <t xml:space="preserve">Обивка отсутствует. Жесткость сиденья средняя. Высота 780мм. Ширина 400мм. Глубина 380мм. Сиденье и спинка из полипропиленового пластика.
</t>
    </r>
    <r>
      <rPr>
        <sz val="10"/>
        <color rgb="FF000000"/>
        <rFont val="Times New Roman"/>
      </rPr>
      <t>Цвет по согласованию</t>
    </r>
  </si>
  <si>
    <r>
      <rPr>
        <sz val="10"/>
        <color theme="1"/>
        <rFont val="Times New Roman"/>
      </rPr>
      <t>521-105-0501 - Домбра</t>
    </r>
  </si>
  <si>
    <r>
      <rPr>
        <sz val="10"/>
        <color theme="1"/>
        <rFont val="Times New Roman"/>
      </rPr>
      <t>Домбра, длина грифа не менее 450 мм.</t>
    </r>
  </si>
  <si>
    <r>
      <rPr>
        <sz val="10"/>
        <color theme="1"/>
        <rFont val="Times New Roman"/>
      </rPr>
      <t>521-105-0502 - Дауылпаз</t>
    </r>
  </si>
  <si>
    <r>
      <rPr>
        <sz val="10"/>
        <color theme="1"/>
        <rFont val="Times New Roman"/>
      </rPr>
      <t>Ударный музыкальный инструмент. Корпус котлообразный изготовлен из твёрдых пород дерева, лицевая часть обтянута из козлиной кожи.</t>
    </r>
  </si>
  <si>
    <r>
      <rPr>
        <sz val="10"/>
        <color theme="1"/>
        <rFont val="Times New Roman"/>
      </rPr>
      <t>521-105-0505 - Сазсырнай</t>
    </r>
  </si>
  <si>
    <r>
      <rPr>
        <sz val="10"/>
        <color theme="1"/>
        <rFont val="Times New Roman"/>
      </rPr>
      <t>Это духовой музыкальный инструмент, сделанный из глины. Имеет по бокам отверстия. В комплекте идет чехол.</t>
    </r>
  </si>
  <si>
    <r>
      <rPr>
        <sz val="10"/>
        <color theme="1"/>
        <rFont val="Times New Roman"/>
      </rPr>
      <t>521-105-0520 - Асатаяқ</t>
    </r>
  </si>
  <si>
    <r>
      <rPr>
        <sz val="10"/>
        <color theme="1"/>
        <rFont val="Times New Roman"/>
      </rPr>
      <t>Шумовой музыкальный ударный инструмент. На корпус навешиваются колокольчики или лепестки.</t>
    </r>
  </si>
  <si>
    <r>
      <rPr>
        <sz val="10"/>
        <color rgb="FF000000"/>
        <rFont val="Times New Roman"/>
      </rPr>
      <t xml:space="preserve">521-108-0502-0015 - Тележка для белья, пластиковый корпус цельнозаливной, объем 200 л.
</t>
    </r>
    <r>
      <rPr>
        <sz val="10"/>
        <color rgb="FF000000"/>
        <rFont val="Times New Roman"/>
      </rPr>
      <t>Габаритные размеры: 1050х750х800 мм</t>
    </r>
  </si>
  <si>
    <t>Тележка для белья, пластиковый корпус цельнозаливной, объем 200 л.
Габаритные размеры: 1050х750х800 мм</t>
  </si>
  <si>
    <r>
      <rPr>
        <sz val="10"/>
        <color rgb="FF000000"/>
        <rFont val="Times New Roman"/>
      </rPr>
      <t xml:space="preserve">Тележка пластиковая для транспортировки, хранения и замачивания белья.
</t>
    </r>
    <r>
      <rPr>
        <sz val="10"/>
        <color rgb="FF000000"/>
        <rFont val="Times New Roman"/>
      </rPr>
      <t>4 поворотных колеса, 2 из них с тормозом.</t>
    </r>
  </si>
  <si>
    <r>
      <rPr>
        <sz val="10"/>
        <color rgb="FF000000"/>
        <rFont val="Times New Roman"/>
      </rPr>
      <t xml:space="preserve">521-108-0502-0016 - Тележка для белья, пластиковый корпус цельнозаливной, объем 300 л.
</t>
    </r>
    <r>
      <rPr>
        <sz val="10"/>
        <color rgb="FF000000"/>
        <rFont val="Times New Roman"/>
      </rPr>
      <t>Габаритные размеры: 1200х850х800 мм</t>
    </r>
  </si>
  <si>
    <t>Тележка для белья, пластиковый корпус цельнозаливной, объем 300 л.
Габаритные размеры: 1200х850х800 мм</t>
  </si>
  <si>
    <r>
      <rPr>
        <sz val="10"/>
        <color rgb="FF000000"/>
        <rFont val="Times New Roman"/>
      </rPr>
      <t xml:space="preserve">Тележка пластиковая для транспортировки, хранения и замачивания белья.
</t>
    </r>
    <r>
      <rPr>
        <sz val="10"/>
        <color rgb="FF000000"/>
        <rFont val="Times New Roman"/>
      </rPr>
      <t>4 поворотных колеса, 2 из них с тормозом.</t>
    </r>
  </si>
  <si>
    <r>
      <rPr>
        <sz val="10"/>
        <color rgb="FF000000"/>
        <rFont val="Times New Roman"/>
      </rPr>
      <t xml:space="preserve">521-108-0502-0017 - Тележка для белья, пластиковый корпус цельнозаливной, объем 400 л.
</t>
    </r>
    <r>
      <rPr>
        <sz val="10"/>
        <color rgb="FF000000"/>
        <rFont val="Times New Roman"/>
      </rPr>
      <t>Габаритные размеры: 1350х850х800 мм</t>
    </r>
  </si>
  <si>
    <t>Тележка для белья, пластиковый корпус цельнозаливной, объем 400 л.
Габаритные размеры: 1350х850х800 мм</t>
  </si>
  <si>
    <r>
      <rPr>
        <sz val="10"/>
        <color rgb="FF000000"/>
        <rFont val="Times New Roman"/>
      </rPr>
      <t xml:space="preserve">Тележка пластиковая для транспортировки, хранения и замачивания белья.
</t>
    </r>
    <r>
      <rPr>
        <sz val="10"/>
        <color rgb="FF000000"/>
        <rFont val="Times New Roman"/>
      </rPr>
      <t>4 поворотных колеса, 2 из них с тормозом.</t>
    </r>
  </si>
  <si>
    <r>
      <rPr>
        <sz val="10"/>
        <color rgb="FF000000"/>
        <rFont val="Times New Roman"/>
      </rPr>
      <t xml:space="preserve">521-108-0502-0018 - Тележка
</t>
    </r>
    <r>
      <rPr>
        <sz val="10"/>
        <color rgb="FF000000"/>
        <rFont val="Times New Roman"/>
      </rPr>
      <t>стеллаж из нержавеющей стали, 3 полки, 4 поворотных колеса, 2 из них с тормозом. Габаритные размеры: 800х600х1800 мм</t>
    </r>
  </si>
  <si>
    <t>Тележка
стеллаж из нержавеющей стали, 3 полки, 4 поворотных колеса, 2 из них с тормозом. Габаритные размеры: 800х600х1800 мм</t>
  </si>
  <si>
    <r>
      <rPr>
        <sz val="10"/>
        <color theme="1"/>
        <rFont val="Times New Roman"/>
      </rPr>
      <t>Тележка стеллаж из нержавеющей стали, решетчатого типа.</t>
    </r>
  </si>
  <si>
    <r>
      <rPr>
        <sz val="10"/>
        <color rgb="FF000000"/>
        <rFont val="Times New Roman"/>
      </rPr>
      <t xml:space="preserve">521-108-0502-0019 - Тележка
</t>
    </r>
    <r>
      <rPr>
        <sz val="10"/>
        <color rgb="FF000000"/>
        <rFont val="Times New Roman"/>
      </rPr>
      <t>стеллаж из нержавеющей стали, 3 полки, 4 поворотных колеса, 2 из них с тормозом. Габаритные размеры: 1000х600х1800 мм</t>
    </r>
  </si>
  <si>
    <t>Тележка
стеллаж из нержавеющей стали, 3 полки, 4 поворотных колеса, 2 из них с тормозом. Габаритные размеры: 1000х600х1800 мм</t>
  </si>
  <si>
    <r>
      <rPr>
        <sz val="10"/>
        <color theme="1"/>
        <rFont val="Times New Roman"/>
      </rPr>
      <t>Тележка стеллаж из нержавеющей стали, решетчатого типа.</t>
    </r>
  </si>
  <si>
    <r>
      <rPr>
        <sz val="10"/>
        <color rgb="FF000000"/>
        <rFont val="Times New Roman"/>
      </rPr>
      <t xml:space="preserve">521-108-0502-0020 - Тележка
</t>
    </r>
    <r>
      <rPr>
        <sz val="10"/>
        <color rgb="FF000000"/>
        <rFont val="Times New Roman"/>
      </rPr>
      <t>стеллаж из нержавеющей стали, 3 полки, 4 поворотных колеса, 2 из них с тормозом. Габаритные размеры: 1200х600х1800 мм</t>
    </r>
  </si>
  <si>
    <t>Тележка
стеллаж из нержавеющей стали, 3 полки, 4 поворотных колеса, 2 из них с тормозом. Габаритные размеры: 1200х600х1800 мм</t>
  </si>
  <si>
    <r>
      <rPr>
        <sz val="10"/>
        <color theme="1"/>
        <rFont val="Times New Roman"/>
      </rPr>
      <t>Тележка стеллаж из нержавеющей стали, решетчатого типа.</t>
    </r>
  </si>
  <si>
    <r>
      <rPr>
        <sz val="10"/>
        <color rgb="FF000000"/>
        <rFont val="Times New Roman"/>
      </rPr>
      <t xml:space="preserve">521-108-0504-0047 - Машина
</t>
    </r>
    <r>
      <rPr>
        <sz val="10"/>
        <color rgb="FF000000"/>
        <rFont val="Times New Roman"/>
      </rPr>
      <t xml:space="preserve">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t>
    </r>
    <r>
      <rPr>
        <sz val="10"/>
        <color rgb="FF000000"/>
        <rFont val="Times New Roman"/>
      </rPr>
      <t>Мощность 6 кВт</t>
    </r>
  </si>
  <si>
    <t>Машина
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Мощность 6 кВт</t>
  </si>
  <si>
    <r>
      <rPr>
        <sz val="10"/>
        <color theme="1"/>
        <rFont val="Times New Roman"/>
      </rPr>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310 мм., вес 190 кг. обогрев электрический подготовленна к паровому обогреву.</t>
    </r>
  </si>
  <si>
    <r>
      <rPr>
        <sz val="10"/>
        <color rgb="FF000000"/>
        <rFont val="Times New Roman"/>
      </rPr>
      <t xml:space="preserve">521-108-0504-0048 - Машина
</t>
    </r>
    <r>
      <rPr>
        <sz val="10"/>
        <color rgb="FF000000"/>
        <rFont val="Times New Roman"/>
      </rPr>
      <t xml:space="preserve">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t>
    </r>
    <r>
      <rPr>
        <sz val="10"/>
        <color rgb="FF000000"/>
        <rFont val="Times New Roman"/>
      </rPr>
      <t>Мощность 9 кВт</t>
    </r>
  </si>
  <si>
    <t>Машина
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Мощность 9 кВт</t>
  </si>
  <si>
    <r>
      <rPr>
        <sz val="10"/>
        <color theme="1"/>
        <rFont val="Times New Roman"/>
      </rPr>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r>
  </si>
  <si>
    <r>
      <rPr>
        <sz val="10"/>
        <color rgb="FF000000"/>
        <rFont val="Times New Roman"/>
      </rPr>
      <t xml:space="preserve">521-108-0504-0049 - Машина
</t>
    </r>
    <r>
      <rPr>
        <sz val="10"/>
        <color rgb="FF000000"/>
        <rFont val="Times New Roman"/>
      </rPr>
      <t xml:space="preserve">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t>
    </r>
    <r>
      <rPr>
        <sz val="10"/>
        <color rgb="FF000000"/>
        <rFont val="Times New Roman"/>
      </rPr>
      <t>Мощность 18 кВт</t>
    </r>
  </si>
  <si>
    <t>Машина
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Мощность 18 кВт</t>
  </si>
  <si>
    <r>
      <rPr>
        <sz val="10"/>
        <color theme="1"/>
        <rFont val="Times New Roman"/>
      </rPr>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r>
  </si>
  <si>
    <r>
      <rPr>
        <sz val="10"/>
        <color rgb="FF000000"/>
        <rFont val="Times New Roman"/>
      </rPr>
      <t xml:space="preserve">521-108-0504-0050 - Машина
</t>
    </r>
    <r>
      <rPr>
        <sz val="10"/>
        <color rgb="FF000000"/>
        <rFont val="Times New Roman"/>
      </rPr>
      <t xml:space="preserve">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t>
    </r>
    <r>
      <rPr>
        <sz val="10"/>
        <color rgb="FF000000"/>
        <rFont val="Times New Roman"/>
      </rPr>
      <t>Мощность 18 кВт</t>
    </r>
  </si>
  <si>
    <t>Машина
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Мощность 18 кВт</t>
  </si>
  <si>
    <r>
      <rPr>
        <sz val="10"/>
        <color theme="1"/>
        <rFont val="Times New Roman"/>
      </rPr>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 индикатор оставшегося времени, G force-200, обогрев комбинированный электрический и паровой.</t>
    </r>
  </si>
  <si>
    <r>
      <rPr>
        <sz val="10"/>
        <color rgb="FF000000"/>
        <rFont val="Times New Roman"/>
      </rPr>
      <t xml:space="preserve">521-108-0504-0051 - Машина
</t>
    </r>
    <r>
      <rPr>
        <sz val="10"/>
        <color rgb="FF000000"/>
        <rFont val="Times New Roman"/>
      </rPr>
      <t xml:space="preserve">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t>
    </r>
    <r>
      <rPr>
        <sz val="10"/>
        <color rgb="FF000000"/>
        <rFont val="Times New Roman"/>
      </rPr>
      <t>Мощность 6 кВт</t>
    </r>
  </si>
  <si>
    <t>Машина
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Мощность 6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</si>
  <si>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r>
  </si>
  <si>
    <r>
      <rPr>
        <sz val="10"/>
        <color rgb="FF000000"/>
        <rFont val="Times New Roman"/>
      </rPr>
      <t xml:space="preserve">521-108-0504-0052 - Машина
</t>
    </r>
    <r>
      <rPr>
        <sz val="10"/>
        <color rgb="FF000000"/>
        <rFont val="Times New Roman"/>
      </rPr>
      <t xml:space="preserve">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t>
    </r>
    <r>
      <rPr>
        <sz val="10"/>
        <color rgb="FF000000"/>
        <rFont val="Times New Roman"/>
      </rPr>
      <t>Мощность 9 кВт</t>
    </r>
  </si>
  <si>
    <t>Машина
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Мощность 9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</si>
  <si>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 на 50 программ, инвертер, USB порт, индикатор оставшегося времени, G force-400, обогрев электрический подготовленна к паровому обогреву.</t>
    </r>
  </si>
  <si>
    <r>
      <rPr>
        <sz val="10"/>
        <color rgb="FF000000"/>
        <rFont val="Times New Roman"/>
      </rPr>
      <t xml:space="preserve">521-108-0504-0053 - Машина
</t>
    </r>
    <r>
      <rPr>
        <sz val="10"/>
        <color rgb="FF000000"/>
        <rFont val="Times New Roman"/>
      </rPr>
      <t xml:space="preserve">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t>
    </r>
    <r>
      <rPr>
        <sz val="10"/>
        <color rgb="FF000000"/>
        <rFont val="Times New Roman"/>
      </rPr>
      <t>Мощность 18 кВт</t>
    </r>
  </si>
  <si>
    <t>Машина
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Мощность 18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</si>
  <si>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r>
  </si>
  <si>
    <r>
      <rPr>
        <sz val="10"/>
        <color rgb="FF000000"/>
        <rFont val="Times New Roman"/>
      </rPr>
      <t xml:space="preserve">521-108-0504-0054 - Машина
</t>
    </r>
    <r>
      <rPr>
        <sz val="10"/>
        <color rgb="FF000000"/>
        <rFont val="Times New Roman"/>
      </rPr>
      <t xml:space="preserve">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t>
    </r>
    <r>
      <rPr>
        <sz val="10"/>
        <color rgb="FF000000"/>
        <rFont val="Times New Roman"/>
      </rPr>
      <t>Мощность 18 кВт</t>
    </r>
  </si>
  <si>
    <t>Машина
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Мощность 18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</si>
  <si>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r>
  </si>
  <si>
    <r>
      <rPr>
        <sz val="10"/>
        <color rgb="FF000000"/>
        <rFont val="Times New Roman"/>
      </rPr>
      <t xml:space="preserve">521-108-0504-0055 - Машина
</t>
    </r>
    <r>
      <rPr>
        <sz val="10"/>
        <color rgb="FF000000"/>
        <rFont val="Times New Roman"/>
      </rPr>
      <t xml:space="preserve">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t>
    </r>
    <r>
      <rPr>
        <sz val="10"/>
        <color rgb="FF000000"/>
        <rFont val="Times New Roman"/>
      </rPr>
      <t>Мощность 34 кВт</t>
    </r>
  </si>
  <si>
    <t>Машина
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Мощность 34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</si>
  <si>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force-350, обогрев электрический подготовленна к паровому обогреву.</t>
    </r>
  </si>
  <si>
    <r>
      <rPr>
        <sz val="10"/>
        <color rgb="FF000000"/>
        <rFont val="Times New Roman"/>
      </rPr>
      <t xml:space="preserve">521-108-0504-0056 - Машина
</t>
    </r>
    <r>
      <rPr>
        <sz val="10"/>
        <color rgb="FF000000"/>
        <rFont val="Times New Roman"/>
      </rPr>
      <t xml:space="preserve">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t>
    </r>
    <r>
      <rPr>
        <sz val="10"/>
        <color rgb="FF000000"/>
        <rFont val="Times New Roman"/>
      </rPr>
      <t>Мощность 37,5 кВт</t>
    </r>
  </si>
  <si>
    <t>Машина
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Мощность 37,5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</si>
  <si>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комбинированный электрический и паровой.</t>
    </r>
  </si>
  <si>
    <r>
      <rPr>
        <sz val="10"/>
        <color rgb="FF000000"/>
        <rFont val="Times New Roman"/>
      </rPr>
      <t xml:space="preserve">521-108-0504-0057 - Машина
</t>
    </r>
    <r>
      <rPr>
        <sz val="10"/>
        <color rgb="FF000000"/>
        <rFont val="Times New Roman"/>
      </rPr>
      <t xml:space="preserve">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t>
    </r>
    <r>
      <rPr>
        <sz val="10"/>
        <color rgb="FF000000"/>
        <rFont val="Times New Roman"/>
      </rPr>
      <t>Мощность 37,5 кВт</t>
    </r>
  </si>
  <si>
    <t>Машина
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Мощность 37,5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</si>
  <si>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электрический подготовленна к паровому обогреву.</t>
    </r>
  </si>
  <si>
    <r>
      <rPr>
        <sz val="10"/>
        <color rgb="FF000000"/>
        <rFont val="Times New Roman"/>
      </rPr>
      <t xml:space="preserve">521-108-0504-0058 - Машина
</t>
    </r>
    <r>
      <rPr>
        <sz val="10"/>
        <color rgb="FF000000"/>
        <rFont val="Times New Roman"/>
      </rPr>
      <t xml:space="preserve">стирально-отжимная, загрузка 100-105 кг, барабан и дверь из нержавеющей стали, скорость отжима 220-660 об/мин, скорость стирки 30-38 об/мин, сливной
</t>
    </r>
    <r>
      <rPr>
        <sz val="10"/>
        <color rgb="FF000000"/>
        <rFont val="Times New Roman"/>
      </rPr>
      <t xml:space="preserve">клапан 2*125 мм, диаметр барабана 1310 мм, глубина барабана 746 мм.
</t>
    </r>
    <r>
      <rPr>
        <sz val="10"/>
        <color rgb="FF000000"/>
        <rFont val="Times New Roman"/>
      </rPr>
      <t>Габаритные размеры: 1774х1761х2092 мм. Мощность 71 кВт</t>
    </r>
  </si>
  <si>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1774х1761х2092 мм. Мощность 71 кВт</t>
  </si>
  <si>
    <r>
      <rPr>
        <sz val="10"/>
        <color theme="1"/>
        <rFont val="Times New Roman"/>
      </rPr>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r>
  </si>
  <si>
    <r>
      <rPr>
        <sz val="10"/>
        <color rgb="FF000000"/>
        <rFont val="Times New Roman"/>
      </rPr>
      <t xml:space="preserve">521-108-0504-0059 - Машина
</t>
    </r>
    <r>
      <rPr>
        <sz val="10"/>
        <color rgb="FF000000"/>
        <rFont val="Times New Roman"/>
      </rPr>
      <t xml:space="preserve">стирально-отжимная, загрузка 115-120 кг, барабан и дверь из нержавеющей стали, скорость отжима 220-660 об/мин, скорость стирки 30-38 об/мин, сливной
</t>
    </r>
    <r>
      <rPr>
        <sz val="10"/>
        <color rgb="FF000000"/>
        <rFont val="Times New Roman"/>
      </rPr>
      <t xml:space="preserve">клапан 2*125 мм, диаметр барабана 1310 мм, глубина барабана 816 мм.
</t>
    </r>
    <r>
      <rPr>
        <sz val="10"/>
        <color rgb="FF000000"/>
        <rFont val="Times New Roman"/>
      </rPr>
      <t>Габаритные размеры: 1774х1828х2092 мм. Мощность 71 кВт</t>
    </r>
  </si>
  <si>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1774х1828х2092 мм. Мощность 71 кВт</t>
  </si>
  <si>
    <r>
      <rPr>
        <sz val="10"/>
        <color rgb="FF000000"/>
        <rFont val="Times New Roman"/>
      </rPr>
      <t xml:space="preserve">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t>
    </r>
    <r>
      <rPr>
        <sz val="10"/>
        <color rgb="FF000000"/>
        <rFont val="Times New Roman"/>
      </rPr>
      <t>force-320, обогрев электрический подготовленна к паровому обогреву.</t>
    </r>
  </si>
  <si>
    <r>
      <rPr>
        <sz val="10"/>
        <color rgb="FF000000"/>
        <rFont val="Times New Roman"/>
      </rPr>
      <t xml:space="preserve">521-108-0504-0060 - Машина
</t>
    </r>
    <r>
      <rPr>
        <sz val="10"/>
        <color rgb="FF000000"/>
        <rFont val="Times New Roman"/>
      </rPr>
      <t xml:space="preserve">стирально-отжимная, загрузка 100-105 кг, барабан и дверь из нержавеющей стали, скорость отжима 220-660 об/мин, скорость стирки 30-38 об/мин, сливной
</t>
    </r>
    <r>
      <rPr>
        <sz val="10"/>
        <color rgb="FF000000"/>
        <rFont val="Times New Roman"/>
      </rPr>
      <t xml:space="preserve">клапан 2*125 мм, диаметр барабана 1310 мм, глубина барабана 746 мм.
</t>
    </r>
    <r>
      <rPr>
        <sz val="10"/>
        <color rgb="FF000000"/>
        <rFont val="Times New Roman"/>
      </rPr>
      <t>Габаритные размеры: 1850х1825х2285 мм. Мощность 71 кВт</t>
    </r>
  </si>
  <si>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1850х1825х2285 мм. Мощность 71 кВт</t>
  </si>
  <si>
    <r>
      <rPr>
        <sz val="10"/>
        <color rgb="FF000000"/>
        <rFont val="Times New Roman"/>
      </rPr>
      <t xml:space="preserve">Машина стирально-отжимная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t>
    </r>
    <r>
      <rPr>
        <sz val="10"/>
        <color rgb="FF000000"/>
        <rFont val="Times New Roman"/>
      </rPr>
      <t>force-320, обогрев электрический подготовленна к паровому обогреву.</t>
    </r>
  </si>
  <si>
    <r>
      <rPr>
        <sz val="10"/>
        <color rgb="FF000000"/>
        <rFont val="Times New Roman"/>
      </rPr>
      <t xml:space="preserve">521-108-0504-0061 - Машина
</t>
    </r>
    <r>
      <rPr>
        <sz val="10"/>
        <color rgb="FF000000"/>
        <rFont val="Times New Roman"/>
      </rPr>
      <t xml:space="preserve">стирально-отжимная, загрузка 115-120 кг, барабан и дверь из нержавеющей стали, скорость отжима 220-660 об/мин, скорость стирки 30-38 об/мин, сливной
</t>
    </r>
    <r>
      <rPr>
        <sz val="10"/>
        <color rgb="FF000000"/>
        <rFont val="Times New Roman"/>
      </rPr>
      <t xml:space="preserve">клапан 2*125 мм, диаметр барабана 1310 мм, глубина барабана 816 мм.
</t>
    </r>
    <r>
      <rPr>
        <sz val="10"/>
        <color rgb="FF000000"/>
        <rFont val="Times New Roman"/>
      </rPr>
      <t>Габаритные размеры: 1850х1895х2290 мм. Мощность 71 кВт</t>
    </r>
  </si>
  <si>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1850х1895х2290 мм. Мощность 71 кВт</t>
  </si>
  <si>
    <r>
      <rPr>
        <sz val="10"/>
        <color rgb="FF000000"/>
        <rFont val="Times New Roman"/>
      </rPr>
      <t xml:space="preserve">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t>
    </r>
    <r>
      <rPr>
        <sz val="10"/>
        <color rgb="FF000000"/>
        <rFont val="Times New Roman"/>
      </rPr>
      <t>force-320, обогрев электрический подготовленна к паровому обогреву.</t>
    </r>
  </si>
  <si>
    <r>
      <rPr>
        <sz val="10"/>
        <color rgb="FF000000"/>
        <rFont val="Times New Roman"/>
      </rPr>
      <t xml:space="preserve">521-108-0504-0062 - Машина
</t>
    </r>
    <r>
      <rPr>
        <sz val="10"/>
        <color rgb="FF000000"/>
        <rFont val="Times New Roman"/>
      </rPr>
      <t xml:space="preserve">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t>
    </r>
    <r>
      <rPr>
        <sz val="10"/>
        <color rgb="FF000000"/>
        <rFont val="Times New Roman"/>
      </rPr>
      <t xml:space="preserve">Габаритные размеры: 1290х1222х1496 мм. Мощность 21
</t>
    </r>
    <r>
      <rPr>
        <sz val="10"/>
        <color rgb="FF000000"/>
        <rFont val="Times New Roman"/>
      </rPr>
      <t>кВт</t>
    </r>
  </si>
  <si>
    <t>Машина
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Габаритные размеры: 1290х1222х1496 мм. Мощность 21
кВт</t>
  </si>
  <si>
    <r>
      <rPr>
        <sz val="10"/>
        <color theme="1"/>
        <rFont val="Times New Roman"/>
      </rPr>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r>
  </si>
  <si>
    <r>
      <rPr>
        <sz val="10"/>
        <color rgb="FF000000"/>
        <rFont val="Times New Roman"/>
      </rPr>
      <t xml:space="preserve">521-108-0504-0063 - Машина
</t>
    </r>
    <r>
      <rPr>
        <sz val="10"/>
        <color rgb="FF000000"/>
        <rFont val="Times New Roman"/>
      </rPr>
      <t xml:space="preserve">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t>
    </r>
    <r>
      <rPr>
        <sz val="10"/>
        <color rgb="FF000000"/>
        <rFont val="Times New Roman"/>
      </rPr>
      <t xml:space="preserve">Габаритные размеры:
</t>
    </r>
    <r>
      <rPr>
        <sz val="10"/>
        <color rgb="FF000000"/>
        <rFont val="Times New Roman"/>
      </rPr>
      <t>1592х1448х2035 мм. Мощность 37,5 кВт</t>
    </r>
  </si>
  <si>
    <t>Машина
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Габаритные размеры:
1592х1448х2035 мм. Мощность 37,5 кВт</t>
  </si>
  <si>
    <r>
      <rPr>
        <sz val="10"/>
        <color theme="1"/>
        <rFont val="Times New Roman"/>
      </rPr>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r>
  </si>
  <si>
    <r>
      <rPr>
        <sz val="10"/>
        <color rgb="FF000000"/>
        <rFont val="Times New Roman"/>
      </rPr>
      <t xml:space="preserve">521-108-0504-0064 - Машина
</t>
    </r>
    <r>
      <rPr>
        <sz val="10"/>
        <color rgb="FF000000"/>
        <rFont val="Times New Roman"/>
      </rPr>
      <t xml:space="preserve">стирально-отжимная, загрузка 110-115 кг, барабан, панели и дверь
</t>
    </r>
    <r>
      <rPr>
        <sz val="10"/>
        <color rgb="FF000000"/>
        <rFont val="Times New Roman"/>
      </rPr>
      <t xml:space="preserve">из нержавеющей стали, скорость отжима 220-650 об/мин, скорость стирки 32-38 об/мин, сливной клапан 125 мм, диаметр барабана 1065 мм, глубина барабана 1268 мм.
</t>
    </r>
    <r>
      <rPr>
        <sz val="10"/>
        <color rgb="FF000000"/>
        <rFont val="Times New Roman"/>
      </rPr>
      <t xml:space="preserve">Габаритные размеры:
</t>
    </r>
    <r>
      <rPr>
        <sz val="10"/>
        <color rgb="FF000000"/>
        <rFont val="Times New Roman"/>
      </rPr>
      <t>2100х1448х2035 мм. Мощность 56 кВт</t>
    </r>
  </si>
  <si>
    <t>Машина
стирально-отжимная, загрузка 110-115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1268 мм.
Габаритные размеры:
2100х1448х2035 мм. Мощность 56 кВт</t>
  </si>
  <si>
    <r>
      <rPr>
        <sz val="10"/>
        <color theme="1"/>
        <rFont val="Times New Roman"/>
      </rPr>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r>
  </si>
  <si>
    <r>
      <rPr>
        <sz val="10"/>
        <color rgb="FF000000"/>
        <rFont val="Times New Roman"/>
      </rPr>
      <t xml:space="preserve">521-108-0505-0015 - Машина
</t>
    </r>
    <r>
      <rPr>
        <sz val="10"/>
        <color rgb="FF000000"/>
        <rFont val="Times New Roman"/>
      </rPr>
      <t>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r>
  </si>
  <si>
    <t>Машина
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</si>
  <si>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r>
  </si>
  <si>
    <r>
      <rPr>
        <sz val="10"/>
        <color rgb="FF000000"/>
        <rFont val="Times New Roman"/>
      </rPr>
      <t xml:space="preserve">521-108-0505-0016 - Машина
</t>
    </r>
    <r>
      <rPr>
        <sz val="10"/>
        <color rgb="FF000000"/>
        <rFont val="Times New Roman"/>
      </rPr>
      <t>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r>
  </si>
  <si>
    <t>Машина
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</si>
  <si>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r>
  </si>
  <si>
    <r>
      <rPr>
        <sz val="10"/>
        <color rgb="FF000000"/>
        <rFont val="Times New Roman"/>
      </rPr>
      <t xml:space="preserve">521-108-0505-0017 - Машина
</t>
    </r>
    <r>
      <rPr>
        <sz val="10"/>
        <color rgb="FF000000"/>
        <rFont val="Times New Roman"/>
      </rPr>
      <t>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r>
  </si>
  <si>
    <t>Машина
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</si>
  <si>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r>
  </si>
  <si>
    <r>
      <rPr>
        <sz val="10"/>
        <color rgb="FF000000"/>
        <rFont val="Times New Roman"/>
      </rPr>
      <t xml:space="preserve">521-108-0505-0018 - Машина
</t>
    </r>
    <r>
      <rPr>
        <sz val="10"/>
        <color rgb="FF000000"/>
        <rFont val="Times New Roman"/>
      </rPr>
      <t>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r>
  </si>
  <si>
    <t>Машина
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</si>
  <si>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r>
  </si>
  <si>
    <r>
      <rPr>
        <sz val="10"/>
        <color rgb="FF000000"/>
        <rFont val="Times New Roman"/>
      </rPr>
      <t xml:space="preserve">521-108-0505-0019 - Машина
</t>
    </r>
    <r>
      <rPr>
        <sz val="10"/>
        <color rgb="FF000000"/>
        <rFont val="Times New Roman"/>
      </rPr>
      <t>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r>
  </si>
  <si>
    <t>Машина
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</si>
  <si>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r>
  </si>
  <si>
    <r>
      <rPr>
        <sz val="10"/>
        <color rgb="FF000000"/>
        <rFont val="Times New Roman"/>
      </rPr>
      <t xml:space="preserve">521-108-0505-0020 - Машина
</t>
    </r>
    <r>
      <rPr>
        <sz val="10"/>
        <color rgb="FF000000"/>
        <rFont val="Times New Roman"/>
      </rPr>
      <t>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r>
  </si>
  <si>
    <t>Машина
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</si>
  <si>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r>
  </si>
  <si>
    <r>
      <rPr>
        <sz val="10"/>
        <color rgb="FF000000"/>
        <rFont val="Times New Roman"/>
      </rPr>
      <t xml:space="preserve">521-108-0505-0021 - Машина
</t>
    </r>
    <r>
      <rPr>
        <sz val="10"/>
        <color rgb="FF000000"/>
        <rFont val="Times New Roman"/>
      </rPr>
      <t>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r>
  </si>
  <si>
    <t>Машина
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</si>
  <si>
    <r>
      <rPr>
        <sz val="10"/>
        <color theme="1"/>
        <rFont val="Times New Roman"/>
      </rPr>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r>
  </si>
  <si>
    <r>
      <rPr>
        <sz val="10"/>
        <color rgb="FF000000"/>
        <rFont val="Times New Roman"/>
      </rPr>
      <t xml:space="preserve">521-108-0505-0022 - Система
</t>
    </r>
    <r>
      <rPr>
        <sz val="10"/>
        <color rgb="FF000000"/>
        <rFont val="Times New Roman"/>
      </rPr>
      <t>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r>
  </si>
  <si>
    <t>Система
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</si>
  <si>
    <r>
      <rPr>
        <sz val="10"/>
        <color theme="1"/>
        <rFont val="Times New Roman"/>
      </rPr>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force-330, глубина барабана 405 мм, сушка диаметр барабана 658 мм, глубина барабана 500 мм.</t>
    </r>
  </si>
  <si>
    <r>
      <rPr>
        <sz val="10"/>
        <color rgb="FF000000"/>
        <rFont val="Times New Roman"/>
      </rPr>
      <t xml:space="preserve">521-108-0505-0023 - Система
</t>
    </r>
    <r>
      <rPr>
        <sz val="10"/>
        <color rgb="FF000000"/>
        <rFont val="Times New Roman"/>
      </rPr>
      <t>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r>
  </si>
  <si>
    <t>Система
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</si>
  <si>
    <r>
      <rPr>
        <sz val="10"/>
        <color theme="1"/>
        <rFont val="Times New Roman"/>
      </rPr>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force-300, глубина барабана 478 мм, сушка диаметр барабана 720 мм, глубина барабана 635 мм.</t>
    </r>
  </si>
  <si>
    <r>
      <rPr>
        <sz val="10"/>
        <color rgb="FF000000"/>
        <rFont val="Times New Roman"/>
      </rPr>
      <t xml:space="preserve">521-108-0508-0004 - Стол
</t>
    </r>
    <r>
      <rPr>
        <sz val="10"/>
        <color rgb="FF000000"/>
        <rFont val="Times New Roman"/>
      </rPr>
      <t xml:space="preserve">гладильный, напряжение 220В. Функции вакуум и наддув, нагрев рабочей поверхности, регулируемая высота 725-945 мм. Габаритные размеры: 1420х480х945 мм.
</t>
    </r>
    <r>
      <rPr>
        <sz val="10"/>
        <color rgb="FF000000"/>
        <rFont val="Times New Roman"/>
      </rPr>
      <t>Мощность 0,65 кВт</t>
    </r>
  </si>
  <si>
    <t>Стол
гладильный, напряжение 220В. Функции вакуум и наддув, нагрев рабочей поверхности, регулируемая высота 725-945 мм. Габаритные размеры: 1420х480х945 мм.
Мощность 0,65 кВт</t>
  </si>
  <si>
    <r>
      <rPr>
        <sz val="10"/>
        <color theme="1"/>
        <rFont val="Times New Roman"/>
      </rPr>
      <t>Размер рабочей поверхности 1250х400 мм. Состоит из: полка для белья, розетка, подставка для парогенератора, педаль управления (для подключения вытяжки).</t>
    </r>
  </si>
  <si>
    <r>
      <rPr>
        <sz val="10"/>
        <color rgb="FF000000"/>
        <rFont val="Times New Roman"/>
      </rPr>
      <t xml:space="preserve">521-108-0508-0005 - Стол
</t>
    </r>
    <r>
      <rPr>
        <sz val="10"/>
        <color rgb="FF000000"/>
        <rFont val="Times New Roman"/>
      </rPr>
      <t xml:space="preserve">гладильный, напряжение 220В. Функции вакуум, нагрев рабочей поверхности, регулируемая высота от 690 до 910мм. Габаритные размеры: 1500х465х910 мм.
</t>
    </r>
    <r>
      <rPr>
        <sz val="10"/>
        <color rgb="FF000000"/>
        <rFont val="Times New Roman"/>
      </rPr>
      <t>Мощность 0,22 кВт</t>
    </r>
  </si>
  <si>
    <t>Стол
гладильный, напряжение 220В. Функции вакуум, нагрев рабочей поверхности, регулируемая высота от 690 до 910мм. Габаритные размеры: 1500х465х910 мм.
Мощность 0,22 кВт</t>
  </si>
  <si>
    <r>
      <rPr>
        <sz val="10"/>
        <color theme="1"/>
        <rFont val="Times New Roman"/>
      </rPr>
      <t>Размер рабочей поверхности 1230х380 мм. Состоит из: полка для белья, розетка, подставка для парогенератора, педаль управления (для подключения вытяжки).</t>
    </r>
  </si>
  <si>
    <r>
      <rPr>
        <sz val="10"/>
        <color rgb="FF000000"/>
        <rFont val="Times New Roman"/>
      </rPr>
      <t xml:space="preserve">521-108-0508-0006 - Стол
</t>
    </r>
    <r>
      <rPr>
        <sz val="10"/>
        <color rgb="FF000000"/>
        <rFont val="Times New Roman"/>
      </rPr>
      <t xml:space="preserve">гладильный с бойлером, напряжение 380 В, объём 5 литров, рабочее давление пара 3 бар.
</t>
    </r>
    <r>
      <rPr>
        <sz val="10"/>
        <color rgb="FF000000"/>
        <rFont val="Times New Roman"/>
      </rPr>
      <t>Габаритные размеры: 1900×670×930 мм. Мощность 5,1 кВт</t>
    </r>
  </si>
  <si>
    <t>Стол
гладильный с бойлером, напряжение 380 В, объём 5 литров, рабочее давление пара 3 бар.
Габаритные размеры: 1900×670×930 мм. Мощность 5,1 кВт</t>
  </si>
  <si>
    <r>
      <rPr>
        <sz val="10"/>
        <color theme="1"/>
        <rFont val="Times New Roman"/>
      </rPr>
      <t>Бойлер с электронным контролем уровня воды, размер столешницы 1300×500 мм (сужение до 250 мм), регулируемая высота от 750 до 930 мм, предусмотрена возможность глажения с обеих сторон, оснащён вакуумной аспирацией, поддувом и электрическим нагревом.</t>
    </r>
  </si>
  <si>
    <r>
      <rPr>
        <sz val="10"/>
        <color rgb="FF000000"/>
        <rFont val="Times New Roman"/>
      </rPr>
      <t xml:space="preserve">521-108-0508-0007 - Стол
</t>
    </r>
    <r>
      <rPr>
        <sz val="10"/>
        <color rgb="FF000000"/>
        <rFont val="Times New Roman"/>
      </rPr>
      <t xml:space="preserve">гладильный с бойлером, напряжение 380 В, объём 5 литров, рабочее давление пара 2,8 бар.
</t>
    </r>
    <r>
      <rPr>
        <sz val="10"/>
        <color rgb="FF000000"/>
        <rFont val="Times New Roman"/>
      </rPr>
      <t>Габаритные размеры: 1550×600×930 мм. Мощность 5,6 кВт</t>
    </r>
  </si>
  <si>
    <t>Стол
гладильный с бойлером, напряжение 380 В, объём 5 литров, рабочее давление пара 2,8 бар.
Габаритные размеры: 1550×600×930 мм. Мощность 5,6 кВт</t>
  </si>
  <si>
    <r>
      <rPr>
        <sz val="10"/>
        <color theme="1"/>
        <rFont val="Times New Roman"/>
      </rPr>
      <t>Бойлер с электронным контролем уровня воды, размер рабочей поверхности 1100×380 мм (сужение до 230 мм), регулируемая высот от 750 до 930, оснащён вакуумной аспирацией, поддувом и электрическим нагревом, возможна установка формы для рукавов и подключение второго утюга.</t>
    </r>
  </si>
  <si>
    <r>
      <rPr>
        <sz val="10"/>
        <color rgb="FF000000"/>
        <rFont val="Times New Roman"/>
      </rPr>
      <t xml:space="preserve">521-108-0508-0008 - Стол
</t>
    </r>
    <r>
      <rPr>
        <sz val="10"/>
        <color rgb="FF000000"/>
        <rFont val="Times New Roman"/>
      </rPr>
      <t xml:space="preserve">гладильный с парогенератором, напряжение 380 В, объём 5 литров, давление пара 4,8 бар. Габаритные размеры: 1823×653×970 мм.
</t>
    </r>
    <r>
      <rPr>
        <sz val="10"/>
        <color rgb="FF000000"/>
        <rFont val="Times New Roman"/>
      </rPr>
      <t>Мощность 7,65 кВт</t>
    </r>
  </si>
  <si>
    <t>Стол
гладильный с парогенератором, напряжение 380 В, объём 5 литров, давление пара 4,8 бар. Габаритные размеры: 1823×653×970 мм.
Мощность 7,65 кВт</t>
  </si>
  <si>
    <r>
      <rPr>
        <sz val="10"/>
        <color theme="1"/>
        <rFont val="Times New Roman"/>
      </rPr>
      <t>Высота регулируется от 770 до 970 мм. Рабочая поверхность 1300×500 мм, сужение до 250 мм. Оснащён вакуумной аспирацией, поддувом и электрическим нагревом столешницы. Встроенный парогенератор (бойлер) с электронным контролем уровня воды. Мотор насоса подачи воды, утюг, педали управления: вакуум/поддув с возможностью переключения функций. Возможна установка двух кронштейнов с формами, включая форму для рукавов.</t>
    </r>
  </si>
  <si>
    <r>
      <rPr>
        <sz val="10"/>
        <color rgb="FF000000"/>
        <rFont val="Times New Roman"/>
      </rPr>
      <t xml:space="preserve">521-108-0508-0009 - Стол
</t>
    </r>
    <r>
      <rPr>
        <sz val="10"/>
        <color rgb="FF000000"/>
        <rFont val="Times New Roman"/>
      </rPr>
      <t xml:space="preserve">гладильный с парогенератором, напряжение 380 В, объём 5 литров, рабочее давление пара 4,5 бар.
</t>
    </r>
    <r>
      <rPr>
        <sz val="10"/>
        <color rgb="FF000000"/>
        <rFont val="Times New Roman"/>
      </rPr>
      <t>Габаритные размеры: 1800×600×970 мм. Мощность 9,1 кВт</t>
    </r>
  </si>
  <si>
    <t>Стол
гладильный с парогенератором, напряжение 380 В, объём 5 литров, рабочее давление пара 4,5 бар.
Габаритные размеры: 1800×600×970 мм. Мощность 9,1 кВт</t>
  </si>
  <si>
    <r>
      <rPr>
        <sz val="10"/>
        <color rgb="FF000000"/>
        <rFont val="Times New Roman"/>
      </rPr>
      <t xml:space="preserve">Высота регулируемая. Рабочая поверхность 1300×500 мм, сужение до 250 мм. Оснащён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t>
    </r>
    <r>
      <rPr>
        <sz val="10"/>
        <color rgb="FF000000"/>
        <rFont val="Times New Roman"/>
      </rPr>
      <t>Возможна установка формы для рукавов и других аксессуаров.</t>
    </r>
  </si>
  <si>
    <r>
      <rPr>
        <sz val="10"/>
        <color rgb="FF000000"/>
        <rFont val="Times New Roman"/>
      </rPr>
      <t xml:space="preserve">521-108-0508-0010 - Стол
</t>
    </r>
    <r>
      <rPr>
        <sz val="10"/>
        <color rgb="FF000000"/>
        <rFont val="Times New Roman"/>
      </rPr>
      <t>гладильный со встроенным парогенератором, напряжение 380 В, объём 5 литров, давление пара 4,5 бар. Габаритные размеры: 3300×700×980 мм. Мощность 9,3 кВт</t>
    </r>
  </si>
  <si>
    <t>Стол
гладильный со встроенным парогенератором, напряжение 380 В, объём 5 литров, давление пара 4,5 бар. Габаритные размеры: 3300×700×980 мм. Мощность 9,3 кВт</t>
  </si>
  <si>
    <r>
      <rPr>
        <sz val="10"/>
        <color rgb="FF000000"/>
        <rFont val="Times New Roman"/>
      </rPr>
      <t xml:space="preserve">Гладильный стол со встроенным парогенератором для глажения штор и объёмного текстиля, регулируемая высота. Размер гладильной столешницы 3000×700 мм. Оснащён двумя независимо работающими аспираторами, электрическим подогревом столешницы и системой отпаривания.
</t>
    </r>
    <r>
      <rPr>
        <sz val="10"/>
        <color rgb="FF000000"/>
        <rFont val="Times New Roman"/>
      </rPr>
      <t>Встроенный парогенератор объёмом 5 литров, с электронным контролем уровня воды. Состоит из: насос подачи воды, утюг, регулируемый педальный блок.</t>
    </r>
  </si>
  <si>
    <r>
      <rPr>
        <sz val="10"/>
        <color theme="1"/>
        <rFont val="Times New Roman"/>
      </rPr>
      <t>521-108-0508-0011 - 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r>
  </si>
  <si>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</si>
  <si>
    <r>
      <rPr>
        <sz val="10"/>
        <color theme="1"/>
        <rFont val="Times New Roman"/>
      </rPr>
      <t>Управление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t>
    </r>
  </si>
  <si>
    <r>
      <rPr>
        <sz val="10"/>
        <color theme="1"/>
        <rFont val="Times New Roman"/>
      </rPr>
      <t>521-108-0508-0012 - Пароманекен с парогенератором, напряжение 380 В, объём 9 литров, рабочее давление пара 4 бар, рабочее давление воздуха 7 бар. Габаритные размеры: 870х1150х1900 мм. Мощность 13,6 кВт</t>
    </r>
  </si>
  <si>
    <r>
      <rPr>
        <sz val="10"/>
        <color theme="1"/>
        <rFont val="Times New Roman"/>
      </rPr>
      <t>Пароманекен для глажения брюк. Оснащён встроенным бойлером объёмом 9 литров. Микропроцессорное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t>
    </r>
  </si>
  <si>
    <r>
      <rPr>
        <sz val="10"/>
        <color rgb="FF000000"/>
        <rFont val="Times New Roman"/>
      </rPr>
      <t xml:space="preserve">521-108-0511-0006 - Каток
</t>
    </r>
    <r>
      <rPr>
        <sz val="10"/>
        <color rgb="FF000000"/>
        <rFont val="Times New Roman"/>
      </rPr>
      <t xml:space="preserve">гладильный, рабочая зона 1000 мм, диаметр вала 200 мм, скорость глажения 3,3 м/мин,
</t>
    </r>
    <r>
      <rPr>
        <sz val="10"/>
        <color rgb="FF000000"/>
        <rFont val="Times New Roman"/>
      </rPr>
      <t xml:space="preserve">производительность 20 кг/час, обогрев электрический. Габаритные размеры: 1305x420x933 мм.
</t>
    </r>
    <r>
      <rPr>
        <sz val="10"/>
        <color rgb="FF000000"/>
        <rFont val="Times New Roman"/>
      </rPr>
      <t>Мощность 3,6 кВт</t>
    </r>
  </si>
  <si>
    <t>Каток
гладильный, рабочая зона 1000 мм, диаметр вала 200 мм, скорость глажения 3,3 м/мин,
производительность 20 кг/час, обогрев электрический. Габаритные размеры: 1305x420x933 мм.
Мощность 3,6 кВт</t>
  </si>
  <si>
    <r>
      <rPr>
        <sz val="10"/>
        <color theme="1"/>
        <rFont val="Times New Roman"/>
      </rPr>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r>
  </si>
  <si>
    <r>
      <rPr>
        <sz val="10"/>
        <color rgb="FF000000"/>
        <rFont val="Times New Roman"/>
      </rPr>
      <t xml:space="preserve">521-108-0511-0007 - Каток
</t>
    </r>
    <r>
      <rPr>
        <sz val="10"/>
        <color rgb="FF000000"/>
        <rFont val="Times New Roman"/>
      </rPr>
      <t xml:space="preserve">гладильный, рабочая зона 1200 мм, диаметр вала 200 мм, скорость глажения 3,3 м/мин,
</t>
    </r>
    <r>
      <rPr>
        <sz val="10"/>
        <color rgb="FF000000"/>
        <rFont val="Times New Roman"/>
      </rPr>
      <t xml:space="preserve">производительность 25 кг/час, обогрев электрический. Габаритные размеры: 1505x420x933 мм.
</t>
    </r>
    <r>
      <rPr>
        <sz val="10"/>
        <color rgb="FF000000"/>
        <rFont val="Times New Roman"/>
      </rPr>
      <t>Мощность 4 кВт</t>
    </r>
  </si>
  <si>
    <t>Каток
гладильный, рабочая зона 1200 мм, диаметр вала 200 мм, скорость глажения 3,3 м/мин,
производительность 25 кг/час, обогрев электрический. Габаритные размеры: 1505x420x933 мм.
Мощность 4 кВт</t>
  </si>
  <si>
    <r>
      <rPr>
        <sz val="10"/>
        <color theme="1"/>
        <rFont val="Times New Roman"/>
      </rPr>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r>
  </si>
  <si>
    <r>
      <rPr>
        <sz val="10"/>
        <color rgb="FF000000"/>
        <rFont val="Times New Roman"/>
      </rPr>
      <t xml:space="preserve">521-108-0511-0008 - Каток
</t>
    </r>
    <r>
      <rPr>
        <sz val="10"/>
        <color rgb="FF000000"/>
        <rFont val="Times New Roman"/>
      </rPr>
      <t xml:space="preserve">гладильный, рабочая зона 1400 мм, диаметр вала 250 мм, скорость глажения 3,8 м/мин,
</t>
    </r>
    <r>
      <rPr>
        <sz val="10"/>
        <color rgb="FF000000"/>
        <rFont val="Times New Roman"/>
      </rPr>
      <t xml:space="preserve">производительность 35 кг/час, обогрев электрический. Габаритные размеры: 1840x420x1003 мм.
</t>
    </r>
    <r>
      <rPr>
        <sz val="10"/>
        <color rgb="FF000000"/>
        <rFont val="Times New Roman"/>
      </rPr>
      <t>Мощность 7,5 кВт</t>
    </r>
  </si>
  <si>
    <t>Каток
гладильный, рабочая зона 1400 мм, диаметр вала 250 мм, скорость глажения 3,8 м/мин,
производительность 35 кг/час, обогрев электрический. Габаритные размеры: 1840x420x1003 мм.
Мощность 7,5 кВт</t>
  </si>
  <si>
    <r>
      <rPr>
        <sz val="10"/>
        <color theme="1"/>
        <rFont val="Times New Roman"/>
      </rPr>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r>
  </si>
  <si>
    <r>
      <rPr>
        <sz val="10"/>
        <color rgb="FF000000"/>
        <rFont val="Times New Roman"/>
      </rPr>
      <t xml:space="preserve">521-108-0511-0009 - Каток
</t>
    </r>
    <r>
      <rPr>
        <sz val="10"/>
        <color rgb="FF000000"/>
        <rFont val="Times New Roman"/>
      </rPr>
      <t xml:space="preserve">гладильный, рабочая зона 1600 мм, диаметр вала 300 мм, скорость глажения 2,7-4,3 м/мин,
</t>
    </r>
    <r>
      <rPr>
        <sz val="10"/>
        <color rgb="FF000000"/>
        <rFont val="Times New Roman"/>
      </rPr>
      <t xml:space="preserve">производительность 50 кг/час, обогрев электрический. Габаритные размеры: 2090x552x1073 мм.
</t>
    </r>
    <r>
      <rPr>
        <sz val="10"/>
        <color rgb="FF000000"/>
        <rFont val="Times New Roman"/>
      </rPr>
      <t>Мощность 11,4 кВт</t>
    </r>
  </si>
  <si>
    <t>Каток
гладильный, рабочая зона 1600 мм, диаметр вала 300 мм, скорость глажения 2,7-4,3 м/мин,
производительность 50 кг/час, обогрев электрический. Габаритные размеры: 2090x552x1073 мм.
Мощность 11,4 кВт</t>
  </si>
  <si>
    <r>
      <rPr>
        <sz val="10"/>
        <color theme="1"/>
        <rFont val="Times New Roman"/>
      </rPr>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r>
  </si>
  <si>
    <r>
      <rPr>
        <sz val="10"/>
        <color rgb="FF000000"/>
        <rFont val="Times New Roman"/>
      </rPr>
      <t xml:space="preserve">521-108-0511-0010 - Каток
</t>
    </r>
    <r>
      <rPr>
        <sz val="10"/>
        <color rgb="FF000000"/>
        <rFont val="Times New Roman"/>
      </rPr>
      <t xml:space="preserve">гладильный, рабочая зона 2000 мм, диаметр вала 300 мм, скорость глажения 2,7-4,3 м/мин,
</t>
    </r>
    <r>
      <rPr>
        <sz val="10"/>
        <color rgb="FF000000"/>
        <rFont val="Times New Roman"/>
      </rPr>
      <t xml:space="preserve">производительность 60 кг/час, обогрев электрический. Габаритные размеры: 2490x552x1073 мм.
</t>
    </r>
    <r>
      <rPr>
        <sz val="10"/>
        <color rgb="FF000000"/>
        <rFont val="Times New Roman"/>
      </rPr>
      <t>Мощность 15 кВт</t>
    </r>
  </si>
  <si>
    <t>Каток
гладильный, рабочая зона 2000 мм, диаметр вала 300 мм, скорость глажения 2,7-4,3 м/мин,
производительность 60 кг/час, обогрев электрический. Габаритные размеры: 2490x552x1073 мм.
Мощность 15 кВт</t>
  </si>
  <si>
    <r>
      <rPr>
        <sz val="10"/>
        <color theme="1"/>
        <rFont val="Times New Roman"/>
      </rPr>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r>
  </si>
  <si>
    <r>
      <rPr>
        <sz val="10"/>
        <color rgb="FF000000"/>
        <rFont val="Times New Roman"/>
      </rPr>
      <t xml:space="preserve">521-108-0512-0008 - Каландр
</t>
    </r>
    <r>
      <rPr>
        <sz val="10"/>
        <color rgb="FF000000"/>
        <rFont val="Times New Roman"/>
      </rPr>
      <t xml:space="preserve">сушильно-гладильный, рабочая зона 3000 мм, диаметр вала 800 мм, скорость глажения 0-10 м/мин, производительность 158 кг/час, обогрев электрический/газовый/паровой.
</t>
    </r>
    <r>
      <rPr>
        <sz val="10"/>
        <color rgb="FF000000"/>
        <rFont val="Times New Roman"/>
      </rPr>
      <t xml:space="preserve">Габаритные размеры:
</t>
    </r>
    <r>
      <rPr>
        <sz val="10"/>
        <color rgb="FF000000"/>
        <rFont val="Times New Roman"/>
      </rPr>
      <t>4248х1597х1380 мм. Мощность 75 кВт</t>
    </r>
  </si>
  <si>
    <t>Каландр
сушильно-гладильный, рабочая зона 3000 мм, диаметр вала 800 мм, скорость глажения 0-10 м/мин, производительность 158 кг/час, обогрев электрический/газовый/паровой.
Габаритные размеры:
4248х1597х1380 мм. Мощность 75 кВт</t>
  </si>
  <si>
    <r>
      <rPr>
        <sz val="10"/>
        <color theme="1"/>
        <rFont val="Times New Roman"/>
      </rPr>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r>
  </si>
  <si>
    <r>
      <rPr>
        <sz val="10"/>
        <color rgb="FF000000"/>
        <rFont val="Times New Roman"/>
      </rPr>
      <t xml:space="preserve">521-108-0512-0009 - Каландр
</t>
    </r>
    <r>
      <rPr>
        <sz val="10"/>
        <color rgb="FF000000"/>
        <rFont val="Times New Roman"/>
      </rPr>
      <t xml:space="preserve">сушильно-гладильный, рабочая зона 3300 мм, диаметр вала 800 мм, скорость глажения 0-10 м/мин, производительность 168 кг/час, обогрев электрический/газовый/паровой.
</t>
    </r>
    <r>
      <rPr>
        <sz val="10"/>
        <color rgb="FF000000"/>
        <rFont val="Times New Roman"/>
      </rPr>
      <t xml:space="preserve">Габаритные размеры: 4548х1597х1380 мм. Мощность 78
</t>
    </r>
    <r>
      <rPr>
        <sz val="10"/>
        <color rgb="FF000000"/>
        <rFont val="Times New Roman"/>
      </rPr>
      <t>кВт</t>
    </r>
  </si>
  <si>
    <t>Каландр
сушильно-гладильный, рабочая зона 3300 мм, диаметр вала 800 мм, скорость глажения 0-10 м/мин, производительность 168 кг/час, обогрев электрический/газовый/паровой.
Габаритные размеры: 4548х1597х1380 мм. Мощность 78
кВт</t>
  </si>
  <si>
    <r>
      <rPr>
        <sz val="10"/>
        <color theme="1"/>
        <rFont val="Times New Roman"/>
      </rPr>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r>
  </si>
  <si>
    <r>
      <rPr>
        <sz val="10"/>
        <color rgb="FF000000"/>
        <rFont val="Times New Roman"/>
      </rPr>
      <t xml:space="preserve">521-108-0512-0010 - Каландр
</t>
    </r>
    <r>
      <rPr>
        <sz val="10"/>
        <color rgb="FF000000"/>
        <rFont val="Times New Roman"/>
      </rPr>
      <t xml:space="preserve">сушильно-гладильный, рабочая зона 1400 мм, диаметр вала 270 мм, скорость глажения 0,8-3 м/мин, производительность 25 кг/час, обогрев электрический/газовый.
</t>
    </r>
    <r>
      <rPr>
        <sz val="10"/>
        <color rgb="FF000000"/>
        <rFont val="Times New Roman"/>
      </rPr>
      <t xml:space="preserve">Габаритные размеры: 2010x510x1080 мм. Мощность 13,8
</t>
    </r>
    <r>
      <rPr>
        <sz val="10"/>
        <color rgb="FF000000"/>
        <rFont val="Times New Roman"/>
      </rPr>
      <t>кВт</t>
    </r>
  </si>
  <si>
    <t>Каландр
сушильно-гладильный, рабочая зона 1400 мм, диаметр вала 270 мм, скорость глажения 0,8-3 м/мин, производительность 25 кг/час, обогрев электрический/газовый.
Габаритные размеры: 2010x510x1080 мм. Мощность 13,8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</si>
  <si>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</si>
  <si>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521-108-0512-0011 - Каландр
</t>
    </r>
    <r>
      <rPr>
        <sz val="10"/>
        <color rgb="FF000000"/>
        <rFont val="Times New Roman"/>
      </rPr>
      <t xml:space="preserve">сушильно-гладильный, рабочая зона 1800 мм, диаметр вала 320 мм, скорость глажения 1,6-5 м/мин, производительность 50 кг/час, обогрев электрический/газовый/паровой.
</t>
    </r>
    <r>
      <rPr>
        <sz val="10"/>
        <color rgb="FF000000"/>
        <rFont val="Times New Roman"/>
      </rPr>
      <t xml:space="preserve">Габаритные размеры:
</t>
    </r>
    <r>
      <rPr>
        <sz val="10"/>
        <color rgb="FF000000"/>
        <rFont val="Times New Roman"/>
      </rPr>
      <t>2340x550x1100 мм. Мощность 24,3 кВт</t>
    </r>
  </si>
  <si>
    <t>Каландр
сушильно-гладильный, рабочая зона 1800 мм, диаметр вала 320 мм, скорость глажения 1,6-5 м/мин, производительность 50 кг/час, обогрев электрический/газовый/паровой.
Габаритные размеры:
2340x550x1100 мм. Мощность 24,3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</si>
  <si>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</si>
  <si>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521-108-0512-0012 - Каландр
</t>
    </r>
    <r>
      <rPr>
        <sz val="10"/>
        <color rgb="FF000000"/>
        <rFont val="Times New Roman"/>
      </rPr>
      <t xml:space="preserve">сушильно-гладильный, рабочая зона 2100 мм, диаметр вала 320 мм, скорость глажения 1,6-5 м/мин, производительность 56 кг/час, обогрев электрический/газовый/паровой.
</t>
    </r>
    <r>
      <rPr>
        <sz val="10"/>
        <color rgb="FF000000"/>
        <rFont val="Times New Roman"/>
      </rPr>
      <t xml:space="preserve">Габаритные размеры: 2640x550x1100 мм. Мощность 27
</t>
    </r>
    <r>
      <rPr>
        <sz val="10"/>
        <color rgb="FF000000"/>
        <rFont val="Times New Roman"/>
      </rPr>
      <t>кВт</t>
    </r>
  </si>
  <si>
    <t>Каландр
сушильно-гладильный, рабочая зона 2100 мм, диаметр вала 320 мм, скорость глажения 1,6-5 м/мин, производительность 56 кг/час, обогрев электрический/газовый/паровой.
Габаритные размеры: 2640x550x1100 мм. Мощность 27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</si>
  <si>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</si>
  <si>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521-108-0512-0013 - Каландр
</t>
    </r>
    <r>
      <rPr>
        <sz val="10"/>
        <color rgb="FF000000"/>
        <rFont val="Times New Roman"/>
      </rPr>
      <t xml:space="preserve">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t>
    </r>
    <r>
      <rPr>
        <sz val="10"/>
        <color rgb="FF000000"/>
        <rFont val="Times New Roman"/>
      </rPr>
      <t>Мощность 34,2 кВт</t>
    </r>
  </si>
  <si>
    <t>Каландр
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Мощность 34,2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</si>
  <si>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</si>
  <si>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521-108-0512-0014 - Каландр
</t>
    </r>
    <r>
      <rPr>
        <sz val="10"/>
        <color rgb="FF000000"/>
        <rFont val="Times New Roman"/>
      </rPr>
      <t xml:space="preserve">сушильно-гладильный, рабочая зона 3200 мм, диаметр вала 320 мм, скорость глажения 1,6-5 м/мин, производительность 80 кг/час, обогрев электрический/газовый/паровой.
</t>
    </r>
    <r>
      <rPr>
        <sz val="10"/>
        <color rgb="FF000000"/>
        <rFont val="Times New Roman"/>
      </rPr>
      <t xml:space="preserve">Габаритные размеры: 3740 x 585 x
</t>
    </r>
    <r>
      <rPr>
        <sz val="10"/>
        <color rgb="FF000000"/>
        <rFont val="Times New Roman"/>
      </rPr>
      <t>1140 мм. Мощность 39,6 кВт</t>
    </r>
  </si>
  <si>
    <t>Каландр
сушильно-гладильный, рабочая зона 3200 мм, диаметр вала 320 мм, скорость глажения 1,6-5 м/мин, производительность 80 кг/час, обогрев электрический/газовый/паровой.
Габаритные размеры: 3740 x 585 x
1140 мм. Мощность 39,6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</si>
  <si>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</si>
  <si>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521-108-0512-0015 - Каландр
</t>
    </r>
    <r>
      <rPr>
        <sz val="10"/>
        <color rgb="FF000000"/>
        <rFont val="Times New Roman"/>
      </rPr>
      <t xml:space="preserve">сушильно-гладильный, рабочая зона 2100 мм, диаметр вала 500 мм, скорость глажения 1,6-8 м/мин, производительность 75 кг/час, обогрев электрический/газовый/паровой.
</t>
    </r>
    <r>
      <rPr>
        <sz val="10"/>
        <color rgb="FF000000"/>
        <rFont val="Times New Roman"/>
      </rPr>
      <t xml:space="preserve">Габаритные размеры: 2880x750x1290 мм. Мощность 45
</t>
    </r>
    <r>
      <rPr>
        <sz val="10"/>
        <color rgb="FF000000"/>
        <rFont val="Times New Roman"/>
      </rPr>
      <t>кВт</t>
    </r>
  </si>
  <si>
    <t>Каландр
сушильно-гладильный, рабочая зона 2100 мм, диаметр вала 500 мм, скорость глажения 1,6-8 м/мин, производительность 75 кг/час, обогрев электрический/газовый/паровой.
Габаритные размеры: 2880x750x1290 мм. Мощность 45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</si>
  <si>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</si>
  <si>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521-108-0512-0016 - Каландр
</t>
    </r>
    <r>
      <rPr>
        <sz val="10"/>
        <color rgb="FF000000"/>
        <rFont val="Times New Roman"/>
      </rPr>
      <t xml:space="preserve">сушильно-гладильный, рабочая зона 2600 мм, диаметр вала 500 мм, скорость глажения 1,6-8 м/мин, производительность 95 кг/час, обогрев электрический/газовый/паровой.
</t>
    </r>
    <r>
      <rPr>
        <sz val="10"/>
        <color rgb="FF000000"/>
        <rFont val="Times New Roman"/>
      </rPr>
      <t xml:space="preserve">Габаритные размеры:
</t>
    </r>
    <r>
      <rPr>
        <sz val="10"/>
        <color rgb="FF000000"/>
        <rFont val="Times New Roman"/>
      </rPr>
      <t>3280x750x1290 мм. Мощность 57 кВт</t>
    </r>
  </si>
  <si>
    <t>Каландр
сушильно-гладильный, рабочая зона 2600 мм, диаметр вала 500 мм, скорость глажения 1,6-8 м/мин, производительность 95 кг/час, обогрев электрический/газовый/паровой.
Габаритные размеры:
3280x750x1290 мм. Мощность 57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</si>
  <si>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</si>
  <si>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521-108-0512-0017 - Каландр
</t>
    </r>
    <r>
      <rPr>
        <sz val="10"/>
        <color rgb="FF000000"/>
        <rFont val="Times New Roman"/>
      </rPr>
      <t xml:space="preserve">сушильно-гладильный, рабочая зона 3200 мм, диаметр вала 500 мм, скорость глажения 1,6-8 м/мин, производительность 120 кг/час, обогрев электрический/газовый/паровой.
</t>
    </r>
    <r>
      <rPr>
        <sz val="10"/>
        <color rgb="FF000000"/>
        <rFont val="Times New Roman"/>
      </rPr>
      <t xml:space="preserve">Габаритные размеры:
</t>
    </r>
    <r>
      <rPr>
        <sz val="10"/>
        <color rgb="FF000000"/>
        <rFont val="Times New Roman"/>
      </rPr>
      <t>3880x750x1290 мм. Мощность 66 кВт</t>
    </r>
  </si>
  <si>
    <t>Каландр
сушильно-гладильный, рабочая зона 3200 мм, диаметр вала 500 мм, скорость глажения 1,6-8 м/мин, производительность 120 кг/час, обогрев электрический/газовый/паровой.
Габаритные размеры:
3880x750x1290 мм. Мощность 66 кВт</t>
  </si>
  <si>
    <r>
      <rPr>
        <sz val="10"/>
        <color theme="1"/>
        <rFont val="Times New Roman"/>
      </rPr>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r>
  </si>
  <si>
    <r>
      <rPr>
        <sz val="10"/>
        <color rgb="FF000000"/>
        <rFont val="Times New Roman"/>
      </rPr>
      <t xml:space="preserve">521-108-0513-0002 - Пресс
</t>
    </r>
    <r>
      <rPr>
        <sz val="10"/>
        <color rgb="FF000000"/>
        <rFont val="Times New Roman"/>
      </rPr>
      <t xml:space="preserve">гладильный с парогенератором, напряжение 380 В, объём 9 литров.
</t>
    </r>
    <r>
      <rPr>
        <sz val="10"/>
        <color rgb="FF000000"/>
        <rFont val="Times New Roman"/>
      </rPr>
      <t>Габаритные размеры: 1380x1140x1440 мм. Мощность 12,75 кВт</t>
    </r>
  </si>
  <si>
    <t>Пресс
гладильный с парогенератором, напряжение 380 В, объём 9 литров.
Габаритные размеры: 1380x1140x1440 мм. Мощность 12,75 кВт</t>
  </si>
  <si>
    <r>
      <rPr>
        <sz val="10"/>
        <color theme="1"/>
        <rFont val="Times New Roman"/>
      </rPr>
      <t>Бойлер объёмом 9 литров с электронным контролем уровня воды, рабочее давление пара 4–5 бар. Гладильная поверхность 1300×500 мм, отпаривающая верхняя поверхность, нижняя поверхность с отпариванием и аспирацией.</t>
    </r>
  </si>
  <si>
    <r>
      <rPr>
        <sz val="10"/>
        <color rgb="FF000000"/>
        <rFont val="Times New Roman"/>
      </rPr>
      <t xml:space="preserve">521-108-0513-0003 - Пресс
</t>
    </r>
    <r>
      <rPr>
        <sz val="10"/>
        <color rgb="FF000000"/>
        <rFont val="Times New Roman"/>
      </rPr>
      <t xml:space="preserve">гладильный пресс с паровым нагревом, напряжение 380 В, объём 7 литров, давление 5-6 бар.
</t>
    </r>
    <r>
      <rPr>
        <sz val="10"/>
        <color rgb="FF000000"/>
        <rFont val="Times New Roman"/>
      </rPr>
      <t>Габаритные размеры: 1340 x 1060 мм. Мощность 12.75кВт</t>
    </r>
  </si>
  <si>
    <t>Пресс
гладильный пресс с паровым нагревом, напряжение 380 В, объём 7 литров, давление 5-6 бар.
Габаритные размеры: 1340 x 1060 мм. Мощность 12.75кВт</t>
  </si>
  <si>
    <r>
      <rPr>
        <sz val="10"/>
        <color theme="1"/>
        <rFont val="Times New Roman"/>
      </rPr>
      <t>Верхняя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объёмом 7 литров, давление 5-6 бар.</t>
    </r>
  </si>
  <si>
    <r>
      <rPr>
        <sz val="10"/>
        <color rgb="FF000000"/>
        <rFont val="Times New Roman"/>
      </rPr>
      <t xml:space="preserve">521-108-0514-0001 - Стеллаж
</t>
    </r>
    <r>
      <rPr>
        <sz val="10"/>
        <color rgb="FF000000"/>
        <rFont val="Times New Roman"/>
      </rPr>
      <t>металлический типа GUARD, размеры 1500х325х2200 мм, 7 полок, полка из листовой стали 0,5 мм, стойки из листовой стали 0,7 мм, нагрузка на полку не более 100 кг</t>
    </r>
  </si>
  <si>
    <t>Стеллаж
металлический типа GUARD, размеры 1500х325х2200 мм, 7 полок, полка из листовой стали 0,5 мм, стойки из листовой стали 0,7 мм, нагрузка на полку не более 100 кг</t>
  </si>
  <si>
    <r>
      <rPr>
        <sz val="10"/>
        <color theme="1"/>
        <rFont val="Times New Roman"/>
      </rPr>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0,5мм - полка, 0,7мм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100 кг.</t>
    </r>
  </si>
  <si>
    <r>
      <rPr>
        <sz val="10"/>
        <color rgb="FF000000"/>
        <rFont val="Times New Roman"/>
      </rPr>
      <t xml:space="preserve">521-108-0514-0002 - Стеллаж
</t>
    </r>
    <r>
      <rPr>
        <sz val="10"/>
        <color rgb="FF000000"/>
        <rFont val="Times New Roman"/>
      </rPr>
      <t>металлический типа GUARD, размеры 1500х325х2200 мм, 7 полок, полка из листовой стали 0,7 мм, стойки из листовой стали 1 мм, нагрузка на полку не более 150 кг</t>
    </r>
  </si>
  <si>
    <t>Стеллаж
металлический типа GUARD, размеры 1500х325х2200 мм, 7 полок, полка из листовой стали 0,7 мм, стойки из листовой стали 1 мм, нагрузка на полку не более 150 кг</t>
  </si>
  <si>
    <r>
      <rPr>
        <sz val="10"/>
        <color theme="1"/>
        <rFont val="Times New Roman"/>
      </rPr>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0,7 мм - полка, 1 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150 кг.</t>
    </r>
  </si>
  <si>
    <r>
      <rPr>
        <sz val="10"/>
        <color rgb="FF000000"/>
        <rFont val="Times New Roman"/>
      </rPr>
      <t xml:space="preserve">521-108-0514-0003 - Стеллаж
</t>
    </r>
    <r>
      <rPr>
        <sz val="10"/>
        <color rgb="FF000000"/>
        <rFont val="Times New Roman"/>
      </rPr>
      <t>металлический типа GUARD, размеры 1500х325х2200 мм, 7 полок, стойки, полки из листовой стали 1 мм, нагрузка на полку не более 200 кг</t>
    </r>
  </si>
  <si>
    <t>Стеллаж
металлический типа GUARD, размеры 1500х325х2200 мм, 7 полок, стойки, полки из листовой стали 1 мм, нагрузка на полку не более 200 кг</t>
  </si>
  <si>
    <r>
      <rPr>
        <sz val="10"/>
        <color rgb="FF000000"/>
        <rFont val="Times New Roman"/>
      </rPr>
      <t xml:space="preserve">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1 мм.
</t>
    </r>
    <r>
      <rPr>
        <sz val="10"/>
        <color rgb="FF000000"/>
        <rFont val="Times New Roman"/>
      </rPr>
      <t>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200 кг.</t>
    </r>
  </si>
  <si>
    <r>
      <rPr>
        <sz val="10"/>
        <color rgb="FF000000"/>
        <rFont val="Times New Roman"/>
      </rPr>
      <t xml:space="preserve">521-108-0514-0004 - Стеллаж
</t>
    </r>
    <r>
      <rPr>
        <sz val="10"/>
        <color rgb="FF000000"/>
        <rFont val="Times New Roman"/>
      </rPr>
      <t>металлический типа GUARD для посуды, размеры 1200х400х1550 мм, 4 полки, нержавеющая сталь, 0,8 мм, нагрузка на полку не более 100 кг</t>
    </r>
  </si>
  <si>
    <t>Стеллаж
металлический типа GUARD для посуды, размеры 1200х400х1550 мм, 4 полки, нержавеющая сталь, 0,8 мм, нагрузка на полку не более 100 кг</t>
  </si>
  <si>
    <r>
      <rPr>
        <sz val="10"/>
        <color theme="1"/>
        <rFont val="Times New Roman"/>
      </rPr>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r>
  </si>
  <si>
    <r>
      <rPr>
        <sz val="10"/>
        <color rgb="FF000000"/>
        <rFont val="Times New Roman"/>
      </rPr>
      <t xml:space="preserve">521-108-0514-0005 - Стеллаж
</t>
    </r>
    <r>
      <rPr>
        <sz val="10"/>
        <color rgb="FF000000"/>
        <rFont val="Times New Roman"/>
      </rPr>
      <t>металлический типа GUARD для посуды, размеры 1500х400х1800 мм, 4 полки, нержавеющая сталь, 0,8 мм, нагрузка на полку не более 100 кг</t>
    </r>
  </si>
  <si>
    <t>Стеллаж
металлический типа GUARD для посуды, размеры 1500х400х1800 мм, 4 полки, нержавеющая сталь, 0,8 мм, нагрузка на полку не более 100 кг</t>
  </si>
  <si>
    <r>
      <rPr>
        <sz val="10"/>
        <color theme="1"/>
        <rFont val="Times New Roman"/>
      </rPr>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r>
  </si>
  <si>
    <r>
      <rPr>
        <sz val="10"/>
        <color rgb="FF000000"/>
        <rFont val="Times New Roman"/>
      </rPr>
      <t xml:space="preserve">521-108-0514-0006 - Стеллаж
</t>
    </r>
    <r>
      <rPr>
        <sz val="10"/>
        <color rgb="FF000000"/>
        <rFont val="Times New Roman"/>
      </rPr>
      <t>металлический типа GUARD, размеры 1200х400х1850 мм, 3 полки, нержавеющая сталь, 0,8 мм, нагрузка на полку не более 100 кг</t>
    </r>
  </si>
  <si>
    <t>Стеллаж
металлический типа GUARD, размеры 1200х400х1850 мм, 3 полки, нержавеющая сталь, 0,8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</si>
  <si>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t>
    </r>
    <r>
      <rPr>
        <sz val="10"/>
        <color rgb="FF000000"/>
        <rFont val="Times New Roman"/>
      </rPr>
      <t>и долговечности. Пластиковые подпятники.</t>
    </r>
  </si>
  <si>
    <r>
      <rPr>
        <sz val="10"/>
        <color rgb="FF000000"/>
        <rFont val="Times New Roman"/>
      </rPr>
      <t xml:space="preserve">521-108-0514-0007 - Стеллаж
</t>
    </r>
    <r>
      <rPr>
        <sz val="10"/>
        <color rgb="FF000000"/>
        <rFont val="Times New Roman"/>
      </rPr>
      <t>металлический типа GUARD, размеры 1200х500х1850 мм, 3 полки, нержавеющая сталь, 0,8 мм, нагрузка на полку не более 100 кг</t>
    </r>
  </si>
  <si>
    <t>Стеллаж
металлический типа GUARD, размеры 1200х500х1850 мм, 3 полки, нержавеющая сталь, 0,8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</si>
  <si>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t>
    </r>
    <r>
      <rPr>
        <sz val="10"/>
        <color rgb="FF000000"/>
        <rFont val="Times New Roman"/>
      </rPr>
      <t>и долговечности. Пластиковые подпятники.</t>
    </r>
  </si>
  <si>
    <r>
      <rPr>
        <sz val="10"/>
        <color rgb="FF000000"/>
        <rFont val="Times New Roman"/>
      </rPr>
      <t xml:space="preserve">521-108-0514-0008 - Стеллаж
</t>
    </r>
    <r>
      <rPr>
        <sz val="10"/>
        <color rgb="FF000000"/>
        <rFont val="Times New Roman"/>
      </rPr>
      <t>металлический типа GUARD, размеры 1500х500х1500 мм, 3 полки, нержавеющая сталь, 0,8 мм, нагрузка на полку не более 100 кг</t>
    </r>
  </si>
  <si>
    <t>Стеллаж
металлический типа GUARD, размеры 1500х500х1500 мм, 3 полки, нержавеющая сталь, 0,8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</si>
  <si>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t>
    </r>
    <r>
      <rPr>
        <sz val="10"/>
        <color rgb="FF000000"/>
        <rFont val="Times New Roman"/>
      </rPr>
      <t>и долговечности. Пластиковые подпятники.</t>
    </r>
  </si>
  <si>
    <r>
      <rPr>
        <sz val="10"/>
        <color rgb="FF000000"/>
        <rFont val="Times New Roman"/>
      </rPr>
      <t xml:space="preserve">521-108-0514-0009 - Стеллаж
</t>
    </r>
    <r>
      <rPr>
        <sz val="10"/>
        <color rgb="FF000000"/>
        <rFont val="Times New Roman"/>
      </rPr>
      <t>металлический типа GUARD, размеры 1000х400х1700 мм, 4 полки, нержавеющая сталь, 0,8 мм, нагрузка на полку не более 100 кг</t>
    </r>
  </si>
  <si>
    <t>Стеллаж
металлический типа GUARD, размеры 1000х400х1700 мм, 4 полки, нержавеющая сталь, 0,8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</si>
  <si>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t>
    </r>
    <r>
      <rPr>
        <sz val="10"/>
        <color rgb="FF000000"/>
        <rFont val="Times New Roman"/>
      </rPr>
      <t>, точной, незаметной, с высокими показателями качества, прочности и долговечности. Пластиковые подпятники.</t>
    </r>
  </si>
  <si>
    <r>
      <rPr>
        <sz val="10"/>
        <color rgb="FF000000"/>
        <rFont val="Times New Roman"/>
      </rPr>
      <t xml:space="preserve">521-108-0514-0010 - Стеллаж
</t>
    </r>
    <r>
      <rPr>
        <sz val="10"/>
        <color rgb="FF000000"/>
        <rFont val="Times New Roman"/>
      </rPr>
      <t>металлический типа GUARD, размеры 1200х500х1200 мм, 4 полки, нержавеющая сталь, 0,8 мм, нагрузка на полку не более 100 кг</t>
    </r>
  </si>
  <si>
    <t>Стеллаж
металлический типа GUARD, размеры 1200х500х1200 мм, 4 полки, нержавеющая сталь, 0,8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</si>
  <si>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t>
    </r>
    <r>
      <rPr>
        <sz val="10"/>
        <color rgb="FF000000"/>
        <rFont val="Times New Roman"/>
      </rPr>
      <t>, точной, незаметной, с высокими показателями качества, прочности и долговечности. Пластиковые подпятники.</t>
    </r>
  </si>
  <si>
    <r>
      <rPr>
        <sz val="10"/>
        <color rgb="FF000000"/>
        <rFont val="Times New Roman"/>
      </rPr>
      <t xml:space="preserve">521-108-0514-0011 - Стеллаж
</t>
    </r>
    <r>
      <rPr>
        <sz val="10"/>
        <color rgb="FF000000"/>
        <rFont val="Times New Roman"/>
      </rPr>
      <t>металлический типа GUARD, размеры 800х300х1800 мм, 5 полок, полка из листовой стали 0,5 мм, стойки из листовой стали 0,7 мм, нагрузка на полку не более 100 кг</t>
    </r>
  </si>
  <si>
    <t>Стеллаж
металлический типа GUARD, размеры 800х300х1800 мм, 5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</si>
  <si>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0,5- стойка, 0,7мм. Окрашен.
</t>
    </r>
    <r>
      <rPr>
        <sz val="10"/>
        <color rgb="FF000000"/>
        <rFont val="Times New Roman"/>
      </rPr>
      <t xml:space="preserve">Мебель для открытого хранения документов, предметов, различных грузов.
</t>
    </r>
    <r>
      <rPr>
        <sz val="10"/>
        <color rgb="FF000000"/>
        <rFont val="Times New Roman"/>
      </rPr>
      <t>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r>
  </si>
  <si>
    <r>
      <rPr>
        <sz val="10"/>
        <color rgb="FF000000"/>
        <rFont val="Times New Roman"/>
      </rPr>
      <t xml:space="preserve">521-108-0514-0012 - Стеллаж
</t>
    </r>
    <r>
      <rPr>
        <sz val="10"/>
        <color rgb="FF000000"/>
        <rFont val="Times New Roman"/>
      </rPr>
      <t>металлический типа GUARD, размеры 800х300х1800 мм, 5 полок, полка из листовой стали 0,7 мм, стойки из листовой стали 1 мм, нагрузка на полку не более 150 кг</t>
    </r>
  </si>
  <si>
    <t>Стеллаж
металлический типа GUARD, размеры 800х300х1800 мм, 5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</si>
  <si>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0,7мм, стойка - 1,0мм.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Равномерно распределенная нагрузка на полку не более 150 кг.</t>
    </r>
  </si>
  <si>
    <r>
      <rPr>
        <sz val="10"/>
        <color rgb="FF000000"/>
        <rFont val="Times New Roman"/>
      </rPr>
      <t xml:space="preserve">521-108-0514-0013 - Стеллаж
</t>
    </r>
    <r>
      <rPr>
        <sz val="10"/>
        <color rgb="FF000000"/>
        <rFont val="Times New Roman"/>
      </rPr>
      <t>металлический типа GUARD, размеры 800х300х1800 мм, 5 полок, стойки, полки из листовой стали 1 мм, нагрузка на полку не более 200 кг</t>
    </r>
  </si>
  <si>
    <t>Стеллаж
металлический типа GUARD, размеры 800х300х1800 мм, 5 полок, стойки, полки из листовой стали 1 мм, нагрузка на полку не более 200 кг</t>
  </si>
  <si>
    <r>
      <rPr>
        <sz val="10"/>
        <color rgb="FF000000"/>
        <rFont val="Times New Roman"/>
      </rPr>
      <t xml:space="preserve">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стали-1,0 мм.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Равномерно распределенная нагрузка на полку не более 200кг.</t>
    </r>
  </si>
  <si>
    <r>
      <rPr>
        <sz val="10"/>
        <color rgb="FF000000"/>
        <rFont val="Times New Roman"/>
      </rPr>
      <t xml:space="preserve">521-108-0514-0014 - Стеллаж
</t>
    </r>
    <r>
      <rPr>
        <sz val="10"/>
        <color rgb="FF000000"/>
        <rFont val="Times New Roman"/>
      </rPr>
      <t>металлический типа GUARD, размеры 1200х600х2000 мм, 5 полок, полка из листовой стали 0,5 мм, стойки из листовой стали 0,7 мм, нагрузка на полку не более 100 кг</t>
    </r>
  </si>
  <si>
    <t>Стеллаж
металлический типа GUARD, размеры 1200х600х2000 мм, 5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</si>
  <si>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0,5мм- полка;  0,7мм- стойка.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Равномерно
</t>
    </r>
    <r>
      <rPr>
        <sz val="10"/>
        <color rgb="FF000000"/>
        <rFont val="Times New Roman"/>
      </rPr>
      <t>распределенная нагрузка на полку не более 100 кг.</t>
    </r>
  </si>
  <si>
    <r>
      <rPr>
        <sz val="10"/>
        <color rgb="FF000000"/>
        <rFont val="Times New Roman"/>
      </rPr>
      <t xml:space="preserve">521-108-0514-0015 - Стеллаж
</t>
    </r>
    <r>
      <rPr>
        <sz val="10"/>
        <color rgb="FF000000"/>
        <rFont val="Times New Roman"/>
      </rPr>
      <t>металлический типа GUARD, размеры 1200х600х2000 мм, 5 полок, полка из листовой стали 0,7 мм, стойки из листовой стали 1 мм, нагрузка на полку не более 150 кг</t>
    </r>
  </si>
  <si>
    <t>Стеллаж
металлический типа GUARD, размеры 1200х600х2000 мм, 5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</si>
  <si>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0,7мм - полка;  1,0мм - стойка.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Равномерно распределенная нагрузка на полку не более 150 кг.</t>
    </r>
  </si>
  <si>
    <r>
      <rPr>
        <sz val="10"/>
        <color rgb="FF000000"/>
        <rFont val="Times New Roman"/>
      </rPr>
      <t xml:space="preserve">521-108-0514-0016 - Стеллаж
</t>
    </r>
    <r>
      <rPr>
        <sz val="10"/>
        <color rgb="FF000000"/>
        <rFont val="Times New Roman"/>
      </rPr>
      <t>металлический типа GUARD, размеры 1200х500х2000 мм, 5 полок, стойки, полки из листовой стали 1 мм, нагрузка на полку не более 200 кг</t>
    </r>
  </si>
  <si>
    <t>Стеллаж
металлический типа GUARD, размеры 1200х500х2000 мм, 5 полок, стойки, полки из листовой стали 1 мм, нагрузка на полку не более 200 кг</t>
  </si>
  <si>
    <r>
      <rPr>
        <sz val="10"/>
        <color rgb="FF000000"/>
        <rFont val="Times New Roman"/>
      </rPr>
      <t xml:space="preserve">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 1,0мм.
</t>
    </r>
    <r>
      <rPr>
        <sz val="10"/>
        <color rgb="FF000000"/>
        <rFont val="Times New Roman"/>
      </rPr>
      <t xml:space="preserve">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Равномерно распределенная нагрузка на полку не более 200кг.</t>
    </r>
  </si>
  <si>
    <r>
      <rPr>
        <sz val="10"/>
        <color rgb="FF000000"/>
        <rFont val="Times New Roman"/>
      </rPr>
      <t xml:space="preserve">521-108-0514-0017 - Стеллаж
</t>
    </r>
    <r>
      <rPr>
        <sz val="10"/>
        <color rgb="FF000000"/>
        <rFont val="Times New Roman"/>
      </rPr>
      <t>металлический типа GUARD, размеры 1000х300х2450 мм, 6 полок, полка из листовой стали 0,5 мм, стойки из листовой стали 0,7 мм, нагрузка на полку не более 100 кг</t>
    </r>
  </si>
  <si>
    <t>Стеллаж
металлический типа GUARD, размеры 1000х300х2450 мм, 6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</si>
  <si>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
</t>
    </r>
    <r>
      <rPr>
        <sz val="10"/>
        <color rgb="FF000000"/>
        <rFont val="Times New Roman"/>
      </rPr>
      <t xml:space="preserve">-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Равномерно
</t>
    </r>
    <r>
      <rPr>
        <sz val="10"/>
        <color rgb="FF000000"/>
        <rFont val="Times New Roman"/>
      </rPr>
      <t>распределенная нагрузка на полку не более 100 кг.</t>
    </r>
  </si>
  <si>
    <r>
      <rPr>
        <sz val="10"/>
        <color rgb="FF000000"/>
        <rFont val="Times New Roman"/>
      </rPr>
      <t xml:space="preserve">521-108-0514-0018 - Стеллаж
</t>
    </r>
    <r>
      <rPr>
        <sz val="10"/>
        <color rgb="FF000000"/>
        <rFont val="Times New Roman"/>
      </rPr>
      <t>металлический типа GUARD, размеры 1000х300х2450 мм, 6 полок, полка из листовой стали 0,7 мм, стойки из листовой стали 1 мм, нагрузка на полку не более 150 кг</t>
    </r>
  </si>
  <si>
    <t>Стеллаж
металлический типа GUARD, размеры 1000х300х2450 мм, 6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</si>
  <si>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t>
    </r>
    <r>
      <rPr>
        <sz val="10"/>
        <color rgb="FF000000"/>
        <rFont val="Times New Roman"/>
      </rPr>
      <t xml:space="preserve">Порошково-полимерное покрытие, устойчивое к ультрафиолетовому
</t>
    </r>
    <r>
      <rPr>
        <sz val="10"/>
        <color rgb="FF000000"/>
        <rFont val="Times New Roman"/>
      </rPr>
      <t>излучению, средствам дезинфекционной обработки. Равномерно распределенная нагрузка на полку не более 150 кг.</t>
    </r>
  </si>
  <si>
    <r>
      <rPr>
        <sz val="10"/>
        <color rgb="FF000000"/>
        <rFont val="Times New Roman"/>
      </rPr>
      <t xml:space="preserve">521-108-0514-0019 - Стеллаж
</t>
    </r>
    <r>
      <rPr>
        <sz val="10"/>
        <color rgb="FF000000"/>
        <rFont val="Times New Roman"/>
      </rPr>
      <t>металлический типа GUARD, размеры 1000х300х2450 мм, 6 полок, стойки, полки из листовой стали 1 мм, нагрузка на полку не более 200 кг</t>
    </r>
  </si>
  <si>
    <t>Стеллаж
металлический типа GUARD, размеры 1000х300х2450 мм, 6 полок, стойки, полки из листовой стали 1 мм, нагрузка на полку не более 200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</si>
  <si>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  1,0мм. Окрашен. Мебель для открытого хранения документов, предметов, различных грузов.
</t>
    </r>
    <r>
      <rPr>
        <sz val="10"/>
        <color rgb="FF000000"/>
        <rFont val="Times New Roman"/>
      </rPr>
      <t xml:space="preserve">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t>
    </r>
    <r>
      <rPr>
        <sz val="10"/>
        <color rgb="FF000000"/>
        <rFont val="Times New Roman"/>
      </rPr>
      <t>полку не более 200 кг.</t>
    </r>
  </si>
  <si>
    <r>
      <rPr>
        <sz val="10"/>
        <color rgb="FF000000"/>
        <rFont val="Times New Roman"/>
      </rPr>
      <t xml:space="preserve">521-108-0514-0020 - Стеллаж
</t>
    </r>
    <r>
      <rPr>
        <sz val="10"/>
        <color rgb="FF000000"/>
        <rFont val="Times New Roman"/>
      </rPr>
      <t>металлический типа GUARD, размеры 1500х300х1800 мм, 6 полок, полка из листовой стали 0,5 мм, стойки из листовой стали 0,7 мм, нагрузка на полку не более 100 кг</t>
    </r>
  </si>
  <si>
    <t>Стеллаж
металлический типа GUARD, размеры 1500х300х1800 мм, 6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</si>
  <si>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t>
    </r>
    <r>
      <rPr>
        <sz val="10"/>
        <color rgb="FF000000"/>
        <rFont val="Times New Roman"/>
      </rPr>
      <t xml:space="preserve">прочности и долговечности. Пластиковые подпятники.
</t>
    </r>
    <r>
      <rPr>
        <sz val="10"/>
        <color rgb="FF000000"/>
        <rFont val="Times New Roman"/>
      </rPr>
      <t>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r>
  </si>
  <si>
    <r>
      <rPr>
        <sz val="10"/>
        <color rgb="FF000000"/>
        <rFont val="Times New Roman"/>
      </rPr>
      <t xml:space="preserve">521-108-0514-0021 - Стеллаж
</t>
    </r>
    <r>
      <rPr>
        <sz val="10"/>
        <color rgb="FF000000"/>
        <rFont val="Times New Roman"/>
      </rPr>
      <t>металлический типа GUARD, размеры 1200х400х2200 мм, 6 полок, полка из листовой стали 0,5 мм, стойки из листовой стали 0,7 мм, нагрузка на полку не более 100 кг</t>
    </r>
  </si>
  <si>
    <t>Стеллаж
металлический типа GUARD, размеры 1200х400х2200 мм, 6 полок, полка из листовой стали 0,5 мм, стойки из листовой стали 0,7 мм, нагрузка на полку не более 100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</si>
  <si>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t>
    </r>
    <r>
      <rPr>
        <sz val="10"/>
        <color rgb="FF000000"/>
        <rFont val="Times New Roman"/>
      </rPr>
      <t xml:space="preserve">прочности и долговечности. Пластиковые подпятники.
</t>
    </r>
    <r>
      <rPr>
        <sz val="10"/>
        <color rgb="FF000000"/>
        <rFont val="Times New Roman"/>
      </rPr>
      <t>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r>
  </si>
  <si>
    <r>
      <rPr>
        <sz val="10"/>
        <color rgb="FF000000"/>
        <rFont val="Times New Roman"/>
      </rPr>
      <t xml:space="preserve">521-108-0514-0022 - Стеллаж
</t>
    </r>
    <r>
      <rPr>
        <sz val="10"/>
        <color rgb="FF000000"/>
        <rFont val="Times New Roman"/>
      </rPr>
      <t>металлический типа GUARD, размеры 1500х300х1800 мм, 6 полок, полка из листовой стали 0,7 мм, стойки из листовой стали 1 мм, нагрузка на полку не более 150 кг</t>
    </r>
  </si>
  <si>
    <t>Стеллаж
металлический типа GUARD, размеры 1500х300х1800 мм, 6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</si>
  <si>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t>
    </r>
    <r>
      <rPr>
        <sz val="10"/>
        <color rgb="FF000000"/>
        <rFont val="Times New Roman"/>
      </rPr>
      <t xml:space="preserve">прочности и долговечности. Пластиковые подпятники.
</t>
    </r>
    <r>
      <rPr>
        <sz val="10"/>
        <color rgb="FF000000"/>
        <rFont val="Times New Roman"/>
      </rPr>
      <t>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r>
  </si>
  <si>
    <r>
      <rPr>
        <sz val="10"/>
        <color rgb="FF000000"/>
        <rFont val="Times New Roman"/>
      </rPr>
      <t xml:space="preserve">521-108-0514-0023 - Стеллаж
</t>
    </r>
    <r>
      <rPr>
        <sz val="10"/>
        <color rgb="FF000000"/>
        <rFont val="Times New Roman"/>
      </rPr>
      <t>металлический типа GUARD, размеры 1200х400х2200 мм, 6 полок, полка из листовой стали 0,7 мм, стойки из листовой стали 1 мм, нагрузка на полку не более 150 кг</t>
    </r>
  </si>
  <si>
    <t>Стеллаж
металлический типа GUARD, размеры 1200х400х2200 мм, 6 полок, полка из листовой стали 0,7 мм, стойки из листовой стали 1 мм, нагрузка на полку не более 150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</si>
  <si>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t>
    </r>
    <r>
      <rPr>
        <sz val="10"/>
        <color rgb="FF000000"/>
        <rFont val="Times New Roman"/>
      </rPr>
      <t xml:space="preserve">прочности и долговечности. Пластиковые подпятники.
</t>
    </r>
    <r>
      <rPr>
        <sz val="10"/>
        <color rgb="FF000000"/>
        <rFont val="Times New Roman"/>
      </rPr>
      <t>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r>
  </si>
  <si>
    <r>
      <rPr>
        <sz val="10"/>
        <color rgb="FF000000"/>
        <rFont val="Times New Roman"/>
      </rPr>
      <t xml:space="preserve">521-108-0514-0024 - Стеллаж
</t>
    </r>
    <r>
      <rPr>
        <sz val="10"/>
        <color rgb="FF000000"/>
        <rFont val="Times New Roman"/>
      </rPr>
      <t>металлический типа GUARD, размеры 1200х300х1800 мм, 6 полок, стойки, полки из листовой стали 1 мм, нагрузка на полку не более 200 кг</t>
    </r>
  </si>
  <si>
    <t>Стеллаж
металлический типа GUARD, размеры 1200х300х1800 мм, 6 полок, стойки, полки из листовой стали 1 мм, нагрузка на полку не более 200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</si>
  <si>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t>
    </r>
    <r>
      <rPr>
        <sz val="10"/>
        <color rgb="FF000000"/>
        <rFont val="Times New Roman"/>
      </rPr>
      <t xml:space="preserve">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t>
    </r>
    <r>
      <rPr>
        <sz val="10"/>
        <color rgb="FF000000"/>
        <rFont val="Times New Roman"/>
      </rPr>
      <t>более 200кг.</t>
    </r>
  </si>
  <si>
    <r>
      <rPr>
        <sz val="10"/>
        <color rgb="FF000000"/>
        <rFont val="Times New Roman"/>
      </rPr>
      <t xml:space="preserve">521-108-0514-0025 - Стеллаж
</t>
    </r>
    <r>
      <rPr>
        <sz val="10"/>
        <color rgb="FF000000"/>
        <rFont val="Times New Roman"/>
      </rPr>
      <t>металлический типа GUARD, размеры 1200х400х2200 мм, 6 полок, стойки, полки из листовой стали 1 мм, нагрузка на полку не более 200 кг</t>
    </r>
  </si>
  <si>
    <t>Стеллаж
металлический типа GUARD, размеры 1200х400х2200 мм, 6 полок, стойки, полки из листовой стали 1 мм, нагрузка на полку не более 200 кг</t>
  </si>
  <si>
    <r>
      <rPr>
        <sz val="10"/>
        <color rgb="FF000000"/>
        <rFont val="Times New Roman"/>
      </rPr>
      <t xml:space="preserve">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t>
    </r>
    <r>
      <rPr>
        <sz val="10"/>
        <color rgb="FF000000"/>
        <rFont val="Times New Roman"/>
      </rPr>
      <t xml:space="preserve">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t>
    </r>
    <r>
      <rPr>
        <sz val="10"/>
        <color rgb="FF000000"/>
        <rFont val="Times New Roman"/>
      </rPr>
      <t>более 200кг.</t>
    </r>
  </si>
  <si>
    <r>
      <rPr>
        <sz val="10"/>
        <color rgb="FF000000"/>
        <rFont val="Times New Roman"/>
      </rPr>
      <t xml:space="preserve">521-108-0515-0001 - Упаковщик
</t>
    </r>
    <r>
      <rPr>
        <sz val="10"/>
        <color rgb="FF000000"/>
        <rFont val="Times New Roman"/>
      </rPr>
      <t xml:space="preserve">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t>
    </r>
    <r>
      <rPr>
        <sz val="10"/>
        <color rgb="FF000000"/>
        <rFont val="Times New Roman"/>
      </rPr>
      <t>Мощность 0,166 кВт</t>
    </r>
  </si>
  <si>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</si>
  <si>
    <r>
      <rPr>
        <sz val="10"/>
        <color theme="1"/>
        <rFont val="Times New Roman"/>
      </rPr>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r>
  </si>
  <si>
    <r>
      <rPr>
        <sz val="10"/>
        <color rgb="FF000000"/>
        <rFont val="Times New Roman"/>
      </rPr>
      <t xml:space="preserve">521-108-0515-0002 - Упаковщик
</t>
    </r>
    <r>
      <rPr>
        <sz val="10"/>
        <color rgb="FF000000"/>
        <rFont val="Times New Roman"/>
      </rPr>
      <t xml:space="preserve">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t>
    </r>
    <r>
      <rPr>
        <sz val="10"/>
        <color rgb="FF000000"/>
        <rFont val="Times New Roman"/>
      </rPr>
      <t>Мощность 0,166 кВт</t>
    </r>
  </si>
  <si>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</si>
  <si>
    <r>
      <rPr>
        <sz val="10"/>
        <color theme="1"/>
        <rFont val="Times New Roman"/>
      </rPr>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r>
  </si>
  <si>
    <r>
      <rPr>
        <sz val="10"/>
        <color rgb="FF000000"/>
        <rFont val="Times New Roman"/>
      </rPr>
      <t xml:space="preserve">521-108-0515-0003 - Упаковщик для белья, пневматическое управление. Корпус выполнен из окрашенной стали. Максимальный размер упаковки: 700х700х500 мм.
</t>
    </r>
    <r>
      <rPr>
        <sz val="10"/>
        <color rgb="FF000000"/>
        <rFont val="Times New Roman"/>
      </rPr>
      <t>Габаритные размеры: 1500х1400х900 мм. Мощность 0,332 кВт</t>
    </r>
  </si>
  <si>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</si>
  <si>
    <r>
      <rPr>
        <sz val="10"/>
        <color theme="1"/>
        <rFont val="Times New Roman"/>
      </rPr>
      <t>Используется в химчистках и прачечных для упаковки прямого белья, одеял и покрывал. Модель оснащена пневматическим управлением и 4 колесами для удобства перемещения. Максимальный размер катушки: 750 мм.</t>
    </r>
  </si>
  <si>
    <r>
      <rPr>
        <sz val="10"/>
        <color rgb="FF000000"/>
        <rFont val="Times New Roman"/>
      </rPr>
      <t xml:space="preserve">521-108-0516-0001 - Стол
</t>
    </r>
    <r>
      <rPr>
        <sz val="10"/>
        <color rgb="FF000000"/>
        <rFont val="Times New Roman"/>
      </rPr>
      <t>пятновыводной, напряжение 220 В, рабочая поверхность из нержавеющей стали размером 750×270 мм. Габаритные размеры: 820х290х720 мм. Мощность 0,1 кВт</t>
    </r>
  </si>
  <si>
    <t>Стол
пятновыводной, напряжение 220 В, рабочая поверхность из нержавеющей стали размером 750×270 мм. Габаритные размеры: 820х290х720 мм. Мощность 0,1 кВт</t>
  </si>
  <si>
    <r>
      <rPr>
        <sz val="10"/>
        <color theme="1"/>
        <rFont val="Times New Roman"/>
      </rPr>
      <t>Оснащён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t>
    </r>
  </si>
  <si>
    <r>
      <rPr>
        <sz val="10"/>
        <color rgb="FF000000"/>
        <rFont val="Times New Roman"/>
      </rPr>
      <t xml:space="preserve">521-108-0516-0002 - Стол холодный пятновыводной, напряжение 220 В, рабочая поверхность из нержавеющей стали размером 1440x700х900 мм. Габаритные размеры: 1440x700х900 мм.
</t>
    </r>
    <r>
      <rPr>
        <sz val="10"/>
        <color rgb="FF000000"/>
        <rFont val="Times New Roman"/>
      </rPr>
      <t>Мощность 2,45 кВт</t>
    </r>
  </si>
  <si>
    <t>Стол холодный пятновыводной, напряжение 220 В, рабочая поверхность из нержавеющей стали размером 1440x700х900 мм. Габаритные размеры: 1440x700х900 мм.
Мощность 2,45 кВт</t>
  </si>
  <si>
    <r>
      <rPr>
        <sz val="10"/>
        <color theme="1"/>
        <rFont val="Times New Roman"/>
      </rPr>
      <t>Оснащен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t>
    </r>
  </si>
  <si>
    <r>
      <rPr>
        <sz val="10"/>
        <color theme="1"/>
        <rFont val="Times New Roman"/>
      </rPr>
      <t>521-201-0501 - Пианино</t>
    </r>
  </si>
  <si>
    <r>
      <rPr>
        <sz val="10"/>
        <color theme="1"/>
        <rFont val="Times New Roman"/>
      </rPr>
      <t>Пианино акустическое в комплекте со стулом.</t>
    </r>
  </si>
  <si>
    <r>
      <rPr>
        <sz val="10"/>
        <color rgb="FF000000"/>
        <rFont val="Times New Roman"/>
      </rPr>
      <t xml:space="preserve">521-201-0502-0021 - Барабан
</t>
    </r>
    <r>
      <rPr>
        <sz val="10"/>
        <color rgb="FF000000"/>
        <rFont val="Times New Roman"/>
      </rPr>
      <t>маршевый</t>
    </r>
  </si>
  <si>
    <t>Барабан
маршевый</t>
  </si>
  <si>
    <r>
      <rPr>
        <sz val="10"/>
        <color theme="1"/>
        <rFont val="Times New Roman"/>
      </rPr>
      <t>Барабан детский маршевый выполнен из натурального дерева, материал обода металлический. Наплечный ремень и 2 палочки в комплекте.</t>
    </r>
  </si>
  <si>
    <r>
      <rPr>
        <sz val="10"/>
        <color theme="1"/>
        <rFont val="Times New Roman"/>
      </rPr>
      <t>521-201-0502-0027 - Маракасы на длинной ручке</t>
    </r>
  </si>
  <si>
    <r>
      <rPr>
        <sz val="10"/>
        <color theme="1"/>
        <rFont val="Times New Roman"/>
      </rPr>
      <t>Пара маракасов, внутри которых находятся стальные шарики, воспроизводящие четкий и громкий звук. Круглая, пластиковая конструкция корпуса для воспроизведения звука, деревянные ручки.</t>
    </r>
  </si>
  <si>
    <r>
      <rPr>
        <sz val="10"/>
        <color rgb="FF000000"/>
        <rFont val="Times New Roman"/>
      </rPr>
      <t xml:space="preserve">521-202-0401-0001 - 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t>
    </r>
    <r>
      <rPr>
        <sz val="10"/>
        <color rgb="FF000000"/>
        <rFont val="Times New Roman"/>
      </rPr>
      <t xml:space="preserve">кислотно-щелочной баланс,
</t>
    </r>
    <r>
      <rPr>
        <sz val="10"/>
        <color rgb="FF000000"/>
        <rFont val="Times New Roman"/>
      </rPr>
      <t>относительная влажность, звук, УФ-излучение, свет, температура</t>
    </r>
  </si>
  <si>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</si>
  <si>
    <r>
      <rPr>
        <sz val="10"/>
        <color theme="1"/>
        <rFont val="Times New Roman"/>
      </rPr>
      <t>Комплектация:  База цифровой лаборатории с дисплеем-1шт. Внешний источник питания 100-240V AC/ 5V DC 1A- 1шт. Сумка ддля переноски- 1 шт</t>
    </r>
  </si>
  <si>
    <r>
      <rPr>
        <sz val="10"/>
        <color rgb="FF000000"/>
        <rFont val="Times New Roman"/>
      </rPr>
      <t xml:space="preserve">521-202-0501-0001 -
</t>
    </r>
    <r>
      <rPr>
        <sz val="10"/>
        <color rgb="FF000000"/>
        <rFont val="Times New Roman"/>
      </rPr>
      <t>Мини-лаборатория для начальной школы "Вода и воздух" типа Experia PHE-019</t>
    </r>
  </si>
  <si>
    <t>521-202-0501-0001 -
Мини-лаборатория для начальной школы "Вода и воздух" типа Experia PHE-019</t>
  </si>
  <si>
    <r>
      <rPr>
        <sz val="10"/>
        <color rgb="FF000000"/>
        <rFont val="Times New Roman"/>
      </rPr>
      <t xml:space="preserve">Комплектация: Кейс с крышкой - 1 шт , Лоток со вставкой - 1шт,
</t>
    </r>
    <r>
      <rPr>
        <sz val="10"/>
        <color rgb="FF000000"/>
        <rFont val="Times New Roman"/>
      </rPr>
      <t xml:space="preserve">1 шт. Опорная стойка
</t>
    </r>
    <r>
      <rPr>
        <sz val="10"/>
        <color rgb="FF000000"/>
        <rFont val="Times New Roman"/>
      </rPr>
      <t xml:space="preserve">1 шт. Шприц с насадкой, 30 мл
</t>
    </r>
    <r>
      <rPr>
        <sz val="10"/>
        <color rgb="FF000000"/>
        <rFont val="Times New Roman"/>
      </rPr>
      <t xml:space="preserve">2 шт. Пробирки пластиковые, 152 мм 1 шт. Стойка для пробирок пластиковая
</t>
    </r>
    <r>
      <rPr>
        <sz val="10"/>
        <color rgb="FF000000"/>
        <rFont val="Times New Roman"/>
      </rPr>
      <t xml:space="preserve">1 шт. Водяное колесо
</t>
    </r>
    <r>
      <rPr>
        <sz val="10"/>
        <color rgb="FF000000"/>
        <rFont val="Times New Roman"/>
      </rPr>
      <t xml:space="preserve">1 шт. Плавающие платформы для стрелки компаса 1 шт. Повозка
</t>
    </r>
    <r>
      <rPr>
        <sz val="10"/>
        <color rgb="FF000000"/>
        <rFont val="Times New Roman"/>
      </rPr>
      <t xml:space="preserve">1 шт. Воздушная подушка
</t>
    </r>
    <r>
      <rPr>
        <sz val="10"/>
        <color rgb="FF000000"/>
        <rFont val="Times New Roman"/>
      </rPr>
      <t xml:space="preserve">1 шт. Шарики с усиленным поверхностным натяжением 1 шт. Водяная чаша пластиковая, диаметр 80 мм
</t>
    </r>
    <r>
      <rPr>
        <sz val="10"/>
        <color rgb="FF000000"/>
        <rFont val="Times New Roman"/>
      </rPr>
      <t xml:space="preserve">1 шт. Зажимное гнездо, 10 мм
</t>
    </r>
    <r>
      <rPr>
        <sz val="10"/>
        <color rgb="FF000000"/>
        <rFont val="Times New Roman"/>
      </rPr>
      <t xml:space="preserve">2 шт. Стеклянные трубки, 200 мм 1 шт. Резиновая пробка 18/14 мм
</t>
    </r>
    <r>
      <rPr>
        <sz val="10"/>
        <color rgb="FF000000"/>
        <rFont val="Times New Roman"/>
      </rPr>
      <t xml:space="preserve">1 шт. Резиновая пробка 18/14 мм, 1 отверстие 8 мм 1 шт. Пробирка с шлангом
</t>
    </r>
    <r>
      <rPr>
        <sz val="10"/>
        <color rgb="FF000000"/>
        <rFont val="Times New Roman"/>
      </rPr>
      <t xml:space="preserve">1 шт. Силиконовая трубка 7/1.5 мм
</t>
    </r>
    <r>
      <rPr>
        <sz val="10"/>
        <color rgb="FF000000"/>
        <rFont val="Times New Roman"/>
      </rPr>
      <t>2 шт. Трубчатые зажимы, 5 мм</t>
    </r>
  </si>
  <si>
    <r>
      <rPr>
        <sz val="10"/>
        <color rgb="FF000000"/>
        <rFont val="Times New Roman"/>
      </rPr>
      <t xml:space="preserve">521-202-0501-0002 -
</t>
    </r>
    <r>
      <rPr>
        <sz val="10"/>
        <color rgb="FF000000"/>
        <rFont val="Times New Roman"/>
      </rPr>
      <t>Мини-лаборатория для начальной школы "Вода и воздух" типа Cornelsen Experimenta 16102</t>
    </r>
  </si>
  <si>
    <t>521-202-0501-0002 -
Мини-лаборатория для начальной школы "Вода и воздух" типа Cornelsen Experimenta 16102</t>
  </si>
  <si>
    <r>
      <rPr>
        <sz val="10"/>
        <color rgb="FF000000"/>
        <rFont val="Times New Roman"/>
      </rPr>
      <t xml:space="preserve">Состоит:
</t>
    </r>
    <r>
      <rPr>
        <sz val="10"/>
        <color rgb="FF000000"/>
        <rFont val="Times New Roman"/>
      </rPr>
      <t xml:space="preserve">колесо с лопастями; тележка; держатель клапана; клапан шарика; чашка; U-образная трубка; штатив для пробирок; шприцы10 и 30 мл; кронштейн; пробирка 2 шт.; стеклянная трубочка 2 шт.; пробирка с патрубком; экран 90×90×2мм;  трубка толстая 7×1,5мм; трубка тонкая 5×0,75мм 2 шт.; зажимы 5 и 10 мм 3 шт.; плотик (диск из пенопласта)
</t>
    </r>
    <r>
      <rPr>
        <sz val="10"/>
        <color rgb="FF000000"/>
        <rFont val="Times New Roman"/>
      </rPr>
      <t>Руководство для учителя формата А5</t>
    </r>
  </si>
  <si>
    <r>
      <rPr>
        <sz val="10"/>
        <color rgb="FF000000"/>
        <rFont val="Times New Roman"/>
      </rPr>
      <t xml:space="preserve">521-202-0501-0004 - Набор
</t>
    </r>
    <r>
      <rPr>
        <sz val="10"/>
        <color rgb="FF000000"/>
        <rFont val="Times New Roman"/>
      </rPr>
      <t>"Пневматика" типа Fischertechnik</t>
    </r>
  </si>
  <si>
    <t>Набор
"Пневматика" типа Fischertechnik</t>
  </si>
  <si>
    <r>
      <rPr>
        <sz val="10"/>
        <color rgb="FF000000"/>
        <rFont val="Times New Roman"/>
      </rPr>
      <t xml:space="preserve">В набор входит: Детали для сборки; Ресивер; Обратный клапан; Манометр; Компрессор; 4 пневматических цилиндра (2 одностороннего и 2 двустороннего действия); Электромагнитный пневматический клапан; 2 ручных распределительных клапана 4/3; Контейнер для батарейки типа
</t>
    </r>
    <r>
      <rPr>
        <sz val="10"/>
        <color rgb="FF000000"/>
        <rFont val="Times New Roman"/>
      </rPr>
      <t>«Крона» 9 В.</t>
    </r>
  </si>
  <si>
    <r>
      <rPr>
        <sz val="10"/>
        <color rgb="FF000000"/>
        <rFont val="Times New Roman"/>
      </rPr>
      <t xml:space="preserve">521-202-0502-0001 -
</t>
    </r>
    <r>
      <rPr>
        <sz val="10"/>
        <color rgb="FF000000"/>
        <rFont val="Times New Roman"/>
      </rPr>
      <t>Мини-лаборатория для начальной школы "Биология" типа Experia PHE-018</t>
    </r>
  </si>
  <si>
    <t>521-202-0502-0001 -
Мини-лаборатория для начальной школы "Биология" типа Experia PHE-018</t>
  </si>
  <si>
    <r>
      <rPr>
        <sz val="10"/>
        <color rgb="FF000000"/>
        <rFont val="Times New Roman"/>
      </rPr>
      <t xml:space="preserve">Комплектация: "Кейс с крышкой - 1 шт; Лоток со вставкой - 1шт,
</t>
    </r>
    <r>
      <rPr>
        <sz val="10"/>
        <color rgb="FF000000"/>
        <rFont val="Times New Roman"/>
      </rPr>
      <t xml:space="preserve">Пипетка для капельного набора, пластиковая - 1 шт. Увеличительное стекло с тройным объективом - 1 шт.
</t>
    </r>
    <r>
      <rPr>
        <sz val="10"/>
        <color rgb="FF000000"/>
        <rFont val="Times New Roman"/>
      </rPr>
      <t xml:space="preserve">Разделительная игла, прямая - 1 шт. Пинцет с тупыми кончиками - 1 шт.
</t>
    </r>
    <r>
      <rPr>
        <sz val="10"/>
        <color rgb="FF000000"/>
        <rFont val="Times New Roman"/>
      </rPr>
      <t xml:space="preserve">Нож - 1 шт.
</t>
    </r>
    <r>
      <rPr>
        <sz val="10"/>
        <color rgb="FF000000"/>
        <rFont val="Times New Roman"/>
      </rPr>
      <t xml:space="preserve">Пробирки, пластиковые, 152 мм, 3 шт.
</t>
    </r>
    <r>
      <rPr>
        <sz val="10"/>
        <color rgb="FF000000"/>
        <rFont val="Times New Roman"/>
      </rPr>
      <t xml:space="preserve">Подставка для пробирок, пластиковая - 1 шт.
</t>
    </r>
    <r>
      <rPr>
        <sz val="10"/>
        <color rgb="FF000000"/>
        <rFont val="Times New Roman"/>
      </rPr>
      <t xml:space="preserve">Петри, пластиковая - 1 шт.
</t>
    </r>
    <r>
      <rPr>
        <sz val="10"/>
        <color rgb="FF000000"/>
        <rFont val="Times New Roman"/>
      </rPr>
      <t xml:space="preserve">Намотка нити на барабане - 1 шт. Покровные стекла, 18/18 мм - 1 шт. Слайды для микроскопа, 50 шт. - 1 шт.
</t>
    </r>
    <r>
      <rPr>
        <sz val="10"/>
        <color rgb="FF000000"/>
        <rFont val="Times New Roman"/>
      </rPr>
      <t xml:space="preserve">Микротом - 1 шт.
</t>
    </r>
    <r>
      <rPr>
        <sz val="10"/>
        <color rgb="FF000000"/>
        <rFont val="Times New Roman"/>
      </rPr>
      <t>Салфетка для очистки - 1 шт."</t>
    </r>
  </si>
  <si>
    <r>
      <rPr>
        <sz val="10"/>
        <color rgb="FF000000"/>
        <rFont val="Times New Roman"/>
      </rPr>
      <t xml:space="preserve">521-202-0502-0002 -
</t>
    </r>
    <r>
      <rPr>
        <sz val="10"/>
        <color rgb="FF000000"/>
        <rFont val="Times New Roman"/>
      </rPr>
      <t>Мини-лаборатория для начальной школы "Биология" типа Cornelsen Experimenta 16180</t>
    </r>
  </si>
  <si>
    <t>521-202-0502-0002 -
Мини-лаборатория для начальной школы "Биология" типа Cornelsen Experimenta 16180</t>
  </si>
  <si>
    <r>
      <rPr>
        <sz val="10"/>
        <color theme="1"/>
        <rFont val="Times New Roman"/>
      </rPr>
      <t>Состоит: мини-пресс для сушки растений, 18х9х0,7см, покровное стеклышко –100 шт.; предметное стекло, 7х2,5х0,1 см –50 шт.; ручной микротом со стальным лезвием; чашка Петри; микропинцет, 10 см – 1 шт.; препаровальная игла; стекло увеличительное трехлинзовое, увеличение 3х, 6х, 10х, треугольная со сторонами 10х10х5 см; пипетка капельная, 0.5 мл –1 шт.; ножницы, 11 см, - 1 шт.; нож лабораторный; штатив на 3 пробирки Ø 16 мм; пробирка лабораторная пластиковая, нетермостойкая, 15хD1,6 см – 3 шт. Руководство для учителя формата А5</t>
    </r>
  </si>
  <si>
    <r>
      <rPr>
        <sz val="10"/>
        <color rgb="FF000000"/>
        <rFont val="Times New Roman"/>
      </rPr>
      <t xml:space="preserve">521-202-0503 - Набор
</t>
    </r>
    <r>
      <rPr>
        <sz val="10"/>
        <color rgb="FF000000"/>
        <rFont val="Times New Roman"/>
      </rPr>
      <t>демонстрационный для интегрированных научных экспериментов по всем темам начальной школы</t>
    </r>
  </si>
  <si>
    <t>Набор
демонстрационный для интегрированных научных экспериментов по всем темам начальной школы</t>
  </si>
  <si>
    <r>
      <rPr>
        <sz val="10"/>
        <color rgb="FF000000"/>
        <rFont val="Times New Roman"/>
      </rPr>
      <t xml:space="preserve">Комплектация:  Кейс с крышкой - 1 шт ,  Лоток со вставкой - 1шт, Комплектация набора: Магнитный стержень  - 1 шт. Пробирка, пластиковая, 100 мм - 1 шт. Катушка нитки - 1 шт. Термометр студенческого типа -5 до +100 °C - 1 шт. Термометр студенческого типа, без делений - 1 шт. Градуированная пластиковая колба, 100 мл - 1 шт. Свеча в металлическом контейнере - 1 шт. Подставка для ночных светильников - 1 шт. Резиновая пробка с отверстием диаметром 6 мм - 1 шт. Капельница, пластиковая - 1 шт. Краситель синий (пищевой краски) - 1 шт. Атомайзер - 1 шт. Термометр студенческого типа -25 до +50 °C - 1 шт. Собиратель дождя с делениями, 80x35 мм - 1 шт. Компас карманный - 1 шт. Зажимы для фильтрованных трубок, красные - 2 шт. Фильтрованные трубки с соединительным шлангом - 2 шт. Мелкая сетка (медная проволока) - 2 шт.
</t>
    </r>
    <r>
      <rPr>
        <sz val="10"/>
        <color rgb="FF000000"/>
        <rFont val="Times New Roman"/>
      </rPr>
      <t xml:space="preserve">Крупная сетка - 1 шт. Чайная ложка - 1 шт. Соединительный шланг - 1 шт. Сухая батарейная ячейка - 1 шт. Лампа 3,5 В / 0,2 А - 1 шт. Подставка для лампы с подставкой - 4 шт. Зажимы для проводов, 7 мм - 2 шт. Отвертка - 1 шт. Выключатель ножевой, однополюсный, однократной коммутации - 1 шт. Медная проволока с изоляцией - 1 шт. Медная проволока, лакированная, диаметр 0,25 мм - 1 шт. Нагревательная проволока, изолированная, диаметр 0,20 мм - 1 шт. Материалы для проверки проводимости в пластиковых коробках - 1 шт. Наклонное зеркало, 90/90 мм
</t>
    </r>
    <r>
      <rPr>
        <sz val="10"/>
        <color rgb="FF000000"/>
        <rFont val="Times New Roman"/>
      </rPr>
      <t xml:space="preserve">- 1 шт. Крестовидная основа - 1 шт. Полупрозрачный экран, пластик - 1 шт. Белый экран, пластик - 1 шт. Шестеренчатая палка - 1 шт. Мини-темная комната - 1 шт. Зеркало, полированное алюминием - 1 шт. Бар-магниты, без отметок, диаметр 23 мм - 1 шт. Подставки для весов, пластик - 1 шт.
</t>
    </r>
    <r>
      <rPr>
        <sz val="10"/>
        <color rgb="FF000000"/>
        <rFont val="Times New Roman"/>
      </rPr>
      <t xml:space="preserve">Весовая палка, желтая - 1 шт. Планшет для весов, желтый, с луками - 2 шт.
</t>
    </r>
    <r>
      <rPr>
        <sz val="10"/>
        <color rgb="FF000000"/>
        <rFont val="Times New Roman"/>
      </rPr>
      <t xml:space="preserve">Подвес для качелей - 1 шт. Качели - 1 шт. Набор грузов для весов с планшетом - 1 шт. Тройное лупное увеличительное стекло - 1 шт.
</t>
    </r>
    <r>
      <rPr>
        <sz val="10"/>
        <color rgb="FF000000"/>
        <rFont val="Times New Roman"/>
      </rPr>
      <t xml:space="preserve">Разделительная игла, прямая - 1 шт. Пинцеты с тупыми кончиками - 1 шт. Нож - 1 шт. Пробирки, пластиковые, 152 мм - 2 шт. Петри, пластик - 1 шт.
</t>
    </r>
    <r>
      <rPr>
        <sz val="10"/>
        <color rgb="FF000000"/>
        <rFont val="Times New Roman"/>
      </rPr>
      <t xml:space="preserve">Треугольные мосты - 1 шт. Труба для прослушивания - 2 шт. Набор звуковых пластин - 1 шт. Палочка для барабана - 1 шт. Катушки ниток с костяной частью - 1 шт. Динамометр двойного диапазона, Н и г - 1 шт. Набор мелких предметов - 1 шт. Плавающие платформы для компаса - 1 шт. Плавающая платформа - 1 шт. Вакуумная колба - 1 шт. Подвижной блок - 1 шт. Диск на воздушной подушке - 1 шт. Воздушная подушка - 1 шт.
</t>
    </r>
    <r>
      <rPr>
        <sz val="10"/>
        <color rgb="FF000000"/>
        <rFont val="Times New Roman"/>
      </rPr>
      <t xml:space="preserve">Воздушный диск - 1 шт. Сухие батарейные ячейки, набор из 4 шт.   </t>
    </r>
    <r>
      <rPr>
        <b/>
        <vertAlign val="superscript"/>
        <sz val="9"/>
        <color rgb="FF000000"/>
        <rFont val="Times New Roman"/>
      </rPr>
      <t>385</t>
    </r>
  </si>
  <si>
    <r>
      <rPr>
        <sz val="10"/>
        <color rgb="FF000000"/>
        <rFont val="Times New Roman"/>
      </rPr>
      <t xml:space="preserve">521-202-0504-0001 - Набор для
</t>
    </r>
    <r>
      <rPr>
        <sz val="10"/>
        <color rgb="FF000000"/>
        <rFont val="Times New Roman"/>
      </rPr>
      <t>юных биологов типа Experia PHE-017</t>
    </r>
  </si>
  <si>
    <t>Набор для
юных биологов типа Experia PHE-017</t>
  </si>
  <si>
    <r>
      <rPr>
        <sz val="10"/>
        <color rgb="FF000000"/>
        <rFont val="Times New Roman"/>
      </rPr>
      <t xml:space="preserve">Комплектация: Кейс с крышкой - 1 шт; Лоток со вставкой - 1шт;
</t>
    </r>
    <r>
      <rPr>
        <sz val="10"/>
        <color rgb="FF000000"/>
        <rFont val="Times New Roman"/>
      </rPr>
      <t xml:space="preserve">Пробирка лабораторная пластиковая (нетермостойкая) –  30 шт.; Мини-пресс для сушки растений –  5 шт.;
</t>
    </r>
    <r>
      <rPr>
        <sz val="10"/>
        <color rgb="FF000000"/>
        <rFont val="Times New Roman"/>
      </rPr>
      <t xml:space="preserve">Шпулька с веревкой для стягивания пресса — 1 шт.; Покровное стеклышко –  300 шт.;
</t>
    </r>
    <r>
      <rPr>
        <sz val="10"/>
        <color rgb="FF000000"/>
        <rFont val="Times New Roman"/>
      </rPr>
      <t xml:space="preserve">Ручной микротом (прибор для изготовления тонких срезов для микроскопических исследований) –  15 шт.;
</t>
    </r>
    <r>
      <rPr>
        <sz val="10"/>
        <color rgb="FF000000"/>
        <rFont val="Times New Roman"/>
      </rPr>
      <t xml:space="preserve">Чашки Петри, пластиковые 80 мм. –  8 шт.; Флакон с растительным маслом – 1 шт.; Микропинцет из нержавеющей стали –  15 шт.; Препаровальная игла, длина  130 мм – 15 шт.;
</t>
    </r>
    <r>
      <rPr>
        <sz val="10"/>
        <color rgb="FF000000"/>
        <rFont val="Times New Roman"/>
      </rPr>
      <t xml:space="preserve">Стекло увеличительное трехлинзовое; увеличение 3х, 6х, 10х –  25 шт.; Лабораторный нож из нержавеющей стали –  15 шт.;
</t>
    </r>
    <r>
      <rPr>
        <sz val="10"/>
        <color rgb="FF000000"/>
        <rFont val="Times New Roman"/>
      </rPr>
      <t xml:space="preserve">Пипетка – 15 шт.;
</t>
    </r>
    <r>
      <rPr>
        <sz val="10"/>
        <color rgb="FF000000"/>
        <rFont val="Times New Roman"/>
      </rPr>
      <t xml:space="preserve">Ножницы из нержавеющей стали, длина  125 мм –  10 шт.; Штатив на 4 пробирки –  15 шт.;
</t>
    </r>
    <r>
      <rPr>
        <sz val="10"/>
        <color rgb="FF000000"/>
        <rFont val="Times New Roman"/>
      </rPr>
      <t xml:space="preserve">Ершик для чистки лабораторных пробирок – 1 шт.; Предметное стекло –  100 шт.; Высокочувствительные весы – 1 шт.;
</t>
    </r>
    <r>
      <rPr>
        <sz val="10"/>
        <color rgb="FF000000"/>
        <rFont val="Times New Roman"/>
      </rPr>
      <t xml:space="preserve">Сборник для семян и мелких насекомых –  5 шт.
</t>
    </r>
    <r>
      <rPr>
        <sz val="10"/>
        <color rgb="FF000000"/>
        <rFont val="Times New Roman"/>
      </rPr>
      <t>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которомсделаны фигурные вырезы для укладки оборудования и приспособлений.</t>
    </r>
  </si>
  <si>
    <r>
      <rPr>
        <sz val="10"/>
        <color rgb="FF000000"/>
        <rFont val="Times New Roman"/>
      </rPr>
      <t xml:space="preserve">521-202-0601-0001 - Набор для
</t>
    </r>
    <r>
      <rPr>
        <sz val="10"/>
        <color rgb="FF000000"/>
        <rFont val="Times New Roman"/>
      </rPr>
      <t>юных физиков типа  Experia PHE-016</t>
    </r>
  </si>
  <si>
    <t>Набор для
юных физиков типа  Experia PHE-016</t>
  </si>
  <si>
    <r>
      <rPr>
        <sz val="10"/>
        <color rgb="FF000000"/>
        <rFont val="Times New Roman"/>
      </rPr>
      <t xml:space="preserve">Набор для юных физиков Набор "Юный физик" - игра-набор для детей от 7 до 14 лет. Набор рассчитан на 15 рабочик групп.
</t>
    </r>
    <r>
      <rPr>
        <sz val="10"/>
        <color rgb="FF000000"/>
        <rFont val="Times New Roman"/>
      </rPr>
      <t xml:space="preserve">Комплектация: Комплектация: Кейс с крышкой - 4 шт ,
</t>
    </r>
    <r>
      <rPr>
        <sz val="10"/>
        <color rgb="FF000000"/>
        <rFont val="Times New Roman"/>
      </rPr>
      <t xml:space="preserve">Лоток со вставкой - 4шт, Шарики из пенопласта (50 гр) Гибкая соломинка (15 шт) Воронка (15 шт)
</t>
    </r>
    <r>
      <rPr>
        <sz val="10"/>
        <color rgb="FF000000"/>
        <rFont val="Times New Roman"/>
      </rPr>
      <t xml:space="preserve">Форма НЛО (15 штука) Пластиковый лист (15 шт) Картонная трубка (15 штук) Пенопластовые шарики (15 штук) Пластиковая трубка (15 штук) Неон (15 штук)
</t>
    </r>
    <r>
      <rPr>
        <sz val="10"/>
        <color rgb="FF000000"/>
        <rFont val="Times New Roman"/>
      </rPr>
      <t xml:space="preserve">Большие скрепки (15 штук) Пластиковый стаканчик (15 штук) Круглая бумажная карта (15 штук) Алюминиевая фольга (15 штук) Магниты (15 штук)
</t>
    </r>
    <r>
      <rPr>
        <sz val="10"/>
        <color rgb="FF000000"/>
        <rFont val="Times New Roman"/>
      </rPr>
      <t xml:space="preserve">Деревянный держатель магнита (15 штук) Тонкие нити (15 штук)
</t>
    </r>
    <r>
      <rPr>
        <sz val="10"/>
        <color rgb="FF000000"/>
        <rFont val="Times New Roman"/>
      </rPr>
      <t xml:space="preserve">Деревянная палка (15 штук) Маленькие скрепки (15 штук)
</t>
    </r>
    <r>
      <rPr>
        <sz val="10"/>
        <color rgb="FF000000"/>
        <rFont val="Times New Roman"/>
      </rPr>
      <t xml:space="preserve">Карточка поезда на магнитной подвеске (15 штук)
</t>
    </r>
    <r>
      <rPr>
        <sz val="10"/>
        <color rgb="FF000000"/>
        <rFont val="Times New Roman"/>
      </rPr>
      <t xml:space="preserve">Карточка железнодорожной магистрали на магнитной подвеске (15 штук) Деревянная подставка (15 штук)
</t>
    </r>
    <r>
      <rPr>
        <sz val="10"/>
        <color rgb="FF000000"/>
        <rFont val="Times New Roman"/>
      </rPr>
      <t xml:space="preserve">Ось (15 штук) Резиновое кольцо (15 штук) Стрелка компаса (15 штук)
</t>
    </r>
    <r>
      <rPr>
        <sz val="10"/>
        <color rgb="FF000000"/>
        <rFont val="Times New Roman"/>
      </rPr>
      <t xml:space="preserve">Карточка с полосками (15 штук) Карточка со скатертью (15 штук) Железное кольцо (15 штук)
</t>
    </r>
    <r>
      <rPr>
        <sz val="10"/>
        <color rgb="FF000000"/>
        <rFont val="Times New Roman"/>
      </rPr>
      <t xml:space="preserve">Красно-синяя гоночная карточка (15 штук) Карточка с гоночной трассой (15 штук) Железная цепь (15 штук)
</t>
    </r>
    <r>
      <rPr>
        <sz val="10"/>
        <color rgb="FF000000"/>
        <rFont val="Times New Roman"/>
      </rPr>
      <t xml:space="preserve">Руководство (15 штук)                                        </t>
    </r>
    <r>
      <rPr>
        <b/>
        <vertAlign val="superscript"/>
        <sz val="9"/>
        <color rgb="FF000000"/>
        <rFont val="Times New Roman"/>
      </rPr>
      <t>387</t>
    </r>
  </si>
  <si>
    <r>
      <rPr>
        <sz val="10"/>
        <color rgb="FF000000"/>
        <rFont val="Times New Roman"/>
      </rPr>
      <t xml:space="preserve">521-202-0602-0001 -
</t>
    </r>
    <r>
      <rPr>
        <sz val="10"/>
        <color rgb="FF000000"/>
        <rFont val="Times New Roman"/>
      </rPr>
      <t>Мини-лаборатория для начальной школы "Звук" типа Experia PHE-020</t>
    </r>
  </si>
  <si>
    <t>521-202-0602-0001 -
Мини-лаборатория для начальной школы "Звук" типа Experia PHE-020</t>
  </si>
  <si>
    <r>
      <rPr>
        <sz val="10"/>
        <color rgb="FF000000"/>
        <rFont val="Times New Roman"/>
      </rPr>
      <t xml:space="preserve">Комплектация: Кейс с крышкой - 1 шт , Лоток со вставкой - 1шт,
</t>
    </r>
    <r>
      <rPr>
        <sz val="10"/>
        <color rgb="FF000000"/>
        <rFont val="Times New Roman"/>
      </rPr>
      <t xml:space="preserve">Пластиковый стетоскоп (1 штука) Соломинка (1 штука)
</t>
    </r>
    <r>
      <rPr>
        <sz val="10"/>
        <color rgb="FF000000"/>
        <rFont val="Times New Roman"/>
      </rPr>
      <t xml:space="preserve">Тонкие эластичные резинки (1 штука) Воздушный шар (1 штука)
</t>
    </r>
    <r>
      <rPr>
        <sz val="10"/>
        <color rgb="FF000000"/>
        <rFont val="Times New Roman"/>
      </rPr>
      <t xml:space="preserve">Широкая эластичная резинка (1 штука) Свирели (1 комплект)
</t>
    </r>
    <r>
      <rPr>
        <sz val="10"/>
        <color rgb="FF000000"/>
        <rFont val="Times New Roman"/>
      </rPr>
      <t>Палочки для мороженого (1 штука) Инструкция (1 штука)</t>
    </r>
  </si>
  <si>
    <r>
      <rPr>
        <sz val="10"/>
        <color rgb="FF000000"/>
        <rFont val="Times New Roman"/>
      </rPr>
      <t xml:space="preserve">521-202-0602-0002 -
</t>
    </r>
    <r>
      <rPr>
        <sz val="10"/>
        <color rgb="FF000000"/>
        <rFont val="Times New Roman"/>
      </rPr>
      <t>Мини-лаборатория для начальной школы "Звук" типа Cornelsen 16104/44207 Experimenta</t>
    </r>
  </si>
  <si>
    <t>521-202-0602-0002 -
Мини-лаборатория для начальной школы "Звук" типа Cornelsen 16104/44207 Experimenta</t>
  </si>
  <si>
    <r>
      <rPr>
        <sz val="10"/>
        <color rgb="FF000000"/>
        <rFont val="Times New Roman"/>
      </rPr>
      <t xml:space="preserve">Состоит:
</t>
    </r>
    <r>
      <rPr>
        <sz val="10"/>
        <color rgb="FF000000"/>
        <rFont val="Times New Roman"/>
      </rPr>
      <t xml:space="preserve">молоточек для извлечения звука; камертон 95 мм; пробирка 152 мм -3 шт.; чаша с носиком; резонансная коробка; колки- 2 шт.; трехгранный порожек; пластины для металлофона –5 шт.; стальная пружина плоская с колпачком, 320х12 мм; стальная спица 210 мм; резиновые кольца.
</t>
    </r>
    <r>
      <rPr>
        <sz val="10"/>
        <color rgb="FF000000"/>
        <rFont val="Times New Roman"/>
      </rPr>
      <t>Руководство для учителя формата А5</t>
    </r>
  </si>
  <si>
    <r>
      <rPr>
        <sz val="10"/>
        <color rgb="FF000000"/>
        <rFont val="Times New Roman"/>
      </rPr>
      <t xml:space="preserve">521-202-0602-0003 - Набор для
</t>
    </r>
    <r>
      <rPr>
        <sz val="10"/>
        <color rgb="FF000000"/>
        <rFont val="Times New Roman"/>
      </rPr>
      <t>изучения звуковых явлений в начальной школе (на 13 учебных групп ) типа Experia PHE-027</t>
    </r>
  </si>
  <si>
    <t>Набор для
изучения звуковых явлений в начальной школе (на 13 учебных групп ) типа Experia PHE-027</t>
  </si>
  <si>
    <r>
      <rPr>
        <sz val="10"/>
        <color rgb="FF000000"/>
        <rFont val="Times New Roman"/>
      </rPr>
      <t xml:space="preserve">Комплектация:  кейс с крышкой - 1 шт , лоток со вставкой - 1шт, камертон 256 Гц – 1 шт.; камертон 440 Гц – 1 шт.; резонаторный ящик –  2 шт.; шарманка – 1 шт.; набор пластинок для металлофона ( 5 тонов) – 1 шт.; набор резинок ( 12 шт.) – 1 шт.; набор воздушных шариков – 1 шт.; нить капроновая – 1 шт.; сосуд пластмассовый – 1 шт.; подставка для натяжения струн –  2 шт.; резонаторная пластинка – 1 шт.; пробирка размером  16х100 мм. –  3 шт.; пробирка размером  16х150 мм. –  3 шт.; барабан диаметром 19 см. – 1 шт.; молоточек – 1 шт.;прибор для демонстрации действия барабанной перепонки – 1 шт.; тарелка звуковая –  2 шт.; гонг – 1 шт.
</t>
    </r>
    <r>
      <rPr>
        <sz val="10"/>
        <color rgb="FF000000"/>
        <rFont val="Times New Roman"/>
      </rPr>
      <t xml:space="preserve">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 обеспечен руководством для ученика, содержащим подробноеописание
</t>
    </r>
    <r>
      <rPr>
        <sz val="10"/>
        <color rgb="FF000000"/>
        <rFont val="Times New Roman"/>
      </rPr>
      <t>экспериментов.</t>
    </r>
  </si>
  <si>
    <r>
      <rPr>
        <sz val="10"/>
        <color rgb="FF000000"/>
        <rFont val="Times New Roman"/>
      </rPr>
      <t xml:space="preserve">521-202-0602-0004 - Набор для
</t>
    </r>
    <r>
      <rPr>
        <sz val="10"/>
        <color rgb="FF000000"/>
        <rFont val="Times New Roman"/>
      </rPr>
      <t>изучения звуковых явлений в начальной школе (на 13 учебных групп) типа Cornelsen Experimenta 31720</t>
    </r>
  </si>
  <si>
    <t>Набор для
изучения звуковых явлений в начальной школе (на 13 учебных групп) типа Cornelsen Experimenta 31720</t>
  </si>
  <si>
    <r>
      <rPr>
        <sz val="10"/>
        <color rgb="FF000000"/>
        <rFont val="Times New Roman"/>
      </rPr>
      <t xml:space="preserve">В составе: Пластиковый чемодан для хранения и переноски оборудования; спицы стальные-15шт.; гибкие стальные полоски с вибрирующими головками-15шт.; набор запасных частей в пластмассовой коробке; звукопоглощающие прокладки-2шт.; акустическая головка стетоскопа-2шт.; камертоны различной частоты (105 мм)-15 шт.; катушка ниток; струны с наконечниками-ограничителями на катушках-8шт.; колки для натягивания струн -36шт.; комплект узких резинок; комплект широких резинок;
</t>
    </r>
    <r>
      <rPr>
        <sz val="10"/>
        <color rgb="FF000000"/>
        <rFont val="Times New Roman"/>
      </rPr>
      <t xml:space="preserve">CD-4шт.; молоточки пластиковые-15шт.; музыкальная шкатулка с заводной ручкой-2шт.; набор пластинок для металлофона-15шт.; наушники-125шт.; парные струны для монохорда (в упаковках)-3шт.; пластиковый стакан с отверстием в дне-4 шт.; пластмассовые пробирки (100 мм)-15шт.; пластмассовые пробирки (152 мм)-30шт.; резонаторы с пластмассовыми крышками, донышками и сдвижной мембраной-15шт.; слуховые трубки (630 мм)-30шт.; пластмассовые стаканчики для воды-15шт.; треугольные порожки для струн-15шт.; флейта Пана (многоствольная свирель)
</t>
    </r>
    <r>
      <rPr>
        <sz val="10"/>
        <color rgb="FF000000"/>
        <rFont val="Times New Roman"/>
      </rPr>
      <t>пластиковая-1шт. Руководство объемом 54 страницы формата А4.</t>
    </r>
  </si>
  <si>
    <r>
      <rPr>
        <sz val="10"/>
        <color rgb="FF000000"/>
        <rFont val="Times New Roman"/>
      </rPr>
      <t xml:space="preserve">521-202-0603-0001 -
</t>
    </r>
    <r>
      <rPr>
        <sz val="10"/>
        <color rgb="FF000000"/>
        <rFont val="Times New Roman"/>
      </rPr>
      <t>Мини-лаборатория для начальной школы "Магнетизм"  Experia  типа PHE-021</t>
    </r>
  </si>
  <si>
    <t>521-202-0603-0001 -
Мини-лаборатория для начальной школы "Магнетизм"  Experia  типа PHE-021</t>
  </si>
  <si>
    <r>
      <rPr>
        <sz val="10"/>
        <color rgb="FF000000"/>
        <rFont val="Times New Roman"/>
      </rPr>
      <t xml:space="preserve">Комплектация:
</t>
    </r>
    <r>
      <rPr>
        <sz val="10"/>
        <color rgb="FF000000"/>
        <rFont val="Times New Roman"/>
      </rPr>
      <t xml:space="preserve">1 шт. Кейс с крышкой 1 шт. Лоток со вставкой
</t>
    </r>
    <r>
      <rPr>
        <sz val="10"/>
        <color rgb="FF000000"/>
        <rFont val="Times New Roman"/>
      </rPr>
      <t xml:space="preserve">1 шт. Пробирка, 100 мм, пластиковая
</t>
    </r>
    <r>
      <rPr>
        <sz val="10"/>
        <color rgb="FF000000"/>
        <rFont val="Times New Roman"/>
      </rPr>
      <t xml:space="preserve">1 шт. Полупрозрачный экран, пластиковый 1 шт. Опора для иглы
</t>
    </r>
    <r>
      <rPr>
        <sz val="10"/>
        <color rgb="FF000000"/>
        <rFont val="Times New Roman"/>
      </rPr>
      <t xml:space="preserve">1 шт. Тренировочная палка 1 шт. Опорная стойка
</t>
    </r>
    <r>
      <rPr>
        <sz val="10"/>
        <color rgb="FF000000"/>
        <rFont val="Times New Roman"/>
      </rPr>
      <t xml:space="preserve">1 шт. Водяная чаша, пластиковая, диаметр 80 мм 1 шт. Маятник с пушистым мячом
</t>
    </r>
    <r>
      <rPr>
        <sz val="10"/>
        <color rgb="FF000000"/>
        <rFont val="Times New Roman"/>
      </rPr>
      <t xml:space="preserve">1 шт. Набор маленьких предметов 1 шт. Компасная карта
</t>
    </r>
    <r>
      <rPr>
        <sz val="10"/>
        <color rgb="FF000000"/>
        <rFont val="Times New Roman"/>
      </rPr>
      <t xml:space="preserve">1 шт. Грузы с двойным крючком, 50 г, 10 шт.
</t>
    </r>
    <r>
      <rPr>
        <sz val="10"/>
        <color rgb="FF000000"/>
        <rFont val="Times New Roman"/>
      </rPr>
      <t xml:space="preserve">1 шт. Плавучая платформа
</t>
    </r>
    <r>
      <rPr>
        <sz val="10"/>
        <color rgb="FF000000"/>
        <rFont val="Times New Roman"/>
      </rPr>
      <t xml:space="preserve">1 шт. Шарики с усиленным поверхностным натяжением 1 шт. Магнитная стрелка 75 мм
</t>
    </r>
    <r>
      <rPr>
        <sz val="10"/>
        <color rgb="FF000000"/>
        <rFont val="Times New Roman"/>
      </rPr>
      <t xml:space="preserve">1 шт. Колесико с железным порошком 1 шт. Тренировочная резина, шерсть
</t>
    </r>
    <r>
      <rPr>
        <sz val="10"/>
        <color rgb="FF000000"/>
        <rFont val="Times New Roman"/>
      </rPr>
      <t xml:space="preserve">1 шт. Зажимное гнездо, 10 мм
</t>
    </r>
    <r>
      <rPr>
        <sz val="10"/>
        <color rgb="FF000000"/>
        <rFont val="Times New Roman"/>
      </rPr>
      <t xml:space="preserve">1 шт. Металлическая ось, 110 мм
</t>
    </r>
    <r>
      <rPr>
        <sz val="10"/>
        <color rgb="FF000000"/>
        <rFont val="Times New Roman"/>
      </rPr>
      <t>2 шт. Трубчатые зажимы, 5 мм</t>
    </r>
  </si>
  <si>
    <r>
      <rPr>
        <sz val="10"/>
        <color rgb="FF000000"/>
        <rFont val="Times New Roman"/>
      </rPr>
      <t xml:space="preserve">521-202-0603-0002 -
</t>
    </r>
    <r>
      <rPr>
        <sz val="10"/>
        <color rgb="FF000000"/>
        <rFont val="Times New Roman"/>
      </rPr>
      <t>Мини-лаборатория для начальной школы "Магнетизм" типа Cornelsen Experimenta 16115</t>
    </r>
  </si>
  <si>
    <t>521-202-0603-0002 -
Мини-лаборатория для начальной школы "Магнетизм" типа Cornelsen Experimenta 16115</t>
  </si>
  <si>
    <r>
      <rPr>
        <sz val="10"/>
        <color rgb="FF000000"/>
        <rFont val="Times New Roman"/>
      </rPr>
      <t xml:space="preserve">Состоит: магнит 2 полюсный 2х1х0,7 см- 2 шт.; магнитная стрелка 7 см с опорой и роза ветров; железные опилки 200г в банке; лампа газоразрядная; оргстекло 9х9 см; маятник электростатический; груз с двумя крючками 50 г
</t>
    </r>
    <r>
      <rPr>
        <sz val="10"/>
        <color rgb="FF000000"/>
        <rFont val="Times New Roman"/>
      </rPr>
      <t xml:space="preserve">–2 шт.; диск для воздушной подушки, диаметр 11см; тележка пластиковая
</t>
    </r>
    <r>
      <rPr>
        <sz val="10"/>
        <color rgb="FF000000"/>
        <rFont val="Times New Roman"/>
      </rPr>
      <t>–2 шт.; лабораторная посуда и аксессуары. Руководство для учителя формата А5</t>
    </r>
  </si>
  <si>
    <r>
      <rPr>
        <sz val="10"/>
        <color theme="1"/>
        <rFont val="Times New Roman"/>
      </rPr>
      <t>Комплектация:</t>
    </r>
  </si>
  <si>
    <r>
      <rPr>
        <sz val="10"/>
        <color theme="1"/>
        <rFont val="Times New Roman"/>
      </rPr>
      <t>Кейс с крышкой 1 шт ,</t>
    </r>
  </si>
  <si>
    <r>
      <rPr>
        <sz val="10"/>
        <color theme="1"/>
        <rFont val="Times New Roman"/>
      </rPr>
      <t>Лоток со вставкой  1шт,</t>
    </r>
  </si>
  <si>
    <r>
      <rPr>
        <sz val="10"/>
        <color theme="1"/>
        <rFont val="Times New Roman"/>
      </rPr>
      <t>Противовес * 1 шт.</t>
    </r>
  </si>
  <si>
    <r>
      <rPr>
        <sz val="10"/>
        <color theme="1"/>
        <rFont val="Times New Roman"/>
      </rPr>
      <t>Набор крючков * 2 шт.</t>
    </r>
  </si>
  <si>
    <r>
      <rPr>
        <sz val="10"/>
        <color theme="1"/>
        <rFont val="Times New Roman"/>
      </rPr>
      <t>Гравитационная машинка * 1 шт.</t>
    </r>
  </si>
  <si>
    <r>
      <rPr>
        <sz val="10"/>
        <color theme="1"/>
        <rFont val="Times New Roman"/>
      </rPr>
      <t>U-образный манометр * 1 шт.</t>
    </r>
  </si>
  <si>
    <r>
      <rPr>
        <sz val="10"/>
        <color theme="1"/>
        <rFont val="Times New Roman"/>
      </rPr>
      <t>Кронштейн * 1 шт.</t>
    </r>
  </si>
  <si>
    <r>
      <rPr>
        <sz val="10"/>
        <color theme="1"/>
        <rFont val="Times New Roman"/>
      </rPr>
      <t>Набор блоков * 2 шт.</t>
    </r>
  </si>
  <si>
    <r>
      <rPr>
        <sz val="10"/>
        <color theme="1"/>
        <rFont val="Times New Roman"/>
      </rPr>
      <t>Губка * 1 шт.</t>
    </r>
  </si>
  <si>
    <r>
      <rPr>
        <sz val="10"/>
        <color theme="1"/>
        <rFont val="Times New Roman"/>
      </rPr>
      <t>Цилиндр * 1 шт.</t>
    </r>
  </si>
  <si>
    <r>
      <rPr>
        <sz val="10"/>
        <color theme="1"/>
        <rFont val="Times New Roman"/>
      </rPr>
      <t>Цилиндрическая емкость * 1 шт.</t>
    </r>
  </si>
  <si>
    <r>
      <rPr>
        <sz val="10"/>
        <color theme="1"/>
        <rFont val="Times New Roman"/>
      </rPr>
      <t>521-202-0604-0001 -</t>
    </r>
  </si>
  <si>
    <t>521-202-0604-0001 -</t>
  </si>
  <si>
    <r>
      <rPr>
        <sz val="10"/>
        <color theme="1"/>
        <rFont val="Times New Roman"/>
      </rPr>
      <t>Барабан * 1 шт.</t>
    </r>
  </si>
  <si>
    <r>
      <rPr>
        <sz val="10"/>
        <color theme="1"/>
        <rFont val="Times New Roman"/>
      </rPr>
      <t>Мини-лаборатория для начальной</t>
    </r>
  </si>
  <si>
    <t>Мини-лаборатория для начальной</t>
  </si>
  <si>
    <r>
      <rPr>
        <sz val="10"/>
        <color theme="1"/>
        <rFont val="Times New Roman"/>
      </rPr>
      <t>Тавотница * 1 шт.</t>
    </r>
  </si>
  <si>
    <r>
      <rPr>
        <sz val="10"/>
        <color theme="1"/>
        <rFont val="Times New Roman"/>
      </rPr>
      <t>школы "Механика" типа Experia</t>
    </r>
  </si>
  <si>
    <t>школы "Механика" типа Experia</t>
  </si>
  <si>
    <r>
      <rPr>
        <sz val="10"/>
        <color theme="1"/>
        <rFont val="Times New Roman"/>
      </rPr>
      <t>Светильник * 1 шт.</t>
    </r>
  </si>
  <si>
    <r>
      <rPr>
        <sz val="10"/>
        <color theme="1"/>
        <rFont val="Times New Roman"/>
      </rPr>
      <t>PHE-022</t>
    </r>
  </si>
  <si>
    <t>PHE-022</t>
  </si>
  <si>
    <r>
      <rPr>
        <sz val="10"/>
        <color theme="1"/>
        <rFont val="Times New Roman"/>
      </rPr>
      <t>Линейка * 2 шт.</t>
    </r>
  </si>
  <si>
    <r>
      <rPr>
        <sz val="10"/>
        <color theme="1"/>
        <rFont val="Times New Roman"/>
      </rPr>
      <t>Наклонная рамка * 1 шт.</t>
    </r>
  </si>
  <si>
    <r>
      <rPr>
        <sz val="10"/>
        <color theme="1"/>
        <rFont val="Times New Roman"/>
      </rPr>
      <t>Стальной шар * 1 шт.</t>
    </r>
  </si>
  <si>
    <r>
      <rPr>
        <sz val="10"/>
        <color theme="1"/>
        <rFont val="Times New Roman"/>
      </rPr>
      <t>Деревянный брусок * 1 шт.</t>
    </r>
  </si>
  <si>
    <r>
      <rPr>
        <sz val="10"/>
        <color theme="1"/>
        <rFont val="Times New Roman"/>
      </rPr>
      <t>Воздушный шарик * 2 шт.</t>
    </r>
  </si>
  <si>
    <r>
      <rPr>
        <sz val="10"/>
        <color theme="1"/>
        <rFont val="Times New Roman"/>
      </rPr>
      <t>Резинка * 4 шт.</t>
    </r>
  </si>
  <si>
    <r>
      <rPr>
        <sz val="10"/>
        <color theme="1"/>
        <rFont val="Times New Roman"/>
      </rPr>
      <t>Силиконовый колпачок * 4 шт.</t>
    </r>
  </si>
  <si>
    <r>
      <rPr>
        <sz val="10"/>
        <color theme="1"/>
        <rFont val="Times New Roman"/>
      </rPr>
      <t>Стопорный зажим * 1 шт.</t>
    </r>
  </si>
  <si>
    <r>
      <rPr>
        <sz val="10"/>
        <color theme="1"/>
        <rFont val="Times New Roman"/>
      </rPr>
      <t>Кнопка * 2 шт.</t>
    </r>
  </si>
  <si>
    <r>
      <rPr>
        <sz val="10"/>
        <color theme="1"/>
        <rFont val="Times New Roman"/>
      </rPr>
      <t>Полотенце * 1 шт.</t>
    </r>
  </si>
  <si>
    <r>
      <rPr>
        <sz val="10"/>
        <color theme="1"/>
        <rFont val="Times New Roman"/>
      </rPr>
      <t>Нейлоновый шнур * 1 шт.</t>
    </r>
  </si>
  <si>
    <r>
      <rPr>
        <sz val="10"/>
        <color theme="1"/>
        <rFont val="Times New Roman"/>
      </rPr>
      <t>Безмен * 1 шт.</t>
    </r>
  </si>
  <si>
    <r>
      <rPr>
        <sz val="10"/>
        <color theme="1"/>
        <rFont val="Times New Roman"/>
      </rPr>
      <t>"</t>
    </r>
  </si>
  <si>
    <r>
      <rPr>
        <sz val="10"/>
        <color rgb="FF000000"/>
        <rFont val="Times New Roman"/>
      </rPr>
      <t xml:space="preserve">521-202-0604-0002 -
</t>
    </r>
    <r>
      <rPr>
        <sz val="10"/>
        <color rgb="FF000000"/>
        <rFont val="Times New Roman"/>
      </rPr>
      <t>Мини-лаборатория для начальной школы "Механика" типа Cornelsen Experimenta 16100K</t>
    </r>
  </si>
  <si>
    <t>521-202-0604-0002 -
Мини-лаборатория для начальной школы "Механика" типа Cornelsen Experimenta 16100K</t>
  </si>
  <si>
    <r>
      <rPr>
        <sz val="10"/>
        <color rgb="FF000000"/>
        <rFont val="Times New Roman"/>
      </rPr>
      <t xml:space="preserve">Состоит: рельс профильный, длина 50 см, на боковой поверхности
</t>
    </r>
    <r>
      <rPr>
        <sz val="10"/>
        <color rgb="FF000000"/>
        <rFont val="Times New Roman"/>
      </rPr>
      <t xml:space="preserve">3-цветная шкала (сектор по 5 см, минимальная цена деления 1 см); опора уголковая; чаша весов с подвесом, диаметр 60 мм, высота подвеса 140 мм, пластик – 2 шт.; весы пружинные (динамометр), диапазон взвешивания: от 0 до 100 г, корпус - пластик, трубчатой формы, размеры 200х20мм с учетом выступающих частей; с ручкой и крючком для подвеса груза; рычаг весов – планка 255х16х3 мм, с отверстиями и втулкой посередине, пластик желтого цвета; пружина 10 см, 12 Н, с двумя подвесными петельками; блок с крюком, красный пластик, D58 мм, крюк – металл, 68х10мм; тележка на колесах, пластик, 99х63мм; груз с двойными крючками, 50 г и 20г, металл – 4 шт.; шнур на катушке, длина 20м; вилка на кронштейне 35мм.
</t>
    </r>
    <r>
      <rPr>
        <sz val="10"/>
        <color rgb="FF000000"/>
        <rFont val="Times New Roman"/>
      </rPr>
      <t>Руководство для учителя формата А4</t>
    </r>
  </si>
  <si>
    <r>
      <rPr>
        <sz val="10"/>
        <color rgb="FF000000"/>
        <rFont val="Times New Roman"/>
      </rPr>
      <t xml:space="preserve">521-202-0604-0003 - Набор
</t>
    </r>
    <r>
      <rPr>
        <sz val="10"/>
        <color rgb="FF000000"/>
        <rFont val="Times New Roman"/>
      </rPr>
      <t>демонстрационный для изучения механики в начальной школе типа Experia PHE-024</t>
    </r>
  </si>
  <si>
    <t>Набор
демонстрационный для изучения механики в начальной школе типа Experia PHE-024</t>
  </si>
  <si>
    <r>
      <rPr>
        <sz val="10"/>
        <color rgb="FF000000"/>
        <rFont val="Times New Roman"/>
      </rPr>
      <t xml:space="preserve">Комплектация: кейс с крышкой - 1 шт , лоток со вставкой - 1шт,
</t>
    </r>
    <r>
      <rPr>
        <sz val="10"/>
        <color rgb="FF000000"/>
        <rFont val="Times New Roman"/>
      </rPr>
      <t xml:space="preserve">шкивы – 3 штуки;
</t>
    </r>
    <r>
      <rPr>
        <sz val="10"/>
        <color rgb="FF000000"/>
        <rFont val="Times New Roman"/>
      </rPr>
      <t xml:space="preserve">рычаг-линейка со шкалой – 1 штука; шкала с градуировкой – 1 штука; указатель-стрелка для рычага – 1 штука; опора скользящая для рычага – 1 штука; чаша весов с креплением – 2 штуки; тележка динамическая – 1 штука;
</t>
    </r>
    <r>
      <rPr>
        <sz val="10"/>
        <color rgb="FF000000"/>
        <rFont val="Times New Roman"/>
      </rPr>
      <t xml:space="preserve">набор грузов от 1 грамма до 50 грамм – 1 набор; груз с прорезью 10 грамм – 4 штуки;
</t>
    </r>
    <r>
      <rPr>
        <sz val="10"/>
        <color rgb="FF000000"/>
        <rFont val="Times New Roman"/>
      </rPr>
      <t xml:space="preserve">груз цилиндрический с прорезью 50 грамм – 4 штуки; держатель с крючком для грузов – 2 штуки;
</t>
    </r>
    <r>
      <rPr>
        <sz val="10"/>
        <color rgb="FF000000"/>
        <rFont val="Times New Roman"/>
      </rPr>
      <t xml:space="preserve">блок прямоугольный из железа с крючком 50х20х20мм – 1 штука;
</t>
    </r>
    <r>
      <rPr>
        <sz val="10"/>
        <color rgb="FF000000"/>
        <rFont val="Times New Roman"/>
      </rPr>
      <t xml:space="preserve">блок прямоугольный из алюминия с крючком 50х20х20мм – 1 штука; блок пустотелый – 1 штука
</t>
    </r>
    <r>
      <rPr>
        <sz val="10"/>
        <color rgb="FF000000"/>
        <rFont val="Times New Roman"/>
      </rPr>
      <t xml:space="preserve">блок железный с крючком малый – 1 штука; динамометр 2Н – 2 штуки; пружина 3 Н/м – 1 штука;
</t>
    </r>
    <r>
      <rPr>
        <sz val="10"/>
        <color rgb="FF000000"/>
        <rFont val="Times New Roman"/>
      </rPr>
      <t xml:space="preserve">пружина плоская 160 х 0,4 мм;
</t>
    </r>
    <r>
      <rPr>
        <sz val="10"/>
        <color rgb="FF000000"/>
        <rFont val="Times New Roman"/>
      </rPr>
      <t xml:space="preserve">пружина 20 Н/м – 1 штука;
</t>
    </r>
    <r>
      <rPr>
        <sz val="10"/>
        <color rgb="FF000000"/>
        <rFont val="Times New Roman"/>
      </rPr>
      <t xml:space="preserve">дробь свинцовая 50 грамм – 1 упаковка; комплект погружных зондов – 1 комплект; трубка акриловая 200мм – 2 штуки; трубка капиллярная – 3 штуки;
</t>
    </r>
    <r>
      <rPr>
        <sz val="10"/>
        <color rgb="FF000000"/>
        <rFont val="Times New Roman"/>
      </rPr>
      <t xml:space="preserve">трубка акриловая – 2 штуки; пробирка 12мм – 1 штука;
</t>
    </r>
    <r>
      <rPr>
        <sz val="10"/>
        <color rgb="FF000000"/>
        <rFont val="Times New Roman"/>
      </rPr>
      <t xml:space="preserve">пробка силиконовая с отверстием – 1 штука; шланг 100 см – 1 штука;
</t>
    </r>
    <r>
      <rPr>
        <sz val="10"/>
        <color rgb="FF000000"/>
        <rFont val="Times New Roman"/>
      </rPr>
      <t xml:space="preserve">шприц пластиковый – 1 штука; цилиндр мерный пластиковый – 1 штука;
</t>
    </r>
    <r>
      <rPr>
        <sz val="10"/>
        <color rgb="FF000000"/>
        <rFont val="Times New Roman"/>
      </rPr>
      <t>"</t>
    </r>
  </si>
  <si>
    <r>
      <rPr>
        <sz val="10"/>
        <color theme="1"/>
        <rFont val="Times New Roman"/>
      </rPr>
      <t>Комплектация:</t>
    </r>
  </si>
  <si>
    <r>
      <rPr>
        <sz val="10"/>
        <color theme="1"/>
        <rFont val="Times New Roman"/>
      </rPr>
      <t>Кейс с крышкой  1 шт</t>
    </r>
  </si>
  <si>
    <r>
      <rPr>
        <sz val="10"/>
        <color theme="1"/>
        <rFont val="Times New Roman"/>
      </rPr>
      <t>Лоток со вставкой  1шт</t>
    </r>
  </si>
  <si>
    <r>
      <rPr>
        <sz val="10"/>
        <color theme="1"/>
        <rFont val="Times New Roman"/>
      </rPr>
      <t>Подставка для светильника*1</t>
    </r>
  </si>
  <si>
    <r>
      <rPr>
        <sz val="10"/>
        <color theme="1"/>
        <rFont val="Times New Roman"/>
      </rPr>
      <t>Источник света*1</t>
    </r>
  </si>
  <si>
    <r>
      <rPr>
        <sz val="10"/>
        <color theme="1"/>
        <rFont val="Times New Roman"/>
      </rPr>
      <t>Трехпроводной источник света*1</t>
    </r>
  </si>
  <si>
    <r>
      <rPr>
        <sz val="10"/>
        <color theme="1"/>
        <rFont val="Times New Roman"/>
      </rPr>
      <t>Демонстратор цветов*1</t>
    </r>
  </si>
  <si>
    <r>
      <rPr>
        <sz val="10"/>
        <color theme="1"/>
        <rFont val="Times New Roman"/>
      </rPr>
      <t>Пластиковая деталь в форме F*2</t>
    </r>
  </si>
  <si>
    <r>
      <rPr>
        <sz val="10"/>
        <color theme="1"/>
        <rFont val="Times New Roman"/>
      </rPr>
      <t>Выпуклая линза FS*1</t>
    </r>
  </si>
  <si>
    <r>
      <rPr>
        <sz val="10"/>
        <color theme="1"/>
        <rFont val="Times New Roman"/>
      </rPr>
      <t>Выпуклая линза FlO *1</t>
    </r>
  </si>
  <si>
    <r>
      <rPr>
        <sz val="10"/>
        <color theme="1"/>
        <rFont val="Times New Roman"/>
      </rPr>
      <t>Выпуклая линза F-10 *1</t>
    </r>
  </si>
  <si>
    <r>
      <rPr>
        <sz val="10"/>
        <color theme="1"/>
        <rFont val="Times New Roman"/>
      </rPr>
      <t>Белая доска для визуализации*1</t>
    </r>
  </si>
  <si>
    <r>
      <rPr>
        <sz val="10"/>
        <color theme="1"/>
        <rFont val="Times New Roman"/>
      </rPr>
      <t>Доска для затемнения*1</t>
    </r>
  </si>
  <si>
    <r>
      <rPr>
        <sz val="10"/>
        <color theme="1"/>
        <rFont val="Times New Roman"/>
      </rPr>
      <t>Полупрозрачная доска*1</t>
    </r>
  </si>
  <si>
    <r>
      <rPr>
        <sz val="10"/>
        <color theme="1"/>
        <rFont val="Times New Roman"/>
      </rPr>
      <t>Основание*1</t>
    </r>
  </si>
  <si>
    <r>
      <rPr>
        <sz val="10"/>
        <color rgb="FF000000"/>
        <rFont val="Times New Roman"/>
      </rPr>
      <t xml:space="preserve">521-202-0605-0001 -
</t>
    </r>
    <r>
      <rPr>
        <sz val="10"/>
        <color rgb="FF000000"/>
        <rFont val="Times New Roman"/>
      </rPr>
      <t>Мини-лаборатория для начальной школы "Оптика" типа Experia PHE-023</t>
    </r>
  </si>
  <si>
    <t>521-202-0605-0001 -
Мини-лаборатория для начальной школы "Оптика" типа Experia PHE-023</t>
  </si>
  <si>
    <r>
      <rPr>
        <sz val="10"/>
        <color rgb="FF000000"/>
        <rFont val="Times New Roman"/>
      </rPr>
      <t xml:space="preserve">Складная тарелка*1 Перфорированная плата для визуализации*1
</t>
    </r>
    <r>
      <rPr>
        <sz val="10"/>
        <color rgb="FF000000"/>
        <rFont val="Times New Roman"/>
      </rPr>
      <t xml:space="preserve">Многофункциональный отражатель*1 Треугольник*1
</t>
    </r>
    <r>
      <rPr>
        <sz val="10"/>
        <color rgb="FF000000"/>
        <rFont val="Times New Roman"/>
      </rPr>
      <t>Полукруг *1</t>
    </r>
  </si>
  <si>
    <r>
      <rPr>
        <sz val="10"/>
        <color theme="1"/>
        <rFont val="Times New Roman"/>
      </rPr>
      <t>Прямоугольник прозрачный*1</t>
    </r>
  </si>
  <si>
    <r>
      <rPr>
        <sz val="10"/>
        <color theme="1"/>
        <rFont val="Times New Roman"/>
      </rPr>
      <t>Выпуклая линза*1</t>
    </r>
  </si>
  <si>
    <r>
      <rPr>
        <sz val="10"/>
        <color theme="1"/>
        <rFont val="Times New Roman"/>
      </rPr>
      <t>Двояковыпуклая линза*1</t>
    </r>
  </si>
  <si>
    <r>
      <rPr>
        <sz val="10"/>
        <color theme="1"/>
        <rFont val="Times New Roman"/>
      </rPr>
      <t>Вогнутая линза*1</t>
    </r>
  </si>
  <si>
    <r>
      <rPr>
        <sz val="10"/>
        <color theme="1"/>
        <rFont val="Times New Roman"/>
      </rPr>
      <t>Линза дальнозоркость*1</t>
    </r>
  </si>
  <si>
    <r>
      <rPr>
        <sz val="10"/>
        <color theme="1"/>
        <rFont val="Times New Roman"/>
      </rPr>
      <t>Линза для коррекции*1</t>
    </r>
  </si>
  <si>
    <r>
      <rPr>
        <sz val="10"/>
        <color theme="1"/>
        <rFont val="Times New Roman"/>
      </rPr>
      <t>Водяная линза*1</t>
    </r>
  </si>
  <si>
    <r>
      <rPr>
        <sz val="10"/>
        <color theme="1"/>
        <rFont val="Times New Roman"/>
      </rPr>
      <t>Кронштейн для водяных линз *1</t>
    </r>
  </si>
  <si>
    <r>
      <rPr>
        <sz val="10"/>
        <color theme="1"/>
        <rFont val="Times New Roman"/>
      </rPr>
      <t>Перископ*1</t>
    </r>
  </si>
  <si>
    <r>
      <rPr>
        <sz val="10"/>
        <color theme="1"/>
        <rFont val="Times New Roman"/>
      </rPr>
      <t>Шприц*1</t>
    </r>
  </si>
  <si>
    <r>
      <rPr>
        <sz val="10"/>
        <color theme="1"/>
        <rFont val="Times New Roman"/>
      </rPr>
      <t>Квадратное основание*1</t>
    </r>
  </si>
  <si>
    <r>
      <rPr>
        <sz val="10"/>
        <color theme="1"/>
        <rFont val="Times New Roman"/>
      </rPr>
      <t>Резервуар для воды*1</t>
    </r>
  </si>
  <si>
    <r>
      <rPr>
        <sz val="10"/>
        <color theme="1"/>
        <rFont val="Times New Roman"/>
      </rPr>
      <t>Масштабная бумажная карточка *1</t>
    </r>
  </si>
  <si>
    <r>
      <rPr>
        <sz val="10"/>
        <color theme="1"/>
        <rFont val="Times New Roman"/>
      </rPr>
      <t>Руководство пользователя*1</t>
    </r>
  </si>
  <si>
    <r>
      <rPr>
        <sz val="10"/>
        <color theme="1"/>
        <rFont val="Times New Roman"/>
      </rPr>
      <t>Кейс для хранения*1</t>
    </r>
  </si>
  <si>
    <r>
      <rPr>
        <sz val="10"/>
        <color rgb="FF000000"/>
        <rFont val="Times New Roman"/>
      </rPr>
      <t xml:space="preserve">521-202-0605-0002 -
</t>
    </r>
    <r>
      <rPr>
        <sz val="10"/>
        <color rgb="FF000000"/>
        <rFont val="Times New Roman"/>
      </rPr>
      <t>Мини-лаборатория для начальной школы "Оптика" типа Cornelsen Experimenta 16110</t>
    </r>
  </si>
  <si>
    <t>521-202-0605-0002 -
Мини-лаборатория для начальной школы "Оптика" типа Cornelsen Experimenta 16110</t>
  </si>
  <si>
    <r>
      <rPr>
        <sz val="10"/>
        <color rgb="FF000000"/>
        <rFont val="Times New Roman"/>
      </rPr>
      <t xml:space="preserve">Состоит:
</t>
    </r>
    <r>
      <rPr>
        <sz val="10"/>
        <color rgb="FF000000"/>
        <rFont val="Times New Roman"/>
      </rPr>
      <t xml:space="preserve">рельс профильный, (ДхШхВ) 495х90х20 мм, на боковой поверхности
</t>
    </r>
    <r>
      <rPr>
        <sz val="10"/>
        <color rgb="FF000000"/>
        <rFont val="Times New Roman"/>
      </rPr>
      <t xml:space="preserve">3-цветная шкала; линза собирающая, двояковыпуклая, фокусное расстояние
</t>
    </r>
    <r>
      <rPr>
        <sz val="10"/>
        <color rgb="FF000000"/>
        <rFont val="Times New Roman"/>
      </rPr>
      <t xml:space="preserve">+100мм и +50мм, диаметр линзы 45мм, оптическое стекло, каркас (ДхШхВ) 90х90х2мм, пластик серого цвета – 2 шт.; призма, стеклянная треугольная равносторонняя 3х60°; фонарик; пластины -2 шт.;
</t>
    </r>
    <r>
      <rPr>
        <sz val="10"/>
        <color rgb="FF000000"/>
        <rFont val="Times New Roman"/>
      </rPr>
      <t xml:space="preserve">зеркало 90х90х2мм; диафрагма щелевая 2/1; проекционная коробка 105х88х40 мм; слайд с объектом, (ДхШхВ) 50х50х3 мм; стержень для создания тени на подставке;
</t>
    </r>
    <r>
      <rPr>
        <sz val="10"/>
        <color rgb="FF000000"/>
        <rFont val="Times New Roman"/>
      </rPr>
      <t>кювета; прищепка 32х10х5 мм – 2 шт.; клипсовый зажим на стержне; платформа-основание с крестовиной– 4 шт. Руководство для учителя формата А5</t>
    </r>
  </si>
  <si>
    <r>
      <rPr>
        <sz val="10"/>
        <color rgb="FF000000"/>
        <rFont val="Times New Roman"/>
      </rPr>
      <t xml:space="preserve">521-202-0605-0003 - Набор
</t>
    </r>
    <r>
      <rPr>
        <sz val="10"/>
        <color rgb="FF000000"/>
        <rFont val="Times New Roman"/>
      </rPr>
      <t>демонстрационный для изучения оптики в начальной школе типа Experia PHE-025</t>
    </r>
  </si>
  <si>
    <t>Набор
демонстрационный для изучения оптики в начальной школе типа Experia PHE-025</t>
  </si>
  <si>
    <r>
      <rPr>
        <sz val="10"/>
        <color rgb="FF000000"/>
        <rFont val="Times New Roman"/>
      </rPr>
      <t xml:space="preserve">Комплектация: Технические характеристики:
</t>
    </r>
    <r>
      <rPr>
        <sz val="10"/>
        <color rgb="FF000000"/>
        <rFont val="Times New Roman"/>
      </rPr>
      <t xml:space="preserve">Материал оптических элементов: оргстекло Мощность осветительной лампы: минимум 21 Вт Напряжение питания осветителей: 12 В Комплектация:
</t>
    </r>
    <r>
      <rPr>
        <sz val="10"/>
        <color rgb="FF000000"/>
        <rFont val="Times New Roman"/>
      </rPr>
      <t xml:space="preserve">Кейс с крышкой - 1 шт , Лоток со вставкой - 1шт,
</t>
    </r>
    <r>
      <rPr>
        <sz val="10"/>
        <color rgb="FF000000"/>
        <rFont val="Times New Roman"/>
      </rPr>
      <t xml:space="preserve">Осветитель с галогеновой лампой: 2 шт.
</t>
    </r>
    <r>
      <rPr>
        <sz val="10"/>
        <color rgb="FF000000"/>
        <rFont val="Times New Roman"/>
      </rPr>
      <t xml:space="preserve">Лазерный излучатель: 1 шт.
</t>
    </r>
    <r>
      <rPr>
        <sz val="10"/>
        <color rgb="FF000000"/>
        <rFont val="Times New Roman"/>
      </rPr>
      <t xml:space="preserve">Плоскопараллельная пластина: 1 шт. Полуцилиндрическая пластина: 1 шт.
</t>
    </r>
    <r>
      <rPr>
        <sz val="10"/>
        <color rgb="FF000000"/>
        <rFont val="Times New Roman"/>
      </rPr>
      <t xml:space="preserve">Трехгранная прямоугольная призма: 1 шт.
</t>
    </r>
    <r>
      <rPr>
        <sz val="10"/>
        <color rgb="FF000000"/>
        <rFont val="Times New Roman"/>
      </rPr>
      <t xml:space="preserve">Собирающие линзы: 3 шт. Рассеивающая линза: 1 шт.
</t>
    </r>
    <r>
      <rPr>
        <sz val="10"/>
        <color rgb="FF000000"/>
        <rFont val="Times New Roman"/>
      </rPr>
      <t xml:space="preserve">Светофильтры: 2 шт. Плоское зеркало: 1 шт. Диафрагма 1x3/5: 1 шт. Модель глаза: 1 шт.
</t>
    </r>
    <r>
      <rPr>
        <sz val="10"/>
        <color rgb="FF000000"/>
        <rFont val="Times New Roman"/>
      </rPr>
      <t xml:space="preserve">Демонстрационный световод: 1 шт.
</t>
    </r>
    <r>
      <rPr>
        <sz val="10"/>
        <color rgb="FF000000"/>
        <rFont val="Times New Roman"/>
      </rPr>
      <t>Кювета: 1 шт.</t>
    </r>
  </si>
  <si>
    <r>
      <rPr>
        <sz val="10"/>
        <color rgb="FF000000"/>
        <rFont val="Times New Roman"/>
      </rPr>
      <t xml:space="preserve">521-202-0606-0001 - Набор для
</t>
    </r>
    <r>
      <rPr>
        <sz val="10"/>
        <color rgb="FF000000"/>
        <rFont val="Times New Roman"/>
      </rPr>
      <t>изучения электричества в начальной школе (на 13 учебных групп) типа Experia PHE-028</t>
    </r>
  </si>
  <si>
    <t>Набор для
изучения электричества в начальной школе (на 13 учебных групп) типа Experia PHE-028</t>
  </si>
  <si>
    <r>
      <rPr>
        <sz val="10"/>
        <color theme="1"/>
        <rFont val="Times New Roman"/>
      </rPr>
      <t>Комплектация:  кейс с крышкой - 1 шт , лоток со вставкой - 1шт, звонок электрический – 1 шт.; генератор ручной – 1 шт.; эбонитовая и стеклянная палочки – 1 компл.; прибор для получения электрического тока из фруктов и овощей – 1 шт.; патрон для лампочки – 1 шт.; лампочка –  10 шт.; выключатель кнопочный – 1 шт.; соединитель 4-х контактный – 1 шт.; выключатель однополюсной –  3 шт.; блок для батареек типа АА – 1 шт.; батарейка АА типа –  4 шт.; набор пластин (алюминий, сталь, пластик, дерево, резина) – 1 шт.; зажим –  2 шт.; набор резисторов (4 Ом, 2 Ом, 6 Ом) – 1 шт.; набор соединительных проводов ( 8 шт.)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Комплектобеспечен руководством для ученика, содержащим</t>
    </r>
  </si>
  <si>
    <r>
      <rPr>
        <sz val="10"/>
        <color rgb="FF000000"/>
        <rFont val="Times New Roman"/>
      </rPr>
      <t xml:space="preserve">521-202-0606-0002 -
</t>
    </r>
    <r>
      <rPr>
        <sz val="10"/>
        <color rgb="FF000000"/>
        <rFont val="Times New Roman"/>
      </rPr>
      <t>Мини-лаборатория для начальной школы "Электричество" Cornelsen Experimenta 16120</t>
    </r>
  </si>
  <si>
    <t>521-202-0606-0002 -
Мини-лаборатория для начальной школы "Электричество" Cornelsen Experimenta 16120</t>
  </si>
  <si>
    <r>
      <rPr>
        <sz val="10"/>
        <color rgb="FF000000"/>
        <rFont val="Times New Roman"/>
      </rPr>
      <t xml:space="preserve">состоит:
</t>
    </r>
    <r>
      <rPr>
        <sz val="10"/>
        <color rgb="FF000000"/>
        <rFont val="Times New Roman"/>
      </rPr>
      <t xml:space="preserve">плата монтажная для сборки простых электрических цепей, (ДхШхВ) 120x90x23 мм;
</t>
    </r>
    <r>
      <rPr>
        <sz val="10"/>
        <color rgb="FF000000"/>
        <rFont val="Times New Roman"/>
      </rPr>
      <t xml:space="preserve">зажим «крокодил» со штекером (D4 мм) - 2 шт.; держатель для стрелки со штекером (D4 мм); ось металлическая 110мм; держатель для ламп накаливания с патроном E10 - 2 шт.; перемычка мостовая со штекерами (D4 мм) – 2 шт.; провод медный 25 см со штекерами 20х4 мм и
</t>
    </r>
    <r>
      <rPr>
        <sz val="10"/>
        <color rgb="FF000000"/>
        <rFont val="Times New Roman"/>
      </rPr>
      <t xml:space="preserve">гнездами-разъемами 4 мм, допустимое рабочее напряжение 12 В постоянного/переменного тока; лампа накаливания Е10 / 4 В / 1,0 А; лампы накаливания Е10 / 3,8 В / 0,07 А – 5 шт.; медный провод с изоляцией; нить накала в катушке; магнитная стрелка; образцы материалов для исследования электрических - 5 шт.; карандашный грифель; рукоять рубильника со штекером (D4 мм); контакт рубильника; скрепки
</t>
    </r>
    <r>
      <rPr>
        <sz val="10"/>
        <color rgb="FF000000"/>
        <rFont val="Times New Roman"/>
      </rPr>
      <t>канцелярские металлические. Руководство для учителя формата А5</t>
    </r>
  </si>
  <si>
    <r>
      <rPr>
        <sz val="10"/>
        <color theme="1"/>
        <rFont val="Times New Roman"/>
      </rPr>
      <t>521-202-0607 - Набор для изучения весов и равновесия в начальной школе (на 13 учебных, в кейсе)</t>
    </r>
  </si>
  <si>
    <r>
      <rPr>
        <sz val="10"/>
        <color theme="1"/>
        <rFont val="Times New Roman"/>
      </rPr>
      <t>Комплектация:   Кейс с крышкой - 1 шт ,  лоток со вставкой - 1шт, рычажные весы в составе (до 40г, точность 0,1г): коромысло; рейдер (регулировочная планка);стойка;чашка для груза и разновесов. - Качели в составе:перекладина;опора;пружинные весы (до 25г);пружинные весы (до 75г);пружинные весы со стрелкой (до 100г);динамометр до 12,5кг с двумя шкалами (кг, Н).- Набор разновесов в пластмассовой коробке в составе: •  2 Х 10г, латунная гирька;10 Х 0,1г, алюминиевая пластинка;10 Х 1г, пластиковый кубик;- Пластиковая коробка содержащая:Гвоздь, 50 мм;Деревянный диск;Стеклянный шарик;Камешек;Кусочек картона;Медная пластинка;Скрепка;Винта, 16 мм;Кусочек резины;Прищепки, красные.Набор запасных частей. В наборе:регулировочный груз (2 шт), стеклянный шарик (4 шт), прищепка (2 шт), винт (10 шт), гвоздь (5 шт), кусочек резины (2 шт), деревянный диск (2 шт), кубик 1г (10 шт), грузик 0,1г (10 шт) камешек (2 шт), кусочек картона (2 шт).Приложенные печатные материалы:Методические указания для учителя “Весы и Равновесие”.</t>
    </r>
  </si>
  <si>
    <r>
      <rPr>
        <sz val="10"/>
        <color theme="1"/>
        <rFont val="Times New Roman"/>
      </rPr>
      <t>521-202-0608 - Набор для исследования возобновляемой энергии в кейсе</t>
    </r>
  </si>
  <si>
    <r>
      <rPr>
        <sz val="10"/>
        <color rgb="FF000000"/>
        <rFont val="Times New Roman"/>
      </rPr>
      <t xml:space="preserve">Комплектация:   Кейс с крышкой - 1 шт ,  Лоток со вставкой - 1шт, Мини-ветряная турбина (генератор ветровой энергии) - 1 шт. Комплект для изучения энергии ветровой энергии - 1 шт. Оценка угла наклона лопастей,
</t>
    </r>
    <r>
      <rPr>
        <sz val="10"/>
        <color rgb="FF000000"/>
        <rFont val="Times New Roman"/>
      </rPr>
      <t>профиля лопастей и количества лопастей возможна Вертикальное выравнивание осуществляется пластиной Специальный трехфазный генератор для повышенной выходной мощности - 1 шт. Светодиод для демонстрации выходной мощности - 1 шт.</t>
    </r>
  </si>
  <si>
    <r>
      <rPr>
        <sz val="10"/>
        <color rgb="FF000000"/>
        <rFont val="Times New Roman"/>
      </rPr>
      <t xml:space="preserve">521-202-0609-0001 -
</t>
    </r>
    <r>
      <rPr>
        <sz val="10"/>
        <color rgb="FF000000"/>
        <rFont val="Times New Roman"/>
      </rPr>
      <t>Мини-лаборатория для начальной школы "Тепло" типа Cornelsen Experimenta 16106</t>
    </r>
  </si>
  <si>
    <t>521-202-0609-0001 -
Мини-лаборатория для начальной школы "Тепло" типа Cornelsen Experimenta 16106</t>
  </si>
  <si>
    <r>
      <rPr>
        <sz val="10"/>
        <color rgb="FF000000"/>
        <rFont val="Times New Roman"/>
      </rPr>
      <t xml:space="preserve">Состоит:
</t>
    </r>
    <r>
      <rPr>
        <sz val="10"/>
        <color rgb="FF000000"/>
        <rFont val="Times New Roman"/>
      </rPr>
      <t xml:space="preserve">термометр учебный, диапазон измерений -3..+103°С; горелка для топлива; сетка проволочная с асбестовой вставкой; колба Эрленмейера 25мл; колба Эрленмейера 25мл, черная; стакан лабораторный 50 мл; трубка стеклянная; трубка алюминиевая; пробирка лабораторная ; пробка резиновая со сквозным отверстием- 2 шт.; пластина биметаллическая 12х1,4см; пластина 9х9 см, металл – 2 шт.; пипетка 0.5 мл.
</t>
    </r>
    <r>
      <rPr>
        <sz val="10"/>
        <color rgb="FF000000"/>
        <rFont val="Times New Roman"/>
      </rPr>
      <t>Руководство для учителя формата А5</t>
    </r>
  </si>
  <si>
    <r>
      <rPr>
        <sz val="10"/>
        <color theme="1"/>
        <rFont val="Times New Roman"/>
      </rPr>
      <t>521-204-1002-0001 - Шкаф книжный полуоткрытый с открытыми верхними полками и закрытой нижней частью. Размеры 800х420х1930мм. ЛДСП 16мм.</t>
    </r>
  </si>
  <si>
    <r>
      <rPr>
        <sz val="10"/>
        <color theme="1"/>
        <rFont val="Times New Roman"/>
      </rPr>
      <t>Шкаф книжный полуоткрытый с открытыми верхними полками и закрытой нижней частью. Размеры 800х420х1930мм. ЛДСП 16мм.</t>
    </r>
  </si>
  <si>
    <r>
      <rPr>
        <sz val="10"/>
        <color rgb="FF000000"/>
        <rFont val="Times New Roman"/>
      </rPr>
      <t xml:space="preserve">521-206-0201-0001 -
</t>
    </r>
    <r>
      <rPr>
        <sz val="10"/>
        <color rgb="FF000000"/>
        <rFont val="Times New Roman"/>
      </rPr>
      <t>Телескопическая трибуна с электрическим приводом, в комплекте 52 места</t>
    </r>
  </si>
  <si>
    <t>521-206-0201-0001 -
Телескопическая трибуна с электрическим приводом, в комплекте 52 места</t>
  </si>
  <si>
    <r>
      <rPr>
        <sz val="10"/>
        <color theme="1"/>
        <rFont val="Times New Roman"/>
      </rPr>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Грузоподьемность 150 кг/место.</t>
    </r>
  </si>
  <si>
    <r>
      <rPr>
        <sz val="10"/>
        <color rgb="FF000000"/>
        <rFont val="Times New Roman"/>
      </rPr>
      <t xml:space="preserve">521-206-0201-0002 -
</t>
    </r>
    <r>
      <rPr>
        <sz val="10"/>
        <color rgb="FF000000"/>
        <rFont val="Times New Roman"/>
      </rPr>
      <t>Телескопическая трибуна с электрическим приводом на 52 мест, размер сидения 400х300х450мм</t>
    </r>
  </si>
  <si>
    <t>521-206-0201-0002 -
Телескопическая трибуна с электрическим приводом на 52 мест, размер сидения 400х300х450мм</t>
  </si>
  <si>
    <r>
      <rPr>
        <sz val="10"/>
        <color rgb="FF000000"/>
        <rFont val="Times New Roman"/>
      </rPr>
      <t xml:space="preserve">Сиденья пластиковые изготовлены из полипропилена, складные на 52 мест.
</t>
    </r>
    <r>
      <rPr>
        <sz val="10"/>
        <color rgb="FF000000"/>
        <rFont val="Times New Roman"/>
      </rPr>
      <t>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r>
  </si>
  <si>
    <r>
      <rPr>
        <sz val="10"/>
        <color rgb="FF000000"/>
        <rFont val="Times New Roman"/>
      </rPr>
      <t xml:space="preserve">521-206-0202-0001 -
</t>
    </r>
    <r>
      <rPr>
        <sz val="10"/>
        <color rgb="FF000000"/>
        <rFont val="Times New Roman"/>
      </rPr>
      <t>Телескопическая трибуна с электрическим приводом, в комплекте 253  места</t>
    </r>
  </si>
  <si>
    <t>521-206-0202-0001 -
Телескопическая трибуна с электрическим приводом, в комплекте 253  места</t>
  </si>
  <si>
    <r>
      <rPr>
        <sz val="10"/>
        <color theme="1"/>
        <rFont val="Times New Roman"/>
      </rPr>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Грузоподьемность 150 кг/место.</t>
    </r>
  </si>
  <si>
    <r>
      <rPr>
        <sz val="10"/>
        <color rgb="FF000000"/>
        <rFont val="Times New Roman"/>
      </rPr>
      <t xml:space="preserve">521-206-0202-0002 -
</t>
    </r>
    <r>
      <rPr>
        <sz val="10"/>
        <color rgb="FF000000"/>
        <rFont val="Times New Roman"/>
      </rPr>
      <t>Телескопическая трибуна с электрическим приводом на 253 мест, размер сидения 400х300х450мм</t>
    </r>
  </si>
  <si>
    <t>521-206-0202-0002 -
Телескопическая трибуна с электрическим приводом на 253 мест, размер сидения 400х300х450мм</t>
  </si>
  <si>
    <r>
      <rPr>
        <sz val="10"/>
        <color rgb="FF000000"/>
        <rFont val="Times New Roman"/>
      </rPr>
      <t xml:space="preserve">Сиденья пластиковые изготовлены из полипропилена,складные на 253 мест.
</t>
    </r>
    <r>
      <rPr>
        <sz val="10"/>
        <color rgb="FF000000"/>
        <rFont val="Times New Roman"/>
      </rPr>
      <t>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r>
  </si>
  <si>
    <r>
      <rPr>
        <sz val="10"/>
        <color rgb="FF000000"/>
        <rFont val="Times New Roman"/>
      </rPr>
      <t xml:space="preserve">521-206-0203-0001 -
</t>
    </r>
    <r>
      <rPr>
        <sz val="10"/>
        <color rgb="FF000000"/>
        <rFont val="Times New Roman"/>
      </rPr>
      <t>Телескопическая трибуна с электрическим приводом на, в комплекте 72 места</t>
    </r>
  </si>
  <si>
    <t>521-206-0203-0001 -
Телескопическая трибуна с электрическим приводом на, в комплекте 72 места</t>
  </si>
  <si>
    <r>
      <rPr>
        <sz val="10"/>
        <color theme="1"/>
        <rFont val="Times New Roman"/>
      </rPr>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Грузоподъёмность 150 кг/место.</t>
    </r>
  </si>
  <si>
    <r>
      <rPr>
        <sz val="10"/>
        <color rgb="FF000000"/>
        <rFont val="Times New Roman"/>
      </rPr>
      <t xml:space="preserve">521-206-0203-0002 -
</t>
    </r>
    <r>
      <rPr>
        <sz val="10"/>
        <color rgb="FF000000"/>
        <rFont val="Times New Roman"/>
      </rPr>
      <t>Телескопическая трибуна с электрическим приводом на 72 мест, размер сидения 400х300х450мм</t>
    </r>
  </si>
  <si>
    <t>521-206-0203-0002 -
Телескопическая трибуна с электрическим приводом на 72 мест, размер сидения 400х300х450мм</t>
  </si>
  <si>
    <r>
      <rPr>
        <sz val="10"/>
        <color rgb="FF000000"/>
        <rFont val="Times New Roman"/>
      </rPr>
      <t xml:space="preserve">Сиденья пластиковые изготовлены из полипропилена, складные на 72 мест.
</t>
    </r>
    <r>
      <rPr>
        <sz val="10"/>
        <color rgb="FF000000"/>
        <rFont val="Times New Roman"/>
      </rPr>
      <t>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r>
  </si>
  <si>
    <r>
      <rPr>
        <sz val="10"/>
        <color rgb="FF000000"/>
        <rFont val="Times New Roman"/>
      </rPr>
      <t xml:space="preserve">521-206-0204-0001 -
</t>
    </r>
    <r>
      <rPr>
        <sz val="10"/>
        <color rgb="FF000000"/>
        <rFont val="Times New Roman"/>
      </rPr>
      <t>Телескопическая трибуна с электрическим приводом, в комплекте 86 мест</t>
    </r>
  </si>
  <si>
    <t>521-206-0204-0001 -
Телескопическая трибуна с электрическим приводом, в комплекте 86 мест</t>
  </si>
  <si>
    <r>
      <rPr>
        <sz val="10"/>
        <color theme="1"/>
        <rFont val="Times New Roman"/>
      </rPr>
      <t>Сиденья пластиковые изготовлены из полипропилена, складные. Материал проходов и ступеней изготовлен из влагостойкой фанеры с противоскользящим покрытием толщиной не менее 15 мм. Конструкция металлическая (профильная труба, швеллер, уголки, круглая труба, металл листовой) с полимерно-порошковым покрытием. Колеса полиуретановые с подшипниками усиленные. Пульт управления оснащен электрическими приборами. Двигатель 380V трехфазный 550 Вт 50 Гц. Грузоподьемность 150 кг/место.</t>
    </r>
  </si>
  <si>
    <r>
      <rPr>
        <sz val="10"/>
        <color rgb="FF000000"/>
        <rFont val="Times New Roman"/>
      </rPr>
      <t xml:space="preserve">521-206-0204-0002 -
</t>
    </r>
    <r>
      <rPr>
        <sz val="10"/>
        <color rgb="FF000000"/>
        <rFont val="Times New Roman"/>
      </rPr>
      <t>Телескопическая трибуна с электрическим приводом на 86 мест, размер сидения 400х300х450мм</t>
    </r>
  </si>
  <si>
    <t>521-206-0204-0002 -
Телескопическая трибуна с электрическим приводом на 86 мест, размер сидения 400х300х450мм</t>
  </si>
  <si>
    <r>
      <rPr>
        <sz val="10"/>
        <color rgb="FF000000"/>
        <rFont val="Times New Roman"/>
      </rPr>
      <t xml:space="preserve">Сиденья пластиковые изготовлены из полипропилена,складные на 86 мест.
</t>
    </r>
    <r>
      <rPr>
        <sz val="10"/>
        <color rgb="FF000000"/>
        <rFont val="Times New Roman"/>
      </rPr>
      <t>Проход и ступеньки изготовлены из влагостойкой фанеры с противоскользящим покрытием.  Толщина фанеры 15 мм. Металическая конструкциия: Профильная труба, швеллер, уголки, круглая труба, металл листовой. Усильенные колеса с подшипниками. Пульт управления оснащен электрическими приборами. Двигатель 380V, 550 Вт, 50 Гц. Нагрузка на одно сидение 150 кг. Размеры мест для сидения: длина - 400-420мм, ширина - 300-350мм, высота сидения над полом прохода - 450мм.</t>
    </r>
  </si>
  <si>
    <r>
      <rPr>
        <sz val="10"/>
        <color theme="1"/>
        <rFont val="Times New Roman"/>
      </rPr>
      <t>Набор робота построен по модульному принципу и состоит из множества</t>
    </r>
  </si>
  <si>
    <r>
      <rPr>
        <sz val="10"/>
        <color theme="1"/>
        <rFont val="Times New Roman"/>
      </rPr>
      <t>отдельных блоков. В наборе вы найдете 8 центральных блоков, 3 колеса, 6</t>
    </r>
  </si>
  <si>
    <r>
      <rPr>
        <sz val="10"/>
        <color theme="1"/>
        <rFont val="Times New Roman"/>
      </rPr>
      <t>коннекторов, 1 проводной коннектор, 4 адаптера Lego и кабель для зарядки.</t>
    </r>
  </si>
  <si>
    <r>
      <rPr>
        <sz val="10"/>
        <color theme="1"/>
        <rFont val="Times New Roman"/>
      </rPr>
      <t>В набор входит:</t>
    </r>
  </si>
  <si>
    <r>
      <rPr>
        <sz val="10"/>
        <color theme="1"/>
        <rFont val="Times New Roman"/>
      </rPr>
      <t>1 x Главный блок</t>
    </r>
  </si>
  <si>
    <r>
      <rPr>
        <sz val="10"/>
        <color theme="1"/>
        <rFont val="Times New Roman"/>
      </rPr>
      <t>1 x Датчик расстояния</t>
    </r>
  </si>
  <si>
    <r>
      <rPr>
        <sz val="10"/>
        <color theme="1"/>
        <rFont val="Times New Roman"/>
      </rPr>
      <t>521-207-0205-0001 - Набор</t>
    </r>
  </si>
  <si>
    <t>Набор</t>
  </si>
  <si>
    <r>
      <rPr>
        <sz val="10"/>
        <color theme="1"/>
        <rFont val="Times New Roman"/>
      </rPr>
      <t>1 x Кнопка</t>
    </r>
  </si>
  <si>
    <r>
      <rPr>
        <sz val="10"/>
        <color theme="1"/>
        <rFont val="Times New Roman"/>
      </rPr>
      <t>роботехнический базовый для</t>
    </r>
  </si>
  <si>
    <t>роботехнический базовый для</t>
  </si>
  <si>
    <r>
      <rPr>
        <sz val="10"/>
        <color theme="1"/>
        <rFont val="Times New Roman"/>
      </rPr>
      <t>1 x Устройство слежения за линией</t>
    </r>
  </si>
  <si>
    <r>
      <rPr>
        <sz val="10"/>
        <color theme="1"/>
        <rFont val="Times New Roman"/>
      </rPr>
      <t>начальных классов типа</t>
    </r>
  </si>
  <si>
    <t>начальных классов типа</t>
  </si>
  <si>
    <r>
      <rPr>
        <sz val="10"/>
        <color theme="1"/>
        <rFont val="Times New Roman"/>
      </rPr>
      <t>1 x RGB-светильник</t>
    </r>
  </si>
  <si>
    <r>
      <rPr>
        <sz val="10"/>
        <color theme="1"/>
        <rFont val="Times New Roman"/>
      </rPr>
      <t>Robowunderkind</t>
    </r>
  </si>
  <si>
    <t>Robowunderkind</t>
  </si>
  <si>
    <r>
      <rPr>
        <sz val="10"/>
        <color theme="1"/>
        <rFont val="Times New Roman"/>
      </rPr>
      <t>3 x Моторы</t>
    </r>
  </si>
  <si>
    <r>
      <rPr>
        <sz val="10"/>
        <color theme="1"/>
        <rFont val="Times New Roman"/>
      </rPr>
      <t>1 x Соединительный блок</t>
    </r>
  </si>
  <si>
    <r>
      <rPr>
        <sz val="10"/>
        <color theme="1"/>
        <rFont val="Times New Roman"/>
      </rPr>
      <t>2 x Колеса</t>
    </r>
  </si>
  <si>
    <r>
      <rPr>
        <sz val="10"/>
        <color theme="1"/>
        <rFont val="Times New Roman"/>
      </rPr>
      <t>1 x Малое колесо</t>
    </r>
  </si>
  <si>
    <r>
      <rPr>
        <sz val="10"/>
        <color theme="1"/>
        <rFont val="Times New Roman"/>
      </rPr>
      <t>6 x Коннекторы</t>
    </r>
  </si>
  <si>
    <r>
      <rPr>
        <sz val="10"/>
        <color theme="1"/>
        <rFont val="Times New Roman"/>
      </rPr>
      <t>1 x Проводной коннектор</t>
    </r>
  </si>
  <si>
    <r>
      <rPr>
        <sz val="10"/>
        <color theme="1"/>
        <rFont val="Times New Roman"/>
      </rPr>
      <t>4 x Переходник LEGO</t>
    </r>
  </si>
  <si>
    <r>
      <rPr>
        <sz val="10"/>
        <color theme="1"/>
        <rFont val="Times New Roman"/>
      </rPr>
      <t>В набор входит:</t>
    </r>
  </si>
  <si>
    <r>
      <rPr>
        <sz val="10"/>
        <color theme="1"/>
        <rFont val="Times New Roman"/>
      </rPr>
      <t>1 x датчик света,</t>
    </r>
  </si>
  <si>
    <r>
      <rPr>
        <sz val="10"/>
        <color theme="1"/>
        <rFont val="Times New Roman"/>
      </rPr>
      <t>1 x датчик движения,</t>
    </r>
  </si>
  <si>
    <r>
      <rPr>
        <sz val="10"/>
        <color theme="1"/>
        <rFont val="Times New Roman"/>
      </rPr>
      <t>1 x акселерометр,</t>
    </r>
  </si>
  <si>
    <r>
      <rPr>
        <sz val="10"/>
        <color rgb="FF000000"/>
        <rFont val="Times New Roman"/>
      </rPr>
      <t xml:space="preserve">521-207-0205-0002 - Набор
</t>
    </r>
    <r>
      <rPr>
        <sz val="10"/>
        <color rgb="FF000000"/>
        <rFont val="Times New Roman"/>
      </rPr>
      <t>ресурсный для начальных классов типа Robowunderkind</t>
    </r>
  </si>
  <si>
    <t>Набор
ресурсный для начальных классов типа Robowunderkind</t>
  </si>
  <si>
    <r>
      <rPr>
        <sz val="10"/>
        <color rgb="FF000000"/>
        <rFont val="Times New Roman"/>
      </rPr>
      <t xml:space="preserve">1 x светодиодный дисплей, 1 x кнопка,
</t>
    </r>
    <r>
      <rPr>
        <sz val="10"/>
        <color rgb="FF000000"/>
        <rFont val="Times New Roman"/>
      </rPr>
      <t>1 x RGB-подсветка, 1 x блок разъемов,</t>
    </r>
  </si>
  <si>
    <r>
      <rPr>
        <sz val="10"/>
        <color theme="1"/>
        <rFont val="Times New Roman"/>
      </rPr>
      <t>1 x маленькое колесо,</t>
    </r>
  </si>
  <si>
    <r>
      <rPr>
        <sz val="10"/>
        <color theme="1"/>
        <rFont val="Times New Roman"/>
      </rPr>
      <t>3 x разъемы,</t>
    </r>
  </si>
  <si>
    <r>
      <rPr>
        <sz val="10"/>
        <color theme="1"/>
        <rFont val="Times New Roman"/>
      </rPr>
      <t>1 x проводной разъем,</t>
    </r>
  </si>
  <si>
    <r>
      <rPr>
        <sz val="10"/>
        <color theme="1"/>
        <rFont val="Times New Roman"/>
      </rPr>
      <t>4 x адаптер LEGO.</t>
    </r>
  </si>
  <si>
    <r>
      <rPr>
        <sz val="10"/>
        <color rgb="FF000000"/>
        <rFont val="Times New Roman"/>
      </rPr>
      <t xml:space="preserve">521-207-0205-0003 - Набор
</t>
    </r>
    <r>
      <rPr>
        <sz val="10"/>
        <color rgb="FF000000"/>
        <rFont val="Times New Roman"/>
      </rPr>
      <t>сервоприводов типа Crafttronics Lab</t>
    </r>
  </si>
  <si>
    <t>Набор
сервоприводов типа Crafttronics Lab</t>
  </si>
  <si>
    <r>
      <rPr>
        <sz val="10"/>
        <color rgb="FF000000"/>
        <rFont val="Times New Roman"/>
      </rPr>
      <t xml:space="preserve">Набор сервомоторов включает следующие элементы: Кронштейн поворотно-наклонный для Servo SG90S MG90S с вращением
</t>
    </r>
    <r>
      <rPr>
        <sz val="10"/>
        <color rgb="FF000000"/>
        <rFont val="Times New Roman"/>
      </rPr>
      <t xml:space="preserve">360 градусов,
</t>
    </r>
    <r>
      <rPr>
        <sz val="10"/>
        <color rgb="FF000000"/>
        <rFont val="Times New Roman"/>
      </rPr>
      <t xml:space="preserve">Spring RC SM-S4306R 6KG Робот с непрерывным вращением, Кронштейн крепления сервопривода для SG90 Micro 9g Servo RC,
</t>
    </r>
    <r>
      <rPr>
        <sz val="10"/>
        <color rgb="FF000000"/>
        <rFont val="Times New Roman"/>
      </rPr>
      <t xml:space="preserve">Модуль драйвера сервопривода Shield 16-канальный 12-битный PWM I2C интерфейс PCA9685,
</t>
    </r>
    <r>
      <rPr>
        <sz val="10"/>
        <color rgb="FF000000"/>
        <rFont val="Times New Roman"/>
      </rPr>
      <t xml:space="preserve">6-канальный 12-битный ШИМ/драйвер сервопривода-интерфейс I2C-PCA9685 для щита сервопривода модуля arduino или Raspberry pi.
</t>
    </r>
    <r>
      <rPr>
        <sz val="10"/>
        <color rgb="FF000000"/>
        <rFont val="Times New Roman"/>
      </rPr>
      <t>Кронштейны крепления сервопривода для MG995 MG996.</t>
    </r>
  </si>
  <si>
    <r>
      <rPr>
        <sz val="10"/>
        <color rgb="FF000000"/>
        <rFont val="Times New Roman"/>
      </rPr>
      <t xml:space="preserve">521-207-0205-0004 - Набор GPS
</t>
    </r>
    <r>
      <rPr>
        <sz val="10"/>
        <color rgb="FF000000"/>
        <rFont val="Times New Roman"/>
      </rPr>
      <t>GSM типа Crafttronics Lab</t>
    </r>
  </si>
  <si>
    <t>Набор GPS
GSM типа Crafttronics Lab</t>
  </si>
  <si>
    <r>
      <rPr>
        <sz val="10"/>
        <color rgb="FF000000"/>
        <rFont val="Times New Roman"/>
      </rPr>
      <t xml:space="preserve">Набор для создания проектов интернета вещей включает следующие элементы:
</t>
    </r>
    <r>
      <rPr>
        <sz val="10"/>
        <color rgb="FF000000"/>
        <rFont val="Times New Roman"/>
      </rPr>
      <t xml:space="preserve">GSM / GPRS / GPS / Buletooth SIM868,
</t>
    </r>
    <r>
      <rPr>
        <sz val="10"/>
        <color rgb="FF000000"/>
        <rFont val="Times New Roman"/>
      </rPr>
      <t xml:space="preserve">Плата расширения для разработки raspberry pi, совместимая с Arduino, SX1278 ESP32 0,96-дюймовый синий,
</t>
    </r>
    <r>
      <rPr>
        <sz val="10"/>
        <color rgb="FF000000"/>
        <rFont val="Times New Roman"/>
      </rPr>
      <t xml:space="preserve">OLED-дисплей, Bluetooth WIFI Kit 32 модуля,
</t>
    </r>
    <r>
      <rPr>
        <sz val="10"/>
        <color rgb="FF000000"/>
        <rFont val="Times New Roman"/>
      </rPr>
      <t>IOT Development для Arduino с антенной.</t>
    </r>
  </si>
  <si>
    <r>
      <rPr>
        <sz val="10"/>
        <color rgb="FF000000"/>
        <rFont val="Times New Roman"/>
      </rPr>
      <t xml:space="preserve">521-207-0205-0005 - Набор
</t>
    </r>
    <r>
      <rPr>
        <sz val="10"/>
        <color rgb="FF000000"/>
        <rFont val="Times New Roman"/>
      </rPr>
      <t>двигателей постоянного тока типа Crafttronics Lab</t>
    </r>
  </si>
  <si>
    <t>Набор
двигателей постоянного тока типа Crafttronics Lab</t>
  </si>
  <si>
    <r>
      <rPr>
        <sz val="10"/>
        <color rgb="FF000000"/>
        <rFont val="Times New Roman"/>
      </rPr>
      <t xml:space="preserve">Набор двигателей постоянного тока включает следующие элементы: 5A Двойной модуль привода двигателя постоянного тока напряжение дистанционного управления 3В-14В,
</t>
    </r>
    <r>
      <rPr>
        <sz val="10"/>
        <color rgb="FF000000"/>
        <rFont val="Times New Roman"/>
      </rPr>
      <t xml:space="preserve">«Автомобильный комплект 3PI miniQ,
</t>
    </r>
    <r>
      <rPr>
        <sz val="10"/>
        <color rgb="FF000000"/>
        <rFont val="Times New Roman"/>
      </rPr>
      <t xml:space="preserve">Колесная шина + 12-миллиметровый микромотор N20 + кронштейн для крепления двигателя,
</t>
    </r>
    <r>
      <rPr>
        <sz val="10"/>
        <color rgb="FF000000"/>
        <rFont val="Times New Roman"/>
      </rPr>
      <t xml:space="preserve">Аксессуары для игрушечных автомобилей, датчик скорости двигателя GA12-N20 с проводом,
</t>
    </r>
    <r>
      <rPr>
        <sz val="10"/>
        <color rgb="FF000000"/>
        <rFont val="Times New Roman"/>
      </rPr>
      <t xml:space="preserve">Колесо для большого робота, 85 мм, ширина поверхности 38 мм (1 шт. ) серебристый,
</t>
    </r>
    <r>
      <rPr>
        <sz val="10"/>
        <color rgb="FF000000"/>
        <rFont val="Times New Roman"/>
      </rPr>
      <t xml:space="preserve">Колесо для больших роботов, 85 мм, ширина поверхности 38 мм (1 шт. ) синий,
</t>
    </r>
    <r>
      <rPr>
        <sz val="10"/>
        <color rgb="FF000000"/>
        <rFont val="Times New Roman"/>
      </rPr>
      <t xml:space="preserve">Колесо для больших роботов, 85 мм, ширина поверхности 38 мм (1 шт. ) красный,
</t>
    </r>
    <r>
      <rPr>
        <sz val="10"/>
        <color rgb="FF000000"/>
        <rFont val="Times New Roman"/>
      </rPr>
      <t>Самобалансирующиеся комплекты для умных автомобилей, Колесо 65 мм + двигатель 281 об / мин 3-9 В + кронштейн + муфта 5 мм.</t>
    </r>
  </si>
  <si>
    <r>
      <rPr>
        <sz val="10"/>
        <color rgb="FF000000"/>
        <rFont val="Times New Roman"/>
      </rPr>
      <t xml:space="preserve">521-207-0205-0006 - Набор
</t>
    </r>
    <r>
      <rPr>
        <sz val="10"/>
        <color rgb="FF000000"/>
        <rFont val="Times New Roman"/>
      </rPr>
      <t>печатных плат типа Crafttronics Lab</t>
    </r>
  </si>
  <si>
    <t>Набор
печатных плат типа Crafttronics Lab</t>
  </si>
  <si>
    <r>
      <rPr>
        <sz val="10"/>
        <color rgb="FF000000"/>
        <rFont val="Times New Roman"/>
      </rPr>
      <t xml:space="preserve">Набор печатных плат включает следующие элементы: Односторонняя плата 20 * 30 см, толщина 1,5 мм, FR4 Стекловолокно,
</t>
    </r>
    <r>
      <rPr>
        <sz val="10"/>
        <color rgb="FF000000"/>
        <rFont val="Times New Roman"/>
      </rPr>
      <t xml:space="preserve">пустая медная печатная плата, универсальная прототипная печатная плата, прототип бумажной медной печатной платы,
</t>
    </r>
    <r>
      <rPr>
        <sz val="10"/>
        <color rgb="FF000000"/>
        <rFont val="Times New Roman"/>
      </rPr>
      <t xml:space="preserve">универсальная экспериментальная матричная печатная плата 5x7 см, 2 * 8 см универсальная двухсторонняя плата для прототипа печатной платы,
</t>
    </r>
    <r>
      <rPr>
        <sz val="10"/>
        <color rgb="FF000000"/>
        <rFont val="Times New Roman"/>
      </rPr>
      <t xml:space="preserve">3 * 7 см универсальная двухсторонняя плата для прототипа печатной платы, 6 * 8 см универсальная двухсторонняя плата для прототипа печатной платы, Универсальная двухсторонняя плата для прототипа печатной платы 8 * 12 см,
</t>
    </r>
    <r>
      <rPr>
        <sz val="10"/>
        <color rgb="FF000000"/>
        <rFont val="Times New Roman"/>
      </rPr>
      <t xml:space="preserve">Двусторонняя универсальная плата прототипа печатной платы 12 * 18 см, 20 * 30 см универсальная двухсторонняя плата прототипа печатной платы, Светочувствительная сухая пленка шириной 30,5 см вместо термопереносной фоточувствительной пленки для печатных плат.
</t>
    </r>
    <r>
      <rPr>
        <sz val="10"/>
        <color rgb="FF000000"/>
        <rFont val="Times New Roman"/>
      </rPr>
      <t xml:space="preserve">Мини MTS-203 6-контактные переключатели SPDT ON-OFF-ON 6A 125VAC.
</t>
    </r>
    <r>
      <rPr>
        <sz val="10"/>
        <color rgb="FF000000"/>
        <rFont val="Times New Roman"/>
      </rPr>
      <t xml:space="preserve">Шоковый выключатель датчика вибрации SW-18020P. Тактильный кнопочный переключатель Momentary Tact 12x12x7,3 мм +
</t>
    </r>
    <r>
      <rPr>
        <sz val="10"/>
        <color rgb="FF000000"/>
        <rFont val="Times New Roman"/>
      </rPr>
      <t xml:space="preserve">желтая круглая крышка.
</t>
    </r>
    <r>
      <rPr>
        <sz val="10"/>
        <color rgb="FF000000"/>
        <rFont val="Times New Roman"/>
      </rPr>
      <t xml:space="preserve">Потенциометр 15 мм Вал, 2x40pin гнездовой разъем 2. 54мм, 2x40-контактный загнутый штифт 2,54 мм, ломаемый, прямой разъем
</t>
    </r>
    <r>
      <rPr>
        <sz val="10"/>
        <color rgb="FF000000"/>
        <rFont val="Times New Roman"/>
      </rPr>
      <t>1x40pin 2,54 мм 1x40pin, мама разъем 2,54 мм.</t>
    </r>
  </si>
  <si>
    <r>
      <rPr>
        <sz val="10"/>
        <color rgb="FF000000"/>
        <rFont val="Times New Roman"/>
      </rPr>
      <t xml:space="preserve">521-207-0205-0007 - Набор
</t>
    </r>
    <r>
      <rPr>
        <sz val="10"/>
        <color rgb="FF000000"/>
        <rFont val="Times New Roman"/>
      </rPr>
      <t>электронных компонентов типа Crafttronics Lab</t>
    </r>
  </si>
  <si>
    <t>Набор
электронных компонентов типа Crafttronics Lab</t>
  </si>
  <si>
    <r>
      <rPr>
        <sz val="10"/>
        <color rgb="FF000000"/>
        <rFont val="Times New Roman"/>
      </rPr>
      <t xml:space="preserve">Набор электронных компонентов включает следующие элементы: Dupont Line 40 Pin 10см 24AWG мама-мама,
</t>
    </r>
    <r>
      <rPr>
        <sz val="10"/>
        <color rgb="FF000000"/>
        <rFont val="Times New Roman"/>
      </rPr>
      <t xml:space="preserve">Dupont Line 40 Pin 10см 24AWG папа-мама,
</t>
    </r>
    <r>
      <rPr>
        <sz val="10"/>
        <color rgb="FF000000"/>
        <rFont val="Times New Roman"/>
      </rPr>
      <t xml:space="preserve">Dupont Line 40 Pin 10см 24AWG папа-папа, оценка 400 вложений без кисти, круглый тактильный кнопочный переключатель 5 мм со светозависимым резистором 5528 LDR,
</t>
    </r>
    <r>
      <rPr>
        <sz val="10"/>
        <color rgb="FF000000"/>
        <rFont val="Times New Roman"/>
      </rPr>
      <t xml:space="preserve">Momentary Tact Тактильный кнопочный переключатель 12x12x7,5 мм + желтая круглая крышка Тактильный кнопочный переключатель 12x12x7,3 мм + желтый круглый колпачок, светодиодный диод,
</t>
    </r>
    <r>
      <rPr>
        <sz val="10"/>
        <color rgb="FF000000"/>
        <rFont val="Times New Roman"/>
      </rPr>
      <t xml:space="preserve">5 мм DIY LED Kit (ассортимент ламп) Белый Желтый Зеленый Синий Красный Белый Желтый. Всего 600 штук.
</t>
    </r>
    <r>
      <rPr>
        <sz val="10"/>
        <color rgb="FF000000"/>
        <rFont val="Times New Roman"/>
      </rPr>
      <t xml:space="preserve">Резисторы из металлической пленки Наборы для сборки электронных устройств 120 шт. 12 Принципов 0,22 мкФ-470 мкФ.
</t>
    </r>
    <r>
      <rPr>
        <sz val="10"/>
        <color rgb="FF000000"/>
        <rFont val="Times New Roman"/>
      </rPr>
      <t xml:space="preserve">Наборы для электролитических конденсаторов из алюминия. 12 различных значений 1 ° F - 470 ° F
</t>
    </r>
    <r>
      <rPr>
        <sz val="10"/>
        <color rgb="FF000000"/>
        <rFont val="Times New Roman"/>
      </rPr>
      <t xml:space="preserve">Набор электролитических конденсаторов 1 ° F 2,2 ° F 3,3 ° F 4,7 ° F 10 ° F 22 ° F 33 ° F 47 ° F 100 ° F 220 ° F 220 ° F 220 ° F 220 ° F 220 ° F 220 ° F 220
</t>
    </r>
    <r>
      <rPr>
        <sz val="10"/>
        <color rgb="FF000000"/>
        <rFont val="Times New Roman"/>
      </rPr>
      <t xml:space="preserve">° F 220 ° F 220 ° F 220 ° F 220 ° F 2.
</t>
    </r>
    <r>
      <rPr>
        <sz val="10"/>
        <color rgb="FF000000"/>
        <rFont val="Times New Roman"/>
      </rPr>
      <t>Конденсатор электролитический 1 мкФ-470 мкФ мкФ мкФ мкФ мкФ. Конденсатор керамический 2ПФ-0,1Ф, 30 шт. Х 10 шт, конденсатор керамический 2ПФ-0,1Ф, 300 шт. конденсатор керамический 2ПФ-0,1Ф, 300 шт. конденсатор керамический 2ПФ-0,1Ф, 300 шт. конденсатор керамический 2ПФ-0,1Ф</t>
    </r>
  </si>
  <si>
    <r>
      <rPr>
        <sz val="10"/>
        <color theme="1"/>
        <rFont val="Times New Roman"/>
      </rPr>
      <t>521-207-0205-0008 - Набор модулей беспроводной связи типа Crafttronics Lab</t>
    </r>
  </si>
  <si>
    <r>
      <rPr>
        <sz val="10"/>
        <color rgb="FF000000"/>
        <rFont val="Times New Roman"/>
      </rPr>
      <t xml:space="preserve">Набор включает следующие элементы: последовательный модуль платы расширения WiFi,
</t>
    </r>
    <r>
      <rPr>
        <sz val="10"/>
        <color rgb="FF000000"/>
        <rFont val="Times New Roman"/>
      </rPr>
      <t>тестовая плата для платы разработки WiFi + модуль Bluetooth, последовательный порт ESP32 с камерой</t>
    </r>
  </si>
  <si>
    <r>
      <rPr>
        <sz val="10"/>
        <color rgb="FF000000"/>
        <rFont val="Times New Roman"/>
      </rPr>
      <t xml:space="preserve">521-207-0205-0009 - Набор
</t>
    </r>
    <r>
      <rPr>
        <sz val="10"/>
        <color rgb="FF000000"/>
        <rFont val="Times New Roman"/>
      </rPr>
      <t>микроконтроллеров типа Crafttronics Lab</t>
    </r>
  </si>
  <si>
    <t>Набор
микроконтроллеров типа Crafttronics Lab</t>
  </si>
  <si>
    <r>
      <rPr>
        <sz val="10"/>
        <color theme="1"/>
        <rFont val="Times New Roman"/>
      </rPr>
      <t>Набор включает в себя основные платы Arduino</t>
    </r>
  </si>
  <si>
    <r>
      <rPr>
        <sz val="10"/>
        <color theme="1"/>
        <rFont val="Times New Roman"/>
      </rPr>
      <t>521-207-0205-0010 - Набор шаговых двигателей типа Crafttronics Lab</t>
    </r>
  </si>
  <si>
    <r>
      <rPr>
        <sz val="10"/>
        <color rgb="FF000000"/>
        <rFont val="Times New Roman"/>
      </rPr>
      <t xml:space="preserve">Набор шаговых моторов плат включает следующие элементы: 4-фазный шаговый двигатель 5 В + плата драйвера,
</t>
    </r>
    <r>
      <rPr>
        <sz val="10"/>
        <color rgb="FF000000"/>
        <rFont val="Times New Roman"/>
      </rPr>
      <t xml:space="preserve">драйвер шагового двигателя Monster Moto Shield VNH3ASP30 с высоким током 30А,
</t>
    </r>
    <r>
      <rPr>
        <sz val="10"/>
        <color rgb="FF000000"/>
        <rFont val="Times New Roman"/>
      </rPr>
      <t xml:space="preserve">TB6600 0. 2-5A Контроллер ЧПУ, Драйвер шагового двигателя Nema 17,23,
</t>
    </r>
    <r>
      <rPr>
        <sz val="10"/>
        <color rgb="FF000000"/>
        <rFont val="Times New Roman"/>
      </rPr>
      <t>Одноосный TB6600 Двухфазный гибридный шаговый двигател, Комплект для 3D-принтера.</t>
    </r>
  </si>
  <si>
    <r>
      <rPr>
        <sz val="10"/>
        <color rgb="FF000000"/>
        <rFont val="Times New Roman"/>
      </rPr>
      <t xml:space="preserve">521-207-0205-0011 - Обучающий
</t>
    </r>
    <r>
      <rPr>
        <sz val="10"/>
        <color rgb="FF000000"/>
        <rFont val="Times New Roman"/>
      </rPr>
      <t>набор электронных схем типа Crafttronics Lab</t>
    </r>
  </si>
  <si>
    <t>Обучающий
набор электронных схем типа Crafttronics Lab</t>
  </si>
  <si>
    <r>
      <rPr>
        <sz val="10"/>
        <color rgb="FF000000"/>
        <rFont val="Times New Roman"/>
      </rPr>
      <t xml:space="preserve">Обучающий набор электронных схем состоит из:
</t>
    </r>
    <r>
      <rPr>
        <sz val="10"/>
        <color rgb="FF000000"/>
        <rFont val="Times New Roman"/>
      </rPr>
      <t xml:space="preserve">Цифровые 4-битные электронные часы WAVGAT AT89C2051: Это электронные часы с 4-битным сегментным дисплеем, которые позволяют отображать время. Они основаны на микроконтроллере AT89C2051.
</t>
    </r>
    <r>
      <rPr>
        <sz val="10"/>
        <color rgb="FF000000"/>
        <rFont val="Times New Roman"/>
      </rPr>
      <t xml:space="preserve">Беспроводной стерео радиоприемник FM, модуль PCB 76 МГц-108 МГц, DC 1,8 в-3,6 В: Этот модуль предоставляет возможность создания беспроводного стерео радиоприемника FM. Он работает в диапазоне частот от 76 МГц до 108 МГц и требует питания от 1,8 В до 3,6 В.
</t>
    </r>
    <r>
      <rPr>
        <sz val="10"/>
        <color rgb="FF000000"/>
        <rFont val="Times New Roman"/>
      </rPr>
      <t xml:space="preserve">Отжим 95 светодиодов, ветровой колокольчик 5 в 9 В. Он включает отжим
</t>
    </r>
    <r>
      <rPr>
        <sz val="10"/>
        <color rgb="FF000000"/>
        <rFont val="Times New Roman"/>
      </rPr>
      <t>с 95 светодиодами, который может создавать разнообразные эффекты освещения, а также ветровой колокольчик, работающий от 5 В до 9 В.</t>
    </r>
  </si>
  <si>
    <r>
      <rPr>
        <sz val="10"/>
        <color rgb="FF000000"/>
        <rFont val="Times New Roman"/>
      </rPr>
      <t xml:space="preserve">521-207-0208-0001 - Набор для
</t>
    </r>
    <r>
      <rPr>
        <sz val="10"/>
        <color rgb="FF000000"/>
        <rFont val="Times New Roman"/>
      </rPr>
      <t>сборки квадрокоптера типа Crafttronics Lab</t>
    </r>
  </si>
  <si>
    <t>Набор для
сборки квадрокоптера типа Crafttronics Lab</t>
  </si>
  <si>
    <r>
      <rPr>
        <sz val="10"/>
        <color rgb="FF000000"/>
        <rFont val="Times New Roman"/>
      </rPr>
      <t xml:space="preserve">Комплектация: "FPV Дрон 5 дюймовый
</t>
    </r>
    <r>
      <rPr>
        <sz val="10"/>
        <color rgb="FF000000"/>
        <rFont val="Times New Roman"/>
      </rPr>
      <t xml:space="preserve">Шлем для FPV режима 2,4ГГц Пульт управления Аккумулятор
</t>
    </r>
    <r>
      <rPr>
        <sz val="10"/>
        <color rgb="FF000000"/>
        <rFont val="Times New Roman"/>
      </rPr>
      <t>Антенны 2,4ГГц Квадрокоптер малых размеров</t>
    </r>
  </si>
  <si>
    <r>
      <rPr>
        <sz val="10"/>
        <color rgb="FF000000"/>
        <rFont val="Times New Roman"/>
      </rPr>
      <t xml:space="preserve">521-207-0209 - Набор
</t>
    </r>
    <r>
      <rPr>
        <sz val="10"/>
        <color rgb="FF000000"/>
        <rFont val="Times New Roman"/>
      </rPr>
      <t>микрокомпьютеров</t>
    </r>
  </si>
  <si>
    <t>Набор
микрокомпьютеров</t>
  </si>
  <si>
    <r>
      <rPr>
        <sz val="10"/>
        <color rgb="FF000000"/>
        <rFont val="Times New Roman"/>
      </rPr>
      <t xml:space="preserve">Набор включает следующие элементы:  Одноплатный микрокомпьютер. Пульт дистанционного управления беспроводной клавиатурой.  Сенсорная панель без батареи для сухих одноразовых элементов AAA.  Беспроводная клавиатура с комплектом мыши.  Плата модуля, модуль инфракрасной
</t>
    </r>
    <r>
      <rPr>
        <sz val="10"/>
        <color rgb="FF000000"/>
        <rFont val="Times New Roman"/>
      </rPr>
      <t>ИК-камеры ночного видения Веб-камера с мощностью не менее 540 Вт</t>
    </r>
  </si>
  <si>
    <r>
      <rPr>
        <sz val="10"/>
        <color theme="1"/>
        <rFont val="Times New Roman"/>
      </rPr>
      <t>521-207-0210 - Паяльная станция</t>
    </r>
  </si>
  <si>
    <r>
      <rPr>
        <sz val="10"/>
        <color rgb="FF000000"/>
        <rFont val="Times New Roman"/>
      </rPr>
      <t xml:space="preserve">Тип устройства: паяльная станция с регулируемой температурой.
</t>
    </r>
    <r>
      <rPr>
        <sz val="10"/>
        <color rgb="FF000000"/>
        <rFont val="Times New Roman"/>
      </rPr>
      <t xml:space="preserve">Регулируемая температура: позволяет пользователю точно настраивать температуру нагрева паяльного жала. Температурный диапазон: разнообразные диапазоны температур для различных типов работ.
</t>
    </r>
    <r>
      <rPr>
        <sz val="10"/>
        <color rgb="FF000000"/>
        <rFont val="Times New Roman"/>
      </rPr>
      <t xml:space="preserve">Поддержка различных паяльных жал: совместима с различными типами и размерами паяльных жал. Встроенный дисплей: дисплей с информацией о текущей температуре и настройках работы. Мощность:не более 80 Вт.
</t>
    </r>
    <r>
      <rPr>
        <sz val="10"/>
        <color rgb="FF000000"/>
        <rFont val="Times New Roman"/>
      </rPr>
      <t>Температурный диапазон: 100°C - 450°C. Длина кабеля: не более 1,5 м.</t>
    </r>
  </si>
  <si>
    <r>
      <rPr>
        <sz val="10"/>
        <color theme="1"/>
        <rFont val="Times New Roman"/>
      </rPr>
      <t>521-207-0211-0001 - Стеллаж для наборов по робототехнике типа CraftLab</t>
    </r>
  </si>
  <si>
    <r>
      <rPr>
        <sz val="10"/>
        <color theme="1"/>
        <rFont val="Times New Roman"/>
      </rPr>
      <t>Стеллаж изготовлен из ЛДСП, толщиной 32 мм, кромка ПВХ. Габариты: 1500 х 450 х 900 мм. Специалированный для наборов лего, 16 ячеек с пластиковыми лотками</t>
    </r>
  </si>
  <si>
    <r>
      <rPr>
        <sz val="10"/>
        <color rgb="FF000000"/>
        <rFont val="Times New Roman"/>
      </rPr>
      <t xml:space="preserve">521-207-0211-0002 - Шкаф
</t>
    </r>
    <r>
      <rPr>
        <sz val="10"/>
        <color rgb="FF000000"/>
        <rFont val="Times New Roman"/>
      </rPr>
      <t>инструментальный по ручным универсальным инструментам типа CraftLab</t>
    </r>
  </si>
  <si>
    <t>Шкаф
инструментальный по ручным универсальным инструментам типа CraftLab</t>
  </si>
  <si>
    <r>
      <rPr>
        <sz val="10"/>
        <color rgb="FF000000"/>
        <rFont val="Times New Roman"/>
      </rPr>
      <t xml:space="preserve">Размеры шкафа 1900х550х1000мм (ВхГхШ), корпус выполнен из ЛДСП. Внутренняя часть состоит из деревянных лотков под каждый инструмент.
</t>
    </r>
    <r>
      <rPr>
        <sz val="10"/>
        <color rgb="FF000000"/>
        <rFont val="Times New Roman"/>
      </rPr>
      <t xml:space="preserve">Содержимое: Лобзик ручной 12шт.
</t>
    </r>
    <r>
      <rPr>
        <sz val="10"/>
        <color rgb="FF000000"/>
        <rFont val="Times New Roman"/>
      </rPr>
      <t xml:space="preserve">Торцевые кусачки 12шт.
</t>
    </r>
    <r>
      <rPr>
        <sz val="10"/>
        <color rgb="FF000000"/>
        <rFont val="Times New Roman"/>
      </rPr>
      <t xml:space="preserve">Угольник 12шт. Отвертка №1 12шт. Отвертка №2 12шт. Отвертка №3 12шт. Отвертка №4 12шт. Отвертка №5 12шт. Отвертка №6 12шт. Отвертка №7 12шт. Отвертка №8 12шт.
</t>
    </r>
    <r>
      <rPr>
        <sz val="10"/>
        <color rgb="FF000000"/>
        <rFont val="Times New Roman"/>
      </rPr>
      <t xml:space="preserve">Ножницы хозяйственные 12шт.
</t>
    </r>
    <r>
      <rPr>
        <sz val="10"/>
        <color rgb="FF000000"/>
        <rFont val="Times New Roman"/>
      </rPr>
      <t xml:space="preserve">Нож канцелярский 12шт.
</t>
    </r>
    <r>
      <rPr>
        <sz val="10"/>
        <color rgb="FF000000"/>
        <rFont val="Times New Roman"/>
      </rPr>
      <t xml:space="preserve">Линейка мал 12шт. Линейка средняя 12шт. Линейка большая 12шт.
</t>
    </r>
    <r>
      <rPr>
        <sz val="10"/>
        <color rgb="FF000000"/>
        <rFont val="Times New Roman"/>
      </rPr>
      <t xml:space="preserve">Шпатель унииверсальный 12шт. Шило квадратное 12шт.
</t>
    </r>
    <r>
      <rPr>
        <sz val="10"/>
        <color rgb="FF000000"/>
        <rFont val="Times New Roman"/>
      </rPr>
      <t xml:space="preserve">Шило круглое 12шт. Струбцина уголвая 6шт.
</t>
    </r>
    <r>
      <rPr>
        <sz val="10"/>
        <color rgb="FF000000"/>
        <rFont val="Times New Roman"/>
      </rPr>
      <t xml:space="preserve">Струбцина клещееобразная 50 - 6шт. Струбцина клещееобразная 75 - 6шт. Струбцина клещееобразная 100 - 6шт.
</t>
    </r>
    <r>
      <rPr>
        <sz val="10"/>
        <color rgb="FF000000"/>
        <rFont val="Times New Roman"/>
      </rPr>
      <t xml:space="preserve">Губка 100 - 6шт. Губка 40 - 6шт. Губка 120 - 6шт.
</t>
    </r>
    <r>
      <rPr>
        <sz val="10"/>
        <color rgb="FF000000"/>
        <rFont val="Times New Roman"/>
      </rPr>
      <t>Рихтовочный молоток 12шт.</t>
    </r>
  </si>
  <si>
    <r>
      <rPr>
        <sz val="10"/>
        <color rgb="FF000000"/>
        <rFont val="Times New Roman"/>
      </rPr>
      <t xml:space="preserve">521-207-0211-0003 - Шкаф
</t>
    </r>
    <r>
      <rPr>
        <sz val="10"/>
        <color rgb="FF000000"/>
        <rFont val="Times New Roman"/>
      </rPr>
      <t>инструментальный по электронике типа CraftLab</t>
    </r>
  </si>
  <si>
    <t>Шкаф
инструментальный по электронике типа CraftLab</t>
  </si>
  <si>
    <r>
      <rPr>
        <sz val="10"/>
        <color rgb="FF000000"/>
        <rFont val="Times New Roman"/>
      </rPr>
      <t xml:space="preserve">Инструментальный шкаф по электронике расчитан для 12 учеников, размер 1900х550х1000мм (ВхГхШ). Корпус выполнен из ЛДСП, внутренняя часть состоит из деревянных лотков под каждый инструмент.
</t>
    </r>
    <r>
      <rPr>
        <sz val="10"/>
        <color rgb="FF000000"/>
        <rFont val="Times New Roman"/>
      </rPr>
      <t xml:space="preserve">Содержимое:
</t>
    </r>
    <r>
      <rPr>
        <sz val="10"/>
        <color rgb="FF000000"/>
        <rFont val="Times New Roman"/>
      </rPr>
      <t xml:space="preserve">ESD 011
</t>
    </r>
    <r>
      <rPr>
        <sz val="10"/>
        <color rgb="FF000000"/>
        <rFont val="Times New Roman"/>
      </rPr>
      <t xml:space="preserve">ESD 012
</t>
    </r>
    <r>
      <rPr>
        <sz val="10"/>
        <color rgb="FF000000"/>
        <rFont val="Times New Roman"/>
      </rPr>
      <t xml:space="preserve">Бокорезы, 130 мм
</t>
    </r>
    <r>
      <rPr>
        <sz val="10"/>
        <color rgb="FF000000"/>
        <rFont val="Times New Roman"/>
      </rPr>
      <t xml:space="preserve">Длинногубцы, 130 мм Длинногубцы изогнутые, 130 мм Острогубцы Mini, 130 мм
</t>
    </r>
    <r>
      <rPr>
        <sz val="10"/>
        <color rgb="FF000000"/>
        <rFont val="Times New Roman"/>
      </rPr>
      <t xml:space="preserve">BST-108 E60WT PH 0
</t>
    </r>
    <r>
      <rPr>
        <sz val="10"/>
        <color rgb="FF000000"/>
        <rFont val="Times New Roman"/>
      </rPr>
      <t xml:space="preserve">PH 00
</t>
    </r>
    <r>
      <rPr>
        <sz val="10"/>
        <color rgb="FF000000"/>
        <rFont val="Times New Roman"/>
      </rPr>
      <t xml:space="preserve">SL 2.0
</t>
    </r>
    <r>
      <rPr>
        <sz val="10"/>
        <color rgb="FF000000"/>
        <rFont val="Times New Roman"/>
      </rPr>
      <t xml:space="preserve">PH 000
</t>
    </r>
    <r>
      <rPr>
        <sz val="10"/>
        <color rgb="FF000000"/>
        <rFont val="Times New Roman"/>
      </rPr>
      <t xml:space="preserve">Клещи для снятия изоляции Insulated FF01-stay
</t>
    </r>
    <r>
      <rPr>
        <sz val="10"/>
        <color rgb="FF000000"/>
        <rFont val="Times New Roman"/>
      </rPr>
      <t>XL830L XL800 XL750ll XL801 XJH01</t>
    </r>
  </si>
  <si>
    <r>
      <rPr>
        <sz val="10"/>
        <color rgb="FF000000"/>
        <rFont val="Times New Roman"/>
      </rPr>
      <t xml:space="preserve">521-207-0211-0004 -
</t>
    </r>
    <r>
      <rPr>
        <sz val="10"/>
        <color rgb="FF000000"/>
        <rFont val="Times New Roman"/>
      </rPr>
      <t>Специализированный стол для паяльного дела типа CraftLab</t>
    </r>
  </si>
  <si>
    <t>521-207-0211-0004 -
Специализированный стол для паяльного дела типа CraftLab</t>
  </si>
  <si>
    <r>
      <rPr>
        <sz val="10"/>
        <color rgb="FF000000"/>
        <rFont val="Times New Roman"/>
      </rPr>
      <t xml:space="preserve">Столешница из клееногоо бруса сосны, толщиной 40 мм. Ножки из профильной трубы, сечением 40х40 мм, окрашенной в порошковую краску.
</t>
    </r>
    <r>
      <rPr>
        <sz val="10"/>
        <color rgb="FF000000"/>
        <rFont val="Times New Roman"/>
      </rPr>
      <t>Имеется дополнительная полка. Габариты: 700*1200*1050мм</t>
    </r>
  </si>
  <si>
    <r>
      <rPr>
        <sz val="10"/>
        <color rgb="FF000000"/>
        <rFont val="Times New Roman"/>
      </rPr>
      <t xml:space="preserve">521-208-0102-0001 - Табурет
</t>
    </r>
    <r>
      <rPr>
        <sz val="10"/>
        <color rgb="FF000000"/>
        <rFont val="Times New Roman"/>
      </rPr>
      <t>винтовой с колесами</t>
    </r>
  </si>
  <si>
    <t>Табурет
винтовой с колесами</t>
  </si>
  <si>
    <r>
      <rPr>
        <sz val="10"/>
        <color theme="1"/>
        <rFont val="Times New Roman"/>
      </rPr>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r>
  </si>
  <si>
    <r>
      <rPr>
        <sz val="10"/>
        <color rgb="FF000000"/>
        <rFont val="Times New Roman"/>
      </rPr>
      <t xml:space="preserve">521-208-0102-0002 - Табурет
</t>
    </r>
    <r>
      <rPr>
        <sz val="10"/>
        <color rgb="FF000000"/>
        <rFont val="Times New Roman"/>
      </rPr>
      <t>винтовой ТВ 2021-2 320*460/600 (с колесами)</t>
    </r>
  </si>
  <si>
    <t>Табурет
винтовой ТВ 2021-2 320*460/600 (с колесами)</t>
  </si>
  <si>
    <r>
      <rPr>
        <sz val="10"/>
        <color theme="1"/>
        <rFont val="Times New Roman"/>
      </rPr>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r>
  </si>
  <si>
    <r>
      <rPr>
        <sz val="10"/>
        <color theme="1"/>
        <rFont val="Times New Roman"/>
      </rPr>
      <t>521-208-0102-0003 - Стул-табурет c колесами регулируемый без верхней спинки типа Suno</t>
    </r>
  </si>
  <si>
    <r>
      <rPr>
        <sz val="10"/>
        <color theme="1"/>
        <rFont val="Times New Roman"/>
      </rPr>
      <t>Табурет лабораторный полиуретановый на газ лифте. Каркас стальной с хромированным покрытием. Регулировка подъёма сиденья. Размеры сиденья: 360*340 мм.</t>
    </r>
  </si>
  <si>
    <r>
      <rPr>
        <sz val="10"/>
        <color theme="1"/>
        <rFont val="Times New Roman"/>
      </rPr>
      <t>521-208-0102-0004 - Стул-табурет с колесами регулируемый. Сиденье эко кожа. Размер: 550х550х525мм</t>
    </r>
  </si>
  <si>
    <r>
      <rPr>
        <sz val="10"/>
        <color theme="1"/>
        <rFont val="Times New Roman"/>
      </rPr>
      <t>Стул-табурет с колесами регулируемый. Размер: 550х550х525мм. Высокий, с сиденьем D-360 мм, пластиковой базой. Сиденье эко кожа.</t>
    </r>
  </si>
  <si>
    <r>
      <rPr>
        <sz val="10"/>
        <color rgb="FF000000"/>
        <rFont val="Times New Roman"/>
      </rPr>
      <t xml:space="preserve">521-208-0102-0005 - Табурет
</t>
    </r>
    <r>
      <rPr>
        <sz val="10"/>
        <color rgb="FF000000"/>
        <rFont val="Times New Roman"/>
      </rPr>
      <t>подъемно-поворотный с регулировкой высоты 420/480 мм</t>
    </r>
  </si>
  <si>
    <t>Табурет
подъемно-поворотный с регулировкой высоты 420/480 мм</t>
  </si>
  <si>
    <r>
      <rPr>
        <sz val="10"/>
        <color rgb="FF000000"/>
        <rFont val="Times New Roman"/>
      </rPr>
      <t xml:space="preserve">Табурет подъемно-поворотный на колесиках.
</t>
    </r>
    <r>
      <rPr>
        <sz val="10"/>
        <color rgb="FF000000"/>
        <rFont val="Times New Roman"/>
      </rPr>
      <t xml:space="preserve">Диаметр сиденья 360 мм. Регулировка высоты посадки 420/480мм.
</t>
    </r>
    <r>
      <rPr>
        <sz val="10"/>
        <color rgb="FF000000"/>
        <rFont val="Times New Roman"/>
      </rPr>
      <t>Материал: крестовина – хром, обивка – эко-кожа</t>
    </r>
  </si>
  <si>
    <r>
      <rPr>
        <sz val="10"/>
        <color rgb="FF000000"/>
        <rFont val="Times New Roman"/>
      </rPr>
      <t xml:space="preserve">521-208-0102-0006 - Табурет
</t>
    </r>
    <r>
      <rPr>
        <sz val="10"/>
        <color rgb="FF000000"/>
        <rFont val="Times New Roman"/>
      </rPr>
      <t>подъемно-поворотный с регулировкой высоты, диаметр сиденья 380мм, материал искусственная кожа</t>
    </r>
  </si>
  <si>
    <t>Табурет
подъемно-поворотный с регулировкой высоты, диаметр сиденья 380мм, материал искусственная кожа</t>
  </si>
  <si>
    <r>
      <rPr>
        <sz val="10"/>
        <color theme="1"/>
        <rFont val="Times New Roman"/>
      </rPr>
      <t>Крестовина пластик, сиденье из искусственной кожи. Часть сиденья выполнена из литой губки и не проваливается. Диаметр сиденья 380мм. Регулировка высоты с помощью однорычажного механизма.  Пластиковые колеса. Высота табурета 310-580мм.</t>
    </r>
  </si>
  <si>
    <r>
      <rPr>
        <sz val="10"/>
        <color rgb="FF000000"/>
        <rFont val="Times New Roman"/>
      </rPr>
      <t xml:space="preserve">521-208-0102-0007 - Табурет
</t>
    </r>
    <r>
      <rPr>
        <sz val="10"/>
        <color rgb="FF000000"/>
        <rFont val="Times New Roman"/>
      </rPr>
      <t>подъемно-поворотный, регулируемое по высоте, сиденье из фанеры, поролон, обтянутое кож.зам</t>
    </r>
  </si>
  <si>
    <t>Табурет
подъемно-поворотный, регулируемое по высоте, сиденье из фанеры, поролон, обтянутое кож.зам</t>
  </si>
  <si>
    <r>
      <rPr>
        <sz val="10"/>
        <color theme="1"/>
        <rFont val="Times New Roman"/>
      </rPr>
      <t>Каркас изготовлен из трубы, поворот – 360°. Высота 420/480 мм</t>
    </r>
  </si>
  <si>
    <r>
      <rPr>
        <sz val="10"/>
        <color theme="1"/>
        <rFont val="Times New Roman"/>
      </rPr>
      <t>521-209-0301-0001 - Лыжи беговые RAS-100 в комплекте с ботинками, лыжными палками, креплениями</t>
    </r>
  </si>
  <si>
    <r>
      <rPr>
        <sz val="10"/>
        <color rgb="FF000000"/>
        <rFont val="Times New Roman"/>
      </rPr>
      <t xml:space="preserve">Лыжи беговые RAS-100 в комплекте ботинки, палки лыжные, крепления.
</t>
    </r>
    <r>
      <rPr>
        <sz val="10"/>
        <color rgb="FF000000"/>
        <rFont val="Times New Roman"/>
      </rPr>
      <t xml:space="preserve">Верх выполнен из синтетического морозостойкого материала с полиуретановым покрытием. Изготовлены с использованием карбонового волокна для максимальной прочности и торсионной жесткости.
</t>
    </r>
    <r>
      <rPr>
        <sz val="10"/>
        <color rgb="FF000000"/>
        <rFont val="Times New Roman"/>
      </rPr>
      <t>Особенности: Сотовый сердечник для минимального веса</t>
    </r>
  </si>
  <si>
    <r>
      <rPr>
        <sz val="10"/>
        <color theme="1"/>
        <rFont val="Times New Roman"/>
      </rPr>
      <t>521-301-0301 - Пластиковая модель штангенциркуля</t>
    </r>
  </si>
  <si>
    <r>
      <rPr>
        <sz val="10"/>
        <color theme="1"/>
        <rFont val="Times New Roman"/>
      </rPr>
      <t>Пластиковая модель штангенциркуля (размер не менее 42х19,5 см) позволяет измерять внешний и внутренний диаметры по сантиметровой шкале (предел 30 см). Можно использовать в практических занятиях по расчету площадей и объемов.</t>
    </r>
  </si>
  <si>
    <r>
      <rPr>
        <sz val="10"/>
        <color theme="1"/>
        <rFont val="Times New Roman"/>
      </rPr>
      <t>521-301-0302 - Набор для изучения вероятности</t>
    </r>
  </si>
  <si>
    <r>
      <rPr>
        <sz val="10"/>
        <color theme="1"/>
        <rFont val="Times New Roman"/>
      </rPr>
      <t>Набор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t>
    </r>
  </si>
  <si>
    <r>
      <rPr>
        <sz val="10"/>
        <color rgb="FF000000"/>
        <rFont val="Times New Roman"/>
      </rPr>
      <t xml:space="preserve">521-301-0303-0001 - Набор для
</t>
    </r>
    <r>
      <rPr>
        <sz val="10"/>
        <color rgb="FF000000"/>
        <rFont val="Times New Roman"/>
      </rPr>
      <t>демонстрации куба и сферы типа Invicta</t>
    </r>
  </si>
  <si>
    <t>Набор для
демонстрации куба и сферы типа Invicta</t>
  </si>
  <si>
    <r>
      <rPr>
        <sz val="10"/>
        <color rgb="FF000000"/>
        <rFont val="Times New Roman"/>
      </rPr>
      <t xml:space="preserve">Состав набора: Куб №1 Параллелепипед 80х80х40 мм красный – 2 шт.; Куб
</t>
    </r>
    <r>
      <rPr>
        <sz val="10"/>
        <color rgb="FF000000"/>
        <rFont val="Times New Roman"/>
      </rPr>
      <t xml:space="preserve">№2 Параллелепипед 80х40х40 мм синий – 2 шт.; Параллелепипед 80х80х20 мм синий – 2 шт.; Куб №3 Параллелепипед 40х40х40 мм желтый – 4 шт.; Параллелепипед 80х80х10 мм желтый – 4 шт.; Шар №1 Полушарие Ø 80 мм и высотой 40 мм красного цвета – 2 шт.; Шар №2 Шаровой сектор Ø 80 мм и высотой 40 мм синего цвета – 2 шт.; Сегмент Ø 65 мм и высотой 18 мм желтого цвета – 1 шт.; Сферический слой  с основаниями Ø 65 и Ø 75 высотой 8 мм желтого цвета – 1 шт.; Сферический слой  с основаниями Ø 75 и Ø 78 высотой 7 мм желтого цвета– 1 шт.; Сферический слой  с основаниями Ø 78 и Ø 80 высотой 7 мм желтого цвета– 1 шт.; Шар №3 Сектор радиусами 40 мм высотой и высотой 40 мм желтого цвета – 4 шт.;
</t>
    </r>
    <r>
      <rPr>
        <sz val="10"/>
        <color rgb="FF000000"/>
        <rFont val="Times New Roman"/>
      </rPr>
      <t xml:space="preserve">Сегмент Ø 74 мм и высотой 26 мм синего цвета– 1 шт.; Сферический слой
</t>
    </r>
    <r>
      <rPr>
        <sz val="10"/>
        <color rgb="FF000000"/>
        <rFont val="Times New Roman"/>
      </rPr>
      <t>с основаниями Ø 74 и Ø 80 высотой 14 мм синего цвета – 1 шт.; Подставка под составные шары высотой 47 мм и внешним диаметром 100 мм – 2 шт.</t>
    </r>
  </si>
  <si>
    <r>
      <rPr>
        <sz val="10"/>
        <color rgb="FF000000"/>
        <rFont val="Times New Roman"/>
      </rPr>
      <t xml:space="preserve">521-301-0305-0001 - Набор для
</t>
    </r>
    <r>
      <rPr>
        <sz val="10"/>
        <color rgb="FF000000"/>
        <rFont val="Times New Roman"/>
      </rPr>
      <t>исследования законов вероятности типа Invicta 113159/42432</t>
    </r>
  </si>
  <si>
    <t>Набор для
исследования законов вероятности типа Invicta 113159/42432</t>
  </si>
  <si>
    <r>
      <rPr>
        <sz val="10"/>
        <color rgb="FF000000"/>
        <rFont val="Times New Roman"/>
      </rPr>
      <t xml:space="preserve">В набор входит четыре комплекта для экспериментального исследования законов вероятности и статистики:  1. Комплект игральных костей  2. Комплект игральных карт  54 карты);  3. Набор пластиковых бутылок ( 6 шт.)  4. Модель нормального распределения. Размер модели  30*30*30 см.
</t>
    </r>
    <r>
      <rPr>
        <sz val="10"/>
        <color rgb="FF000000"/>
        <rFont val="Times New Roman"/>
      </rPr>
      <t>Материал пластик. Шарики одного цвета 150 штук.</t>
    </r>
  </si>
  <si>
    <r>
      <rPr>
        <sz val="10"/>
        <color theme="1"/>
        <rFont val="Times New Roman"/>
      </rPr>
      <t>521-301-0310-0001 - Набор Дробные части квадрата и круга типа Invicta</t>
    </r>
  </si>
  <si>
    <r>
      <rPr>
        <sz val="10"/>
        <color rgb="FF000000"/>
        <rFont val="Times New Roman"/>
      </rPr>
      <t xml:space="preserve">1. Набор для объемного представления дробей в виде кубов и шаров. В набор входит подставка под составные шары высотой 47 мм и внешним
</t>
    </r>
    <r>
      <rPr>
        <sz val="10"/>
        <color rgb="FF000000"/>
        <rFont val="Times New Roman"/>
      </rPr>
      <t>диаметром 100 мм – 2 шт  2.Набор плоских пластиковых пластин квадратной формы, которые могут разделяться на 2, 3, 4 и 6 частей и одна неделимая пластина. 3.Пособие состоит из: 8 кругов, диаметр 100мм, материал прочный пластик, разного цвета, целые и разбиты на разное количество секторов. В пластиковом контейнере цилиндрической формы.</t>
    </r>
  </si>
  <si>
    <r>
      <rPr>
        <sz val="10"/>
        <color rgb="FF000000"/>
        <rFont val="Times New Roman"/>
      </rPr>
      <t xml:space="preserve">521-301-0310-0002 - Набор "Части
</t>
    </r>
    <r>
      <rPr>
        <sz val="10"/>
        <color rgb="FF000000"/>
        <rFont val="Times New Roman"/>
      </rPr>
      <t>целого на круге. Простые дроби"</t>
    </r>
  </si>
  <si>
    <t>Набор "Части
целого на круге. Простые дроби"</t>
  </si>
  <si>
    <r>
      <rPr>
        <sz val="10"/>
        <color theme="1"/>
        <rFont val="Times New Roman"/>
      </rPr>
      <t>Предназначен для демонстрации понятия дроби и представляет собой набор секторов круга, маркированных по его долям. В состав набора входят круг и секторы его – 1/2, 1/3, 1/4, 1/5 и 1/6. Круг и его секторы имеют магниты, что позволяет проводить демонстрацию на стальной классной доске.</t>
    </r>
  </si>
  <si>
    <r>
      <rPr>
        <sz val="10"/>
        <color theme="1"/>
        <rFont val="Times New Roman"/>
      </rPr>
      <t>521-301-0319-0001 - Калькулятор графический типа Texas Instruments TI-84 Plus CE-T</t>
    </r>
  </si>
  <si>
    <t>Калькулятор графический типа Texas Instruments TI-84 Plus CE-T</t>
  </si>
  <si>
    <r>
      <rPr>
        <sz val="10"/>
        <color theme="1"/>
        <rFont val="Times New Roman"/>
      </rPr>
      <t>Инструмент для школьников и студентов по решению математических задач и научной работы, в том числе статистических и финансовых вычислений. Перезаряжаемая батарея TI Rechargeable Battery (в комплекте), обновляемая операционная система, встроенные приложения, возможность использования изображений. Память для хранения результатов расчетов и приложений Flash ROM: 3.0Мб, оперативная память RAM: 154Кб. Цветной дисплей, разрешение экрана: 140 DPI; 16-битная цветовая схема, размер дисплея: 320 x 240 пикселей (2.8" диагональ).</t>
    </r>
  </si>
  <si>
    <r>
      <rPr>
        <sz val="10"/>
        <color rgb="FF000000"/>
        <rFont val="Times New Roman"/>
      </rPr>
      <t xml:space="preserve">521-301-0405-0001 - Источник
</t>
    </r>
    <r>
      <rPr>
        <sz val="10"/>
        <color rgb="FF000000"/>
        <rFont val="Times New Roman"/>
      </rPr>
      <t>бесперебойного питания демонстрационный</t>
    </r>
  </si>
  <si>
    <t>Источник
бесперебойного питания демонстрационный</t>
  </si>
  <si>
    <r>
      <rPr>
        <sz val="10"/>
        <color theme="1"/>
        <rFont val="Times New Roman"/>
      </rPr>
      <t>Интервал регулируемых напряжений постоянного и переменного тока от 2V до 24V, 12 режимов переключения напряжения. Максимальный ток нагрузки 6А. Интервал регулируемых напряжений постоянного тока 6V, 9V, 12V. Максимальный ток нагрузки 1А. Напряжения питания 220V, 50 Hz</t>
    </r>
  </si>
  <si>
    <r>
      <rPr>
        <sz val="10"/>
        <color rgb="FF000000"/>
        <rFont val="Times New Roman"/>
      </rPr>
      <t xml:space="preserve">521-301-0405-0002 - Источник
</t>
    </r>
    <r>
      <rPr>
        <sz val="10"/>
        <color rgb="FF000000"/>
        <rFont val="Times New Roman"/>
      </rPr>
      <t>питания лабораторный</t>
    </r>
  </si>
  <si>
    <t>Источник
питания лабораторный</t>
  </si>
  <si>
    <r>
      <rPr>
        <sz val="10"/>
        <color theme="1"/>
        <rFont val="Times New Roman"/>
      </rPr>
      <t>Источник питания лабораторный. Прибор питается переменным током напряжением 42 V. Выходные напряжения: постоянное фиксированное – 1,5 – 9 V, при токе – 1,5 А.</t>
    </r>
  </si>
  <si>
    <r>
      <rPr>
        <sz val="10"/>
        <color rgb="FF000000"/>
        <rFont val="Times New Roman"/>
      </rPr>
      <t xml:space="preserve">521-301-0405-0003 - Источник
</t>
    </r>
    <r>
      <rPr>
        <sz val="10"/>
        <color rgb="FF000000"/>
        <rFont val="Times New Roman"/>
      </rPr>
      <t>постоянного и переменного напряжения</t>
    </r>
  </si>
  <si>
    <t>Источник
постоянного и переменного напряжения</t>
  </si>
  <si>
    <r>
      <rPr>
        <sz val="10"/>
        <color theme="1"/>
        <rFont val="Times New Roman"/>
      </rPr>
      <t>Плавное регулирование переменного напряжения с частотой 50 Гц в пределах от 0 до 30 В и постоянного (пульсирующего) напряжения с частотой пульсаций 100 Гц в пределах от 0 до 24 В.</t>
    </r>
  </si>
  <si>
    <r>
      <rPr>
        <sz val="10"/>
        <color rgb="FF000000"/>
        <rFont val="Times New Roman"/>
      </rPr>
      <t xml:space="preserve">521-301-0405-0004 - Источник
</t>
    </r>
    <r>
      <rPr>
        <sz val="10"/>
        <color rgb="FF000000"/>
        <rFont val="Times New Roman"/>
      </rPr>
      <t>питания лабораторный с комплектом электрических проводов</t>
    </r>
  </si>
  <si>
    <t>Источник
питания лабораторный с комплектом электрических проводов</t>
  </si>
  <si>
    <r>
      <rPr>
        <sz val="10"/>
        <color rgb="FF000000"/>
        <rFont val="Times New Roman"/>
      </rPr>
      <t xml:space="preserve">Прибор питается переменным током напряжением 42 V. Выходные напряжения постоянное фиксированное 1,5 - 9V при токе 1,5 А. В комплекте содержится 10 гибких изолированных проводов разного цвета и длины с наконечниками. Габаритные размеры: длиной 200мм - 2 шт, 400мм
</t>
    </r>
    <r>
      <rPr>
        <sz val="10"/>
        <color rgb="FF000000"/>
        <rFont val="Times New Roman"/>
      </rPr>
      <t>- 2 шт, 600мм - 2 шт, 800мм - 2 шт, 1000мм - 2 шт, переходники 10 шт</t>
    </r>
  </si>
  <si>
    <r>
      <rPr>
        <sz val="10"/>
        <color theme="1"/>
        <rFont val="Times New Roman"/>
      </rPr>
      <t>521-301-0412-0001 - Динамическая система для работы с беспроводными датчиками DataHarvest 1500PK. Кривая ЭКГ, от 200 до 4000 мкВ. Разрешение ±1 мкВ. Самая высокая скорость регистрации 500 мкс (2 кГц)</t>
    </r>
  </si>
  <si>
    <r>
      <rPr>
        <sz val="10"/>
        <color rgb="FF000000"/>
        <rFont val="Times New Roman"/>
      </rPr>
      <t xml:space="preserve">2 самовыравнивающихся ножки Smart Dynamics 2 магнитных концевых упора Smart Dynamics
</t>
    </r>
    <r>
      <rPr>
        <sz val="10"/>
        <color rgb="FF000000"/>
        <rFont val="Times New Roman"/>
      </rPr>
      <t xml:space="preserve">2 магнитных держателя Smart Dynamics 4 х стальная масса
</t>
    </r>
    <r>
      <rPr>
        <sz val="10"/>
        <color rgb="FF000000"/>
        <rFont val="Times New Roman"/>
      </rPr>
      <t xml:space="preserve">1 х тележка Dynamics белого цвета 1 x корзина Dynamics Blue
</t>
    </r>
    <r>
      <rPr>
        <sz val="10"/>
        <color rgb="FF000000"/>
        <rFont val="Times New Roman"/>
      </rPr>
      <t xml:space="preserve">1 х беспроводной динамический трек 1,2 м 1 х мини-USB-кабель
</t>
    </r>
    <r>
      <rPr>
        <sz val="10"/>
        <color rgb="FF000000"/>
        <rFont val="Times New Roman"/>
      </rPr>
      <t xml:space="preserve">1 x Dynamics Set Сумка с застежками и креплениями Программное обеспечение сбора и обработки данных Easysense2 на трех
</t>
    </r>
    <r>
      <rPr>
        <sz val="10"/>
        <color rgb="FF000000"/>
        <rFont val="Times New Roman"/>
      </rPr>
      <t>языках: каз., рус., англ. языке. Методические пособия.</t>
    </r>
  </si>
  <si>
    <r>
      <rPr>
        <sz val="10"/>
        <color theme="1"/>
        <rFont val="Times New Roman"/>
      </rPr>
      <t>521-301-0412-0002 - Динамическая система для работы с датчиками типа Cobra DigiCart Set 12940-77</t>
    </r>
  </si>
  <si>
    <r>
      <rPr>
        <sz val="10"/>
        <color rgb="FF000000"/>
        <rFont val="Times New Roman"/>
      </rPr>
      <t xml:space="preserve">Через встроенные датчики измеряются следующие параметры: Датчик Силы:
</t>
    </r>
    <r>
      <rPr>
        <sz val="10"/>
        <color rgb="FF000000"/>
        <rFont val="Times New Roman"/>
      </rPr>
      <t xml:space="preserve">Диапазон измерений: 10 Н / 50 Н Разрешение: 0,01 Н / 0,03 Н
</t>
    </r>
    <r>
      <rPr>
        <sz val="10"/>
        <color rgb="FF000000"/>
        <rFont val="Times New Roman"/>
      </rPr>
      <t xml:space="preserve">Частота измерений: 1000 Гц / 5000 Гц Датчик скорости и положения: Диапазон измерений скорости: 3 м/с Диапазон измерений положения: 0,1мм Частота измерений: 800 Гц
</t>
    </r>
    <r>
      <rPr>
        <sz val="10"/>
        <color rgb="FF000000"/>
        <rFont val="Times New Roman"/>
      </rPr>
      <t xml:space="preserve">Датчик ускорения: Диапазон измерений : 16 г Частота измерений: 500 Гц
</t>
    </r>
    <r>
      <rPr>
        <sz val="10"/>
        <color rgb="FF000000"/>
        <rFont val="Times New Roman"/>
      </rPr>
      <t xml:space="preserve">Перезаряжаемый литий-ионный аккумулятор Регулируемая по высоте дорожка, длина 1,2 м
</t>
    </r>
    <r>
      <rPr>
        <sz val="10"/>
        <color rgb="FF000000"/>
        <rFont val="Times New Roman"/>
      </rPr>
      <t>Тележка 2шт. с низким коэффициентом трения для точных измерений Необходимые принадлежности для проведения 8 экспериментов</t>
    </r>
  </si>
  <si>
    <r>
      <rPr>
        <sz val="10"/>
        <color theme="1"/>
        <rFont val="Times New Roman"/>
      </rPr>
      <t>521-301-0412-0003 - Динамическая система типа ScienceCube   SCS-500</t>
    </r>
  </si>
  <si>
    <t>Динамическая система типа ScienceCube   SCS-500</t>
  </si>
  <si>
    <r>
      <rPr>
        <sz val="10"/>
        <color rgb="FF000000"/>
        <rFont val="Times New Roman"/>
      </rPr>
      <t xml:space="preserve">Комплектация:
</t>
    </r>
    <r>
      <rPr>
        <sz val="10"/>
        <color rgb="FF000000"/>
        <rFont val="Times New Roman"/>
      </rPr>
      <t xml:space="preserve">Трек 1,2 м - 1 шт.
</t>
    </r>
    <r>
      <rPr>
        <sz val="10"/>
        <color rgb="FF000000"/>
        <rFont val="Times New Roman"/>
      </rPr>
      <t xml:space="preserve">Одиночный ограничитель конца - 1 шт. Двойной ограничитель конца - 1 шт.
</t>
    </r>
    <r>
      <rPr>
        <sz val="10"/>
        <color rgb="FF000000"/>
        <rFont val="Times New Roman"/>
      </rPr>
      <t xml:space="preserve">Регулируемый ограничитель конца - 1 шт.
</t>
    </r>
    <r>
      <rPr>
        <sz val="10"/>
        <color rgb="FF000000"/>
        <rFont val="Times New Roman"/>
      </rPr>
      <t xml:space="preserve">Тележка с поршнем с двумя магнитами и пенными вставками для включенных концевых крышек - 1 шт.
</t>
    </r>
    <r>
      <rPr>
        <sz val="10"/>
        <color rgb="FF000000"/>
        <rFont val="Times New Roman"/>
      </rPr>
      <t xml:space="preserve">Стандартная тележка с двумя магнитами и пенными вставками для включенных концевых крышек - 1 шт.
</t>
    </r>
    <r>
      <rPr>
        <sz val="10"/>
        <color rgb="FF000000"/>
        <rFont val="Times New Roman"/>
      </rPr>
      <t xml:space="preserve">Кронштейн фотоэлектрического ворота - 2 шт.
</t>
    </r>
    <r>
      <rPr>
        <sz val="10"/>
        <color rgb="FF000000"/>
        <rFont val="Times New Roman"/>
      </rPr>
      <t xml:space="preserve">Кронштейн шкива - 1 шт.
</t>
    </r>
    <r>
      <rPr>
        <sz val="10"/>
        <color rgb="FF000000"/>
        <rFont val="Times New Roman"/>
      </rPr>
      <t xml:space="preserve">Масса 500 г - 1 шт.
</t>
    </r>
    <r>
      <rPr>
        <sz val="10"/>
        <color rgb="FF000000"/>
        <rFont val="Times New Roman"/>
      </rPr>
      <t xml:space="preserve">Зажим для стержня - 1 шт.
</t>
    </r>
    <r>
      <rPr>
        <sz val="10"/>
        <color rgb="FF000000"/>
        <rFont val="Times New Roman"/>
      </rPr>
      <t>Крепеж - 1 набор Мини-гаечный ключ - 1 шт.</t>
    </r>
  </si>
  <si>
    <r>
      <rPr>
        <sz val="10"/>
        <color theme="1"/>
        <rFont val="Times New Roman"/>
      </rPr>
      <t>521-301-0412-0004 - Динамическая система расширенная для работы с датчиками типа Cobra DigiCart Set 12940-88</t>
    </r>
  </si>
  <si>
    <r>
      <rPr>
        <sz val="10"/>
        <color rgb="FF000000"/>
        <rFont val="Times New Roman"/>
      </rPr>
      <t xml:space="preserve">Через встроенные датчики измеряются следующие параметры: Датчик Силы:
</t>
    </r>
    <r>
      <rPr>
        <sz val="10"/>
        <color rgb="FF000000"/>
        <rFont val="Times New Roman"/>
      </rPr>
      <t xml:space="preserve">Диапазон измерений: 10 Н / 50 Н Разрешение: 0,01 Н / 0,03 Н
</t>
    </r>
    <r>
      <rPr>
        <sz val="10"/>
        <color rgb="FF000000"/>
        <rFont val="Times New Roman"/>
      </rPr>
      <t xml:space="preserve">Частота измерений: 1000 Гц / 5000 Гц Датчик скорости и положения: Диапазон измерений скорости: 3 м/с Диапазон измерений положения: 0,1мм Частота измерений: 800 Гц
</t>
    </r>
    <r>
      <rPr>
        <sz val="10"/>
        <color rgb="FF000000"/>
        <rFont val="Times New Roman"/>
      </rPr>
      <t xml:space="preserve">Датчик ускорения: Диапазон измерений : 16 г Частота измерений: 500 Гц
</t>
    </r>
    <r>
      <rPr>
        <sz val="10"/>
        <color rgb="FF000000"/>
        <rFont val="Times New Roman"/>
      </rPr>
      <t xml:space="preserve">Перезаряжаемый литий-ионный аккумулятор Регулируемая по высоте дорожка, длина 1,2 м
</t>
    </r>
    <r>
      <rPr>
        <sz val="10"/>
        <color rgb="FF000000"/>
        <rFont val="Times New Roman"/>
      </rPr>
      <t xml:space="preserve">Тележка 2шт. с низким коэффициентом трения для точных измерений Вибрационный двигатель
</t>
    </r>
    <r>
      <rPr>
        <sz val="10"/>
        <color rgb="FF000000"/>
        <rFont val="Times New Roman"/>
      </rPr>
      <t>Электромагнитное пусковое устройство Необходимые принадлежности для проведения 8 экспериментов</t>
    </r>
  </si>
  <si>
    <r>
      <rPr>
        <sz val="10"/>
        <color theme="1"/>
        <rFont val="Times New Roman"/>
      </rPr>
      <t>521-301-0412-0006 - Динамическая система типа Einstein DT072A</t>
    </r>
  </si>
  <si>
    <r>
      <rPr>
        <sz val="10"/>
        <color rgb="FF000000"/>
        <rFont val="Times New Roman"/>
      </rPr>
      <t xml:space="preserve">Комплектация:
</t>
    </r>
    <r>
      <rPr>
        <sz val="10"/>
        <color rgb="FF000000"/>
        <rFont val="Times New Roman"/>
      </rPr>
      <t xml:space="preserve">1. Дорожка длиной 1,2 м
</t>
    </r>
    <r>
      <rPr>
        <sz val="10"/>
        <color rgb="FF000000"/>
        <rFont val="Times New Roman"/>
      </rPr>
      <t xml:space="preserve">2. Стандартная тележка с двумя неодимовыми магнитами внутри 3.Стандартная тележка с двумя неодимовыми магнитами внутри
</t>
    </r>
    <r>
      <rPr>
        <sz val="10"/>
        <color rgb="FF000000"/>
        <rFont val="Times New Roman"/>
      </rPr>
      <t xml:space="preserve">4. Концевой упор для одной ножки
</t>
    </r>
    <r>
      <rPr>
        <sz val="10"/>
        <color rgb="FF000000"/>
        <rFont val="Times New Roman"/>
      </rPr>
      <t xml:space="preserve">5. Регулируемый концевой упор
</t>
    </r>
    <r>
      <rPr>
        <sz val="10"/>
        <color rgb="FF000000"/>
        <rFont val="Times New Roman"/>
      </rPr>
      <t xml:space="preserve">6. Кольцо столкновения
</t>
    </r>
    <r>
      <rPr>
        <sz val="10"/>
        <color rgb="FF000000"/>
        <rFont val="Times New Roman"/>
      </rPr>
      <t xml:space="preserve">7. Дополнительный вес 50 г 4шт.
</t>
    </r>
    <r>
      <rPr>
        <sz val="10"/>
        <color rgb="FF000000"/>
        <rFont val="Times New Roman"/>
      </rPr>
      <t xml:space="preserve">8. Два кронштейна для фотодатчиков и датчиков расстояния
</t>
    </r>
    <r>
      <rPr>
        <sz val="10"/>
        <color rgb="FF000000"/>
        <rFont val="Times New Roman"/>
      </rPr>
      <t xml:space="preserve">9. Держатель кронштейна
</t>
    </r>
    <r>
      <rPr>
        <sz val="10"/>
        <color rgb="FF000000"/>
        <rFont val="Times New Roman"/>
      </rPr>
      <t xml:space="preserve">10. Шкив
</t>
    </r>
    <r>
      <rPr>
        <sz val="10"/>
        <color rgb="FF000000"/>
        <rFont val="Times New Roman"/>
      </rPr>
      <t xml:space="preserve">11. Флаги световой барьер
</t>
    </r>
    <r>
      <rPr>
        <sz val="10"/>
        <color rgb="FF000000"/>
        <rFont val="Times New Roman"/>
      </rPr>
      <t>12. Держатель флага перпендикулярный</t>
    </r>
  </si>
  <si>
    <r>
      <rPr>
        <sz val="10"/>
        <color rgb="FF000000"/>
        <rFont val="Times New Roman"/>
      </rPr>
      <t xml:space="preserve">521-301-0421-0008 - Регистратор данных со специальным ПО на русском языке для приема и обработки информации, комплексом лабораторных работ по химии, физики и биологии.
</t>
    </r>
    <r>
      <rPr>
        <sz val="10"/>
        <color rgb="FF000000"/>
        <rFont val="Times New Roman"/>
      </rPr>
      <t xml:space="preserve">Дисплей: 7 дюймов TFT-LCD сенсорным экраном, 1024 x 600 пиксель, 16.7M цветов. Порты подключения USB 2.0: 3 шт.
</t>
    </r>
    <r>
      <rPr>
        <sz val="10"/>
        <color rgb="FF000000"/>
        <rFont val="Times New Roman"/>
      </rPr>
      <t>Дополнительный порт USB 2.0: 1 шт. Порты подключения датчиков аналоговый/цифр. - 4 шт. (12bit ADC)</t>
    </r>
  </si>
  <si>
    <t>Регистратор данных со специальным ПО на русском языке для приема и обработки информации, комплексом лабораторных работ по химии, физики и биологии.
Дисплей: 7 дюймов TFT-LCD сенсорным экраном, 1024 x 600 пиксель, 16.7M цветов. Порты подключения USB 2.0: 3 шт.
Дополнительный порт USB 2.0: 1 шт. Порты подключения датчиков аналоговый/цифр.</t>
  </si>
  <si>
    <t>4 шт. (12bit ADC)</t>
  </si>
  <si>
    <r>
      <rPr>
        <sz val="10"/>
        <color rgb="FF000000"/>
        <rFont val="Times New Roman"/>
      </rPr>
      <t xml:space="preserve">Регистратор данных:  Процессор: 1GHz ARM CortexTM-A8, 32bit RISC, 32/32 KB I/D Cache. 512 KB L2 Cache Память: 256MB mobile DDR RAM 1GB NAND Flash Операционнаясистема  Дисплей: 7" TFT-LCD сенсорным экраном, 1024 x 600 pixel, 16.7M цветов Порты подключения USB 2.0: 3 шт.
</t>
    </r>
    <r>
      <rPr>
        <sz val="10"/>
        <color rgb="FF000000"/>
        <rFont val="Times New Roman"/>
      </rPr>
      <t xml:space="preserve">Дополнительный порт USB 2.0: 1 шт. 10/100Mbps LAN порт: 1шт. Порт подключения наушников. Слот для SD карты - 1 шт.  Внешний порт VGA out (D-sub) - 1 шт. Порт для адаптера 12V, 3.5A, DC - 1 шт. Заглушка WiFi, внутренний USB порт с поддержкой 802.11b/g - 1 шт. Порты подключения датчиков аналоговый/цифр. - 4 шт. (12bit ADC)  Цифровой порт ввода/вывод: 2 порта (SPI &amp; DIO) Частота отбора проб: максимум 500KHz/канал Разрешение: 12 bit A/D Программное обеспечение для комплекта компьютерных измерительных датчиков и регистратора данных Software YS iLAB 8.0 на русском языке предназначено для записи, демонстрации, анализа данных и повторного воспроизведения сохраненных данных.Поддержка и отображение работы трех датчиков одновременно.
</t>
    </r>
    <r>
      <rPr>
        <sz val="10"/>
        <color rgb="FF000000"/>
        <rFont val="Times New Roman"/>
      </rPr>
      <t xml:space="preserve">Комплекс лабораторных работ по химии, физики и биологии (методическое пособие) с использованием регистратора данных и датчиков на русском языке. В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t>
    </r>
    <r>
      <rPr>
        <sz val="10"/>
        <color rgb="FF000000"/>
        <rFont val="Times New Roman"/>
      </rPr>
      <t>дополнительные задания.</t>
    </r>
  </si>
  <si>
    <r>
      <rPr>
        <sz val="10"/>
        <color theme="1"/>
        <rFont val="Times New Roman"/>
      </rPr>
      <t>521-301-0501 - Набор пружин с различной жесткостью</t>
    </r>
  </si>
  <si>
    <r>
      <rPr>
        <sz val="10"/>
        <color rgb="FF000000"/>
        <rFont val="Times New Roman"/>
      </rPr>
      <t xml:space="preserve">В состав набора входят 5 пружин со следующими характеристиками: пружина №, длина намотки витков в мм, диаметр витка в мм, жесткость пружины в Н/м 1 75 21 25 2 71 19 15 3 62 18 10 4 62 15 5 5 40 16 2,5 Все
</t>
    </r>
    <r>
      <rPr>
        <sz val="10"/>
        <color rgb="FF000000"/>
        <rFont val="Times New Roman"/>
      </rPr>
      <t>пружины в верхней части имеют кольцо для подвешивания на штативе или гвоздике, вбитой в стену. К нижней части пружин прикреплены одинакового размера проволочные крючки. Крючки оснащены стрелочными указателями, которые могут перемещаться вдоль проволоки крючка.</t>
    </r>
  </si>
  <si>
    <r>
      <rPr>
        <sz val="10"/>
        <color rgb="FF000000"/>
        <rFont val="Times New Roman"/>
      </rPr>
      <t xml:space="preserve">521-301-0503-0001 - Весы
</t>
    </r>
    <r>
      <rPr>
        <sz val="10"/>
        <color rgb="FF000000"/>
        <rFont val="Times New Roman"/>
      </rPr>
      <t>электронные до 200гр (0,1г)</t>
    </r>
  </si>
  <si>
    <t>Весы
электронные до 200гр (0,1г)</t>
  </si>
  <si>
    <r>
      <rPr>
        <sz val="10"/>
        <color rgb="FF000000"/>
        <rFont val="Times New Roman"/>
      </rPr>
      <t xml:space="preserve">Назначение: Выбирать и использовать приборы для определения массы.
</t>
    </r>
    <r>
      <rPr>
        <sz val="10"/>
        <color rgb="FF000000"/>
        <rFont val="Times New Roman"/>
      </rPr>
      <t>Проводить эксперимент и фиксировать его результаты в таблице.</t>
    </r>
  </si>
  <si>
    <r>
      <rPr>
        <sz val="10"/>
        <color rgb="FF000000"/>
        <rFont val="Times New Roman"/>
      </rPr>
      <t xml:space="preserve">521-301-0503-0002 - Весы
</t>
    </r>
    <r>
      <rPr>
        <sz val="10"/>
        <color rgb="FF000000"/>
        <rFont val="Times New Roman"/>
      </rPr>
      <t>лабораторные. Максимальный вес взвешивания 200г</t>
    </r>
  </si>
  <si>
    <t>Весы
лабораторные. Максимальный вес взвешивания 200г</t>
  </si>
  <si>
    <r>
      <rPr>
        <sz val="10"/>
        <color rgb="FF000000"/>
        <rFont val="Times New Roman"/>
      </rPr>
      <t xml:space="preserve">Весы лабораторные. Весы учебные с гирями. Максимальный вес взвешивания до 200 г. Чувствительность 20мг.
</t>
    </r>
    <r>
      <rPr>
        <sz val="10"/>
        <color rgb="FF000000"/>
        <rFont val="Times New Roman"/>
      </rPr>
      <t xml:space="preserve">В комплект входят: весы – 1 шт., чашки – 2 шт.,
</t>
    </r>
    <r>
      <rPr>
        <sz val="10"/>
        <color rgb="FF000000"/>
        <rFont val="Times New Roman"/>
      </rPr>
      <t>набор гирь технических 4 класса в комплектации Г4-211.10 – 1 шт., руководство по эксплуатации – 1 шт.</t>
    </r>
  </si>
  <si>
    <r>
      <rPr>
        <sz val="10"/>
        <color rgb="FF000000"/>
        <rFont val="Times New Roman"/>
      </rPr>
      <t xml:space="preserve">521-301-0503-0003 - Весы
</t>
    </r>
    <r>
      <rPr>
        <sz val="10"/>
        <color rgb="FF000000"/>
        <rFont val="Times New Roman"/>
      </rPr>
      <t>технические. Диапазон измерений 0,05-1000г. Цена деления 0,05г</t>
    </r>
  </si>
  <si>
    <t>Весы
технические. Диапазон измерений 0,05-1000г. Цена деления 0,05г</t>
  </si>
  <si>
    <r>
      <rPr>
        <sz val="10"/>
        <color theme="1"/>
        <rFont val="Times New Roman"/>
      </rPr>
      <t>Весы технические. Диапазон измерений 0,05-1000г. Цена деления 0,05г.</t>
    </r>
  </si>
  <si>
    <r>
      <rPr>
        <sz val="10"/>
        <color rgb="FF000000"/>
        <rFont val="Times New Roman"/>
      </rPr>
      <t xml:space="preserve">521-301-0503-0004 - Весы
</t>
    </r>
    <r>
      <rPr>
        <sz val="10"/>
        <color rgb="FF000000"/>
        <rFont val="Times New Roman"/>
      </rPr>
      <t>лабораторные. Допускаемая максимальная нагрузка 200г, чувствительность 20мг</t>
    </r>
  </si>
  <si>
    <t>Весы
лабораторные. Допускаемая максимальная нагрузка 200г, чувствительность 20мг</t>
  </si>
  <si>
    <r>
      <rPr>
        <sz val="10"/>
        <color rgb="FF000000"/>
        <rFont val="Times New Roman"/>
      </rPr>
      <t xml:space="preserve">Допускаемая максимальная нагрузка 200г, чувствительность 20мг.
</t>
    </r>
    <r>
      <rPr>
        <sz val="10"/>
        <color rgb="FF000000"/>
        <rFont val="Times New Roman"/>
      </rPr>
      <t>Укомплектованы набором разновесов от 1 до 50 г. Весы изготовлены из стали с покрытием. Чашки и основание изготовлены из пластмассы.</t>
    </r>
  </si>
  <si>
    <r>
      <rPr>
        <sz val="10"/>
        <color rgb="FF000000"/>
        <rFont val="Times New Roman"/>
      </rPr>
      <t xml:space="preserve">521-301-0503-0005 - Весы
</t>
    </r>
    <r>
      <rPr>
        <sz val="10"/>
        <color rgb="FF000000"/>
        <rFont val="Times New Roman"/>
      </rPr>
      <t>электронные. Диапазон взвешивания 0-200г, погрешность 0,1г, размер чашки весов 115мм</t>
    </r>
  </si>
  <si>
    <t>Весы
электронные. Диапазон взвешивания 0-200г, погрешность 0,1г, размер чашки весов 115мм</t>
  </si>
  <si>
    <r>
      <rPr>
        <sz val="10"/>
        <color theme="1"/>
        <rFont val="Times New Roman"/>
      </rPr>
      <t>Весы электронные. Диапазон взвешивания 0-200г, погрешность 0,1г, размер чашки весов 115мм. Питается от элемента питания напряжением 5В и от сети - 220V. Габаритные размеры: не менее 190х138х28мм</t>
    </r>
  </si>
  <si>
    <r>
      <rPr>
        <sz val="10"/>
        <color rgb="FF000000"/>
        <rFont val="Times New Roman"/>
      </rPr>
      <t xml:space="preserve">521-301-0503-0006 - Весы
</t>
    </r>
    <r>
      <rPr>
        <sz val="10"/>
        <color rgb="FF000000"/>
        <rFont val="Times New Roman"/>
      </rPr>
      <t>технические. Диапазон измерений: 50-1000 г</t>
    </r>
  </si>
  <si>
    <t>Весы
технические. Диапазон измерений: 50-1000 г</t>
  </si>
  <si>
    <r>
      <rPr>
        <sz val="10"/>
        <color theme="1"/>
        <rFont val="Times New Roman"/>
      </rPr>
      <t>Цена деления шкалы и допустимая погрешность из-за неравноплечности: при 10% нагрузке 60 мг, при 100% нагрузке 100 мг. Допустимая погрешность: +25 мг. Размер 495х225х450 мм</t>
    </r>
  </si>
  <si>
    <r>
      <rPr>
        <sz val="10"/>
        <color rgb="FF000000"/>
        <rFont val="Times New Roman"/>
      </rPr>
      <t xml:space="preserve">521-301-0503-0007 - Весы
</t>
    </r>
    <r>
      <rPr>
        <sz val="10"/>
        <color rgb="FF000000"/>
        <rFont val="Times New Roman"/>
      </rPr>
      <t>электронные до 1000 г (0,2г)</t>
    </r>
  </si>
  <si>
    <t>Весы
электронные до 1000 г (0,2г)</t>
  </si>
  <si>
    <r>
      <rPr>
        <sz val="10"/>
        <color theme="1"/>
        <rFont val="Times New Roman"/>
      </rPr>
      <t>Допустимая нагрузка 1000г. Точность взвешивания 0,2г.</t>
    </r>
  </si>
  <si>
    <r>
      <rPr>
        <sz val="10"/>
        <color rgb="FF000000"/>
        <rFont val="Times New Roman"/>
      </rPr>
      <t xml:space="preserve">521-301-0508-0002 - Комплект
</t>
    </r>
    <r>
      <rPr>
        <sz val="10"/>
        <color rgb="FF000000"/>
        <rFont val="Times New Roman"/>
      </rPr>
      <t>динамометров</t>
    </r>
  </si>
  <si>
    <t>Комплект
динамометров</t>
  </si>
  <si>
    <r>
      <rPr>
        <sz val="10"/>
        <color rgb="FF000000"/>
        <rFont val="Times New Roman"/>
      </rPr>
      <t xml:space="preserve">В состав комплекта входят:
</t>
    </r>
    <r>
      <rPr>
        <sz val="10"/>
        <color rgb="FF000000"/>
        <rFont val="Times New Roman"/>
      </rPr>
      <t xml:space="preserve">5 динамометров. Диапазон измерения от 0 до 1 Н, от 0 до 2 Н, от 0 до 2.5 Н,
</t>
    </r>
    <r>
      <rPr>
        <sz val="10"/>
        <color rgb="FF000000"/>
        <rFont val="Times New Roman"/>
      </rPr>
      <t>от 0 до 5Н, от 0 до 10 Н.</t>
    </r>
  </si>
  <si>
    <r>
      <rPr>
        <sz val="10"/>
        <color theme="1"/>
        <rFont val="Times New Roman"/>
      </rPr>
      <t>521-301-0508-0003 - Динамометр демонстрационный. Максимальная нагрузка 10 Н</t>
    </r>
  </si>
  <si>
    <t>Динамометр демонстрационный. Максимальная нагрузка 10 Н</t>
  </si>
  <si>
    <r>
      <rPr>
        <sz val="10"/>
        <color theme="1"/>
        <rFont val="Times New Roman"/>
      </rPr>
      <t>Динамометр изготовлен в виде круглого металлического кожуха, имеющего с одной стороны циферблат со стрелкой, а с другой –механизм. Стрелка и циферблат закрыты прозрачной крышкой. Шкала циферблата имеет влево и вправо от нуля 10 делений ценой один ньютон каждое. Максимальная нагрузка 10 Н.</t>
    </r>
  </si>
  <si>
    <r>
      <rPr>
        <sz val="10"/>
        <color theme="1"/>
        <rFont val="Times New Roman"/>
      </rPr>
      <t>521-301-0510 - Камертоны на резонансных ящиках (пара)</t>
    </r>
  </si>
  <si>
    <r>
      <rPr>
        <sz val="10"/>
        <color theme="1"/>
        <rFont val="Times New Roman"/>
      </rPr>
      <t>Частота звуковых колебаний камертонов - 440 Гц. Внутренний объем резонирующего ящика - 409 куб.см. Каждый камертон представляет собой массивную стальную вилку на ножке. Вилка имеет строго определенную длину ветвей прямоугольного сечения. Камертоны тщательно настроены в унисон на частоту 440 Гц (тон "ля" первой октавы). Резонирующие ящики камертонов имеют одну открытую стенку и на верхней доске - втулку для установки камертона, а внизу - резиновые ножки. Комплектация: Камертон на ящике - 2 шт., молоточек - 1 шт.</t>
    </r>
  </si>
  <si>
    <r>
      <rPr>
        <sz val="10"/>
        <color theme="1"/>
        <rFont val="Times New Roman"/>
      </rPr>
      <t>521-301-0511 - Комплект блоков демонстрационных</t>
    </r>
  </si>
  <si>
    <r>
      <rPr>
        <sz val="10"/>
        <color theme="1"/>
        <rFont val="Times New Roman"/>
      </rPr>
      <t>Используется для проведения демонстрационных работ по механике в курсе физики. Комплектация: Блок одинарный – 2 шт., блок двойной – 2 шт., блок тройной – 2 шт.</t>
    </r>
  </si>
  <si>
    <r>
      <rPr>
        <sz val="10"/>
        <color rgb="FF000000"/>
        <rFont val="Times New Roman"/>
      </rPr>
      <t xml:space="preserve">521-301-0512-0001 - Омметр
</t>
    </r>
    <r>
      <rPr>
        <sz val="10"/>
        <color rgb="FF000000"/>
        <rFont val="Times New Roman"/>
      </rPr>
      <t xml:space="preserve">лабораторный. Диапазон измерения до 120 MΩ. Скорость измерения от
</t>
    </r>
    <r>
      <rPr>
        <sz val="10"/>
        <color rgb="FF000000"/>
        <rFont val="Times New Roman"/>
      </rPr>
      <t>0.9 мс с точностью от 0,006%</t>
    </r>
  </si>
  <si>
    <t>Омметр
лабораторный. Диапазон измерения до 120 MΩ. Скорость измерения от
0.9 мс с точностью от 0,006%</t>
  </si>
  <si>
    <r>
      <rPr>
        <sz val="10"/>
        <color rgb="FF000000"/>
        <rFont val="Times New Roman"/>
      </rPr>
      <t xml:space="preserve">Широкий диапазон измерения до 120 MΩ. Скорость измерения от 0.9 мс с точностью от 0,006%. Оборудован внешним вход/выходом, GP-IB и
</t>
    </r>
    <r>
      <rPr>
        <sz val="10"/>
        <color rgb="FF000000"/>
        <rFont val="Times New Roman"/>
      </rPr>
      <t>RS-232C интерфейсами</t>
    </r>
  </si>
  <si>
    <r>
      <rPr>
        <sz val="10"/>
        <color rgb="FF000000"/>
        <rFont val="Times New Roman"/>
      </rPr>
      <t xml:space="preserve">521-301-0513 - Магнит
</t>
    </r>
    <r>
      <rPr>
        <sz val="10"/>
        <color rgb="FF000000"/>
        <rFont val="Times New Roman"/>
      </rPr>
      <t>демонстрационный U-образный</t>
    </r>
  </si>
  <si>
    <t>Магнит
демонстрационный U-образный</t>
  </si>
  <si>
    <r>
      <rPr>
        <sz val="10"/>
        <color rgb="FF000000"/>
        <rFont val="Times New Roman"/>
      </rPr>
      <t xml:space="preserve">Магнит U-образный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Магнит изготовлен из полосовой стали. Каждая половина магнита должна окрашена в разный цвет.
</t>
    </r>
    <r>
      <rPr>
        <sz val="10"/>
        <color rgb="FF000000"/>
        <rFont val="Times New Roman"/>
      </rPr>
      <t>Комплектность: Магнит U-образный 78*60*29 мм – 1 шт., Стальная пластина – 1 шт.</t>
    </r>
  </si>
  <si>
    <r>
      <rPr>
        <sz val="10"/>
        <color rgb="FF000000"/>
        <rFont val="Times New Roman"/>
      </rPr>
      <t xml:space="preserve">521-301-0514 - Магнит
</t>
    </r>
    <r>
      <rPr>
        <sz val="10"/>
        <color rgb="FF000000"/>
        <rFont val="Times New Roman"/>
      </rPr>
      <t>демонстрационный полосовой</t>
    </r>
  </si>
  <si>
    <t>Магнит
демонстрационный полосовой</t>
  </si>
  <si>
    <r>
      <rPr>
        <sz val="10"/>
        <color rgb="FF000000"/>
        <rFont val="Times New Roman"/>
      </rPr>
      <t xml:space="preserve">Магниты должны быть изготовлены из ферромагнитного вещества.
</t>
    </r>
    <r>
      <rPr>
        <sz val="10"/>
        <color rgb="FF000000"/>
        <rFont val="Times New Roman"/>
      </rPr>
      <t>Половины магнита должны обозначены красной и синей термоусадочной пленкой или краской.</t>
    </r>
  </si>
  <si>
    <r>
      <rPr>
        <sz val="10"/>
        <color rgb="FF000000"/>
        <rFont val="Times New Roman"/>
      </rPr>
      <t xml:space="preserve">521-301-0515-0001 - Прибор с
</t>
    </r>
    <r>
      <rPr>
        <sz val="10"/>
        <color rgb="FF000000"/>
        <rFont val="Times New Roman"/>
      </rPr>
      <t>манометром для исследования газовых законов типа Experia PHE-014</t>
    </r>
  </si>
  <si>
    <t>Прибор с
манометром для исследования газовых законов типа Experia PHE-014</t>
  </si>
  <si>
    <r>
      <rPr>
        <sz val="10"/>
        <color theme="1"/>
        <rFont val="Times New Roman"/>
      </rPr>
      <t>Комплектация:  кейс с крышкой - 1шт ,  лоток со вставкой - 1шт, пластиковый стакан – 1 шт., шприц 1 шт, встроенный в стакан – 1 шт., фиксатор металлический – 1 шт., зажим – 1 шт., манометр демонстрационный – 1 шт., тройник – 1 шт., трубки силиконовые (внутренний диаметр 4 мм, длина 13 см) – 2 шт., трубка силиконовая  – 1 шт., руководство по эксплуатации – 1 шт.</t>
    </r>
  </si>
  <si>
    <r>
      <rPr>
        <sz val="10"/>
        <color rgb="FF000000"/>
        <rFont val="Times New Roman"/>
      </rPr>
      <t xml:space="preserve">521-301-0515-0002 - Манометр
</t>
    </r>
    <r>
      <rPr>
        <sz val="10"/>
        <color rgb="FF000000"/>
        <rFont val="Times New Roman"/>
      </rPr>
      <t>жидкостной демонстрационный</t>
    </r>
  </si>
  <si>
    <t>Манометр
жидкостной демонстрационный</t>
  </si>
  <si>
    <r>
      <rPr>
        <sz val="10"/>
        <color theme="1"/>
        <rFont val="Times New Roman"/>
      </rPr>
      <t>Манометр открытый демонстрационный предназначен для измерения давления до 0,004 МПа, а также изменения давлений при различных демонстрационных опытах. Прибор представляет собой U-образную стеклянную трубку, укрепленную на стойке со шкалой с делениями через 5 мм и нулем по середине. Сзади стойки закреплен пластмассовый тройник и муфта с винтом для крепления манометра. К прибору прилагается резиновая трубка. Комплектация: Манометр на стойке - 1 шт., тройник - 1 шт., трубка резиновая - 1 шт.</t>
    </r>
  </si>
  <si>
    <r>
      <rPr>
        <sz val="10"/>
        <color theme="1"/>
        <rFont val="Times New Roman"/>
      </rPr>
      <t>521-301-0516 - Генератор Вимшурста</t>
    </r>
  </si>
  <si>
    <r>
      <rPr>
        <sz val="10"/>
        <color theme="1"/>
        <rFont val="Times New Roman"/>
      </rPr>
      <t>Прибор предназначен для проведения демонстрационных опытов по курсу "Электричество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т.д. Все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t>
    </r>
  </si>
  <si>
    <r>
      <rPr>
        <sz val="10"/>
        <color rgb="FF000000"/>
        <rFont val="Times New Roman"/>
      </rPr>
      <t xml:space="preserve">521-301-0521-0001 - Набор из 5
</t>
    </r>
    <r>
      <rPr>
        <sz val="10"/>
        <color rgb="FF000000"/>
        <rFont val="Times New Roman"/>
      </rPr>
      <t>шаров</t>
    </r>
  </si>
  <si>
    <t>Набор из 5
шаров</t>
  </si>
  <si>
    <r>
      <rPr>
        <sz val="10"/>
        <color theme="1"/>
        <rFont val="Times New Roman"/>
      </rPr>
      <t>Комплектность: шарик металлический диаметом 24 мм – 1 шт., шарики металлические диаметром 16 мм – 2 шт., шарик металлический диаметром 12 мм – 1 шт., шарик пластмассовый диаметром 20 мм – 1 шт., магнитные подвесы – 2 шт., руководство по эксплуатации – 1 шт.</t>
    </r>
  </si>
  <si>
    <r>
      <rPr>
        <sz val="10"/>
        <color rgb="FF000000"/>
        <rFont val="Times New Roman"/>
      </rPr>
      <t xml:space="preserve">521-301-0521-0002 - Набор из 5
</t>
    </r>
    <r>
      <rPr>
        <sz val="10"/>
        <color rgb="FF000000"/>
        <rFont val="Times New Roman"/>
      </rPr>
      <t>шаров маятников со штативом</t>
    </r>
  </si>
  <si>
    <t>Набор из 5
шаров маятников со штативом</t>
  </si>
  <si>
    <r>
      <rPr>
        <sz val="10"/>
        <color rgb="FF000000"/>
        <rFont val="Times New Roman"/>
      </rPr>
      <t xml:space="preserve">Состоит из 3 металлических и 2 пластмассовых шариков разного диаметра. Каждый шарик имеет отверстие для закрепления нити. Моделирование маятников производится на штативе, состоящем из металлической подставки, металлической стойки, алюминиевой муфты и металлического
</t>
    </r>
    <r>
      <rPr>
        <sz val="10"/>
        <color rgb="FF000000"/>
        <rFont val="Times New Roman"/>
      </rPr>
      <t>стержня</t>
    </r>
  </si>
  <si>
    <r>
      <rPr>
        <sz val="10"/>
        <color rgb="FF000000"/>
        <rFont val="Times New Roman"/>
      </rPr>
      <t xml:space="preserve">521-301-0523-0001 - Набор
</t>
    </r>
    <r>
      <rPr>
        <sz val="10"/>
        <color rgb="FF000000"/>
        <rFont val="Times New Roman"/>
      </rPr>
      <t>капилярных трубок лабораторных</t>
    </r>
  </si>
  <si>
    <t>Набор
капилярных трубок лабораторных</t>
  </si>
  <si>
    <r>
      <rPr>
        <sz val="10"/>
        <color theme="1"/>
        <rFont val="Times New Roman"/>
      </rPr>
      <t>Предназначены для демонстрации капиллярных явлений в трубках разного диаметра. Прибор состоит из набора стеклянных сообщающихся сосудов разного диаметра, закрепленных на общей пластмассовой подставке. Длина капиллярных трубок 80мм</t>
    </r>
  </si>
  <si>
    <r>
      <rPr>
        <sz val="10"/>
        <color theme="1"/>
        <rFont val="Times New Roman"/>
      </rPr>
      <t>521-301-0527 - Набор резисторов</t>
    </r>
  </si>
  <si>
    <r>
      <rPr>
        <sz val="10"/>
        <color theme="1"/>
        <rFont val="Times New Roman"/>
      </rPr>
      <t>В наборе имеется три проволочных резистора сопротивлением 5 Ohm/1,5A, 10 Ohm/1A и 15 Оhm/0,6A.</t>
    </r>
  </si>
  <si>
    <r>
      <rPr>
        <sz val="10"/>
        <color rgb="FF000000"/>
        <rFont val="Times New Roman"/>
      </rPr>
      <t xml:space="preserve">521-301-0529-0001 - Прибор для
</t>
    </r>
    <r>
      <rPr>
        <sz val="10"/>
        <color rgb="FF000000"/>
        <rFont val="Times New Roman"/>
      </rPr>
      <t>определения точки росы</t>
    </r>
  </si>
  <si>
    <t>Прибор для
определения точки росы</t>
  </si>
  <si>
    <r>
      <rPr>
        <sz val="10"/>
        <color theme="1"/>
        <rFont val="Times New Roman"/>
      </rPr>
      <t>Это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Когда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Температура в этот момент называется температурой точки росы.</t>
    </r>
  </si>
  <si>
    <r>
      <rPr>
        <sz val="10"/>
        <color rgb="FF000000"/>
        <rFont val="Times New Roman"/>
      </rPr>
      <t xml:space="preserve">521-301-0529-0002 - Прибор для
</t>
    </r>
    <r>
      <rPr>
        <sz val="10"/>
        <color rgb="FF000000"/>
        <rFont val="Times New Roman"/>
      </rPr>
      <t>демонстрации возникновения электродвижущей силы в магнитном поле</t>
    </r>
  </si>
  <si>
    <t>Прибор для
демонстрации возникновения электродвижущей силы в магнитном поле</t>
  </si>
  <si>
    <r>
      <rPr>
        <sz val="10"/>
        <color theme="1"/>
        <rFont val="Times New Roman"/>
      </rPr>
      <t>Комплектность и устройство комплект входят:  • рамка с медным проводом в сборе – 1 шт.,  • цилиндрические магниты редкоземельные – 2 шт.,  •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t>
    </r>
  </si>
  <si>
    <r>
      <rPr>
        <sz val="10"/>
        <color rgb="FF000000"/>
        <rFont val="Times New Roman"/>
      </rPr>
      <t xml:space="preserve">521-301-0529-0003 - Султан
</t>
    </r>
    <r>
      <rPr>
        <sz val="10"/>
        <color rgb="FF000000"/>
        <rFont val="Times New Roman"/>
      </rPr>
      <t>электрический</t>
    </r>
  </si>
  <si>
    <t>Султан
электрический</t>
  </si>
  <si>
    <r>
      <rPr>
        <sz val="10"/>
        <color rgb="FF000000"/>
        <rFont val="Times New Roman"/>
      </rPr>
      <t xml:space="preserve">Прибор состоит из двух одинаковых султанов с бумажными полосками или шелковыми нитями разного цвета. Каждый султан изготовлен из металлического стержня, на одном конце которого ввинчены два металлических диска. Между дисками зажаты тонкие бумажные полоски.
</t>
    </r>
    <r>
      <rPr>
        <sz val="10"/>
        <color rgb="FF000000"/>
        <rFont val="Times New Roman"/>
      </rPr>
      <t>Во время опытов другой конец стержня вставляется в отверстие изолирующего штатива. Для работы необходима эбонитовая палочка.</t>
    </r>
  </si>
  <si>
    <r>
      <rPr>
        <sz val="10"/>
        <color rgb="FF000000"/>
        <rFont val="Times New Roman"/>
      </rPr>
      <t xml:space="preserve">521-301-0529-0004 - Прибор для
</t>
    </r>
    <r>
      <rPr>
        <sz val="10"/>
        <color rgb="FF000000"/>
        <rFont val="Times New Roman"/>
      </rPr>
      <t>демонстрации центробежной силы</t>
    </r>
  </si>
  <si>
    <t>Прибор для
демонстрации центробежной силы</t>
  </si>
  <si>
    <r>
      <rPr>
        <sz val="10"/>
        <color theme="1"/>
        <rFont val="Times New Roman"/>
      </rPr>
      <t>Прибор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Прибор позволяет продемонстрировать: виды движения, движение по инерции и действие сил,центростремительную силу,устойчивое равновесие,принцип минимума потенциальной энергии,превращения энергии,закон сохранения механической энергии.</t>
    </r>
  </si>
  <si>
    <r>
      <rPr>
        <sz val="10"/>
        <color rgb="FF000000"/>
        <rFont val="Times New Roman"/>
      </rPr>
      <t xml:space="preserve">521-301-0529-0005 - Звонок
</t>
    </r>
    <r>
      <rPr>
        <sz val="10"/>
        <color rgb="FF000000"/>
        <rFont val="Times New Roman"/>
      </rPr>
      <t>электрический</t>
    </r>
  </si>
  <si>
    <t>Звонок
электрический</t>
  </si>
  <si>
    <r>
      <rPr>
        <sz val="10"/>
        <color theme="1"/>
        <rFont val="Times New Roman"/>
      </rPr>
      <t>Прибор предназначен для демонстрации устройства и принципа действия электрического звонка. Звонок смонтирован на пластмассовой панели так, что хорошо видны все детали звонка. Для регулировки амплитуды колебания ударника звонка предусмотрен винт с контргайкой. Панель со звонком может быть установлена на экран оверхед-проектора или закреплена в прилагаемой подставке.</t>
    </r>
  </si>
  <si>
    <r>
      <rPr>
        <sz val="10"/>
        <color rgb="FF000000"/>
        <rFont val="Times New Roman"/>
      </rPr>
      <t xml:space="preserve">521-301-0529-0006 - Прибор для
</t>
    </r>
    <r>
      <rPr>
        <sz val="10"/>
        <color rgb="FF000000"/>
        <rFont val="Times New Roman"/>
      </rPr>
      <t>демонстрации магнитного поля с земли</t>
    </r>
  </si>
  <si>
    <t>Прибор для
демонстрации магнитного поля с земли</t>
  </si>
  <si>
    <r>
      <rPr>
        <sz val="10"/>
        <color theme="1"/>
        <rFont val="Times New Roman"/>
      </rPr>
      <t>Прибор закреплен на небольшой подставке, в его состав также входит резистор, компас и катушки с 6 витками проволоки D 0,21м.</t>
    </r>
  </si>
  <si>
    <r>
      <rPr>
        <sz val="10"/>
        <color rgb="FF000000"/>
        <rFont val="Times New Roman"/>
      </rPr>
      <t xml:space="preserve">521-301-0529-0007 - Прибор для
</t>
    </r>
    <r>
      <rPr>
        <sz val="10"/>
        <color rgb="FF000000"/>
        <rFont val="Times New Roman"/>
      </rPr>
      <t>демонстрации взоимодействие паралельных токов</t>
    </r>
  </si>
  <si>
    <t>Прибор для
демонстрации взоимодействие паралельных токов</t>
  </si>
  <si>
    <r>
      <rPr>
        <sz val="10"/>
        <color theme="1"/>
        <rFont val="Times New Roman"/>
      </rPr>
      <t>Прибор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На пластины через разъемы-слоты и контакты подается постоянное высокое напряжение. Прибор  устанавливают на демонстрационном столе подключая его к источнику тока соединительными проводами с зажимами типа «крокодил». Комплектность: Платформа - 1 шт.,  пластины - 2 шт., стеклянные палочки со стопорными кольцами («рельсы») 2 шт. , шарик - 1 шт.</t>
    </r>
  </si>
  <si>
    <r>
      <rPr>
        <sz val="10"/>
        <color rgb="FF000000"/>
        <rFont val="Times New Roman"/>
      </rPr>
      <t xml:space="preserve">521-301-0529-0008 - Прибор для
</t>
    </r>
    <r>
      <rPr>
        <sz val="10"/>
        <color rgb="FF000000"/>
        <rFont val="Times New Roman"/>
      </rPr>
      <t>демонстрации свободного падения тел</t>
    </r>
  </si>
  <si>
    <t>Прибор для
демонстрации свободного падения тел</t>
  </si>
  <si>
    <r>
      <rPr>
        <sz val="10"/>
        <color theme="1"/>
        <rFont val="Times New Roman"/>
      </rPr>
      <t>Предназначен для демонстрации свободного движения тел в воздухе под действием силы тяжести. Высота прибора 1200 мм, диаметр стального шарика 18мм. Прибор используется с фотоэлементом, входящим в комплект компьютерных измерительных приборов по физике. Прибор состоит из катушки и магнитопровода. Катушка выполнена из медного провода, намотанного на стержень магнитопровода и двух изоляционных щечек. Магнитопровод состоит из стержня, пластины и наружного цилиндра.</t>
    </r>
  </si>
  <si>
    <r>
      <rPr>
        <sz val="10"/>
        <color rgb="FF000000"/>
        <rFont val="Times New Roman"/>
      </rPr>
      <t xml:space="preserve">521-301-0529-0009 - Прибор для
</t>
    </r>
    <r>
      <rPr>
        <sz val="10"/>
        <color rgb="FF000000"/>
        <rFont val="Times New Roman"/>
      </rPr>
      <t>демонстрации вынужденных колебаний</t>
    </r>
  </si>
  <si>
    <t>Прибор для
демонстрации вынужденных колебаний</t>
  </si>
  <si>
    <r>
      <rPr>
        <sz val="10"/>
        <color theme="1"/>
        <rFont val="Times New Roman"/>
      </rPr>
      <t>Прибор предназначен для демонстрации вынужденных колебаний и затухания свободных колебаний при изучении физики. Комплектность: планка с тремя магнитными подвесами разной длины – 1 шт., стержень металлический – 1 шт., шарики металлические – 3 шт., шарики пластмассовые – 3 шт., цилиндры поролоновые с боковыми прорезями – 3 шт., руководство по эксплуатации – 1 шт.</t>
    </r>
  </si>
  <si>
    <r>
      <rPr>
        <sz val="10"/>
        <color rgb="FF000000"/>
        <rFont val="Times New Roman"/>
      </rPr>
      <t xml:space="preserve">521-301-0529-0010 - Прибор для
</t>
    </r>
    <r>
      <rPr>
        <sz val="10"/>
        <color rgb="FF000000"/>
        <rFont val="Times New Roman"/>
      </rPr>
      <t>демонстрации вращения рамки в магнитном поле</t>
    </r>
  </si>
  <si>
    <t>Прибор для
демонстрации вращения рамки в магнитном поле</t>
  </si>
  <si>
    <r>
      <rPr>
        <sz val="10"/>
        <color rgb="FF000000"/>
        <rFont val="Times New Roman"/>
      </rPr>
      <t xml:space="preserve">Комплектность: рамка с медным проводом в сборе – 1 шт., цилиндрические магниты редкоземельные – 2 шт.,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
</t>
    </r>
    <r>
      <rPr>
        <sz val="10"/>
        <color rgb="FF000000"/>
        <rFont val="Times New Roman"/>
      </rPr>
      <t xml:space="preserve">Для проведения демонстраций необходимы источник постоянного
</t>
    </r>
    <r>
      <rPr>
        <sz val="10"/>
        <color rgb="FF000000"/>
        <rFont val="Times New Roman"/>
      </rPr>
      <t>напряжения до 6 В, гальванометр или микроамперметр, провода.</t>
    </r>
  </si>
  <si>
    <r>
      <rPr>
        <sz val="10"/>
        <color rgb="FF000000"/>
        <rFont val="Times New Roman"/>
      </rPr>
      <t xml:space="preserve">521-301-0532-0001 - Реостат
</t>
    </r>
    <r>
      <rPr>
        <sz val="10"/>
        <color rgb="FF000000"/>
        <rFont val="Times New Roman"/>
      </rPr>
      <t>ползунковый</t>
    </r>
  </si>
  <si>
    <t>Реостат
ползунковый</t>
  </si>
  <si>
    <r>
      <rPr>
        <sz val="10"/>
        <color theme="1"/>
        <rFont val="Times New Roman"/>
      </rPr>
      <t>Полное сопротивление реостата 100 Ом. Максимальный ток нагрузки (не более 10 мин), А.. 0,7. Прибор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t>
    </r>
  </si>
  <si>
    <r>
      <rPr>
        <sz val="10"/>
        <color rgb="FF000000"/>
        <rFont val="Times New Roman"/>
      </rPr>
      <t xml:space="preserve">521-301-0532-0002 - Набор
</t>
    </r>
    <r>
      <rPr>
        <sz val="10"/>
        <color rgb="FF000000"/>
        <rFont val="Times New Roman"/>
      </rPr>
      <t>реостатов ползунковых с роликовыми контактами</t>
    </r>
  </si>
  <si>
    <t>Набор
реостатов ползунковых с роликовыми контактами</t>
  </si>
  <si>
    <r>
      <rPr>
        <sz val="10"/>
        <color theme="1"/>
        <rFont val="Times New Roman"/>
      </rPr>
      <t>В состав набора входят 5 реостатов:  1. 0-5 Ом, сила тока 3 A. Габаритные размеры: не менее 175х45х65мм;  2. 0-10 Ом, сила тока: 2 A. Габаритные размеры: не менее 175х45х65мм;  3. 0-50 Ом, сила тока: 1,5 A. Габаритные размеры: не менее 225х70х100мм; 4. 0-200 Ом, сила тока 1,5 A. Габаритные размеры: не менее 280х90х150мм;  5. 0-1750 Ом, сила тока 1,5 A. Габаритные размеры: не менее 360х90х150мм</t>
    </r>
  </si>
  <si>
    <r>
      <rPr>
        <sz val="10"/>
        <color rgb="FF000000"/>
        <rFont val="Times New Roman"/>
      </rPr>
      <t xml:space="preserve">521-301-0532-0003 - Реостат
</t>
    </r>
    <r>
      <rPr>
        <sz val="10"/>
        <color rgb="FF000000"/>
        <rFont val="Times New Roman"/>
      </rPr>
      <t>демонстрационный 50 Ом, 1,5А</t>
    </r>
  </si>
  <si>
    <t>Реостат
демонстрационный 50 Ом, 1,5А</t>
  </si>
  <si>
    <r>
      <rPr>
        <sz val="10"/>
        <color theme="1"/>
        <rFont val="Times New Roman"/>
      </rPr>
      <t>Реостат 50 Ом, 1,5А. Предназначен для плавной регулировки токовых режимов в электрических цепях. Реостат представляет собой керамическую трубу, на которую намотана константановая проволока. Труба установлена между пластмассовых щек и стянута с ними стяжной шпилькой.</t>
    </r>
  </si>
  <si>
    <r>
      <rPr>
        <sz val="10"/>
        <color theme="1"/>
        <rFont val="Times New Roman"/>
      </rPr>
      <t>521-301-0533 - Сетка Кольбе</t>
    </r>
  </si>
  <si>
    <r>
      <rPr>
        <sz val="10"/>
        <color rgb="FF000000"/>
        <rFont val="Times New Roman"/>
      </rPr>
      <t xml:space="preserve">На изолирующих подставках (от одной до трёх, в зависимости от модификации прибора) укреплена гибкая металлическая (первоначально — медная) широкая сетчатая лента, на которой с обеих сторон
</t>
    </r>
    <r>
      <rPr>
        <sz val="10"/>
        <color rgb="FF000000"/>
        <rFont val="Times New Roman"/>
      </rPr>
      <t>подвешены диэлектрические листочки.</t>
    </r>
  </si>
  <si>
    <r>
      <rPr>
        <sz val="10"/>
        <color rgb="FF000000"/>
        <rFont val="Times New Roman"/>
      </rPr>
      <t xml:space="preserve">521-301-0534-0001 - Сосуды
</t>
    </r>
    <r>
      <rPr>
        <sz val="10"/>
        <color rgb="FF000000"/>
        <rFont val="Times New Roman"/>
      </rPr>
      <t>сообщающиеся</t>
    </r>
  </si>
  <si>
    <t>Сосуды
сообщающиеся</t>
  </si>
  <si>
    <r>
      <rPr>
        <sz val="10"/>
        <color rgb="FF000000"/>
        <rFont val="Times New Roman"/>
      </rPr>
      <t xml:space="preserve">Представляет собой набор прозрачных трубок (сосудов) разной формы, смонтированных на общем основании (коллекторе) с подставкой.
</t>
    </r>
    <r>
      <rPr>
        <sz val="10"/>
        <color rgb="FF000000"/>
        <rFont val="Times New Roman"/>
      </rPr>
      <t>Конструкция должна обеспечивать поворот всей системы сообщающихся сосудов в вертикальной плоскости. Высота всех вертикальных трубок не менее 50 мм, длина горизонтальной трубки не менее 150 мм. Размеры вертикальной панели, на которой должна крепиться прозрачная пластина с сообщающимися сосудами, не менее 20х20 см.</t>
    </r>
  </si>
  <si>
    <r>
      <rPr>
        <sz val="10"/>
        <color theme="1"/>
        <rFont val="Times New Roman"/>
      </rPr>
      <t>521-301-0535 - Столик подъемный</t>
    </r>
  </si>
  <si>
    <r>
      <rPr>
        <sz val="10"/>
        <color theme="1"/>
        <rFont val="Times New Roman"/>
      </rPr>
      <t>Рабочая поверхность столика: 150 х 150 мм. Максимальная высота подъема: 280мм.</t>
    </r>
  </si>
  <si>
    <r>
      <rPr>
        <sz val="10"/>
        <color rgb="FF000000"/>
        <rFont val="Times New Roman"/>
      </rPr>
      <t xml:space="preserve">521-301-0541-0001 - Комплект
</t>
    </r>
    <r>
      <rPr>
        <sz val="10"/>
        <color rgb="FF000000"/>
        <rFont val="Times New Roman"/>
      </rPr>
      <t>цилиндров свинцовых со стругом</t>
    </r>
  </si>
  <si>
    <t>Комплект
цилиндров свинцовых со стругом</t>
  </si>
  <si>
    <r>
      <rPr>
        <sz val="10"/>
        <color theme="1"/>
        <rFont val="Times New Roman"/>
      </rPr>
      <t>Цилиндры свинцовые со стругом. Прибор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Прибор состоит из двух одинаковых цилиндров. Каждый цилиндр имеет в верхней части отверстия, сквозь которые продета прочная нить для подвешивания прибора к штативу и грузов.</t>
    </r>
  </si>
  <si>
    <r>
      <rPr>
        <sz val="10"/>
        <color theme="1"/>
        <rFont val="Times New Roman"/>
      </rPr>
      <t>521-301-0542 - Шар Паскаля</t>
    </r>
  </si>
  <si>
    <r>
      <rPr>
        <sz val="10"/>
        <color theme="1"/>
        <rFont val="Times New Roman"/>
      </rPr>
      <t>Прибор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Шар соединяется с цилиндром посредством резьбы и может быть легко отделен от него.</t>
    </r>
  </si>
  <si>
    <r>
      <rPr>
        <sz val="10"/>
        <color theme="1"/>
        <rFont val="Times New Roman"/>
      </rPr>
      <t>521-301-0543 - Шар с кольцом</t>
    </r>
  </si>
  <si>
    <r>
      <rPr>
        <sz val="10"/>
        <color theme="1"/>
        <rFont val="Times New Roman"/>
      </rPr>
      <t>Прибор состоит из металлического шара диаметром до 30 мм. Шар свободно проходит через кольцо при их одинаковой температуре, а при нагревании шара он застревает в кольце. Для демонстрации необходима спиртовка или драгой нагреватель. Диаметр шара - 24 мм. Высота стойки - 300 мм. Внутренний диаметр кольца - 24,1 мм.</t>
    </r>
  </si>
  <si>
    <r>
      <rPr>
        <sz val="10"/>
        <color rgb="FF000000"/>
        <rFont val="Times New Roman"/>
      </rPr>
      <t xml:space="preserve">521-301-0544-0001 - Амперметр
</t>
    </r>
    <r>
      <rPr>
        <sz val="10"/>
        <color rgb="FF000000"/>
        <rFont val="Times New Roman"/>
      </rPr>
      <t>лабораторный 0,6А-3А</t>
    </r>
  </si>
  <si>
    <t>Амперметр
лабораторный 0,6А-3А</t>
  </si>
  <si>
    <r>
      <rPr>
        <sz val="10"/>
        <color theme="1"/>
        <rFont val="Times New Roman"/>
      </rPr>
      <t>Предназначен для измерения силы постоянного тока до 3 А. Представляет собой прибор магнитоэлектрической системы с равномерной шкалой от 0 до 3 А с ценой деления 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и находится под углом 45 градусов к горизонтальной плоскости. Шкала равномерная с двойной оцифровкой. Подстроечный винт корректировки.</t>
    </r>
  </si>
  <si>
    <r>
      <rPr>
        <sz val="10"/>
        <color rgb="FF000000"/>
        <rFont val="Times New Roman"/>
      </rPr>
      <t xml:space="preserve">521-301-0544-0002 - Амперметр
</t>
    </r>
    <r>
      <rPr>
        <sz val="10"/>
        <color rgb="FF000000"/>
        <rFont val="Times New Roman"/>
      </rPr>
      <t xml:space="preserve">аналоговый лабораторный.
</t>
    </r>
    <r>
      <rPr>
        <sz val="10"/>
        <color rgb="FF000000"/>
        <rFont val="Times New Roman"/>
      </rPr>
      <t>Диапазон измерения: 0.6 А и 3 А</t>
    </r>
  </si>
  <si>
    <t>Амперметр
аналоговый лабораторный.
Диапазон измерения: 0.6 А и 3 А</t>
  </si>
  <si>
    <r>
      <rPr>
        <sz val="10"/>
        <color rgb="FF000000"/>
        <rFont val="Times New Roman"/>
      </rPr>
      <t xml:space="preserve">Диапазон измерения: 0.6 А и 3 А. Цена деления шкалы на первом пределе –
</t>
    </r>
    <r>
      <rPr>
        <sz val="10"/>
        <color rgb="FF000000"/>
        <rFont val="Times New Roman"/>
      </rPr>
      <t>0.02 А, на втором -0.1 А.</t>
    </r>
  </si>
  <si>
    <r>
      <rPr>
        <sz val="10"/>
        <color rgb="FF000000"/>
        <rFont val="Times New Roman"/>
      </rPr>
      <t xml:space="preserve">521-301-0544-0003 -
</t>
    </r>
    <r>
      <rPr>
        <sz val="10"/>
        <color rgb="FF000000"/>
        <rFont val="Times New Roman"/>
      </rPr>
      <t>Ампервольтметр аналоговый с гальвонометром</t>
    </r>
  </si>
  <si>
    <t>521-301-0544-0003 -
Ампервольтметр аналоговый с гальвонометром</t>
  </si>
  <si>
    <r>
      <rPr>
        <sz val="10"/>
        <color rgb="FF000000"/>
        <rFont val="Times New Roman"/>
      </rPr>
      <t xml:space="preserve">Диапазон измерения силы тока 500mА-500mА, 0-10mА, 100mА 0-1А-5А Диапазон измерения напряжения постоянного тока 0-5В, 0-10В
</t>
    </r>
    <r>
      <rPr>
        <sz val="10"/>
        <color rgb="FF000000"/>
        <rFont val="Times New Roman"/>
      </rPr>
      <t>Диапазон измерения силы тока переменного тока 0-10mА-100mА,0-1А-5А Диапазон измерения напряжение переменног тока -0-10V-50В.0-250В</t>
    </r>
  </si>
  <si>
    <r>
      <rPr>
        <sz val="10"/>
        <color rgb="FF000000"/>
        <rFont val="Times New Roman"/>
      </rPr>
      <t xml:space="preserve">521-301-0544-0004 -
</t>
    </r>
    <r>
      <rPr>
        <sz val="10"/>
        <color rgb="FF000000"/>
        <rFont val="Times New Roman"/>
      </rPr>
      <t>Ампервольтметр аналоговый для постоянного и переменного тока демонстрационный</t>
    </r>
  </si>
  <si>
    <t>521-301-0544-0004 -
Ампервольтметр аналоговый для постоянного и переменного тока демонстрационный</t>
  </si>
  <si>
    <r>
      <rPr>
        <sz val="10"/>
        <color rgb="FF000000"/>
        <rFont val="Times New Roman"/>
      </rPr>
      <t xml:space="preserve">Диапазон измерения силы тока: 500mА-500mА, 0-10mА-100mА, 0-1А-5А Диапазон измерения напряжения постоянного тока: 0-5В, 0-10В
</t>
    </r>
    <r>
      <rPr>
        <sz val="10"/>
        <color rgb="FF000000"/>
        <rFont val="Times New Roman"/>
      </rPr>
      <t>Диапазон измерения силы тока переменного тока: 0-10mА-100mА, 0-1А-5А Диапазон измерения напряжение переменного тока: 0-10В-50В, 0-250В</t>
    </r>
  </si>
  <si>
    <r>
      <rPr>
        <sz val="10"/>
        <color rgb="FF000000"/>
        <rFont val="Times New Roman"/>
      </rPr>
      <t xml:space="preserve">521-301-0544-0005 - Амперметр
</t>
    </r>
    <r>
      <rPr>
        <sz val="10"/>
        <color rgb="FF000000"/>
        <rFont val="Times New Roman"/>
      </rPr>
      <t>лабораторный. Пределы измерения: 1А и 2А</t>
    </r>
  </si>
  <si>
    <t>Амперметр
лабораторный. Пределы измерения: 1А и 2А</t>
  </si>
  <si>
    <r>
      <rPr>
        <sz val="10"/>
        <color rgb="FF000000"/>
        <rFont val="Times New Roman"/>
      </rPr>
      <t xml:space="preserve">Амперметр лабораторный. Пределы измерения: 1А и 2А. Класс точности: 2,5.
</t>
    </r>
    <r>
      <rPr>
        <sz val="10"/>
        <color rgb="FF000000"/>
        <rFont val="Times New Roman"/>
      </rPr>
      <t>Цена деления: на первом пределе - 0,05А, на втором пределе - 0,1А.</t>
    </r>
  </si>
  <si>
    <r>
      <rPr>
        <sz val="10"/>
        <color rgb="FF000000"/>
        <rFont val="Times New Roman"/>
      </rPr>
      <t xml:space="preserve">521-301-0544-0006 - Амперметр
</t>
    </r>
    <r>
      <rPr>
        <sz val="10"/>
        <color rgb="FF000000"/>
        <rFont val="Times New Roman"/>
      </rPr>
      <t>лабораторный. Диапазон измерения: 0-100А</t>
    </r>
  </si>
  <si>
    <t>Амперметр
лабораторный. Диапазон измерения: 0-100А</t>
  </si>
  <si>
    <r>
      <rPr>
        <sz val="10"/>
        <color theme="1"/>
        <rFont val="Times New Roman"/>
      </rPr>
      <t>Предназначен для измерения тока в цепях постоянного тока. Диапазон: 0-100А. Класс точности - 2,5. Тряскопрочный, виброустойчивый</t>
    </r>
  </si>
  <si>
    <r>
      <rPr>
        <sz val="10"/>
        <color rgb="FF000000"/>
        <rFont val="Times New Roman"/>
      </rPr>
      <t xml:space="preserve">521-301-0544-0007 - Амперметр
</t>
    </r>
    <r>
      <rPr>
        <sz val="10"/>
        <color rgb="FF000000"/>
        <rFont val="Times New Roman"/>
      </rPr>
      <t>лабораторный. Диапазон измерения: от 0 до 3 А с ценой деления 0,1 А, от 0 до 0,6 А с ценой деления 0,02 А</t>
    </r>
  </si>
  <si>
    <t>Амперметр
лабораторный. Диапазон измерения: от 0 до 3 А с ценой деления 0,1 А, от 0 до 0,6 А с ценой деления 0,02 А</t>
  </si>
  <si>
    <r>
      <rPr>
        <sz val="10"/>
        <color rgb="FF000000"/>
        <rFont val="Times New Roman"/>
      </rPr>
      <t xml:space="preserve">Предназначен для проведения измерений в цепях постоянного тока при проведении лабораторных работ.  Представляет собой прибор магнитоэлектрической системы с равномерной шкалой от 0 до 3 А с ценой деления 0,1 А и со шкалой от 0 до 0,6 А с ценой деления 0,02 А. Измерительный механизм со шкалой помещен в пластмассовый корпус.
</t>
    </r>
    <r>
      <rPr>
        <sz val="10"/>
        <color rgb="FF000000"/>
        <rFont val="Times New Roman"/>
      </rPr>
      <t xml:space="preserve">Отсчетное устройство представляет собой шкалу с механическим (стрелочным) указателем. Шкала равномерная с двойной оцифровкой.
</t>
    </r>
    <r>
      <rPr>
        <sz val="10"/>
        <color rgb="FF000000"/>
        <rFont val="Times New Roman"/>
      </rPr>
      <t>Класс точности  2.5</t>
    </r>
  </si>
  <si>
    <r>
      <rPr>
        <sz val="10"/>
        <color rgb="FF000000"/>
        <rFont val="Times New Roman"/>
      </rPr>
      <t xml:space="preserve">521-301-0545-0002 - Вольтметр
</t>
    </r>
    <r>
      <rPr>
        <sz val="10"/>
        <color rgb="FF000000"/>
        <rFont val="Times New Roman"/>
      </rPr>
      <t xml:space="preserve">аналоговый лабораторный.
</t>
    </r>
    <r>
      <rPr>
        <sz val="10"/>
        <color rgb="FF000000"/>
        <rFont val="Times New Roman"/>
      </rPr>
      <t>Диапазон измерения: 3 В и 15 В</t>
    </r>
  </si>
  <si>
    <t>Вольтметр
аналоговый лабораторный.
Диапазон измерения: 3 В и 15 В</t>
  </si>
  <si>
    <r>
      <rPr>
        <sz val="10"/>
        <color rgb="FF000000"/>
        <rFont val="Times New Roman"/>
      </rPr>
      <t xml:space="preserve">Диапазон измерения: 3 В и 15 В. Цена деления шкалы напервом пределе –
</t>
    </r>
    <r>
      <rPr>
        <sz val="10"/>
        <color rgb="FF000000"/>
        <rFont val="Times New Roman"/>
      </rPr>
      <t>0.1 В, на втором – 0.5 В.</t>
    </r>
  </si>
  <si>
    <r>
      <rPr>
        <sz val="10"/>
        <color theme="1"/>
        <rFont val="Times New Roman"/>
      </rPr>
      <t>521-301-0546-0001 - Выключатель однополюсный двунаправленный</t>
    </r>
  </si>
  <si>
    <r>
      <rPr>
        <sz val="10"/>
        <color theme="1"/>
        <rFont val="Times New Roman"/>
      </rPr>
      <t>Предназначен для замыкания, размыкания электрических цепей при выполнении лабораторных работ по электродинамике. Представляет собой пластмассовое основание, на котором установлены переключатель с рукояткой, упругие губки и универсальные зажимы. Максимальное напряжение 36 В, сила тока 6 А.</t>
    </r>
  </si>
  <si>
    <r>
      <rPr>
        <sz val="10"/>
        <color rgb="FF000000"/>
        <rFont val="Times New Roman"/>
      </rPr>
      <t xml:space="preserve">521-301-0547 - Динамометр
</t>
    </r>
    <r>
      <rPr>
        <sz val="10"/>
        <color rgb="FF000000"/>
        <rFont val="Times New Roman"/>
      </rPr>
      <t>лабораторный 2,5 ньютон</t>
    </r>
  </si>
  <si>
    <t>Динамометр
лабораторный 2,5 ньютон</t>
  </si>
  <si>
    <r>
      <rPr>
        <sz val="10"/>
        <color rgb="FF000000"/>
        <rFont val="Times New Roman"/>
      </rPr>
      <t xml:space="preserve">Прибор представляет собой тарированную пружину, заключенную в оцифрованный трубчатый пластмассовый корпус. Динамометр имеет устройство для установки указателя прибора на нулевое деление при отсутствии нагрузки. Диапазон измерения от 0 до 2,5Н. Цена деления  0,1Н. Имеется шкала для измерения массы от 0 до 250 гр с ценой деления 10 гр.
</t>
    </r>
    <r>
      <rPr>
        <sz val="10"/>
        <color rgb="FF000000"/>
        <rFont val="Times New Roman"/>
      </rPr>
      <t>Изготовлен из пластика.</t>
    </r>
  </si>
  <si>
    <r>
      <rPr>
        <sz val="10"/>
        <color rgb="FF000000"/>
        <rFont val="Times New Roman"/>
      </rPr>
      <t xml:space="preserve">521-301-0550-0002 - Комплект
</t>
    </r>
    <r>
      <rPr>
        <sz val="10"/>
        <color rgb="FF000000"/>
        <rFont val="Times New Roman"/>
      </rPr>
      <t>блоков с крючками</t>
    </r>
  </si>
  <si>
    <t>Комплект
блоков с крючками</t>
  </si>
  <si>
    <r>
      <rPr>
        <sz val="10"/>
        <color rgb="FF000000"/>
        <rFont val="Times New Roman"/>
      </rPr>
      <t xml:space="preserve">Блоки снабжены крючками для сборки механизмов и установки на штативе.
</t>
    </r>
    <r>
      <rPr>
        <sz val="10"/>
        <color rgb="FF000000"/>
        <rFont val="Times New Roman"/>
      </rPr>
      <t>Комплект позволяет демонстрировать свойства подвижного и неподвижного блоков, свойства системы из таких блоков.</t>
    </r>
  </si>
  <si>
    <r>
      <rPr>
        <sz val="10"/>
        <color theme="1"/>
        <rFont val="Times New Roman"/>
      </rPr>
      <t>521-301-0552 - Держатель миниатюрный ламповый</t>
    </r>
  </si>
  <si>
    <r>
      <rPr>
        <sz val="10"/>
        <color theme="1"/>
        <rFont val="Times New Roman"/>
      </rPr>
      <t>В качестве осветителя  ламповый держатель используется лампочка накаливания напряжением до 30 V и силы тока до 3 А.</t>
    </r>
  </si>
  <si>
    <r>
      <rPr>
        <sz val="10"/>
        <color theme="1"/>
        <rFont val="Times New Roman"/>
      </rPr>
      <t>521-301-0553 - Линза на подставке</t>
    </r>
  </si>
  <si>
    <r>
      <rPr>
        <sz val="10"/>
        <color theme="1"/>
        <rFont val="Times New Roman"/>
      </rPr>
      <t>Линза изготовлена из стекла и имеет  вогнутую поверхность. Закреплена в пластмассовой оправе и установлена на подставке. Диаметр 50 мм.</t>
    </r>
  </si>
  <si>
    <r>
      <rPr>
        <sz val="10"/>
        <color rgb="FF000000"/>
        <rFont val="Times New Roman"/>
      </rPr>
      <t xml:space="preserve">521-301-0554 - Магнит
</t>
    </r>
    <r>
      <rPr>
        <sz val="10"/>
        <color rgb="FF000000"/>
        <rFont val="Times New Roman"/>
      </rPr>
      <t>дугообразный</t>
    </r>
  </si>
  <si>
    <t>Магнит
дугообразный</t>
  </si>
  <si>
    <r>
      <rPr>
        <sz val="10"/>
        <color rgb="FF000000"/>
        <rFont val="Times New Roman"/>
      </rPr>
      <t xml:space="preserve">Северный полюс каждого магнита окрашен в синий цвет, южный – в красный.
</t>
    </r>
    <r>
      <rPr>
        <sz val="10"/>
        <color rgb="FF000000"/>
        <rFont val="Times New Roman"/>
      </rPr>
      <t>Магнит U-образной формы изготовлен из полосовой стали сечением 10*18 мм, размер просвета между полюсами 42+/-1 мм. Половины магнита окрашены в разные цвета. Разноименные полюса магнитов замкнуты пластиной из мягкой стали.</t>
    </r>
  </si>
  <si>
    <r>
      <rPr>
        <sz val="10"/>
        <color theme="1"/>
        <rFont val="Times New Roman"/>
      </rPr>
      <t>521-301-0555 - Магнит полосовой</t>
    </r>
  </si>
  <si>
    <r>
      <rPr>
        <sz val="10"/>
        <color theme="1"/>
        <rFont val="Times New Roman"/>
      </rPr>
      <t>Северный полюс каждого магнита окрашен в синий цвет, южный – в красный. Параметры магнитного потока: не более 0,05Т.</t>
    </r>
  </si>
  <si>
    <r>
      <rPr>
        <sz val="10"/>
        <color theme="1"/>
        <rFont val="Times New Roman"/>
      </rPr>
      <t>521-301-0557-0001 - Набор грузов по механике (10х100гр)</t>
    </r>
  </si>
  <si>
    <r>
      <rPr>
        <sz val="10"/>
        <color theme="1"/>
        <rFont val="Times New Roman"/>
      </rPr>
      <t>Набор грузов предназначен для использования при проведении фронтальных лабораторных работ по механике и другим разделам курса физики. Набор состоит из 10 грузов. Грузы металлические в форме цилиндров, вес 100 гр. Грузы снабжены крючками для подвешивания и соединения между собой.</t>
    </r>
  </si>
  <si>
    <r>
      <rPr>
        <sz val="10"/>
        <color theme="1"/>
        <rFont val="Times New Roman"/>
      </rPr>
      <t>521-301-0557-0002 - Набор грузов с крючками и обозначением массы</t>
    </r>
  </si>
  <si>
    <r>
      <rPr>
        <sz val="10"/>
        <color theme="1"/>
        <rFont val="Times New Roman"/>
      </rPr>
      <t>Набор из 9 грузов c крючками весом от 10 до 1000г, упакованные в пластмассовый футляр. Все грузы имеют по одному крючку, на каждом грузе нанесено обозначение его массы. Груз изготовлен из стали</t>
    </r>
  </si>
  <si>
    <r>
      <rPr>
        <sz val="10"/>
        <color rgb="FF000000"/>
        <rFont val="Times New Roman"/>
      </rPr>
      <t xml:space="preserve">521-301-0558 - Набор
</t>
    </r>
    <r>
      <rPr>
        <sz val="10"/>
        <color rgb="FF000000"/>
        <rFont val="Times New Roman"/>
      </rPr>
      <t>калориметрических тел</t>
    </r>
  </si>
  <si>
    <t>Набор
калориметрических тел</t>
  </si>
  <si>
    <r>
      <rPr>
        <sz val="10"/>
        <color theme="1"/>
        <rFont val="Times New Roman"/>
      </rPr>
      <t>Набор калориметрических тел. Состоит из трех цилиндров одинакового размера, изготовленных из железа, латуни и алюминия. Каждый цилиндр сверху имеет небольшой крючок.</t>
    </r>
  </si>
  <si>
    <r>
      <rPr>
        <sz val="10"/>
        <color rgb="FF000000"/>
        <rFont val="Times New Roman"/>
      </rPr>
      <t xml:space="preserve">521-301-0559-0001 - Набор тел
</t>
    </r>
    <r>
      <rPr>
        <sz val="10"/>
        <color rgb="FF000000"/>
        <rFont val="Times New Roman"/>
      </rPr>
      <t>равного объема</t>
    </r>
  </si>
  <si>
    <t>Набор тел
равного объема</t>
  </si>
  <si>
    <r>
      <rPr>
        <sz val="10"/>
        <color theme="1"/>
        <rFont val="Times New Roman"/>
      </rPr>
      <t>Набор состоит из прямоугольных брусков из стали, алюминия и пластмассы одинакового размера.</t>
    </r>
  </si>
  <si>
    <r>
      <rPr>
        <sz val="10"/>
        <color rgb="FF000000"/>
        <rFont val="Times New Roman"/>
      </rPr>
      <t xml:space="preserve">521-301-0560-0001 - Набор тел
</t>
    </r>
    <r>
      <rPr>
        <sz val="10"/>
        <color rgb="FF000000"/>
        <rFont val="Times New Roman"/>
      </rPr>
      <t>равной массы</t>
    </r>
  </si>
  <si>
    <t>Набор тел
равной массы</t>
  </si>
  <si>
    <r>
      <rPr>
        <sz val="10"/>
        <color theme="1"/>
        <rFont val="Times New Roman"/>
      </rPr>
      <t>Набор состоит из прямоугольных брусков из стали, алюминия и пластмассы одинакового основания и массы 100 г.</t>
    </r>
  </si>
  <si>
    <r>
      <rPr>
        <sz val="10"/>
        <color rgb="FF000000"/>
        <rFont val="Times New Roman"/>
      </rPr>
      <t xml:space="preserve">521-301-0561-0001 - Трибометр
</t>
    </r>
    <r>
      <rPr>
        <sz val="10"/>
        <color rgb="FF000000"/>
        <rFont val="Times New Roman"/>
      </rPr>
      <t>лабораторный</t>
    </r>
  </si>
  <si>
    <t>Трибометр
лабораторный</t>
  </si>
  <si>
    <r>
      <rPr>
        <sz val="10"/>
        <color theme="1"/>
        <rFont val="Times New Roman"/>
      </rPr>
      <t>Трибометр лабораторный предназначен для проведения лабораторных опытов по механике. Прибор состоит из линейки и деревянного бруска с петлей на его торце и тремя гнездами для грузов. С помощью этого прибора можно измерить коэффициент трения покоя, коэффициент трения скольжения дерева по дереву, КПД наклонной плоскости, вычислить механическую работу, выяснить зависимость коэффициента трения от массы груза и площади поверхности.</t>
    </r>
  </si>
  <si>
    <r>
      <rPr>
        <sz val="10"/>
        <color rgb="FF000000"/>
        <rFont val="Times New Roman"/>
      </rPr>
      <t xml:space="preserve">521-301-0561-0002 - Трибометр
</t>
    </r>
    <r>
      <rPr>
        <sz val="10"/>
        <color rgb="FF000000"/>
        <rFont val="Times New Roman"/>
      </rPr>
      <t>лабораторный по механике</t>
    </r>
  </si>
  <si>
    <t>Трибометр
лабораторный по механике</t>
  </si>
  <si>
    <r>
      <rPr>
        <sz val="10"/>
        <color theme="1"/>
        <rFont val="Times New Roman"/>
      </rPr>
      <t>Комплектация: 1. деревянная линейка размером не менее 500х50х10 см – 1 шт 2. прямоугольный брусок с крючком в торце и тремя отверстиями для грузов – 1 шт 3. три груза массой по 50 г каждый – 3 шт 4. планшетный динамометр 10 Н – 1 шт 5. Руководство по эксплуатации  – 1 шт., упаковка</t>
    </r>
  </si>
  <si>
    <r>
      <rPr>
        <sz val="10"/>
        <color rgb="FF000000"/>
        <rFont val="Times New Roman"/>
      </rPr>
      <t xml:space="preserve">521-301-0565-0001 -
</t>
    </r>
    <r>
      <rPr>
        <sz val="10"/>
        <color rgb="FF000000"/>
        <rFont val="Times New Roman"/>
      </rPr>
      <t>Миллиамперметр для измерения переменного тока</t>
    </r>
  </si>
  <si>
    <t>521-301-0565-0001 -
Миллиамперметр для измерения переменного тока</t>
  </si>
  <si>
    <r>
      <rPr>
        <sz val="10"/>
        <color theme="1"/>
        <rFont val="Times New Roman"/>
      </rPr>
      <t>Предназначен для измерения тока в цепях постоянного тока. Диапазон: 0-50мА. Класс точности - 2,5. Тряскопрочный, виброустойчивый</t>
    </r>
  </si>
  <si>
    <r>
      <rPr>
        <sz val="10"/>
        <color rgb="FF000000"/>
        <rFont val="Times New Roman"/>
      </rPr>
      <t xml:space="preserve">521-301-0565-0003 -
</t>
    </r>
    <r>
      <rPr>
        <sz val="10"/>
        <color rgb="FF000000"/>
        <rFont val="Times New Roman"/>
      </rPr>
      <t>Миллиамперметр лабораторный. Диапазон измерения: от -5 до +5mА и от -50 до +50mА</t>
    </r>
  </si>
  <si>
    <t>521-301-0565-0003 -
Миллиамперметр лабораторный. Диапазон измерения: от -5 до +5mА и от -50 до +50mА</t>
  </si>
  <si>
    <r>
      <rPr>
        <sz val="10"/>
        <color theme="1"/>
        <rFont val="Times New Roman"/>
      </rPr>
      <t>Предназначен для измерения силы переменного и постоянного электрического тока. Прибор состоит из магнитоэлектрического измерительного механизма и шкалы, установленных в специальном корпусе с приборным гнездом. Отсчетное устройство представляет собой шкалу с механическим (стрелочным) указателем. Шкала равномерная, с нулевой отметкой посередине и двойной оцифровкой. Миллиамперметр имеет пределы от -5 до +5mА и от -50 до +50mА, цена деления составляет 0,5mА и 5mА соответственно.</t>
    </r>
  </si>
  <si>
    <r>
      <rPr>
        <sz val="10"/>
        <color theme="1"/>
        <rFont val="Times New Roman"/>
      </rPr>
      <t>521-301-0568 - Комплект для изучения физики Globisense Physics kit (электричество, волны, магнетизм и ньютоновская механика)</t>
    </r>
  </si>
  <si>
    <r>
      <rPr>
        <sz val="10"/>
        <color rgb="FF000000"/>
        <rFont val="Times New Roman"/>
      </rPr>
      <t xml:space="preserve">Комплект для изучения электричества, волн, магнетизма и ньютоновской механики. В комплект входят:  1) Набор двух камертонов с деревянным резонансным корпусом, 2) Электрическая плата с: 0,47 мкФ, 100 мкФ, 1000
</t>
    </r>
    <r>
      <rPr>
        <sz val="10"/>
        <color rgb="FF000000"/>
        <rFont val="Times New Roman"/>
      </rPr>
      <t xml:space="preserve">мкФ конденсаторами, 100 Ом, 1000 Ом, 10 000 Ом резисторами, диодом,
</t>
    </r>
    <r>
      <rPr>
        <sz val="10"/>
        <color rgb="FF000000"/>
        <rFont val="Times New Roman"/>
      </rPr>
      <t xml:space="preserve">переключателем SPST 3) Набор черных кабелей Banana 6 x 10 см 4) Набор
</t>
    </r>
    <r>
      <rPr>
        <sz val="10"/>
        <color rgb="FF000000"/>
        <rFont val="Times New Roman"/>
      </rPr>
      <t>красных кабелей Banana 6 x 10 см, 3 x держатель 1,5 В батареи типа D 5) Электрическая катушка с 1600 оборотами и максимальным током 100 мА. Оснащена 2 розетками Banana 6) Соленоид с воздушным сердечником, имеет внутренний диаметр &gt; 3 см и длину 15 см, оснащен 2 розетками Banana 7) Магнитный стержень длиной 100 мм 8) Набор из 3 металлических пружин с усилием от 4 Н/м до 14 Н/м, 10 x 1 N набор масс с прорезью 9) Шар для пинг-понга 10) Прямоугольная лабораторная подставка с алюминиевым стержнем диаметром 12 мм и длиной 500 мм 11) Алюминиевый стержень диаметром 12 мм и длиной 200 мм, прямоугольный держатель, 2 x 60 мл шприца с фиксатором Люэра</t>
    </r>
  </si>
  <si>
    <r>
      <rPr>
        <sz val="10"/>
        <color theme="1"/>
        <rFont val="Times New Roman"/>
      </rPr>
      <t>521-301-0569 - Комплект электроснабжения</t>
    </r>
  </si>
  <si>
    <r>
      <rPr>
        <sz val="10"/>
        <color rgb="FF000000"/>
        <rFont val="Times New Roman"/>
      </rPr>
      <t xml:space="preserve">Переменное напряжение  42V для лабораторных столов учащихся и напряжение 42V и 220V для демонстрационного стола учителя.
</t>
    </r>
    <r>
      <rPr>
        <sz val="10"/>
        <color rgb="FF000000"/>
        <rFont val="Times New Roman"/>
      </rPr>
      <t xml:space="preserve">В комплект входит:
</t>
    </r>
    <r>
      <rPr>
        <sz val="10"/>
        <color rgb="FF000000"/>
        <rFont val="Times New Roman"/>
      </rPr>
      <t xml:space="preserve">щит электрораспределительный – 1 шт, трехштырьковые розетки на 42V – 16 шт, двухштырьковые розетки на 220V – 2 шт,
</t>
    </r>
    <r>
      <rPr>
        <sz val="10"/>
        <color rgb="FF000000"/>
        <rFont val="Times New Roman"/>
      </rPr>
      <t xml:space="preserve">провод монтажный медный двужильный сечением 1,5 mm – 120 m.
</t>
    </r>
    <r>
      <rPr>
        <sz val="10"/>
        <color rgb="FF000000"/>
        <rFont val="Times New Roman"/>
      </rPr>
      <t>Питается от сети напряжением 220V, выходное напряжение 3 х 42V и 220V, потребляемая мощность не более 1600W. Щит электрораспределительный снабжен предохранителями, устройством защитного отключения и цифровым дисплеем входного напряжения.</t>
    </r>
  </si>
  <si>
    <r>
      <rPr>
        <sz val="10"/>
        <color theme="1"/>
        <rFont val="Times New Roman"/>
      </rPr>
      <t>521-301-0570 - Комплект соединительных проводов лабораторных</t>
    </r>
  </si>
  <si>
    <r>
      <rPr>
        <sz val="10"/>
        <color theme="1"/>
        <rFont val="Times New Roman"/>
      </rPr>
      <t>В комплекте имеется 10 гибких изолированных проводов разного цвета и длины с наконечниками.</t>
    </r>
  </si>
  <si>
    <r>
      <rPr>
        <sz val="10"/>
        <color theme="1"/>
        <rFont val="Times New Roman"/>
      </rPr>
      <t>521-301-0571-0001 - Желоб Галилея</t>
    </r>
  </si>
  <si>
    <r>
      <rPr>
        <sz val="10"/>
        <color rgb="FF000000"/>
        <rFont val="Times New Roman"/>
      </rPr>
      <t xml:space="preserve">Желоб лабораторный с шариком. Предназначен для лабораторных работ и физического практикума по механике.  В состав прибора входят:  Лоток дугообразный с металлической обоймой под струбцину.  Отвес.  Струбцина.
</t>
    </r>
    <r>
      <rPr>
        <sz val="10"/>
        <color rgb="FF000000"/>
        <rFont val="Times New Roman"/>
      </rPr>
      <t>Комплект шариков.</t>
    </r>
  </si>
  <si>
    <r>
      <rPr>
        <sz val="10"/>
        <color theme="1"/>
        <rFont val="Times New Roman"/>
      </rPr>
      <t>521-301-0572 - Рычаг-линейка</t>
    </r>
  </si>
  <si>
    <r>
      <rPr>
        <sz val="10"/>
        <color theme="1"/>
        <rFont val="Times New Roman"/>
      </rPr>
      <t>Рычаг-линейка. Состоит из деревянной рейки длиной не менее 500 мм, двух уравнительных винтов с гайками, металлической оси и четырех сережек для подвешивания грузов.</t>
    </r>
  </si>
  <si>
    <r>
      <rPr>
        <sz val="10"/>
        <color theme="1"/>
        <rFont val="Times New Roman"/>
      </rPr>
      <t>521-301-0573-0001 - Калориметр. Вместимость внутреннего сосуда не менее 250 мл</t>
    </r>
  </si>
  <si>
    <r>
      <rPr>
        <sz val="10"/>
        <color theme="1"/>
        <rFont val="Times New Roman"/>
      </rPr>
      <t>Прибор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t>
    </r>
  </si>
  <si>
    <r>
      <rPr>
        <sz val="10"/>
        <color theme="1"/>
        <rFont val="Times New Roman"/>
      </rPr>
      <t>521-301-0574 - Электромагнит разборный с деталями</t>
    </r>
  </si>
  <si>
    <r>
      <rPr>
        <sz val="10"/>
        <color theme="1"/>
        <rFont val="Times New Roman"/>
      </rPr>
      <t>Набор предназначен для выполнения лабораторных работ при изучении электромагнитных явлений. Комплектность: катушки с контактными зажимами (пружинами) – 3 шт., якорь с крюком для U-образного электромагнита – 1 шт., звонковая чашечка – 1 шт., якорь электромагнитного реле и контактная группа (закреплена на днище коробки-укладки) – 1 шт. С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t>
    </r>
  </si>
  <si>
    <r>
      <rPr>
        <sz val="10"/>
        <color rgb="FF000000"/>
        <rFont val="Times New Roman"/>
      </rPr>
      <t xml:space="preserve">521-301-0575-0001 - Катушка
</t>
    </r>
    <r>
      <rPr>
        <sz val="10"/>
        <color rgb="FF000000"/>
        <rFont val="Times New Roman"/>
      </rPr>
      <t>дроссельная</t>
    </r>
  </si>
  <si>
    <t>Катушка
дроссельная</t>
  </si>
  <si>
    <r>
      <rPr>
        <sz val="10"/>
        <color rgb="FF000000"/>
        <rFont val="Times New Roman"/>
      </rPr>
      <t xml:space="preserve">В комплект входят две катушки и сердечник. Катушки имеют цилиндрическую форму. На верхней панели имеются контакты для подключения прибора в электрическую цепь. Внешняя катушка имеет диаметр не менее 68 мм, внутренний диаметр – не менее 35 мм, высота катушки вместе с контактами не менее 100 мм. Стержень сделан из хромированного железа с ручкой из пластмассы длиной не менее 120 мм.
</t>
    </r>
    <r>
      <rPr>
        <sz val="10"/>
        <color rgb="FF000000"/>
        <rFont val="Times New Roman"/>
      </rPr>
      <t>Размеры каркаса катушки согласованы с сечением сердечника.</t>
    </r>
  </si>
  <si>
    <r>
      <rPr>
        <sz val="10"/>
        <color rgb="FF000000"/>
        <rFont val="Times New Roman"/>
      </rPr>
      <t xml:space="preserve">521-301-0575-0002 - Катушка
</t>
    </r>
    <r>
      <rPr>
        <sz val="10"/>
        <color rgb="FF000000"/>
        <rFont val="Times New Roman"/>
      </rPr>
      <t>Томсона</t>
    </r>
  </si>
  <si>
    <t>Катушка
Томсона</t>
  </si>
  <si>
    <r>
      <rPr>
        <sz val="10"/>
        <color theme="1"/>
        <rFont val="Times New Roman"/>
      </rPr>
      <t>Комплект дроссельных катушек (Катушка первичной обмотки лабораторная). Номинальное напряжение питания - 42 В. Потребляемая мощность - 60 ВА. Количество витков катушки Томсона - 750. Количество витков плоской катушки - 40. Комплектация: Катушка Томсона - 1 шт., плоская катушка на каркасе - 1 шт., сердечник из трансформаторной стали - 1 шт.</t>
    </r>
  </si>
  <si>
    <r>
      <rPr>
        <sz val="10"/>
        <color theme="1"/>
        <rFont val="Times New Roman"/>
      </rPr>
      <t>521-301-0576 - Прибор для измерения деформации растяжения</t>
    </r>
  </si>
  <si>
    <r>
      <rPr>
        <sz val="10"/>
        <color theme="1"/>
        <rFont val="Times New Roman"/>
      </rPr>
      <t>Прибор состоит из штатива, фиксатора, пружины сострелкой, шкалой с фиксатором, набора грузов по 100 и 50 г.</t>
    </r>
  </si>
  <si>
    <r>
      <rPr>
        <sz val="10"/>
        <color rgb="FF000000"/>
        <rFont val="Times New Roman"/>
      </rPr>
      <t xml:space="preserve">521-301-0577-0001 - Ваттметр
</t>
    </r>
    <r>
      <rPr>
        <sz val="10"/>
        <color rgb="FF000000"/>
        <rFont val="Times New Roman"/>
      </rPr>
      <t>аналоговый демонстрационный</t>
    </r>
  </si>
  <si>
    <t>Ваттметр
аналоговый демонстрационный</t>
  </si>
  <si>
    <r>
      <rPr>
        <sz val="10"/>
        <color rgb="FF000000"/>
        <rFont val="Times New Roman"/>
      </rPr>
      <t xml:space="preserve">Имеет 4 диапазона. Применяется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t>
    </r>
    <r>
      <rPr>
        <sz val="10"/>
        <color rgb="FF000000"/>
        <rFont val="Times New Roman"/>
      </rPr>
      <t xml:space="preserve">Диапазон измерения силы тока:- 500mА-500mА, 0-10mА-100mА, 0-1А-5А Диапазон измерения напряжения постоянного тока 0-5В, 0-10В
</t>
    </r>
    <r>
      <rPr>
        <sz val="10"/>
        <color rgb="FF000000"/>
        <rFont val="Times New Roman"/>
      </rPr>
      <t>Диапазон измерения силы тока переменного тока 0-10mА-100mА, 0-1А-5А Диапазон измерения напряжение переменного тока: 0-10В-50В, 0-250В</t>
    </r>
  </si>
  <si>
    <r>
      <rPr>
        <sz val="10"/>
        <color rgb="FF000000"/>
        <rFont val="Times New Roman"/>
      </rPr>
      <t xml:space="preserve">521-301-0578 - Пресс
</t>
    </r>
    <r>
      <rPr>
        <sz val="10"/>
        <color rgb="FF000000"/>
        <rFont val="Times New Roman"/>
      </rPr>
      <t>гидравлический (модель)</t>
    </r>
  </si>
  <si>
    <t>Пресс
гидравлический (модель)</t>
  </si>
  <si>
    <r>
      <rPr>
        <sz val="10"/>
        <color theme="1"/>
        <rFont val="Times New Roman"/>
      </rPr>
      <t>На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Поршень насоса приводится в движение с помощью съемной рукоядки в виде рычага. К модели прилагаются для демонстрации сильная пружина и приспособление для изгиба бруска (чугунный плитки с двумя и одной опорами). Плитка с одной опорой крепится винтом на верхней плите пресса, а плитка с двумя опорами устанавливается на плиту большого поршня. Внизу рабочего цилиндра установлен на резьбе спускной клапан, а в верхней части цилиндра - спускной воздушный клапан (вантуз).</t>
    </r>
  </si>
  <si>
    <r>
      <rPr>
        <sz val="10"/>
        <color theme="1"/>
        <rFont val="Times New Roman"/>
      </rPr>
      <t>521-301-0579 - Прибор для измерения длины световой волны с набором дифракционных решеток</t>
    </r>
  </si>
  <si>
    <r>
      <rPr>
        <sz val="10"/>
        <color theme="1"/>
        <rFont val="Times New Roman"/>
      </rPr>
      <t>Комплектация: 1 шт Кейс с крышкой  1 шт Лоток со вставкой  1 шт. Скамья с пазом длиной 35 см. 1 шт. Держатель для дифракционной решетки. 1 шт. Экран. 1 шт. Рамка с дифракционными решетками (300 и 600 штрих/мм). 1 шт. Полупроводниковый лазер. 1 шт. Руководство по эксплуатации</t>
    </r>
  </si>
  <si>
    <r>
      <rPr>
        <sz val="10"/>
        <color rgb="FF000000"/>
        <rFont val="Times New Roman"/>
      </rPr>
      <t xml:space="preserve">521-301-0580-0003 - Маятник
</t>
    </r>
    <r>
      <rPr>
        <sz val="10"/>
        <color rgb="FF000000"/>
        <rFont val="Times New Roman"/>
      </rPr>
      <t>электростатический</t>
    </r>
  </si>
  <si>
    <t>Маятник
электростатический</t>
  </si>
  <si>
    <r>
      <rPr>
        <sz val="10"/>
        <color theme="1"/>
        <rFont val="Times New Roman"/>
      </rPr>
      <t>Маятник электростатический предназначен для обнаружения электрических зарядов и демонстрации взаимодействия одноименных и разноименных зарядов. Состав прибора: гильзы с нитью – 2 шт., трубки ПВХ – 2 шт., стержни – 2 шт., пробирка стеклянная для хранения комплекта с пробкой – 1 шт. Демонстрация при изучении процесса электризации тел.</t>
    </r>
  </si>
  <si>
    <r>
      <rPr>
        <sz val="10"/>
        <color theme="1"/>
        <rFont val="Times New Roman"/>
      </rPr>
      <t>521-301-0581 - Воздуходувка ВД-У</t>
    </r>
  </si>
  <si>
    <r>
      <rPr>
        <sz val="10"/>
        <color theme="1"/>
        <rFont val="Times New Roman"/>
      </rPr>
      <t>Изделие предназначено для использования при проведении демонстрационных опытов по аэродинамике. Воздуходувка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Для установки прибора на горизонтальной поверхности предусмотрены ножки. Для направления потока воздуха изделие комплектуется воздуховодом. Источник сжатого воздуха шт 1.</t>
    </r>
  </si>
  <si>
    <r>
      <rPr>
        <sz val="10"/>
        <color theme="1"/>
        <rFont val="Times New Roman"/>
      </rPr>
      <t>521-301-0582 - Батарея солнечная</t>
    </r>
  </si>
  <si>
    <r>
      <rPr>
        <sz val="10"/>
        <color theme="1"/>
        <rFont val="Times New Roman"/>
      </rPr>
      <t>Состоит из кремниевых фотоэлементов, электрического двигателя соединенного с фотоэлементом.</t>
    </r>
  </si>
  <si>
    <r>
      <rPr>
        <sz val="10"/>
        <color theme="1"/>
        <rFont val="Times New Roman"/>
      </rPr>
      <t>521-301-0583 - Лазер учебный</t>
    </r>
  </si>
  <si>
    <r>
      <rPr>
        <sz val="10"/>
        <color theme="1"/>
        <rFont val="Times New Roman"/>
      </rPr>
      <t>Предназначен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t>
    </r>
  </si>
  <si>
    <r>
      <rPr>
        <sz val="10"/>
        <color theme="1"/>
        <rFont val="Times New Roman"/>
      </rPr>
      <t>521-301-0584 - Авометр с гальванометром демонстрационный</t>
    </r>
  </si>
  <si>
    <r>
      <rPr>
        <sz val="10"/>
        <color theme="1"/>
        <rFont val="Times New Roman"/>
      </rPr>
      <t>Предназначен для измерения силы тока, напряжения, сопротивления в цепях постоянного и переменного тока. Имеет 32 диапазона для измерений AC и DC напряжений, AC и DC силы тока, сопротивления. Диапазон измерения напряжения: 2,5/10/50/250/500/2500 V, силы тока постоянного тока: 50ұА/1/10/100/500 mА, 5 А. Диапазон измерения напряжения переменного тока 10/50/250/2500 V. Диапазон измерения сопротивления 2К/20К/200К/2М/20 Мohm. Батарея питания R14(1,5V)х16F22(9V)х1.</t>
    </r>
  </si>
  <si>
    <r>
      <rPr>
        <sz val="10"/>
        <color theme="1"/>
        <rFont val="Times New Roman"/>
      </rPr>
      <t>521-301-0585 - Волновая машина</t>
    </r>
  </si>
  <si>
    <r>
      <rPr>
        <sz val="10"/>
        <color theme="1"/>
        <rFont val="Times New Roman"/>
      </rPr>
      <t>Прибор предназначен для моделирования колебательного и волнового движения при изучении механических колебаний и волн на уроках физики.</t>
    </r>
  </si>
  <si>
    <r>
      <rPr>
        <sz val="10"/>
        <color theme="1"/>
        <rFont val="Times New Roman"/>
      </rPr>
      <t>521-301-0586-0001 - Электроскоп пара</t>
    </r>
  </si>
  <si>
    <r>
      <rPr>
        <sz val="10"/>
        <color rgb="FF000000"/>
        <rFont val="Times New Roman"/>
      </rPr>
      <t xml:space="preserve">В комплект входит два электроскопа, представляющие собой цилиндрические, застекленные с обеих сторон корпуса, поставленные ребром на подставку. Вверху корпуса укреплена изолирующая втулка, через которую проходит металлический стержень с помещенной на нем
</t>
    </r>
    <r>
      <rPr>
        <sz val="10"/>
        <color rgb="FF000000"/>
        <rFont val="Times New Roman"/>
      </rPr>
      <t>стрелкой-указателем. На матовом стекле электроскопа нанесена шкала без оцифровки. Электроскопы комплектуются шаровыми металлическими кондукторами.</t>
    </r>
  </si>
  <si>
    <r>
      <rPr>
        <sz val="10"/>
        <color theme="1"/>
        <rFont val="Times New Roman"/>
      </rPr>
      <t>521-301-0587 - Генератор звуковой школьный</t>
    </r>
  </si>
  <si>
    <r>
      <rPr>
        <sz val="10"/>
        <color theme="1"/>
        <rFont val="Times New Roman"/>
      </rPr>
      <t>На панели генератора расположены безопасные гнезда для подключения сигнальных проводов со штекерами диаметром 4 мм. Имеется три гнезда для получения соответственно сигналов прямоугольной, пилообразной и синусоидальной формы. Четвертое гнездо служит для подключения отрицательной клеммы нагрузки. Частота выходного сигнала устанавливается вращением рукоятки "ЧАСТОТА" в диапазоне от 20 Гц до 20 кГц с шагом около 15% от заданной частоты. Амплитуда выходного сигнала регулируется в диапазоне от 0 до 5 В с помощью рукоятки "АМПЛИТУДА". Питание генератора от сети 220В / 50Гц. Прибор предназначен для использования только учителем.</t>
    </r>
  </si>
  <si>
    <r>
      <rPr>
        <sz val="10"/>
        <color theme="1"/>
        <rFont val="Times New Roman"/>
      </rPr>
      <t>521-301-0588-0001 - Осцилограф демонстрационный цифровой двухканальный с 7-дюймовым цветным жидкокристаллическим дисплеем</t>
    </r>
  </si>
  <si>
    <r>
      <rPr>
        <sz val="10"/>
        <color theme="1"/>
        <rFont val="Times New Roman"/>
      </rPr>
      <t>Двухканальное измерительное устройство оснащено 7-дюймовым цветным жидкокристаллическим дисплеем, обеспечивающим качественную визуализацию сигнала. Полоса пропуска 50МГц; Время нарастания 7нс; Частота сэмплирования 50Мвыб/с. Эквивалентная частота сэмплирования 50Гвыб/с; Вертикальное разрешение 1мВ:20В/под; Время горизонтальной развертки 5нс: 50с/под; Режим запуска развертки Edge, Pulse, Alternate; Автоматическое измерение форм сигналов – 28; Счетчик частоты – 6 единиц;Содержит функцию математической обработки сигнала: вычитание, сложение, деление, умножение и FFT; Потребление: 100/240В, 45-440Гц; Комплектация: Осциллограф – 1 шт; Измерительные щупы – 2 шт.; Кабель питания – 1 шт.; USB кабель – 1 шт.; ПО для соединения с компьютером – 1 шт.</t>
    </r>
  </si>
  <si>
    <r>
      <rPr>
        <sz val="10"/>
        <color theme="1"/>
        <rFont val="Times New Roman"/>
      </rPr>
      <t>521-301-0588-0002 - Осцилограф лабораторный</t>
    </r>
  </si>
  <si>
    <r>
      <rPr>
        <sz val="10"/>
        <color rgb="FF000000"/>
        <rFont val="Times New Roman"/>
      </rPr>
      <t xml:space="preserve">Комплектность: осциллограф – 1 шт.,адаптер – 1 шт.,кабель типа
</t>
    </r>
    <r>
      <rPr>
        <sz val="10"/>
        <color rgb="FF000000"/>
        <rFont val="Times New Roman"/>
      </rPr>
      <t>«тюльпан»  для подключения к телевизору – 1 шт.</t>
    </r>
  </si>
  <si>
    <r>
      <rPr>
        <sz val="10"/>
        <color theme="1"/>
        <rFont val="Times New Roman"/>
      </rPr>
      <t>521-301-0589 - Озонатор</t>
    </r>
  </si>
  <si>
    <r>
      <rPr>
        <sz val="10"/>
        <color theme="1"/>
        <rFont val="Times New Roman"/>
      </rPr>
      <t>Прибор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Прибор можно использовать только с источником высокого напряжения, например с генератором высокого напряжения универсальным.</t>
    </r>
  </si>
  <si>
    <r>
      <rPr>
        <sz val="10"/>
        <color theme="1"/>
        <rFont val="Times New Roman"/>
      </rPr>
      <t>521-301-0590-0001 - Гальванометр лабораторный</t>
    </r>
  </si>
  <si>
    <r>
      <rPr>
        <sz val="10"/>
        <color rgb="FF000000"/>
        <rFont val="Times New Roman"/>
      </rPr>
      <t xml:space="preserve">Материал: пластик + электронный компонент. Чувствительный диапазон:
</t>
    </r>
    <r>
      <rPr>
        <sz val="10"/>
        <color rgb="FF000000"/>
        <rFont val="Times New Roman"/>
      </rPr>
      <t>-30-0-30μA. Размер: 133x97x100мм. Точность: ≤ 5%</t>
    </r>
  </si>
  <si>
    <r>
      <rPr>
        <sz val="10"/>
        <color theme="1"/>
        <rFont val="Times New Roman"/>
      </rPr>
      <t>521-301-0591 - Плата для сборки электрических цепей</t>
    </r>
  </si>
  <si>
    <r>
      <rPr>
        <sz val="10"/>
        <color theme="1"/>
        <rFont val="Times New Roman"/>
      </rPr>
      <t>Предназначена для сборки электрических цепей при проведении демонстрационных и лабораторных работ по электричеству на уроках физики. В комплекте: коммутационная плата в сборе – 1 шт.</t>
    </r>
  </si>
  <si>
    <r>
      <rPr>
        <sz val="10"/>
        <color rgb="FF000000"/>
        <rFont val="Times New Roman"/>
      </rPr>
      <t xml:space="preserve">521-301-0701-0001 -
</t>
    </r>
    <r>
      <rPr>
        <sz val="10"/>
        <color rgb="FF000000"/>
        <rFont val="Times New Roman"/>
      </rPr>
      <t>Микролаборатория по изучению тепловых явлений</t>
    </r>
  </si>
  <si>
    <t>521-301-0701-0001 -
Микролаборатория по изучению тепловых явлений</t>
  </si>
  <si>
    <r>
      <rPr>
        <sz val="10"/>
        <color theme="1"/>
        <rFont val="Times New Roman"/>
      </rPr>
      <t>Комплектация:  - цифровой USB-датчик температуры -20110⁰C - 2 шт.  - цифровой USB-датчик температуры 1000⁰C - 1 шт.  - рабочее поле - 1 шт. - панель с зажимами - 2 шт. - наковальня - 1 шт. - шприц объемом 50 мл - 1 шт. - стакан термостойкий - 1 шт. - пробирки (малые) - 2 шт. - набор стержней для крепления рабочего поля - 1 компл. - набор металлических образцов - 1 компл. - ложка для плавления - 1 шт. - теплопроводящие стержни из разных металлов - 2 шт. - теплоизолирующая перегородка - 1 шт. - теплоизолирующий коврик с отверстиями - 1 шт. - пробки из вспененного полипропилена - 2 шт. - проволока термопарная (скрутка) 0,1 м - 1 шт. - проволока термопарная (сварка) 0,1 м - 1 шт. - пленка белая и черная -1 компл. - припой 5 г - 1 шт. - спиртовка с притертой крышкой - 1 шт.</t>
    </r>
  </si>
  <si>
    <r>
      <rPr>
        <sz val="10"/>
        <color rgb="FF000000"/>
        <rFont val="Times New Roman"/>
      </rPr>
      <t xml:space="preserve">521-301-0702-0001 - Набор
</t>
    </r>
    <r>
      <rPr>
        <sz val="10"/>
        <color rgb="FF000000"/>
        <rFont val="Times New Roman"/>
      </rPr>
      <t>демонстрационный для изучения оптики</t>
    </r>
  </si>
  <si>
    <t>Набор
демонстрационный для изучения оптики</t>
  </si>
  <si>
    <r>
      <rPr>
        <sz val="10"/>
        <color theme="1"/>
        <rFont val="Times New Roman"/>
      </rPr>
      <t>В набор входят: 1. щит-экран 2. щелевая панель 3. источник света 4. набор линз, зеркал, призм, светофильтров</t>
    </r>
  </si>
  <si>
    <r>
      <rPr>
        <sz val="10"/>
        <color rgb="FF000000"/>
        <rFont val="Times New Roman"/>
      </rPr>
      <t xml:space="preserve">521-301-0702-0002 - Скамья
</t>
    </r>
    <r>
      <rPr>
        <sz val="10"/>
        <color rgb="FF000000"/>
        <rFont val="Times New Roman"/>
      </rPr>
      <t>оптическая</t>
    </r>
  </si>
  <si>
    <t>Скамья
оптическая</t>
  </si>
  <si>
    <r>
      <rPr>
        <sz val="10"/>
        <color theme="1"/>
        <rFont val="Times New Roman"/>
      </rPr>
      <t>В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t>
    </r>
  </si>
  <si>
    <r>
      <rPr>
        <sz val="10"/>
        <color theme="1"/>
        <rFont val="Times New Roman"/>
      </rPr>
      <t>521-301-0704-0001 - Лабораторный набор "Электричество"</t>
    </r>
  </si>
  <si>
    <r>
      <rPr>
        <sz val="10"/>
        <color theme="1"/>
        <rFont val="Times New Roman"/>
      </rPr>
      <t>В набор входит: укладки с контактными пружинами для батареек на 1,5 В – 2 шт., лампочки на подставках (1,5 В, 0,25 А) – 3 шт., кнопочные выключатели – 3 шт., подставка со специальными контактами для проверки проводимости веществ, представленных в виде тонких пластин – 1 шт., катушка со съемным железным сердечником (болтом) – 1 шт., пластины (жесть, бумага, алюминий, пластик, латунь) – 5 шт., соединительные провода – 9 шт., коробка-укладка – 1 шт.</t>
    </r>
  </si>
  <si>
    <r>
      <rPr>
        <sz val="10"/>
        <color theme="1"/>
        <rFont val="Times New Roman"/>
      </rPr>
      <t>Комплектация:</t>
    </r>
  </si>
  <si>
    <r>
      <rPr>
        <sz val="10"/>
        <color theme="1"/>
        <rFont val="Times New Roman"/>
      </rPr>
      <t>Кейс с крышкой - 1шт ,</t>
    </r>
  </si>
  <si>
    <r>
      <rPr>
        <sz val="10"/>
        <color theme="1"/>
        <rFont val="Times New Roman"/>
      </rPr>
      <t>Лоток со вставкой - 1шт,</t>
    </r>
  </si>
  <si>
    <r>
      <rPr>
        <sz val="10"/>
        <color theme="1"/>
        <rFont val="Times New Roman"/>
      </rPr>
      <t>Универсальное основание кронштейна (1 шт.)</t>
    </r>
  </si>
  <si>
    <r>
      <rPr>
        <sz val="10"/>
        <color theme="1"/>
        <rFont val="Times New Roman"/>
      </rPr>
      <t>Шатун с наружной резьбой (1 шт.)</t>
    </r>
  </si>
  <si>
    <r>
      <rPr>
        <sz val="10"/>
        <color theme="1"/>
        <rFont val="Times New Roman"/>
      </rPr>
      <t>Шатун с внутренней резьбой (1 шт.)</t>
    </r>
  </si>
  <si>
    <r>
      <rPr>
        <sz val="10"/>
        <color theme="1"/>
        <rFont val="Times New Roman"/>
      </rPr>
      <t>Универсальный адаптер (1 шт.)</t>
    </r>
  </si>
  <si>
    <r>
      <rPr>
        <sz val="10"/>
        <color theme="1"/>
        <rFont val="Times New Roman"/>
      </rPr>
      <t>Универсальный трубной хомут (1 шт.)</t>
    </r>
  </si>
  <si>
    <r>
      <rPr>
        <sz val="10"/>
        <color rgb="FF000000"/>
        <rFont val="Times New Roman"/>
      </rPr>
      <t xml:space="preserve">521-301-0705-0001 - Набор
</t>
    </r>
    <r>
      <rPr>
        <sz val="10"/>
        <color rgb="FF000000"/>
        <rFont val="Times New Roman"/>
      </rPr>
      <t>демонстрационный для изучения механики типа Experia PHE-011</t>
    </r>
  </si>
  <si>
    <t>Набор
демонстрационный для изучения механики типа Experia PHE-011</t>
  </si>
  <si>
    <r>
      <rPr>
        <sz val="10"/>
        <color rgb="FF000000"/>
        <rFont val="Times New Roman"/>
      </rPr>
      <t xml:space="preserve">Винтовой микрометр (1 шт.) Штангенциркуль (1 шт.)
</t>
    </r>
    <r>
      <rPr>
        <sz val="10"/>
        <color rgb="FF000000"/>
        <rFont val="Times New Roman"/>
      </rPr>
      <t xml:space="preserve">Баланс (1 шт.)
</t>
    </r>
    <r>
      <rPr>
        <sz val="10"/>
        <color rgb="FF000000"/>
        <rFont val="Times New Roman"/>
      </rPr>
      <t>Груз (1 шт.)</t>
    </r>
  </si>
  <si>
    <r>
      <rPr>
        <sz val="10"/>
        <color theme="1"/>
        <rFont val="Times New Roman"/>
      </rPr>
      <t>Электронный секундомер (1 шт.)</t>
    </r>
  </si>
  <si>
    <r>
      <rPr>
        <sz val="10"/>
        <color theme="1"/>
        <rFont val="Times New Roman"/>
      </rPr>
      <t>Стакан (1 шт.)</t>
    </r>
  </si>
  <si>
    <r>
      <rPr>
        <sz val="10"/>
        <color theme="1"/>
        <rFont val="Times New Roman"/>
      </rPr>
      <t>Рулетка (1 шт.)</t>
    </r>
  </si>
  <si>
    <r>
      <rPr>
        <sz val="10"/>
        <color theme="1"/>
        <rFont val="Times New Roman"/>
      </rPr>
      <t>Стальная линейка (1 шт.)</t>
    </r>
  </si>
  <si>
    <r>
      <rPr>
        <sz val="10"/>
        <color theme="1"/>
        <rFont val="Times New Roman"/>
      </rPr>
      <t>Центр тяжести (1 шт.)</t>
    </r>
  </si>
  <si>
    <r>
      <rPr>
        <sz val="10"/>
        <color theme="1"/>
        <rFont val="Times New Roman"/>
      </rPr>
      <t>Экспериментальное оборудование (1 шт.)</t>
    </r>
  </si>
  <si>
    <r>
      <rPr>
        <sz val="10"/>
        <color theme="1"/>
        <rFont val="Times New Roman"/>
      </rPr>
      <t>Металлическая кубическая группа (1 шт.)</t>
    </r>
  </si>
  <si>
    <r>
      <rPr>
        <sz val="10"/>
        <color theme="1"/>
        <rFont val="Times New Roman"/>
      </rPr>
      <t>Фрикционный блок и установочный штифт (1 шт.)</t>
    </r>
  </si>
  <si>
    <r>
      <rPr>
        <sz val="10"/>
        <color rgb="FF000000"/>
        <rFont val="Times New Roman"/>
      </rPr>
      <t xml:space="preserve">521-301-0705-0002 - Набор
</t>
    </r>
    <r>
      <rPr>
        <sz val="10"/>
        <color rgb="FF000000"/>
        <rFont val="Times New Roman"/>
      </rPr>
      <t>демонстрационный для изучения механики типа Cornelsen Experimenta 43080/44259</t>
    </r>
  </si>
  <si>
    <t>Набор
демонстрационный для изучения механики типа Cornelsen Experimenta 43080/44259</t>
  </si>
  <si>
    <r>
      <rPr>
        <sz val="10"/>
        <color rgb="FF000000"/>
        <rFont val="Times New Roman"/>
      </rPr>
      <t xml:space="preserve">В набор входит:
</t>
    </r>
    <r>
      <rPr>
        <sz val="10"/>
        <color rgb="FF000000"/>
        <rFont val="Times New Roman"/>
      </rPr>
      <t xml:space="preserve">рельсовый профиль с опорой и ползунком,  горизонтальное крепление стержней;
</t>
    </r>
    <r>
      <rPr>
        <sz val="10"/>
        <color rgb="FF000000"/>
        <rFont val="Times New Roman"/>
      </rPr>
      <t xml:space="preserve">опора - 2 штуки, муфта,
</t>
    </r>
    <r>
      <rPr>
        <sz val="10"/>
        <color rgb="FF000000"/>
        <rFont val="Times New Roman"/>
      </rPr>
      <t xml:space="preserve">стержень стальной длиной 500мм.- 2шт; чаша весов с подвесом,
</t>
    </r>
    <r>
      <rPr>
        <sz val="10"/>
        <color rgb="FF000000"/>
        <rFont val="Times New Roman"/>
      </rPr>
      <t xml:space="preserve">динамометр цена деления 0.04Н, рычаг с опорой и указателем, пластиковая пластина подвижный блок с крючком, модуль из сдвоенных блоков, ступенчатая шайба,
</t>
    </r>
    <r>
      <rPr>
        <sz val="10"/>
        <color rgb="FF000000"/>
        <rFont val="Times New Roman"/>
      </rPr>
      <t xml:space="preserve">шнур,
</t>
    </r>
    <r>
      <rPr>
        <sz val="10"/>
        <color rgb="FF000000"/>
        <rFont val="Times New Roman"/>
      </rPr>
      <t xml:space="preserve">устройство для подвешивания,
</t>
    </r>
    <r>
      <rPr>
        <sz val="10"/>
        <color rgb="FF000000"/>
        <rFont val="Times New Roman"/>
      </rPr>
      <t>набор подвесных гирь с держателем, общая масса набора составляет 300г, разновес с двумя крючками,  Оборудование размещено в пластиковом чемодане, размер которого составляет (ШхГхТ) 540x450x150 мм</t>
    </r>
  </si>
  <si>
    <r>
      <rPr>
        <sz val="10"/>
        <color rgb="FF000000"/>
        <rFont val="Times New Roman"/>
      </rPr>
      <t xml:space="preserve">521-301-0705-0004 - Набор
</t>
    </r>
    <r>
      <rPr>
        <sz val="10"/>
        <color rgb="FF000000"/>
        <rFont val="Times New Roman"/>
      </rPr>
      <t>"Простые механизмы" типа Fischertechnik</t>
    </r>
  </si>
  <si>
    <t>Набор
"Простые механизмы" типа Fischertechnik</t>
  </si>
  <si>
    <r>
      <rPr>
        <sz val="10"/>
        <color theme="1"/>
        <rFont val="Times New Roman"/>
      </rPr>
      <t>В набор входит: Веревка Канатные шкивы Шестерни Колеса Оси Нить</t>
    </r>
  </si>
  <si>
    <r>
      <rPr>
        <sz val="10"/>
        <color rgb="FF000000"/>
        <rFont val="Times New Roman"/>
      </rPr>
      <t xml:space="preserve">521-301-0705-0005 - Набор
</t>
    </r>
    <r>
      <rPr>
        <sz val="10"/>
        <color rgb="FF000000"/>
        <rFont val="Times New Roman"/>
      </rPr>
      <t>демонстрационный для изучения механики</t>
    </r>
  </si>
  <si>
    <t>Набор
демонстрационный для изучения механики</t>
  </si>
  <si>
    <r>
      <rPr>
        <sz val="10"/>
        <color rgb="FF000000"/>
        <rFont val="Times New Roman"/>
      </rPr>
      <t xml:space="preserve">В набор входят: 1. скамья для изучения механического движения, 2. тележки на магнитной подвеске (2 шт.),  3.брусок,  4.пусковое устройство,
</t>
    </r>
    <r>
      <rPr>
        <sz val="10"/>
        <color rgb="FF000000"/>
        <rFont val="Times New Roman"/>
      </rPr>
      <t xml:space="preserve">5. ограничитель,  6. транспортир с отвесом, 7.  блок, наборные грузики (2
</t>
    </r>
    <r>
      <rPr>
        <sz val="10"/>
        <color rgb="FF000000"/>
        <rFont val="Times New Roman"/>
      </rPr>
      <t>шт.),  8. стальные шарики (3 шт.), 9. плата держателей шариков, 10. оптоэлектрические датчики (2 шт.), 11. методические указания</t>
    </r>
  </si>
  <si>
    <r>
      <rPr>
        <sz val="10"/>
        <color rgb="FF000000"/>
        <rFont val="Times New Roman"/>
      </rPr>
      <t xml:space="preserve">521-301-0705-0006 -
</t>
    </r>
    <r>
      <rPr>
        <sz val="10"/>
        <color rgb="FF000000"/>
        <rFont val="Times New Roman"/>
      </rPr>
      <t>Микролаборатория по изучению механики</t>
    </r>
  </si>
  <si>
    <t>521-301-0705-0006 -
Микролаборатория по изучению механики</t>
  </si>
  <si>
    <r>
      <rPr>
        <sz val="10"/>
        <color rgb="FF000000"/>
        <rFont val="Times New Roman"/>
      </rPr>
      <t xml:space="preserve">Состав:  1. Направляющая рейка, 2. каретка, 3. секундомер с 2 датчиками, 4.
</t>
    </r>
    <r>
      <rPr>
        <sz val="10"/>
        <color rgb="FF000000"/>
        <rFont val="Times New Roman"/>
      </rPr>
      <t xml:space="preserve">рычаг с осью, 5. крючок (2 шт.), 6. штатив, 7. подвижный блок, 8.
</t>
    </r>
    <r>
      <rPr>
        <sz val="10"/>
        <color rgb="FF000000"/>
        <rFont val="Times New Roman"/>
      </rPr>
      <t xml:space="preserve">неподвижный блок 9. груз (4 шт.), 10. шарик, 11. бумага копировальная, 12.
</t>
    </r>
    <r>
      <rPr>
        <sz val="10"/>
        <color rgb="FF000000"/>
        <rFont val="Times New Roman"/>
      </rPr>
      <t>коврик, 13. тесьма</t>
    </r>
  </si>
  <si>
    <r>
      <rPr>
        <sz val="10"/>
        <color rgb="FF000000"/>
        <rFont val="Times New Roman"/>
      </rPr>
      <t xml:space="preserve">521-301-0705-0007 - Комплект
</t>
    </r>
    <r>
      <rPr>
        <sz val="10"/>
        <color rgb="FF000000"/>
        <rFont val="Times New Roman"/>
      </rPr>
      <t>демонстрационный по механике</t>
    </r>
  </si>
  <si>
    <t>Комплект
демонстрационный по механике</t>
  </si>
  <si>
    <r>
      <rPr>
        <sz val="10"/>
        <color rgb="FF000000"/>
        <rFont val="Times New Roman"/>
      </rPr>
      <t xml:space="preserve">Комплектация: Скамья - 1 шт.; Тележка на магнитной подвеске - 2 шт.; Брусок - 1 шт.; Ограничитель - 1 шт.; Платформа стартового устройства с кабелем - 1 шт.; Концентратор USB (4гнезда) - 1 шт.; Удлинитель USB - 1 шт.; Оптоэлектрический датчик - 2 шт.; Платформа с блоком - 1 шт.; Груз наборный - 2 шт.; Груз для тележки - 1 шт.; Шар стальной - 3 шт.; Транспортир - 1 шт.; Пластина стальная - 2 шт.; Пакет с принадлежностями
</t>
    </r>
    <r>
      <rPr>
        <sz val="10"/>
        <color rgb="FF000000"/>
        <rFont val="Times New Roman"/>
      </rPr>
      <t xml:space="preserve">- 1 шт. ; Диск с программным обеспечением - 1 шт.; Методические указания
</t>
    </r>
    <r>
      <rPr>
        <sz val="10"/>
        <color rgb="FF000000"/>
        <rFont val="Times New Roman"/>
      </rPr>
      <t>- 1 шт.; Паспорт набора - 1 шт.; Лоток с ложементом - 1 шт.</t>
    </r>
  </si>
  <si>
    <r>
      <rPr>
        <sz val="10"/>
        <color rgb="FF000000"/>
        <rFont val="Times New Roman"/>
      </rPr>
      <t xml:space="preserve">521-301-0705-0008 - Тележка
</t>
    </r>
    <r>
      <rPr>
        <sz val="10"/>
        <color rgb="FF000000"/>
        <rFont val="Times New Roman"/>
      </rPr>
      <t>легкоподвижная с таймером</t>
    </r>
  </si>
  <si>
    <t>Тележка
легкоподвижная с таймером</t>
  </si>
  <si>
    <r>
      <rPr>
        <sz val="10"/>
        <color rgb="FF000000"/>
        <rFont val="Times New Roman"/>
      </rPr>
      <t xml:space="preserve">Тележки легкоподвижные предназначены для проведения демонстрационных опытов по механике. Тележки представляют собой платформы на четырех колесах. Торцевые кромки платформ оснащены с одной стороны пластиковой пружиной и шурупом для связывания тележек нитью. На платформах имеются три гнезда для установки грузов.
</t>
    </r>
    <r>
      <rPr>
        <sz val="10"/>
        <color rgb="FF000000"/>
        <rFont val="Times New Roman"/>
      </rPr>
      <t>Комплектность: тележки легкоподвижные – 2 шт., запасные пластиковые пружины – 2 шт., руководство по эксплуатации – 1 шт.</t>
    </r>
  </si>
  <si>
    <r>
      <rPr>
        <sz val="10"/>
        <color theme="1"/>
        <rFont val="Times New Roman"/>
      </rPr>
      <t>521-301-0707 - Лабораторный комплект по механике</t>
    </r>
  </si>
  <si>
    <r>
      <rPr>
        <sz val="10"/>
        <color rgb="FF000000"/>
        <rFont val="Times New Roman"/>
      </rPr>
      <t xml:space="preserve">Комплект позволяет проводить не менее 25 экспериментов.
</t>
    </r>
    <r>
      <rPr>
        <sz val="10"/>
        <color rgb="FF000000"/>
        <rFont val="Times New Roman"/>
      </rPr>
      <t xml:space="preserve">В комплект входит :
</t>
    </r>
    <r>
      <rPr>
        <sz val="10"/>
        <color rgb="FF000000"/>
        <rFont val="Times New Roman"/>
      </rPr>
      <t xml:space="preserve">В комплект входит :
</t>
    </r>
    <r>
      <rPr>
        <sz val="10"/>
        <color rgb="FF000000"/>
        <rFont val="Times New Roman"/>
      </rPr>
      <t xml:space="preserve">Коробка-укладка -1шт.
</t>
    </r>
    <r>
      <rPr>
        <sz val="10"/>
        <color rgb="FF000000"/>
        <rFont val="Times New Roman"/>
      </rPr>
      <t xml:space="preserve">Стойка с шестью сквозными отверстиями разного диаметра, два из которых имеют резьбовые гнезда -1шт.
</t>
    </r>
    <r>
      <rPr>
        <sz val="10"/>
        <color rgb="FF000000"/>
        <rFont val="Times New Roman"/>
      </rPr>
      <t xml:space="preserve">Рычаг-линейка -1шт.
</t>
    </r>
    <r>
      <rPr>
        <sz val="10"/>
        <color rgb="FF000000"/>
        <rFont val="Times New Roman"/>
      </rPr>
      <t xml:space="preserve">Пять блоков разного диаметра для изучения равновесия на подвижном и неподвижном блоках, для сборки модели подъемного крана и полиспаста.
</t>
    </r>
    <r>
      <rPr>
        <sz val="10"/>
        <color rgb="FF000000"/>
        <rFont val="Times New Roman"/>
      </rPr>
      <t xml:space="preserve">Один блок находится в обойме вместе с подъемным крюком.-1шт.
</t>
    </r>
    <r>
      <rPr>
        <sz val="10"/>
        <color rgb="FF000000"/>
        <rFont val="Times New Roman"/>
      </rPr>
      <t xml:space="preserve">Две шестерни разного диаметра для изучения шестеренчатой передачи и лебедки-1шт.
</t>
    </r>
    <r>
      <rPr>
        <sz val="10"/>
        <color rgb="FF000000"/>
        <rFont val="Times New Roman"/>
      </rPr>
      <t xml:space="preserve">Пять винтов разного диаметра и длины с фасонными головками.Ползун, шатун, втулка, ручка.-1шт.
</t>
    </r>
    <r>
      <rPr>
        <sz val="10"/>
        <color rgb="FF000000"/>
        <rFont val="Times New Roman"/>
      </rPr>
      <t xml:space="preserve">Металлический каток с проволочной подвеской для определения силы трения качения и КПД наклонной плоскости-1шт.
</t>
    </r>
    <r>
      <rPr>
        <sz val="10"/>
        <color rgb="FF000000"/>
        <rFont val="Times New Roman"/>
      </rPr>
      <t xml:space="preserve">Металлический стержень длиной 120 мм, диаметром 4 мм и с резьбой на одном конце. Стержень служит опорой при образований наклонной плоскости. Его вкручивают горизонтально в вертикальную стойку подставки. На стержень при образовании наклонной плоскости кладут крышку коробки-укладки, имеющую вырезы под стержень-1шт.
</t>
    </r>
    <r>
      <rPr>
        <sz val="10"/>
        <color rgb="FF000000"/>
        <rFont val="Times New Roman"/>
      </rPr>
      <t xml:space="preserve">Длинная нить с крючками на концах. Она необходима при изучении условии равновесия сил на блоках и подъемном кране-1шт.
</t>
    </r>
    <r>
      <rPr>
        <sz val="10"/>
        <color rgb="FF000000"/>
        <rFont val="Times New Roman"/>
      </rPr>
      <t>Коробка-укладка для размещения и хранения всех компонентов набора-1шт.</t>
    </r>
  </si>
  <si>
    <r>
      <rPr>
        <sz val="10"/>
        <color rgb="FF000000"/>
        <rFont val="Times New Roman"/>
      </rPr>
      <t xml:space="preserve">521-301-0708-0001 - Набор
</t>
    </r>
    <r>
      <rPr>
        <sz val="10"/>
        <color rgb="FF000000"/>
        <rFont val="Times New Roman"/>
      </rPr>
      <t>лабораторный "Магнетизм"</t>
    </r>
  </si>
  <si>
    <t>Набор
лабораторный "Магнетизм"</t>
  </si>
  <si>
    <r>
      <rPr>
        <sz val="10"/>
        <color theme="1"/>
        <rFont val="Times New Roman"/>
      </rPr>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 1 шт., площадка для размещения полосовых магнитов – 1 шт.,  тележки с прозрачным кузовом – 2 шт.,  коробка-укладка – 1 шт.</t>
    </r>
  </si>
  <si>
    <r>
      <rPr>
        <sz val="10"/>
        <color rgb="FF000000"/>
        <rFont val="Times New Roman"/>
      </rPr>
      <t xml:space="preserve">521-301-0708-0002 -
</t>
    </r>
    <r>
      <rPr>
        <sz val="10"/>
        <color rgb="FF000000"/>
        <rFont val="Times New Roman"/>
      </rPr>
      <t>Микролаборатория по изучению магнетизма</t>
    </r>
  </si>
  <si>
    <t>521-301-0708-0002 -
Микролаборатория по изучению магнетизма</t>
  </si>
  <si>
    <r>
      <rPr>
        <sz val="10"/>
        <color theme="1"/>
        <rFont val="Times New Roman"/>
      </rPr>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и др.) – 1 шт., площадка для размещения полосовых магнитов – 1 шт.,  тележки с прозрачным кузовом – 2 шт.,  коробка-укладка – 1 шт.,  руководство по эксплуатации – 1 шт.</t>
    </r>
  </si>
  <si>
    <r>
      <rPr>
        <sz val="10"/>
        <color rgb="FF000000"/>
        <rFont val="Times New Roman"/>
      </rPr>
      <t xml:space="preserve">521-301-0708-0003 - Набор
</t>
    </r>
    <r>
      <rPr>
        <sz val="10"/>
        <color rgb="FF000000"/>
        <rFont val="Times New Roman"/>
      </rPr>
      <t>"Магниты кольцевые на штативе"</t>
    </r>
  </si>
  <si>
    <t>Набор
"Магниты кольцевые на штативе"</t>
  </si>
  <si>
    <r>
      <rPr>
        <sz val="10"/>
        <color theme="1"/>
        <rFont val="Times New Roman"/>
      </rPr>
      <t>Набор предназначен для демонстрации отталкивания одноименных и притяжения разноименных полюсов двух магнитов. Комплектность: магнит кольцевой – 3 шт., стойка вертикальная – 1 шт., руководство по эксплуатации с методическими екомендациями – 1 шт. Прибор представляет собой стойку с надетыми на нее тремя постоянными кольцевыми магнитами. Полюса магнитов окрашены в разные цвета.</t>
    </r>
  </si>
  <si>
    <r>
      <rPr>
        <sz val="10"/>
        <color theme="1"/>
        <rFont val="Times New Roman"/>
      </rPr>
      <t>521-301-0709 - Лабораторный набор "Оптика"</t>
    </r>
  </si>
  <si>
    <r>
      <rPr>
        <sz val="10"/>
        <color rgb="FF000000"/>
        <rFont val="Times New Roman"/>
      </rPr>
      <t xml:space="preserve">Комплектность: лампочка в патроне – 1 шт., свеча парафиновая – 1 шт.,
</t>
    </r>
    <r>
      <rPr>
        <sz val="10"/>
        <color rgb="FF000000"/>
        <rFont val="Times New Roman"/>
      </rPr>
      <t xml:space="preserve">линза короткофокусная – 1 шт., линза длиннофокусная – 1 шт.,
</t>
    </r>
    <r>
      <rPr>
        <sz val="10"/>
        <color rgb="FF000000"/>
        <rFont val="Times New Roman"/>
      </rPr>
      <t xml:space="preserve">срез двояковыпуклой линзы – 1 шт., срез трехгранной призмы – 1 шт., зеркала плоские – 2 шт.,
</t>
    </r>
    <r>
      <rPr>
        <sz val="10"/>
        <color rgb="FF000000"/>
        <rFont val="Times New Roman"/>
      </rPr>
      <t xml:space="preserve">экран черный с круглым отверстием – 1 шт., экран с одной щелью – 1 шт.,
</t>
    </r>
    <r>
      <rPr>
        <sz val="10"/>
        <color rgb="FF000000"/>
        <rFont val="Times New Roman"/>
      </rPr>
      <t xml:space="preserve">экран с тремя щелями – 1 шт., экран белый пластмассовый – 1шт., экран полупрозрачный – 1 шт., подставка-держатель – 3 шт.,
</t>
    </r>
    <r>
      <rPr>
        <sz val="10"/>
        <color rgb="FF000000"/>
        <rFont val="Times New Roman"/>
      </rPr>
      <t xml:space="preserve">подставки резиновые черные – 4 шт., держатель для лампочки – 1 шт., предмет-стойка – 1 шт.,
</t>
    </r>
    <r>
      <rPr>
        <sz val="10"/>
        <color rgb="FF000000"/>
        <rFont val="Times New Roman"/>
      </rPr>
      <t>коробка-укладка – 1 шт., руководство по эксплуатации – 1 шт.</t>
    </r>
  </si>
  <si>
    <r>
      <rPr>
        <sz val="10"/>
        <color theme="1"/>
        <rFont val="Times New Roman"/>
      </rPr>
      <t>521-301-0710 - Комплект лабораторный по оптике</t>
    </r>
  </si>
  <si>
    <r>
      <rPr>
        <sz val="10"/>
        <color rgb="FF000000"/>
        <rFont val="Times New Roman"/>
      </rPr>
      <t xml:space="preserve">Состоит из 15 источников света, питания от батареи, экспериментальной платформы и набора оптических элементов для проведения опытов.
</t>
    </r>
    <r>
      <rPr>
        <sz val="10"/>
        <color rgb="FF000000"/>
        <rFont val="Times New Roman"/>
      </rPr>
      <t xml:space="preserve">Источник света имеет встроенную PCX линзу и подвижный 3 V LED источник света, который позволяет варьировать интенсивность света и направлять лучи. Свет: 2,2V LED (красный) Лампа: R6 (AAM) 1.5 Vx2.
</t>
    </r>
    <r>
      <rPr>
        <sz val="10"/>
        <color rgb="FF000000"/>
        <rFont val="Times New Roman"/>
      </rPr>
      <t>Oбъектив: PCX. Цилиндрическая линза 40wx20H.</t>
    </r>
  </si>
  <si>
    <r>
      <rPr>
        <sz val="10"/>
        <color theme="1"/>
        <rFont val="Times New Roman"/>
      </rPr>
      <t>В комплект входят:</t>
    </r>
  </si>
  <si>
    <r>
      <rPr>
        <sz val="10"/>
        <color theme="1"/>
        <rFont val="Times New Roman"/>
      </rPr>
      <t>набор радиоэлементов на магнитах: входной контур – 1 шт;</t>
    </r>
  </si>
  <si>
    <r>
      <rPr>
        <sz val="10"/>
        <color theme="1"/>
        <rFont val="Times New Roman"/>
      </rPr>
      <t>источник сигнала низкой частоты – 1 шт;</t>
    </r>
  </si>
  <si>
    <r>
      <rPr>
        <sz val="10"/>
        <color theme="1"/>
        <rFont val="Times New Roman"/>
      </rPr>
      <t>источник сигнала высокой частоты – 1 шт;</t>
    </r>
  </si>
  <si>
    <r>
      <rPr>
        <sz val="10"/>
        <color theme="1"/>
        <rFont val="Times New Roman"/>
      </rPr>
      <t>реле – 1 шт;</t>
    </r>
  </si>
  <si>
    <r>
      <rPr>
        <sz val="10"/>
        <color theme="1"/>
        <rFont val="Times New Roman"/>
      </rPr>
      <t>резисторы – 13 шт;</t>
    </r>
  </si>
  <si>
    <r>
      <rPr>
        <sz val="10"/>
        <color theme="1"/>
        <rFont val="Times New Roman"/>
      </rPr>
      <t>потенциометры – 4 шт;</t>
    </r>
  </si>
  <si>
    <r>
      <rPr>
        <sz val="10"/>
        <color theme="1"/>
        <rFont val="Times New Roman"/>
      </rPr>
      <t>конденсаторы – 10 шт;</t>
    </r>
  </si>
  <si>
    <r>
      <rPr>
        <sz val="10"/>
        <color theme="1"/>
        <rFont val="Times New Roman"/>
      </rPr>
      <t>транзисторы – 6 шт;</t>
    </r>
  </si>
  <si>
    <r>
      <rPr>
        <sz val="10"/>
        <color theme="1"/>
        <rFont val="Times New Roman"/>
      </rPr>
      <t>521-301-0711 - Комплект</t>
    </r>
  </si>
  <si>
    <t>Комплект</t>
  </si>
  <si>
    <r>
      <rPr>
        <sz val="10"/>
        <color theme="1"/>
        <rFont val="Times New Roman"/>
      </rPr>
      <t>диоды – 6 шт;</t>
    </r>
  </si>
  <si>
    <r>
      <rPr>
        <sz val="10"/>
        <color theme="1"/>
        <rFont val="Times New Roman"/>
      </rPr>
      <t>радиотехнический</t>
    </r>
  </si>
  <si>
    <t>радиотехнический</t>
  </si>
  <si>
    <r>
      <rPr>
        <sz val="10"/>
        <color theme="1"/>
        <rFont val="Times New Roman"/>
      </rPr>
      <t>фотодиод – 1 шт;</t>
    </r>
  </si>
  <si>
    <r>
      <rPr>
        <sz val="10"/>
        <color theme="1"/>
        <rFont val="Times New Roman"/>
      </rPr>
      <t>катушка индуктивности – 1 шт;</t>
    </r>
  </si>
  <si>
    <r>
      <rPr>
        <sz val="10"/>
        <color theme="1"/>
        <rFont val="Times New Roman"/>
      </rPr>
      <t>входной трансформатор – 1 шт;</t>
    </r>
  </si>
  <si>
    <r>
      <rPr>
        <sz val="10"/>
        <color theme="1"/>
        <rFont val="Times New Roman"/>
      </rPr>
      <t>выходной трансформатор – 1 шт;</t>
    </r>
  </si>
  <si>
    <r>
      <rPr>
        <sz val="10"/>
        <color theme="1"/>
        <rFont val="Times New Roman"/>
      </rPr>
      <t>электродвигатель – 1 шт;</t>
    </r>
  </si>
  <si>
    <r>
      <rPr>
        <sz val="10"/>
        <color theme="1"/>
        <rFont val="Times New Roman"/>
      </rPr>
      <t>электролампочка – 1 шт;</t>
    </r>
  </si>
  <si>
    <r>
      <rPr>
        <sz val="10"/>
        <color theme="1"/>
        <rFont val="Times New Roman"/>
      </rPr>
      <t>футляр для электрических батареек – 1 шт;</t>
    </r>
  </si>
  <si>
    <r>
      <rPr>
        <sz val="10"/>
        <color theme="1"/>
        <rFont val="Times New Roman"/>
      </rPr>
      <t>громкоговоритель – 1 шт;</t>
    </r>
  </si>
  <si>
    <r>
      <rPr>
        <sz val="10"/>
        <color theme="1"/>
        <rFont val="Times New Roman"/>
      </rPr>
      <t>соединительные провода – 30 шт;</t>
    </r>
  </si>
  <si>
    <r>
      <rPr>
        <sz val="10"/>
        <color theme="1"/>
        <rFont val="Times New Roman"/>
      </rPr>
      <t>электрические схемы – 22 шт</t>
    </r>
  </si>
  <si>
    <r>
      <rPr>
        <sz val="10"/>
        <color rgb="FF000000"/>
        <rFont val="Times New Roman"/>
      </rPr>
      <t xml:space="preserve">521-301-0712 - Набор
</t>
    </r>
    <r>
      <rPr>
        <sz val="10"/>
        <color rgb="FF000000"/>
        <rFont val="Times New Roman"/>
      </rPr>
      <t>"Альтернативные и возобновляемые источники энергии"</t>
    </r>
  </si>
  <si>
    <t>Набор
"Альтернативные и возобновляемые источники энергии"</t>
  </si>
  <si>
    <r>
      <rPr>
        <sz val="10"/>
        <color rgb="FF000000"/>
        <rFont val="Times New Roman"/>
      </rPr>
      <t xml:space="preserve">В состав набора входят:  Основа штатива, типа PHYWE 02001-00 - 1шт Леска, d=0,7 мм, l=5 м 02089-01 - 1шт  Фетр, листовой, 100x100 мм 04404-20 - 1шт Соединитель, угловой, модуль SB 05601-02 – 4шт
</t>
    </r>
    <r>
      <rPr>
        <sz val="10"/>
        <color rgb="FF000000"/>
        <rFont val="Times New Roman"/>
      </rPr>
      <t xml:space="preserve">Соединительный, разомкнутый, модуль SB 05601-04 - 1шт Соединительный модуль SB 05601-10 – 4шт Патрон для лампы накаливания Е 10, модуль SB 05604-00 - 1шт Мотор, 5 В, модуль SB 05660-00 - 1шт Генератор с осью резьбы и гайками для крепления 05751-01 – 1шт Солнечный коллектор для ученических экспериментов 05760-00 – 1шт Теплогенератор для ученических экспериментов 05770-00 – 1шт Галогенная лампа с рефлектором, 12 В / 20 Вт 05780-00 – 1шт Держатель для галогенных ламп с рефлектором 05781-00 – 1шт Лабораторный химический стакан, светлый, алюминий 05903-01 – 1шт Лабораторный химический стакан, темный 05904-01 – 1шт Лампы накаливания, 1.5 В/ 0,15 A, E10, 10 шт. 06150-03 –
</t>
    </r>
    <r>
      <rPr>
        <sz val="10"/>
        <color rgb="FF000000"/>
        <rFont val="Times New Roman"/>
      </rPr>
      <t xml:space="preserve">1шт Лампа накаливания 4 В/ 0,04 A, E 10 06154-00 – 1шт Солнечный элемент (3,3x6,5) см, со штепсельными вилками , 0,5 V, 330 mA 06752-09 – 1шт Держатель для солнечных элементов (3,3x6,5) см, со штепсельными вилками 06752-08 – 1шт Двойные гнезда, 1 пара, красные и черные
</t>
    </r>
    <r>
      <rPr>
        <sz val="10"/>
        <color rgb="FF000000"/>
        <rFont val="Times New Roman"/>
      </rPr>
      <t xml:space="preserve">07264-00 – 1шт Соединительный проводник, 500 мм, красный 07360-01 – 2шт Соединительный проводник, 500 мм, синий 07360-04 – 2шт Соединительный проводник, 500 мм, красный 07361-01 – 2шт Соединительный проводник, 500 мм, синий 07361-04 – 1шт Скользящая опора для оптической скамьи 09822-00 – 1шт Рулетка, l=2 м 09936-00 – 1шт Секундомер, цифровой, 24 часа, 1/ 100 с &amp; 1 с 24025-00 – 1шт Лампа накаливания, 6 В/ 3 Вт, E10, 10 шт 35673-03 – 1шт Мензурка, низкая, 100 мл, пластмасса 36011-01 – 1шт Мензурка, низкая форма, 25 мл 46055-00 – 1шт Лабораторный термометр, -10..+110°C 38056-00 – 2шт Силиконовые трубки, внутренний d=3 мм 39296-00 – 1шт Расходомер для жидкостей или газов, стирол-акрилонитрил 46434-00 – 1шт Фильтровальная воронка, PP, d=60 мм 46895-00 – 1шт TESS-коробка, пластмасса 15200-00 – 1шт Крышка
</t>
    </r>
    <r>
      <rPr>
        <sz val="10"/>
        <color rgb="FF000000"/>
        <rFont val="Times New Roman"/>
      </rPr>
      <t>для коробки, пластмасса – 15205-00 – 1шт</t>
    </r>
  </si>
  <si>
    <r>
      <rPr>
        <sz val="10"/>
        <color theme="1"/>
        <rFont val="Times New Roman"/>
      </rPr>
      <t>521-301-0713 - Образовательный комплект для изучения ветровой и гидроэнергии</t>
    </r>
  </si>
  <si>
    <t>Образовательный комплект для изучения ветровой и гидроэнергии</t>
  </si>
  <si>
    <r>
      <rPr>
        <sz val="10"/>
        <color rgb="FF000000"/>
        <rFont val="Times New Roman"/>
      </rPr>
      <t xml:space="preserve">В набор входит: Ветряные турбины: Набор для сборки вертикальных и горизонтальных ветряных турбин с разными роторами. Мотор постоянного тока для демонстрации генерации электроэнергии. Гидротурбина: Компоненты для создания гидротурбины, включая лопасти и генератор.
</t>
    </r>
    <r>
      <rPr>
        <sz val="10"/>
        <color rgb="FF000000"/>
        <rFont val="Times New Roman"/>
      </rPr>
      <t xml:space="preserve">Модель потока воды для проведения экспериментов. Солнечные батареи: Набор солнечных панелей разных размеров. Подставка и крепления для солнечных батарей.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Учебные пособия, включая инструкции и задания для изучения
</t>
    </r>
    <r>
      <rPr>
        <sz val="10"/>
        <color rgb="FF000000"/>
        <rFont val="Times New Roman"/>
      </rPr>
      <t>физических принципов ветровой, солнечной и гидроэнергии.</t>
    </r>
  </si>
  <si>
    <r>
      <rPr>
        <sz val="10"/>
        <color rgb="FF000000"/>
        <rFont val="Times New Roman"/>
      </rPr>
      <t xml:space="preserve">521-301-0714 - Набор
</t>
    </r>
    <r>
      <rPr>
        <sz val="10"/>
        <color rgb="FF000000"/>
        <rFont val="Times New Roman"/>
      </rPr>
      <t>демонстрационный для изучения оптики в кейсе</t>
    </r>
  </si>
  <si>
    <t>Набор
демонстрационный для изучения оптики в кейсе</t>
  </si>
  <si>
    <r>
      <rPr>
        <sz val="10"/>
        <color rgb="FF000000"/>
        <rFont val="Times New Roman"/>
      </rPr>
      <t xml:space="preserve">Комплектация: Кейс с крышкой - 1шт ,  Лоток со вставкой - 1шт, Источник света с пятью источниками света (1 шт.). Световой короб с встроенным источником света (1 шт.). Группа фильтров (1 шт.). Группа пленок управления светом (1 шт.). Черный световой экран (1 шт.). Стеклянный световой экран (1 шт.). Световой экран с одной/двумя щелями (1 шт.).
</t>
    </r>
    <r>
      <rPr>
        <sz val="10"/>
        <color rgb="FF000000"/>
        <rFont val="Times New Roman"/>
      </rPr>
      <t xml:space="preserve">Световой экран с тремя/пятью щелями (1 шт.). Полукруглая линза (1 шт.).
</t>
    </r>
    <r>
      <rPr>
        <sz val="10"/>
        <color rgb="FF000000"/>
        <rFont val="Times New Roman"/>
      </rPr>
      <t xml:space="preserve">Трапециевидная линза (1 шт.). Плосковогнутая призма (1 шт.).
</t>
    </r>
    <r>
      <rPr>
        <sz val="10"/>
        <color rgb="FF000000"/>
        <rFont val="Times New Roman"/>
      </rPr>
      <t xml:space="preserve">Плосковыпуклая призма (1 шт.). Двухстороннее мягкое зеркало (1 шт.).
</t>
    </r>
    <r>
      <rPr>
        <sz val="10"/>
        <color rgb="FF000000"/>
        <rFont val="Times New Roman"/>
      </rPr>
      <t xml:space="preserve">Источник питания постоянного тока для светового короба (1 шт.).
</t>
    </r>
    <r>
      <rPr>
        <sz val="10"/>
        <color rgb="FF000000"/>
        <rFont val="Times New Roman"/>
      </rPr>
      <t xml:space="preserve">Оснащен: Циферблатом для измерения преломления (1 шт.).
</t>
    </r>
    <r>
      <rPr>
        <sz val="10"/>
        <color rgb="FF000000"/>
        <rFont val="Times New Roman"/>
      </rPr>
      <t xml:space="preserve">Поликарбонатной черной бумагой (1 шт.). Полупрозрачной бумагой (1 шт.).
</t>
    </r>
    <r>
      <rPr>
        <sz val="10"/>
        <color rgb="FF000000"/>
        <rFont val="Times New Roman"/>
      </rPr>
      <t xml:space="preserve">Цветной бумагой (1 шт.). Транспортиром (1 шт.). Компасом (1 шт.).
</t>
    </r>
    <r>
      <rPr>
        <sz val="10"/>
        <color rgb="FF000000"/>
        <rFont val="Times New Roman"/>
      </rPr>
      <t>Алюминиевой фольгой (1 шт.). Прозрачной линейкой (1 шт.).</t>
    </r>
  </si>
  <si>
    <r>
      <rPr>
        <sz val="10"/>
        <color rgb="FF000000"/>
        <rFont val="Times New Roman"/>
      </rPr>
      <t xml:space="preserve">521-301-0715-0001 - Набор
</t>
    </r>
    <r>
      <rPr>
        <sz val="10"/>
        <color rgb="FF000000"/>
        <rFont val="Times New Roman"/>
      </rPr>
      <t>демонстрационный для изучения электростатики типа Experia PHE-013</t>
    </r>
  </si>
  <si>
    <t>Набор
демонстрационный для изучения электростатики типа Experia PHE-013</t>
  </si>
  <si>
    <r>
      <rPr>
        <sz val="10"/>
        <color theme="1"/>
        <rFont val="Times New Roman"/>
      </rPr>
      <t>Комплектация:  кейс с крышкой - 1шт ,  лоток со вставкой - 1шт, изолирующие штативы – 2 шт;  экранирующая сетка – 1 шт; конусообразный и шаровые кондукторы – 1 шт;  разборный конденсатор – 1 шт;  стеклянная и эбонитовая палочки – 1 шт;  электрометры – 2 шт; палочка с шариком для переноса заряда – 1 шт;  электрические султаны – 2 шт;  электроскоп – 1 шт;  полые полуцилиндры – 2 шт;  шелковая и синтетическая ткань, оргстекло.</t>
    </r>
  </si>
  <si>
    <r>
      <rPr>
        <sz val="10"/>
        <color rgb="FF000000"/>
        <rFont val="Times New Roman"/>
      </rPr>
      <t xml:space="preserve">521-301-0715-0003 - Набор
</t>
    </r>
    <r>
      <rPr>
        <sz val="10"/>
        <color rgb="FF000000"/>
        <rFont val="Times New Roman"/>
      </rPr>
      <t>демонстрационный для изучения электростатики</t>
    </r>
  </si>
  <si>
    <t>Набор
демонстрационный для изучения электростатики</t>
  </si>
  <si>
    <r>
      <rPr>
        <sz val="10"/>
        <color theme="1"/>
        <rFont val="Times New Roman"/>
      </rPr>
      <t>В набор входят: • электрометры с шаровыми кондукторами  • электроскоп • кондуктор конусообразный • кондуктор цилиндрический • полый металлический шар • штатив изолирующий  • конденсаторный диск  • султаны шелковые  • клетка Фарадей • пластина из диэлектрика • пробный шар • палочка для переноса зарядов на изолирующей ручке • палочки из эбонита и стекла • шелковая ткань</t>
    </r>
  </si>
  <si>
    <r>
      <rPr>
        <sz val="10"/>
        <color rgb="FF000000"/>
        <rFont val="Times New Roman"/>
      </rPr>
      <t xml:space="preserve">521-301-0715-0004 -
</t>
    </r>
    <r>
      <rPr>
        <sz val="10"/>
        <color rgb="FF000000"/>
        <rFont val="Times New Roman"/>
      </rPr>
      <t>Микролаборатория по изучению электростатики</t>
    </r>
  </si>
  <si>
    <t>521-301-0715-0004 -
Микролаборатория по изучению электростатики</t>
  </si>
  <si>
    <r>
      <rPr>
        <sz val="10"/>
        <color theme="1"/>
        <rFont val="Times New Roman"/>
      </rPr>
      <t>В комплект входят: изолирующие штативы (2 шт), экранирующая сетка (1 шт), конусообразный и шаровые кондукторы (по 1 шт), разборный конденсатор (1 шт), стеклянная и эбонитовая палочки (по 1 шт), электрометры (2 шт), палочка с шариком для переноса заряда (1 шт), электрические султаны (2шт), электроскоп (1 шт), полые полуцилиндры (2 шт), шелковая и синтетическая ткань, оргстекло. Упаковано в футляр.</t>
    </r>
  </si>
  <si>
    <r>
      <rPr>
        <sz val="10"/>
        <color rgb="FF000000"/>
        <rFont val="Times New Roman"/>
      </rPr>
      <t xml:space="preserve">521-301-0716-0001 - Набор
</t>
    </r>
    <r>
      <rPr>
        <sz val="10"/>
        <color rgb="FF000000"/>
        <rFont val="Times New Roman"/>
      </rPr>
      <t>"Статика" типа Fischertechnik</t>
    </r>
  </si>
  <si>
    <t>Набор
"Статика" типа Fischertechnik</t>
  </si>
  <si>
    <r>
      <rPr>
        <sz val="10"/>
        <color theme="1"/>
        <rFont val="Times New Roman"/>
      </rPr>
      <t>В набор входит: Статические компоненты Угловой кронштейн Распорки Пружинный балансир</t>
    </r>
  </si>
  <si>
    <r>
      <rPr>
        <sz val="10"/>
        <color rgb="FF000000"/>
        <rFont val="Times New Roman"/>
      </rPr>
      <t xml:space="preserve">521-301-0716-0002 -
</t>
    </r>
    <r>
      <rPr>
        <sz val="10"/>
        <color rgb="FF000000"/>
        <rFont val="Times New Roman"/>
      </rPr>
      <t>Микролаборатория по изучению гидростатики</t>
    </r>
  </si>
  <si>
    <t>521-301-0716-0002 -
Микролаборатория по изучению гидростатики</t>
  </si>
  <si>
    <r>
      <rPr>
        <sz val="10"/>
        <color rgb="FF000000"/>
        <rFont val="Times New Roman"/>
      </rPr>
      <t xml:space="preserve">Комплектность:  манометр жидкостной с ценой деления 0,5 см – 1 шт., датчик давления (круглая плоская коробка с металлическими держателями)
</t>
    </r>
    <r>
      <rPr>
        <sz val="10"/>
        <color rgb="FF000000"/>
        <rFont val="Times New Roman"/>
      </rPr>
      <t xml:space="preserve">– 1 шт., сосуд с делениями со съемной крышкой – 1 шт., трубки эластичные
</t>
    </r>
    <r>
      <rPr>
        <sz val="10"/>
        <color rgb="FF000000"/>
        <rFont val="Times New Roman"/>
      </rPr>
      <t>– 2 шт., груша нагнетательная – 1 шт., ведерко цилиндрическое – 1 шт., тела равного объема (пластмассовое, деревянное, алюминиевое и стальное) – 4 шт., модель подводной лодки – 1 шт., коробка-укладка – 1 шт., руководство по эксплуатации – 1 шт.</t>
    </r>
  </si>
  <si>
    <r>
      <rPr>
        <sz val="10"/>
        <color rgb="FF000000"/>
        <rFont val="Times New Roman"/>
      </rPr>
      <t xml:space="preserve">521-301-0716-0003 - Штатив
</t>
    </r>
    <r>
      <rPr>
        <sz val="10"/>
        <color rgb="FF000000"/>
        <rFont val="Times New Roman"/>
      </rPr>
      <t>изолирующий (пара)</t>
    </r>
  </si>
  <si>
    <t>Штатив
изолирующий (пара)</t>
  </si>
  <si>
    <r>
      <rPr>
        <sz val="10"/>
        <color theme="1"/>
        <rFont val="Times New Roman"/>
      </rPr>
      <t>Штатив изолирующий предназначен для опытов по электростатике и электродинамике, в которых используются токи и напряжения в режиме постоянного тока 15 кВ, 10 А, в режиме переменного тока 36 В, 0,3 А, при изучении курса физики. Комплектация: Стойка изолирующая с основанием-2шт, Подставка с винтами М3 и М62шт, Коробка-1шт, Этикетка-1экземпляр</t>
    </r>
  </si>
  <si>
    <r>
      <rPr>
        <sz val="10"/>
        <color rgb="FF000000"/>
        <rFont val="Times New Roman"/>
      </rPr>
      <t xml:space="preserve">521-301-0717-0001 - Набор
</t>
    </r>
    <r>
      <rPr>
        <sz val="10"/>
        <color rgb="FF000000"/>
        <rFont val="Times New Roman"/>
      </rPr>
      <t>"Электроника" типа Fischertechnik</t>
    </r>
  </si>
  <si>
    <t>Набор
"Электроника" типа Fischertechnik</t>
  </si>
  <si>
    <r>
      <rPr>
        <sz val="10"/>
        <color theme="1"/>
        <rFont val="Times New Roman"/>
      </rPr>
      <t>В набор входит: мотор XS; кнопочные переключатели – 2 шт.; диоды – 2 шт.; транзисторы – 2 шт.; резисторы – 3 шт.; конденсаторы – 2 шт.; контейнер для батарейки 9В типа «Крона»;</t>
    </r>
  </si>
  <si>
    <r>
      <rPr>
        <sz val="10"/>
        <color theme="1"/>
        <rFont val="Times New Roman"/>
      </rPr>
      <t>521-301-0718 - Альтернативная энергетика</t>
    </r>
  </si>
  <si>
    <r>
      <rPr>
        <sz val="10"/>
        <color rgb="FF000000"/>
        <rFont val="Times New Roman"/>
      </rPr>
      <t xml:space="preserve">Данный набор позволит изучить концепцию энергии, ее использование и и генерация (EcoPower Edu Kit) состоит из: Ветренные турбины (6 наборов): Вертикальные ветренные турбины (2 шт. в каждом наборе).
</t>
    </r>
    <r>
      <rPr>
        <sz val="10"/>
        <color rgb="FF000000"/>
        <rFont val="Times New Roman"/>
      </rPr>
      <t xml:space="preserve">Горизонтальные ветренные турбины (2 шт. в каждом наборе). Солнечные батареи (6 наборов): Солнечные батареи (1 шт. в каждом наборе).
</t>
    </r>
    <r>
      <rPr>
        <sz val="10"/>
        <color rgb="FF000000"/>
        <rFont val="Times New Roman"/>
      </rPr>
      <t xml:space="preserve">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t>
    </r>
    <r>
      <rPr>
        <sz val="10"/>
        <color rgb="FF000000"/>
        <rFont val="Times New Roman"/>
      </rPr>
      <t xml:space="preserve">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t>
    </r>
    <r>
      <rPr>
        <sz val="10"/>
        <color rgb="FF000000"/>
        <rFont val="Times New Roman"/>
      </rPr>
      <t>и проводов.</t>
    </r>
  </si>
  <si>
    <r>
      <rPr>
        <sz val="10"/>
        <color theme="1"/>
        <rFont val="Times New Roman"/>
      </rPr>
      <t>521-301-0719 - Альтернативное образование - лаборатория ветра, солнца, воды и электричества</t>
    </r>
  </si>
  <si>
    <t>Альтернативное образование</t>
  </si>
  <si>
    <t>лаборатория ветра, солнца, воды и электричества</t>
  </si>
  <si>
    <r>
      <rPr>
        <sz val="10"/>
        <color rgb="FF000000"/>
        <rFont val="Times New Roman"/>
      </rPr>
      <t xml:space="preserve">Альтернативное образование - лаборатория ветра, солнца, воды и электричесТва (EcoPower Edu Kit) состоит из: Ветренные турбины: Вертикальная ветренная турбина: Модель вертикальной ветряной турбины.
</t>
    </r>
    <r>
      <rPr>
        <sz val="10"/>
        <color rgb="FF000000"/>
        <rFont val="Times New Roman"/>
      </rPr>
      <t>Горизонтальная ветренная турбина: Модель горизонтальной ветряной турбины. Водная турбина: Водная турбина: Модель водной турбины для изучения принципов генерации энергии из потока воды. Солнечные батареи: Солнечная батарея: Модель солнечной батареи для преобразования солнечной энергии в электричество. Измерительные приборы (номиналы): Мультиметр с возможностью измерения напряжения (0-30 В), тока (0-5 А) и сопротивления (0-10 кОм).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Этот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С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t>
    </r>
  </si>
  <si>
    <r>
      <rPr>
        <sz val="10"/>
        <color theme="1"/>
        <rFont val="Times New Roman"/>
      </rPr>
      <t>521-301-0720 - Образовательные лаборатории вертикальных ветряных турбин AC/DC</t>
    </r>
  </si>
  <si>
    <r>
      <rPr>
        <sz val="10"/>
        <color rgb="FF000000"/>
        <rFont val="Times New Roman"/>
      </rPr>
      <t xml:space="preserve">Вертикальная ветренная турбина: Модель вертикальной ветряной турбины для изучения принципов работы и производства энергии из ветра.
</t>
    </r>
    <r>
      <rPr>
        <sz val="10"/>
        <color rgb="FF000000"/>
        <rFont val="Times New Roman"/>
      </rPr>
      <t xml:space="preserve">Горизонтальная ветренная турбина: Модель горизонтальной ветряной турбины для сравнительных исследований и экспериментов. Вертикальная ветренная турбина с мотором постоянного тока: Модель вертикальной турбины, оснащенной мотором постоянного тока для генерации электроэнергии. Вертикальная турбина с набором магнитных полюсов: Модель вертикальной турбины с возможностью экспериментирования с магнитными полюсами и их влиянием на производство энергии.
</t>
    </r>
    <r>
      <rPr>
        <sz val="10"/>
        <color rgb="FF000000"/>
        <rFont val="Times New Roman"/>
      </rPr>
      <t xml:space="preserve">Горизонтальная ветренная турбина с мотором постоянного тока: Модель горизонтальной турбины с мотором постоянного тока для изучения горизонтальных турбин и их эффективности. Горизонтальная турбина с набором магнитных полюсов: Модель горизонтальной турбины с возможностью настройки магнитных полюсов и изучения их влияния на энергопроизводство. Измерительные приборы мультиметры: Мультиметры для измерения электрических параметров и производительности турбин.
</t>
    </r>
    <r>
      <rPr>
        <sz val="10"/>
        <color rgb="FF000000"/>
        <rFont val="Times New Roman"/>
      </rPr>
      <t xml:space="preserve">Электронные компоненты: В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t>
    </r>
    <r>
      <rPr>
        <sz val="10"/>
        <color rgb="FF000000"/>
        <rFont val="Times New Roman"/>
      </rPr>
      <t>экспериментов и настройки систем.</t>
    </r>
  </si>
  <si>
    <r>
      <rPr>
        <sz val="10"/>
        <color theme="1"/>
        <rFont val="Times New Roman"/>
      </rPr>
      <t>521-301-0721 - Гибридная система ветра и солнца</t>
    </r>
  </si>
  <si>
    <r>
      <rPr>
        <sz val="10"/>
        <color rgb="FF000000"/>
        <rFont val="Times New Roman"/>
      </rPr>
      <t xml:space="preserve">EcoPower Edu Kit состоит из: Крылья турбины: Для сборки ветряной турбины. Крепление крылья: Для надежной фиксации крыльев. Стержень: Для установки ветряной турбины. Мотор постоянного тока: Двигатель, который преобразует энергию вращения турбины в электроэнергию.
</t>
    </r>
    <r>
      <rPr>
        <sz val="10"/>
        <color rgb="FF000000"/>
        <rFont val="Times New Roman"/>
      </rPr>
      <t xml:space="preserve">Мультиметр: Инструмент для измерения электрических параметров и производительности системы. Зажимы бананы: Для соединения и проведения электрических измерений. Резисторы: Для регулирования тока и напряжения в системе. Конденсаторы: Для временного хранения и выпуска электрической энергии. Плата расширения: Для подключения и управления компонентами системы. Подшипники: Для обеспечения плавного вращения ветряной турбины. Солнечная батарея: Для преобразования солнечной энергии в электроэнергию. Блок управления солнечной батареи: Для контроля и регулирования производства энергии с
</t>
    </r>
    <r>
      <rPr>
        <sz val="10"/>
        <color rgb="FF000000"/>
        <rFont val="Times New Roman"/>
      </rPr>
      <t>помощью солнечной батареи. Учебный материал</t>
    </r>
  </si>
  <si>
    <r>
      <rPr>
        <sz val="10"/>
        <color theme="1"/>
        <rFont val="Times New Roman"/>
      </rPr>
      <t>521-301-0722 - Система слежения за Солнцем</t>
    </r>
  </si>
  <si>
    <r>
      <rPr>
        <sz val="10"/>
        <color rgb="FF000000"/>
        <rFont val="Times New Roman"/>
      </rPr>
      <t xml:space="preserve">Моторы и механизмы: Встроенные двигатели и механизмы для автоматического поворота солнечных панелей. Сенсоры: Интегрированные сенсоры для определения положения солнца и его движения. Управляющая плата: Электронная плата для управления движением моторов и обработки данных от сенсоров. Крепления: Комплект крепежных элементов для надежной установки системы на опору или стойку. Инструкции: Подробные руководства по сборке, подключению и настройке системы слежения.
</t>
    </r>
    <r>
      <rPr>
        <sz val="10"/>
        <color rgb="FF000000"/>
        <rFont val="Times New Roman"/>
      </rPr>
      <t xml:space="preserve">Дополнительные компоненты: Дополнительные элементы и кабели для подключения и работы системы. Программное обеспечение: ПО для
</t>
    </r>
    <r>
      <rPr>
        <sz val="10"/>
        <color rgb="FF000000"/>
        <rFont val="Times New Roman"/>
      </rPr>
      <t>управления и настройки системы через компьютер или устройство.</t>
    </r>
  </si>
  <si>
    <r>
      <rPr>
        <sz val="10"/>
        <color theme="1"/>
        <rFont val="Times New Roman"/>
      </rPr>
      <t>521-301-0723 - Основной комплект цифрового измерительного и лабораторного оборудования</t>
    </r>
  </si>
  <si>
    <r>
      <rPr>
        <sz val="10"/>
        <color theme="1"/>
        <rFont val="Times New Roman"/>
      </rPr>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t>
    </r>
  </si>
  <si>
    <r>
      <rPr>
        <sz val="10"/>
        <color theme="1"/>
        <rFont val="Times New Roman"/>
      </rPr>
      <t>521-301-0724 - Набор учебный "Электрические машины"</t>
    </r>
  </si>
  <si>
    <r>
      <rPr>
        <sz val="10"/>
        <color theme="1"/>
        <rFont val="Times New Roman"/>
      </rPr>
      <t>Экспериментальная плата к курсам COM4LAB "Асинхронные машины", "Синхронные машины" и "Машины постоянного тока", который имеют следующие характеристики: Размеры: Печатная плата: 280 × 200 мм2 Рамка: 296,5 × 354 мм2 Напряжение питания +15 В постоянного тока, -15 В постоянного тока и +5 В постоянного тока от главного блока Защитные функци Комплект состоит из экспериментальной платы для курсов COM4LAB "Асинхронные машины", "Синхронные машины" и "Машины постоянного тока"</t>
    </r>
  </si>
  <si>
    <r>
      <rPr>
        <sz val="10"/>
        <color rgb="FF000000"/>
        <rFont val="Times New Roman"/>
      </rPr>
      <t xml:space="preserve">521-301-0725-0001 - Комплект
</t>
    </r>
    <r>
      <rPr>
        <sz val="10"/>
        <color rgb="FF000000"/>
        <rFont val="Times New Roman"/>
      </rPr>
      <t>приборов для изучения электромагнитных волн</t>
    </r>
  </si>
  <si>
    <t>Комплект
приборов для изучения электромагнитных волн</t>
  </si>
  <si>
    <r>
      <rPr>
        <sz val="10"/>
        <color theme="1"/>
        <rFont val="Times New Roman"/>
      </rPr>
      <t>В состав комплекта входят: высокочастотный передатчик с частотой колебания не менее 11 GHz мощностью излучения не менее 10 mW, высокочастотный приемник,  треугольная призма, три экрана на подставке, неоновая лампа на подставке,  поглощающие тела.</t>
    </r>
  </si>
  <si>
    <r>
      <rPr>
        <sz val="10"/>
        <color theme="1"/>
        <rFont val="Times New Roman"/>
      </rPr>
      <t>521-301-0725-0002 - Комплект для демонстрации волновых явлений</t>
    </r>
  </si>
  <si>
    <t>Комплект для демонстрации волновых явлений</t>
  </si>
  <si>
    <r>
      <rPr>
        <sz val="10"/>
        <color rgb="FF000000"/>
        <rFont val="Times New Roman"/>
      </rPr>
      <t xml:space="preserve">В комплект входят:  1. Волновая ванна с встроенным экраном  2.
</t>
    </r>
    <r>
      <rPr>
        <sz val="10"/>
        <color rgb="FF000000"/>
        <rFont val="Times New Roman"/>
      </rPr>
      <t>Осветитель со стробоскопическим диском  3. Источник волн с комплектом насадок  4. Комплект препятствий  5. Методические указания Набор не требует дополнительного оборудования.</t>
    </r>
  </si>
  <si>
    <r>
      <rPr>
        <sz val="10"/>
        <color rgb="FF000000"/>
        <rFont val="Times New Roman"/>
      </rPr>
      <t xml:space="preserve">521-301-0725-0003 - Набор
</t>
    </r>
    <r>
      <rPr>
        <sz val="10"/>
        <color rgb="FF000000"/>
        <rFont val="Times New Roman"/>
      </rPr>
      <t>механических колебаний и волн</t>
    </r>
  </si>
  <si>
    <t>Набор
механических колебаний и волн</t>
  </si>
  <si>
    <r>
      <rPr>
        <sz val="10"/>
        <color theme="1"/>
        <rFont val="Times New Roman"/>
      </rPr>
      <t>В набор входят: виброгенератор, стержень для крепления виброгенератора в штативе, пружину, три стальные пластины разной формы, резиновый жгут, груз 100 г – 1 шт., речной песок фракции 0.2/0.4, соединительные провода, зажим крокодил на резьбовом соединении.</t>
    </r>
  </si>
  <si>
    <r>
      <rPr>
        <sz val="10"/>
        <color theme="1"/>
        <rFont val="Times New Roman"/>
      </rPr>
      <t>521-301-1103-0001 - Дождемер типа Invicta 084059/42443</t>
    </r>
  </si>
  <si>
    <r>
      <rPr>
        <sz val="10"/>
        <color theme="1"/>
        <rFont val="Times New Roman"/>
      </rPr>
      <t>В комплекте: колба объемом 50 мл, со шкалой, цена деления которой 1мл; пластиковый штырь для установки в землю и пластиковая крышка.</t>
    </r>
  </si>
  <si>
    <r>
      <rPr>
        <sz val="10"/>
        <color theme="1"/>
        <rFont val="Times New Roman"/>
      </rPr>
      <t>521-301-1122 - Дальномер электронный</t>
    </r>
  </si>
  <si>
    <r>
      <rPr>
        <sz val="10"/>
        <color theme="1"/>
        <rFont val="Times New Roman"/>
      </rPr>
      <t>Дальномер электронный лазерный. Дисплей с подсветкой для считывания информации. Дальность измерения не менее 20 метров.</t>
    </r>
  </si>
  <si>
    <r>
      <rPr>
        <sz val="10"/>
        <color theme="1"/>
        <rFont val="Times New Roman"/>
      </rPr>
      <t>521-301-1123-0001 - Курвиметр</t>
    </r>
  </si>
  <si>
    <r>
      <rPr>
        <sz val="10"/>
        <color theme="1"/>
        <rFont val="Times New Roman"/>
      </rPr>
      <t>Прибор для измерения длины извилистых линий на топографических картах, планах и чертежах. Курвиметр состоит из зубчатого ролика известного диаметра на ручке и счётчика пройденного количества зубцов.</t>
    </r>
  </si>
  <si>
    <r>
      <rPr>
        <sz val="10"/>
        <color theme="1"/>
        <rFont val="Times New Roman"/>
      </rPr>
      <t>521-301-1124-0002 - Флюгер</t>
    </r>
  </si>
  <si>
    <r>
      <rPr>
        <sz val="10"/>
        <color theme="1"/>
        <rFont val="Times New Roman"/>
      </rPr>
      <t>Флюгер (прибор д/определения направления и скорости ветра)</t>
    </r>
  </si>
  <si>
    <r>
      <rPr>
        <sz val="10"/>
        <color rgb="FF000000"/>
        <rFont val="Times New Roman"/>
      </rPr>
      <t xml:space="preserve">521-301-1550-0001 - Лупа ручная
</t>
    </r>
    <r>
      <rPr>
        <sz val="10"/>
        <color rgb="FF000000"/>
        <rFont val="Times New Roman"/>
      </rPr>
      <t>d.60 мм</t>
    </r>
  </si>
  <si>
    <t>Лупа ручная
d.60 мм</t>
  </si>
  <si>
    <r>
      <rPr>
        <sz val="10"/>
        <color theme="1"/>
        <rFont val="Times New Roman"/>
      </rPr>
      <t>Лупа ручная, диаметр не менее 60 мм, увеличение не менее 5-крат.</t>
    </r>
  </si>
  <si>
    <r>
      <rPr>
        <sz val="10"/>
        <color rgb="FF000000"/>
        <rFont val="Times New Roman"/>
      </rPr>
      <t xml:space="preserve">521-301-1550-0002 - Лупа ручная
</t>
    </r>
    <r>
      <rPr>
        <sz val="10"/>
        <color rgb="FF000000"/>
        <rFont val="Times New Roman"/>
      </rPr>
      <t>d.50 мм</t>
    </r>
  </si>
  <si>
    <t>Лупа ручная
d.50 мм</t>
  </si>
  <si>
    <r>
      <rPr>
        <sz val="10"/>
        <color rgb="FF000000"/>
        <rFont val="Times New Roman"/>
      </rPr>
      <t xml:space="preserve">Снабжена эргономичной ручкой изогнутой формы. Увеличение трехкратное. Диаметр линзы 50 мм.
</t>
    </r>
    <r>
      <rPr>
        <sz val="10"/>
        <color rgb="FF000000"/>
        <rFont val="Times New Roman"/>
      </rPr>
      <t>Материал оправы - пластик. Материал линзы - стекло.</t>
    </r>
  </si>
  <si>
    <r>
      <rPr>
        <sz val="10"/>
        <color rgb="FF000000"/>
        <rFont val="Times New Roman"/>
      </rPr>
      <t xml:space="preserve">521-301-1552-0001 - Микроскоп
</t>
    </r>
    <r>
      <rPr>
        <sz val="10"/>
        <color rgb="FF000000"/>
        <rFont val="Times New Roman"/>
      </rPr>
      <t>ученический 640х</t>
    </r>
  </si>
  <si>
    <t>Микроскоп
ученический 640х</t>
  </si>
  <si>
    <r>
      <rPr>
        <sz val="10"/>
        <color theme="1"/>
        <rFont val="Times New Roman"/>
      </rPr>
      <t>Микроскоп ученический. Классическая оптическая система. Рукоятки настройки резкости. Окуляры не менее 10х и 16х. Объективы не менее 4х/0,10; 10Х/0,25 и 40ХS/0,65. Монокулярная головка. Зеркало в качестве источника света. Револьверное устройство. Металлическое основание и стойка. Предметный столик. Клеммы для закрепления исследуемых объектов. Максимальное увеличение не менее 640 - кратное.</t>
    </r>
  </si>
  <si>
    <r>
      <rPr>
        <sz val="10"/>
        <color rgb="FF000000"/>
        <rFont val="Times New Roman"/>
      </rPr>
      <t xml:space="preserve">521-301-1552-0002 - Микроскоп
</t>
    </r>
    <r>
      <rPr>
        <sz val="10"/>
        <color rgb="FF000000"/>
        <rFont val="Times New Roman"/>
      </rPr>
      <t>ученический с тремя объективами 4 х, 10 х, 40 х</t>
    </r>
  </si>
  <si>
    <t>Микроскоп
ученический с тремя объективами 4 х, 10 х, 40 х</t>
  </si>
  <si>
    <r>
      <rPr>
        <sz val="10"/>
        <color theme="1"/>
        <rFont val="Times New Roman"/>
      </rPr>
      <t>Имеет подвижный предметный столик, тубус с двумя сменными окулярами ( 10 х, 16 х), три объектива (4 х, 10 х, 40 х), расположенные на вращающейся револьверной головке. Увеличение 100 х - 640 х крат</t>
    </r>
  </si>
  <si>
    <r>
      <rPr>
        <sz val="10"/>
        <color rgb="FF000000"/>
        <rFont val="Times New Roman"/>
      </rPr>
      <t xml:space="preserve">521-301-1552-0003 - Микроскоп
</t>
    </r>
    <r>
      <rPr>
        <sz val="10"/>
        <color rgb="FF000000"/>
        <rFont val="Times New Roman"/>
      </rPr>
      <t>монокулярный с электроподсветкой</t>
    </r>
  </si>
  <si>
    <t>Микроскоп
монокулярный с электроподсветкой</t>
  </si>
  <si>
    <r>
      <rPr>
        <sz val="10"/>
        <color rgb="FF000000"/>
        <rFont val="Times New Roman"/>
      </rPr>
      <t xml:space="preserve">Степень увеличения микроскопа со сменным окуляром WF10Х: 40, 100, 400 крат. Степень увеличения микроскопа со сменным окуляром WF16Х: 64, 160, 640 крат. Способ наблюдения: монокулярный Строение оптической схемы: прямой. Тип осветителя: светодиодный.
</t>
    </r>
    <r>
      <rPr>
        <sz val="10"/>
        <color rgb="FF000000"/>
        <rFont val="Times New Roman"/>
      </rPr>
      <t xml:space="preserve">Микроскоп укомплектован объективами 4Х, 10Х, 40Х, револьверным барабаном для быстрой смены объективов, нижней и верхней подсветкой. Поворотом барабана и сменой окуляров изменяется увеличение микроскопа (от 40 до 640 крат).
</t>
    </r>
    <r>
      <rPr>
        <sz val="10"/>
        <color rgb="FF000000"/>
        <rFont val="Times New Roman"/>
      </rPr>
      <t xml:space="preserve">Комплектность: микроскоп – 1 шт.,
</t>
    </r>
    <r>
      <rPr>
        <sz val="10"/>
        <color rgb="FF000000"/>
        <rFont val="Times New Roman"/>
      </rPr>
      <t>окуляры сменные WF10Х и WF16Х – 2 шт., подсветка (нижняя и верхняя) – 2 шт., руководство по эксплуатации – 1 шт.</t>
    </r>
  </si>
  <si>
    <r>
      <rPr>
        <sz val="10"/>
        <color rgb="FF000000"/>
        <rFont val="Times New Roman"/>
      </rPr>
      <t xml:space="preserve">521-301-1552-0005 - Микроскоп
</t>
    </r>
    <r>
      <rPr>
        <sz val="10"/>
        <color rgb="FF000000"/>
        <rFont val="Times New Roman"/>
      </rPr>
      <t>типа Foldscope, линза из боросиликатного стекла, увеличение 140-1000 крат/до 2мкм, заднее фокусное расстояние 0,5мм</t>
    </r>
  </si>
  <si>
    <t>Микроскоп
типа Foldscope, линза из боросиликатного стекла, увеличение 140-1000 крат/до 2мкм, заднее фокусное расстояние 0,5мм</t>
  </si>
  <si>
    <r>
      <rPr>
        <sz val="10"/>
        <color rgb="FF000000"/>
        <rFont val="Times New Roman"/>
      </rPr>
      <t xml:space="preserve">Состоит из бумажных компонентов, магнитных компонентов и линзы.
</t>
    </r>
    <r>
      <rPr>
        <sz val="10"/>
        <color rgb="FF000000"/>
        <rFont val="Times New Roman"/>
      </rPr>
      <t xml:space="preserve">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140-1000 крат/до 2мкм; заднее фокусное расстояние 0,5мм; глубина резкости 0,1мм; размеры - 170х105х0,5мм,
</t>
    </r>
    <r>
      <rPr>
        <sz val="10"/>
        <color rgb="FF000000"/>
        <rFont val="Times New Roman"/>
      </rPr>
      <t xml:space="preserve">Комплектация:
</t>
    </r>
    <r>
      <rPr>
        <sz val="10"/>
        <color rgb="FF000000"/>
        <rFont val="Times New Roman"/>
      </rPr>
      <t xml:space="preserve">- Микроскоп в развернутом виде
</t>
    </r>
    <r>
      <rPr>
        <sz val="10"/>
        <color rgb="FF000000"/>
        <rFont val="Times New Roman"/>
      </rPr>
      <t xml:space="preserve">- Руководство + инструкция
</t>
    </r>
    <r>
      <rPr>
        <sz val="10"/>
        <color rgb="FF000000"/>
        <rFont val="Times New Roman"/>
      </rPr>
      <t xml:space="preserve">- Карта путеводитель
</t>
    </r>
    <r>
      <rPr>
        <sz val="10"/>
        <color rgb="FF000000"/>
        <rFont val="Times New Roman"/>
      </rPr>
      <t xml:space="preserve">- 1 линза 140х
</t>
    </r>
    <r>
      <rPr>
        <sz val="10"/>
        <color rgb="FF000000"/>
        <rFont val="Times New Roman"/>
      </rPr>
      <t xml:space="preserve">- 5 магнитных адаптера
</t>
    </r>
    <r>
      <rPr>
        <sz val="10"/>
        <color rgb="FF000000"/>
        <rFont val="Times New Roman"/>
      </rPr>
      <t xml:space="preserve">- 6 многоразовых предметных слайдов
</t>
    </r>
    <r>
      <rPr>
        <sz val="10"/>
        <color rgb="FF000000"/>
        <rFont val="Times New Roman"/>
      </rPr>
      <t xml:space="preserve">- 1 лист с круглыми стикерами для линзы
</t>
    </r>
    <r>
      <rPr>
        <sz val="10"/>
        <color rgb="FF000000"/>
        <rFont val="Times New Roman"/>
      </rPr>
      <t xml:space="preserve">- 2 листа с прозрачными стикерами
</t>
    </r>
    <r>
      <rPr>
        <sz val="10"/>
        <color rgb="FF000000"/>
        <rFont val="Times New Roman"/>
      </rPr>
      <t xml:space="preserve">- 1 LED подсветка
</t>
    </r>
    <r>
      <rPr>
        <sz val="10"/>
        <color rgb="FF000000"/>
        <rFont val="Times New Roman"/>
      </rPr>
      <t xml:space="preserve">- 2 дополнительные батарейки класса AG10
</t>
    </r>
    <r>
      <rPr>
        <sz val="10"/>
        <color rgb="FF000000"/>
        <rFont val="Times New Roman"/>
      </rPr>
      <t xml:space="preserve">- 1 ватный тампон
</t>
    </r>
    <r>
      <rPr>
        <sz val="10"/>
        <color rgb="FF000000"/>
        <rFont val="Times New Roman"/>
      </rPr>
      <t xml:space="preserve">- 1 наклейка с уникальным ID
</t>
    </r>
    <r>
      <rPr>
        <sz val="10"/>
        <color rgb="FF000000"/>
        <rFont val="Times New Roman"/>
      </rPr>
      <t xml:space="preserve">- 1 фирменная наклейка
</t>
    </r>
    <r>
      <rPr>
        <sz val="10"/>
        <color rgb="FF000000"/>
        <rFont val="Times New Roman"/>
      </rPr>
      <t>- 1 нейлоновая сумка</t>
    </r>
  </si>
  <si>
    <r>
      <rPr>
        <sz val="10"/>
        <color rgb="FF000000"/>
        <rFont val="Times New Roman"/>
      </rPr>
      <t xml:space="preserve">521-301-1552-0006 - Микроскоп
</t>
    </r>
    <r>
      <rPr>
        <sz val="10"/>
        <color rgb="FF000000"/>
        <rFont val="Times New Roman"/>
      </rPr>
      <t>типа Foldscope Mini, линза из боросиликатного стекла, увеличение 140крат, заднее фокусное расстояние 0,5мм</t>
    </r>
  </si>
  <si>
    <t>Микроскоп
типа Foldscope Mini, линза из боросиликатного стекла, увеличение 140крат, заднее фокусное расстояние 0,5мм</t>
  </si>
  <si>
    <r>
      <rPr>
        <sz val="10"/>
        <color rgb="FF000000"/>
        <rFont val="Times New Roman"/>
      </rPr>
      <t xml:space="preserve">Состоит из бумажных компонентов, магнитных компонентов и линзы.
</t>
    </r>
    <r>
      <rPr>
        <sz val="10"/>
        <color rgb="FF000000"/>
        <rFont val="Times New Roman"/>
      </rPr>
      <t xml:space="preserve">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 крат; заднее фокусное расстояние 0,5мм; глубина резкости 0,1мм; размеры комплекта 140х99х31мм
</t>
    </r>
    <r>
      <rPr>
        <sz val="10"/>
        <color rgb="FF000000"/>
        <rFont val="Times New Roman"/>
      </rPr>
      <t xml:space="preserve">Комплектация:
</t>
    </r>
    <r>
      <rPr>
        <sz val="10"/>
        <color rgb="FF000000"/>
        <rFont val="Times New Roman"/>
      </rPr>
      <t xml:space="preserve">- Металлическая коробка
</t>
    </r>
    <r>
      <rPr>
        <sz val="10"/>
        <color rgb="FF000000"/>
        <rFont val="Times New Roman"/>
      </rPr>
      <t xml:space="preserve">- Приветственное письмо
</t>
    </r>
    <r>
      <rPr>
        <sz val="10"/>
        <color rgb="FF000000"/>
        <rFont val="Times New Roman"/>
      </rPr>
      <t xml:space="preserve">- Собранный микроскоп с линзой 140X
</t>
    </r>
    <r>
      <rPr>
        <sz val="10"/>
        <color rgb="FF000000"/>
        <rFont val="Times New Roman"/>
      </rPr>
      <t xml:space="preserve">- 1 фирменная нашивка
</t>
    </r>
    <r>
      <rPr>
        <sz val="10"/>
        <color rgb="FF000000"/>
        <rFont val="Times New Roman"/>
      </rPr>
      <t xml:space="preserve">- 1 пакет:
</t>
    </r>
    <r>
      <rPr>
        <sz val="10"/>
        <color rgb="FF000000"/>
        <rFont val="Times New Roman"/>
      </rPr>
      <t xml:space="preserve">• 2 листа с прозрачными стикерами
</t>
    </r>
    <r>
      <rPr>
        <sz val="10"/>
        <color rgb="FF000000"/>
        <rFont val="Times New Roman"/>
      </rPr>
      <t xml:space="preserve">• 2 пустые коллекционные карты
</t>
    </r>
    <r>
      <rPr>
        <sz val="10"/>
        <color rgb="FF000000"/>
        <rFont val="Times New Roman"/>
      </rPr>
      <t xml:space="preserve">• 1 коллекционная карта с микропринтом
</t>
    </r>
    <r>
      <rPr>
        <sz val="10"/>
        <color rgb="FF000000"/>
        <rFont val="Times New Roman"/>
      </rPr>
      <t xml:space="preserve">• 1 лист с тонкими круглыми стикерами
</t>
    </r>
    <r>
      <rPr>
        <sz val="10"/>
        <color rgb="FF000000"/>
        <rFont val="Times New Roman"/>
      </rPr>
      <t xml:space="preserve">• 1 фирменная наклейка
</t>
    </r>
    <r>
      <rPr>
        <sz val="10"/>
        <color rgb="FF000000"/>
        <rFont val="Times New Roman"/>
      </rPr>
      <t xml:space="preserve">• 1 ватный тампон
</t>
    </r>
    <r>
      <rPr>
        <sz val="10"/>
        <color rgb="FF000000"/>
        <rFont val="Times New Roman"/>
      </rPr>
      <t xml:space="preserve">• 1 пипетка Пастера 0,2мл
</t>
    </r>
    <r>
      <rPr>
        <sz val="10"/>
        <color rgb="FF000000"/>
        <rFont val="Times New Roman"/>
      </rPr>
      <t>• 1 пробирка Эппендорф 1,5мл</t>
    </r>
  </si>
  <si>
    <r>
      <rPr>
        <sz val="10"/>
        <color rgb="FF000000"/>
        <rFont val="Times New Roman"/>
      </rPr>
      <t xml:space="preserve">521-301-1552-0007 - Микроскоп
</t>
    </r>
    <r>
      <rPr>
        <sz val="10"/>
        <color rgb="FF000000"/>
        <rFont val="Times New Roman"/>
      </rPr>
      <t>типа Foldscope, линза из боросиликатного стекла, увеличение 340-3500 крат; заднее фокусное расстояние 0,5мм</t>
    </r>
  </si>
  <si>
    <t>Микроскоп
типа Foldscope, линза из боросиликатного стекла, увеличение 340-3500 крат; заднее фокусное расстояние 0,5мм</t>
  </si>
  <si>
    <r>
      <rPr>
        <sz val="10"/>
        <color rgb="FF000000"/>
        <rFont val="Times New Roman"/>
      </rPr>
      <t xml:space="preserve">Состоит из бумажных компонентов, магнитных компонентов и линзы.
</t>
    </r>
    <r>
      <rPr>
        <sz val="10"/>
        <color rgb="FF000000"/>
        <rFont val="Times New Roman"/>
      </rPr>
      <t xml:space="preserve">Состав материала - синтетическая бумага, использование - многоразовое, не рвется, не мокнет, водоотталкивающий, линза из боросиликатного стекла, увеличение 340-3500 крат; заднее фокусное расстояние 0,5мм; глубина резкости 0,1мм; размеры - 170х105х0,5мм Комплектация:  - Металлическая коробка - Приветственное письмо - Руководство пользователя - Собранный микроскоп - 1 фирменная нашивка - 3 линзы 50х, 140х и 340х (линзы нового поколения, линза 340х может увеличить объект свыше 3000 крат) - 1 LED подсветка, новый уникальный световой модуль, имеющий 2 режима: проходящий свет (светлый фон) и отражённый свет (темный фон)  - 1 футляр для предметных стекол на 3 шт. - 3 предметных стекла: • 1 подготовленный микропрепарат  • 2 пустых предметных стекла  - 1 пакет:  • 1 коллекционная карта с микропринтом • 2 пустые коллекционные карты • 2 листа с прозрачными стикерами • 1 лист с круглыми стикерами • 1 магнитный адаптер для телефона • 1 фирменная наклейка • 1 ватный тампон
</t>
    </r>
    <r>
      <rPr>
        <sz val="10"/>
        <color rgb="FF000000"/>
        <rFont val="Times New Roman"/>
      </rPr>
      <t xml:space="preserve">- 1 пакет с инструментами: • 1 пинцет • 1 пипетка Пастера 0,2мл • 1
</t>
    </r>
    <r>
      <rPr>
        <sz val="10"/>
        <color rgb="FF000000"/>
        <rFont val="Times New Roman"/>
      </rPr>
      <t>пробирка Эппендорф 1,5мл</t>
    </r>
  </si>
  <si>
    <r>
      <rPr>
        <sz val="10"/>
        <color rgb="FF000000"/>
        <rFont val="Times New Roman"/>
      </rPr>
      <t xml:space="preserve">521-301-1602-0002 - Гигрометр
</t>
    </r>
    <r>
      <rPr>
        <sz val="10"/>
        <color rgb="FF000000"/>
        <rFont val="Times New Roman"/>
      </rPr>
      <t>психрометрический</t>
    </r>
  </si>
  <si>
    <t>Гигрометр
психрометрический</t>
  </si>
  <si>
    <r>
      <rPr>
        <sz val="10"/>
        <color theme="1"/>
        <rFont val="Times New Roman"/>
      </rPr>
      <t>Гигрометр психрометрический предназначен для измерения относительной влажности и температуры воздуха. Диапазон измерения относительной влажности от 10% до 100%. Диапазон измерения температуры от 0 до 50°С. Цена деления шкал термометра 1°С. Скорость аспирации от 0,5 до 1,0 м/сек.</t>
    </r>
  </si>
  <si>
    <r>
      <rPr>
        <sz val="10"/>
        <color rgb="FF000000"/>
        <rFont val="Times New Roman"/>
      </rPr>
      <t xml:space="preserve">521-301-1606-0001 -
</t>
    </r>
    <r>
      <rPr>
        <sz val="10"/>
        <color rgb="FF000000"/>
        <rFont val="Times New Roman"/>
      </rPr>
      <t>Мини-лаборатория по гидропонике типа HydroZen</t>
    </r>
  </si>
  <si>
    <t>521-301-1606-0001 -
Мини-лаборатория по гидропонике типа HydroZen</t>
  </si>
  <si>
    <r>
      <rPr>
        <sz val="10"/>
        <color theme="1"/>
        <rFont val="Times New Roman"/>
      </rPr>
      <t>Состав комплекта: ячейки для растений -12шт., блок питания - 1шт., система улучшения фотосинтеза,   система циркуляции воды, блок управления. Рaзмеры мини лаборатории: 250ммх350ммх350мм</t>
    </r>
  </si>
  <si>
    <r>
      <rPr>
        <sz val="10"/>
        <color rgb="FF000000"/>
        <rFont val="Times New Roman"/>
      </rPr>
      <t xml:space="preserve">521-301-1606-0002 -
</t>
    </r>
    <r>
      <rPr>
        <sz val="10"/>
        <color rgb="FF000000"/>
        <rFont val="Times New Roman"/>
      </rPr>
      <t>Мини-лаборатория по гидропонике типа ScienceCube, MDS-103</t>
    </r>
  </si>
  <si>
    <t>521-301-1606-0002 -
Мини-лаборатория по гидропонике типа ScienceCube, MDS-103</t>
  </si>
  <si>
    <r>
      <rPr>
        <sz val="10"/>
        <color rgb="FF000000"/>
        <rFont val="Times New Roman"/>
      </rPr>
      <t xml:space="preserve">В комплект входит: Гидропоническая система с орошением - 1 шт
</t>
    </r>
    <r>
      <rPr>
        <sz val="10"/>
        <color rgb="FF000000"/>
        <rFont val="Times New Roman"/>
      </rPr>
      <t xml:space="preserve">Резервуар для воды с крышкой и дозатором - 1 шт Субстраты для растений - 1 упаковка
</t>
    </r>
    <r>
      <rPr>
        <sz val="10"/>
        <color rgb="FF000000"/>
        <rFont val="Times New Roman"/>
      </rPr>
      <t xml:space="preserve">Фитолампы - 1 шт Таймер для света - 1 шт
</t>
    </r>
    <r>
      <rPr>
        <sz val="10"/>
        <color rgb="FF000000"/>
        <rFont val="Times New Roman"/>
      </rPr>
      <t xml:space="preserve">Компоненты для питательного раствора - 1 набор Пластиковые горшки для растений - 5 шт Семена растений - в зависимости от выбора
</t>
    </r>
    <r>
      <rPr>
        <sz val="10"/>
        <color rgb="FF000000"/>
        <rFont val="Times New Roman"/>
      </rPr>
      <t>Инструкции по гидропонике - 1 шт</t>
    </r>
  </si>
  <si>
    <r>
      <rPr>
        <sz val="10"/>
        <color rgb="FF000000"/>
        <rFont val="Times New Roman"/>
      </rPr>
      <t xml:space="preserve">521-301-1607-0001 - Набор для
</t>
    </r>
    <r>
      <rPr>
        <sz val="10"/>
        <color rgb="FF000000"/>
        <rFont val="Times New Roman"/>
      </rPr>
      <t>исследований по естественным наукам типа NaturePro Research Kit</t>
    </r>
  </si>
  <si>
    <t>Набор для
исследований по естественным наукам типа NaturePro Research Kit</t>
  </si>
  <si>
    <r>
      <rPr>
        <sz val="10"/>
        <color theme="1"/>
        <rFont val="Times New Roman"/>
      </rPr>
      <t>В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t>
    </r>
  </si>
  <si>
    <r>
      <rPr>
        <sz val="10"/>
        <color rgb="FF000000"/>
        <rFont val="Times New Roman"/>
      </rPr>
      <t xml:space="preserve">521-301-1607-0002 - Набор для
</t>
    </r>
    <r>
      <rPr>
        <sz val="10"/>
        <color rgb="FF000000"/>
        <rFont val="Times New Roman"/>
      </rPr>
      <t>исследований по естественным наукам типа Experia ST-01 по темам сила и энергия, вода, электрический ток, магниты, воздух и звук, свет, тепло, растения</t>
    </r>
  </si>
  <si>
    <t>Набор для
исследований по естественным наукам типа Experia ST-01 по темам сила и энергия, вода, электрический ток, магниты, воздух и звук, свет, тепло, растения</t>
  </si>
  <si>
    <r>
      <rPr>
        <sz val="10"/>
        <color rgb="FF000000"/>
        <rFont val="Times New Roman"/>
      </rPr>
      <t xml:space="preserve">Комплектация: 2 шт. Магнитный стержень AlNiCo, северный полюс помечен красным
</t>
    </r>
    <r>
      <rPr>
        <sz val="10"/>
        <color rgb="FF000000"/>
        <rFont val="Times New Roman"/>
      </rPr>
      <t xml:space="preserve">1 шт. Кейс с крышкой 1 шт. Лоток со вставкой
</t>
    </r>
    <r>
      <rPr>
        <sz val="10"/>
        <color rgb="FF000000"/>
        <rFont val="Times New Roman"/>
      </rPr>
      <t xml:space="preserve">1 шт. Свеча "теалайт" в металлическом контейнере 1 шт. Резиновая пробка с отверстием диаметром 6 мм
</t>
    </r>
    <r>
      <rPr>
        <sz val="10"/>
        <color rgb="FF000000"/>
        <rFont val="Times New Roman"/>
      </rPr>
      <t xml:space="preserve">1 шт. Краситель (пищевой краситель), красный
</t>
    </r>
    <r>
      <rPr>
        <sz val="10"/>
        <color rgb="FF000000"/>
        <rFont val="Times New Roman"/>
      </rPr>
      <t xml:space="preserve">1 шт. Выключатель ножной, однополюсный, однопозиционный 1 шт. Медный провод с изоляцией
</t>
    </r>
    <r>
      <rPr>
        <sz val="10"/>
        <color rgb="FF000000"/>
        <rFont val="Times New Roman"/>
      </rPr>
      <t xml:space="preserve">1 шт. Нагревательный провод, обмотанный, диаметр 0,20 мм 1 шт. Огнезащитная сетка
</t>
    </r>
    <r>
      <rPr>
        <sz val="10"/>
        <color rgb="FF000000"/>
        <rFont val="Times New Roman"/>
      </rPr>
      <t xml:space="preserve">1 шт. Спички
</t>
    </r>
    <r>
      <rPr>
        <sz val="10"/>
        <color rgb="FF000000"/>
        <rFont val="Times New Roman"/>
      </rPr>
      <t xml:space="preserve">1 шт. Стойки для весов, пластиковые
</t>
    </r>
    <r>
      <rPr>
        <sz val="10"/>
        <color rgb="FF000000"/>
        <rFont val="Times New Roman"/>
      </rPr>
      <t xml:space="preserve">1 шт. Весовая платформа, желтая
</t>
    </r>
    <r>
      <rPr>
        <sz val="10"/>
        <color rgb="FF000000"/>
        <rFont val="Times New Roman"/>
      </rPr>
      <t xml:space="preserve">2 шт. Шкала для весов, желтая, с ободками
</t>
    </r>
    <r>
      <rPr>
        <sz val="10"/>
        <color rgb="FF000000"/>
        <rFont val="Times New Roman"/>
      </rPr>
      <t xml:space="preserve">2 шт. Весы пружинные, вместимость около 75 г 2 шт. Гиря латунная, 10 г
</t>
    </r>
    <r>
      <rPr>
        <sz val="10"/>
        <color rgb="FF000000"/>
        <rFont val="Times New Roman"/>
      </rPr>
      <t xml:space="preserve">1 шт. Колба, 500 мл, с двумя шкалами 1 шт. Фонарь
</t>
    </r>
    <r>
      <rPr>
        <sz val="10"/>
        <color rgb="FF000000"/>
        <rFont val="Times New Roman"/>
      </rPr>
      <t xml:space="preserve">1 шт. Опора для иглы
</t>
    </r>
    <r>
      <rPr>
        <sz val="10"/>
        <color rgb="FF000000"/>
        <rFont val="Times New Roman"/>
      </rPr>
      <t xml:space="preserve">1 шт. Шприц с насадкой, 30 мл 1 шт. Тренога
</t>
    </r>
    <r>
      <rPr>
        <sz val="10"/>
        <color rgb="FF000000"/>
        <rFont val="Times New Roman"/>
      </rPr>
      <t xml:space="preserve">1 шт. Треугольные мосты 1 шт. Слуховая трубка
</t>
    </r>
    <r>
      <rPr>
        <sz val="10"/>
        <color rgb="FF000000"/>
        <rFont val="Times New Roman"/>
      </rPr>
      <t xml:space="preserve">1 шт. Барабанчик
</t>
    </r>
    <r>
      <rPr>
        <sz val="10"/>
        <color rgb="FF000000"/>
        <rFont val="Times New Roman"/>
      </rPr>
      <t xml:space="preserve">1 шт. Водяное колесо 1 шт. Рычаг
</t>
    </r>
    <r>
      <rPr>
        <sz val="10"/>
        <color rgb="FF000000"/>
        <rFont val="Times New Roman"/>
      </rPr>
      <t xml:space="preserve">1 шт. Шкив, немонтированный, диаметр 58 мм 1 шт. Шкив с крючком
</t>
    </r>
    <r>
      <rPr>
        <sz val="10"/>
        <color rgb="FF000000"/>
        <rFont val="Times New Roman"/>
      </rPr>
      <t xml:space="preserve">1 шт. Компасная карточка
</t>
    </r>
    <r>
      <rPr>
        <sz val="10"/>
        <color rgb="FF000000"/>
        <rFont val="Times New Roman"/>
      </rPr>
      <t xml:space="preserve">1 шт. Гири с двойным крючком, медь, 50 г, 10 шт.
</t>
    </r>
    <r>
      <rPr>
        <sz val="10"/>
        <color rgb="FF000000"/>
        <rFont val="Times New Roman"/>
      </rPr>
      <t xml:space="preserve">1 шт. Зеркало, плоское 1 шт. Линза f= +50 мм
</t>
    </r>
    <r>
      <rPr>
        <sz val="10"/>
        <color rgb="FF000000"/>
        <rFont val="Times New Roman"/>
      </rPr>
      <t>1 шт. Пластиковая колба, 100 мл</t>
    </r>
  </si>
  <si>
    <r>
      <rPr>
        <sz val="9"/>
        <color rgb="FF000000"/>
        <rFont val="Times New Roman"/>
      </rPr>
      <t xml:space="preserve">1 шт. Тележка
</t>
    </r>
    <r>
      <rPr>
        <sz val="9"/>
        <color rgb="FF000000"/>
        <rFont val="Times New Roman"/>
      </rPr>
      <t xml:space="preserve">1 шт. Воздушные шары с усиленной поверхностной натяжкой 1 шт. Термометр, без ртути, -10 до +110 °C
</t>
    </r>
    <r>
      <rPr>
        <sz val="9"/>
        <color rgb="FF000000"/>
        <rFont val="Times New Roman"/>
      </rPr>
      <t xml:space="preserve">1 шт. Шнур демонстрационный, диаметр 1 мм 1 шт. Тестовые провода, комплект из 10 шт.
</t>
    </r>
    <r>
      <rPr>
        <sz val="9"/>
        <color rgb="FF000000"/>
        <rFont val="Times New Roman"/>
      </rPr>
      <t xml:space="preserve">1 шт. Батарейка AA, 1,5 В, щелочная 1 шт. Лампа 2,5 В / 0,1 А
</t>
    </r>
    <r>
      <rPr>
        <sz val="9"/>
        <color rgb="FF000000"/>
        <rFont val="Times New Roman"/>
      </rPr>
      <t xml:space="preserve">1 шт. Металлическая ось, 110 мм
</t>
    </r>
    <r>
      <rPr>
        <sz val="9"/>
        <color rgb="FF000000"/>
        <rFont val="Times New Roman"/>
      </rPr>
      <t xml:space="preserve">1 шт. Металлическая ось, 60 мм
</t>
    </r>
    <r>
      <rPr>
        <sz val="9"/>
        <color rgb="FF000000"/>
        <rFont val="Times New Roman"/>
      </rPr>
      <t xml:space="preserve">1 шт. Стеклянная трубка, 200 мм
</t>
    </r>
    <r>
      <rPr>
        <sz val="9"/>
        <color rgb="FF000000"/>
        <rFont val="Times New Roman"/>
      </rPr>
      <t xml:space="preserve">1 шт. Резиновая пробка 24/19 мм, с отверстием
</t>
    </r>
    <r>
      <rPr>
        <sz val="9"/>
        <color rgb="FF000000"/>
        <rFont val="Times New Roman"/>
      </rPr>
      <t xml:space="preserve">1 шт. Резиновая пробка 24/19 мм, 2 отверстия диаметром 7 мм 1 шт. Капельница капельная, стеклянная
</t>
    </r>
    <r>
      <rPr>
        <sz val="9"/>
        <color rgb="FF000000"/>
        <rFont val="Times New Roman"/>
      </rPr>
      <t xml:space="preserve">1 шт. Держатель для пробирки, деревянный 1 шт. Силиконовая трубка 7/1,5 мм
</t>
    </r>
    <r>
      <rPr>
        <sz val="9"/>
        <color rgb="FF000000"/>
        <rFont val="Times New Roman"/>
      </rPr>
      <t xml:space="preserve">1 шт. Соединитель для трубок
</t>
    </r>
    <r>
      <rPr>
        <sz val="9"/>
        <color rgb="FF000000"/>
        <rFont val="Times New Roman"/>
      </rPr>
      <t>1 шт. Духовка для спирта, металлическая 4 шт. Трубчатый зажим, 5 мм</t>
    </r>
  </si>
  <si>
    <r>
      <rPr>
        <sz val="10"/>
        <color theme="1"/>
        <rFont val="Times New Roman"/>
      </rPr>
      <t>521-301-1608 - Набор химической посуды и принадлежностей для лабораторных работ по биологии</t>
    </r>
  </si>
  <si>
    <r>
      <rPr>
        <sz val="10"/>
        <color rgb="FF000000"/>
        <rFont val="Times New Roman"/>
      </rPr>
      <t xml:space="preserve">В набор входят: воронка - 1 шт.,
</t>
    </r>
    <r>
      <rPr>
        <sz val="10"/>
        <color rgb="FF000000"/>
        <rFont val="Times New Roman"/>
      </rPr>
      <t xml:space="preserve">колба коническая 100 мл - 2 шт., чашка Петри - 1 шт., капельница-банка - 1 шт., стакан PP 250 мл - 2 шт.,
</t>
    </r>
    <r>
      <rPr>
        <sz val="10"/>
        <color rgb="FF000000"/>
        <rFont val="Times New Roman"/>
      </rPr>
      <t xml:space="preserve">флакон с пробкой 30 мл (темное стекло) - 6 шт., покровное стекло 18*18 мм - 20 шт., предметное стекло 20*75 мм - 6 шт.,
</t>
    </r>
    <r>
      <rPr>
        <sz val="10"/>
        <color rgb="FF000000"/>
        <rFont val="Times New Roman"/>
      </rPr>
      <t xml:space="preserve">пробирка 14*120 - 10 шт., стеклянные палочки - 2 шт.,
</t>
    </r>
    <r>
      <rPr>
        <sz val="10"/>
        <color rgb="FF000000"/>
        <rFont val="Times New Roman"/>
      </rPr>
      <t xml:space="preserve">спиртовка лабораторная литая - 1 шт., промывалка - 1 шт.,
</t>
    </r>
    <r>
      <rPr>
        <sz val="10"/>
        <color rgb="FF000000"/>
        <rFont val="Times New Roman"/>
      </rPr>
      <t xml:space="preserve">ложка–шпатель - 1 шт., зажим пробирочный - 1 шт.,
</t>
    </r>
    <r>
      <rPr>
        <sz val="10"/>
        <color rgb="FF000000"/>
        <rFont val="Times New Roman"/>
      </rPr>
      <t xml:space="preserve">пробка резиновая 12,5 мм - 2 шт., комплект трубок соединительных - 1 компл.,
</t>
    </r>
    <r>
      <rPr>
        <sz val="10"/>
        <color rgb="FF000000"/>
        <rFont val="Times New Roman"/>
      </rPr>
      <t>штатив для пробирок на 10 гнезд - 1 шт., набор инструментов препаровальных - 1 шт., лоток для раздаточного материала - 1 шт.</t>
    </r>
  </si>
  <si>
    <r>
      <rPr>
        <sz val="10"/>
        <color theme="1"/>
        <rFont val="Times New Roman"/>
      </rPr>
      <t>521-301-1609 - Набор химической посуды и принадлежностей по биологии для демонстрационных работ</t>
    </r>
  </si>
  <si>
    <r>
      <rPr>
        <sz val="10"/>
        <color rgb="FF000000"/>
        <rFont val="Times New Roman"/>
      </rPr>
      <t xml:space="preserve">В набор входят:
</t>
    </r>
    <r>
      <rPr>
        <sz val="10"/>
        <color rgb="FF000000"/>
        <rFont val="Times New Roman"/>
      </rPr>
      <t xml:space="preserve">Воронка d 56-80 , Зажим пробирочный,
</t>
    </r>
    <r>
      <rPr>
        <sz val="10"/>
        <color rgb="FF000000"/>
        <rFont val="Times New Roman"/>
      </rPr>
      <t xml:space="preserve">Колба коническая 500 мл, Колба круглодонная 250 мл. Ложка для сжигания вещества, Ложка пластмассовая, Стеклянная палочка, Пробирка 14*120
</t>
    </r>
    <r>
      <rPr>
        <sz val="10"/>
        <color rgb="FF000000"/>
        <rFont val="Times New Roman"/>
      </rPr>
      <t xml:space="preserve">Спиртовка лабораторная литая , Стакан химический с меткой 100 мл., Тигли №4
</t>
    </r>
    <r>
      <rPr>
        <sz val="10"/>
        <color rgb="FF000000"/>
        <rFont val="Times New Roman"/>
      </rPr>
      <t xml:space="preserve">Штатив для пробирок на 20 гнезд , Штатив лабораторный комбинированный ШЛб
</t>
    </r>
    <r>
      <rPr>
        <sz val="10"/>
        <color rgb="FF000000"/>
        <rFont val="Times New Roman"/>
      </rPr>
      <t xml:space="preserve">Чашка выпарительная №4 , Щипцы тигельные,
</t>
    </r>
    <r>
      <rPr>
        <sz val="10"/>
        <color rgb="FF000000"/>
        <rFont val="Times New Roman"/>
      </rPr>
      <t xml:space="preserve">Цилиндр мерный 250 мл. с носиком Колба коническая 100 мл. ,
</t>
    </r>
    <r>
      <rPr>
        <sz val="10"/>
        <color rgb="FF000000"/>
        <rFont val="Times New Roman"/>
      </rPr>
      <t xml:space="preserve">Флакон с пробкой 30 мл. (темное стекло) Предметное стекло 26*76, Покровное стекло 18*18,
</t>
    </r>
    <r>
      <rPr>
        <sz val="10"/>
        <color rgb="FF000000"/>
        <rFont val="Times New Roman"/>
      </rPr>
      <t xml:space="preserve">Ерш для мытья колб, Чашка Петри,
</t>
    </r>
    <r>
      <rPr>
        <sz val="10"/>
        <color rgb="FF000000"/>
        <rFont val="Times New Roman"/>
      </rPr>
      <t xml:space="preserve">Доска для сушки посуды, Лоток для раздаточного материала,
</t>
    </r>
    <r>
      <rPr>
        <sz val="10"/>
        <color rgb="FF000000"/>
        <rFont val="Times New Roman"/>
      </rPr>
      <t xml:space="preserve">Столик подъемно-поворотный с 2-мя плоскостями, Набор инструментов препаровальных, Промывалка,
</t>
    </r>
    <r>
      <rPr>
        <sz val="10"/>
        <color rgb="FF000000"/>
        <rFont val="Times New Roman"/>
      </rPr>
      <t>Пипетка химическая лабораторная</t>
    </r>
  </si>
  <si>
    <r>
      <rPr>
        <sz val="10"/>
        <color rgb="FF000000"/>
        <rFont val="Times New Roman"/>
      </rPr>
      <t xml:space="preserve">521-301-1610-0001 - Набор
</t>
    </r>
    <r>
      <rPr>
        <sz val="10"/>
        <color rgb="FF000000"/>
        <rFont val="Times New Roman"/>
      </rPr>
      <t>демонстрационный для изучения атмосферного давления типа Experia PHE-010</t>
    </r>
  </si>
  <si>
    <t>Набор
демонстрационный для изучения атмосферного давления типа Experia PHE-010</t>
  </si>
  <si>
    <r>
      <rPr>
        <sz val="10"/>
        <color rgb="FF000000"/>
        <rFont val="Times New Roman"/>
      </rPr>
      <t xml:space="preserve">Комплектация: 1шт - кейс с крышкой
</t>
    </r>
    <r>
      <rPr>
        <sz val="10"/>
        <color rgb="FF000000"/>
        <rFont val="Times New Roman"/>
      </rPr>
      <t xml:space="preserve">1шт - лоток со вставкой, 2 шт. воздушных шаров 1 шт. сигнализатора
</t>
    </r>
    <r>
      <rPr>
        <sz val="10"/>
        <color rgb="FF000000"/>
        <rFont val="Times New Roman"/>
      </rPr>
      <t xml:space="preserve">1 шт. звукопоглощающей панели
</t>
    </r>
    <r>
      <rPr>
        <sz val="10"/>
        <color rgb="FF000000"/>
        <rFont val="Times New Roman"/>
      </rPr>
      <t xml:space="preserve">1 шт. комплекта магдебургских полушаров
</t>
    </r>
    <r>
      <rPr>
        <sz val="10"/>
        <color rgb="FF000000"/>
        <rFont val="Times New Roman"/>
      </rPr>
      <t xml:space="preserve">1 шт. жесткой цилиндрической вакуумной камеры с кольцом-уплотнителем 1 шт. крышки с фиксированными клапанами вентиляции, барометром, объемом не менее 1000 мл
</t>
    </r>
    <r>
      <rPr>
        <sz val="10"/>
        <color rgb="FF000000"/>
        <rFont val="Times New Roman"/>
      </rPr>
      <t xml:space="preserve">1 шт. устройства разделения пузырей 1 шт. зажима для воздушных шаров
</t>
    </r>
    <r>
      <rPr>
        <sz val="10"/>
        <color rgb="FF000000"/>
        <rFont val="Times New Roman"/>
      </rPr>
      <t xml:space="preserve">1 шт. пластикового шприца объемом 120 мл с двумя адаптерами для подключения пластиковой трубки диаметром 6 мм
</t>
    </r>
    <r>
      <rPr>
        <sz val="10"/>
        <color rgb="FF000000"/>
        <rFont val="Times New Roman"/>
      </rPr>
      <t xml:space="preserve">1 шт. термопластичной пленки для устройства разделения пузырей 1 шт. тона, длиной 350 мм
</t>
    </r>
    <r>
      <rPr>
        <sz val="10"/>
        <color rgb="FF000000"/>
        <rFont val="Times New Roman"/>
      </rPr>
      <t xml:space="preserve">1 шт. пластиковой капсулы с крышкой, диаметром 75 мм
</t>
    </r>
    <r>
      <rPr>
        <sz val="10"/>
        <color rgb="FF000000"/>
        <rFont val="Times New Roman"/>
      </rPr>
      <t xml:space="preserve">1 шт. вакуумного шланга, пластикового, размером 300 х 6 мм, с внутренней трубкой диаметром 4 мм
</t>
    </r>
    <r>
      <rPr>
        <sz val="10"/>
        <color rgb="FF000000"/>
        <rFont val="Times New Roman"/>
      </rPr>
      <t xml:space="preserve">1 шт. манометра для эксперимента Бойля-Мариотта, с диапазоном
</t>
    </r>
    <r>
      <rPr>
        <sz val="10"/>
        <color rgb="FF000000"/>
        <rFont val="Times New Roman"/>
      </rPr>
      <t xml:space="preserve">-1000…+3000 гПа и четкой шкалой
</t>
    </r>
    <r>
      <rPr>
        <sz val="10"/>
        <color rgb="FF000000"/>
        <rFont val="Times New Roman"/>
      </rPr>
      <t>1 шт. пластикового цилиндра с внутренним конусом для шприца 1 шт. вакуумной камеры объемом не менее 1000 мл с манометром</t>
    </r>
  </si>
  <si>
    <r>
      <rPr>
        <sz val="10"/>
        <color rgb="FF000000"/>
        <rFont val="Times New Roman"/>
      </rPr>
      <t xml:space="preserve">521-301-1610-0002 - Набор
</t>
    </r>
    <r>
      <rPr>
        <sz val="10"/>
        <color rgb="FF000000"/>
        <rFont val="Times New Roman"/>
      </rPr>
      <t>демонстрационный для изучения атмосферного давления типа Cornelsen Experimenta 31710/44264</t>
    </r>
  </si>
  <si>
    <t>Набор
демонстрационный для изучения атмосферного давления типа Cornelsen Experimenta 31710/44264</t>
  </si>
  <si>
    <r>
      <rPr>
        <sz val="10"/>
        <color rgb="FF000000"/>
        <rFont val="Times New Roman"/>
      </rPr>
      <t xml:space="preserve">Состав комплекта:
</t>
    </r>
    <r>
      <rPr>
        <sz val="10"/>
        <color rgb="FF000000"/>
        <rFont val="Times New Roman"/>
      </rPr>
      <t xml:space="preserve">тележка на колесах, пластик, 99х63мм – 6 шт.; трубка полимерная, 200 мм – 12 шт.;
</t>
    </r>
    <r>
      <rPr>
        <sz val="10"/>
        <color rgb="FF000000"/>
        <rFont val="Times New Roman"/>
      </rPr>
      <t xml:space="preserve">колба отсосная, конусообразной формы, диаметр 60/18 мм, 90 мл, со съемным дном, 2 отверстиями в верхней части, прозрачный пластик, серый пластик – 6 шт.;
</t>
    </r>
    <r>
      <rPr>
        <sz val="10"/>
        <color rgb="FF000000"/>
        <rFont val="Times New Roman"/>
      </rPr>
      <t xml:space="preserve">шприц, 10 мл, градуированный, цена деления 0,5мл, пластик – 6 шт.; крючок на присоске – 6 шт.;
</t>
    </r>
    <r>
      <rPr>
        <sz val="10"/>
        <color rgb="FF000000"/>
        <rFont val="Times New Roman"/>
      </rPr>
      <t xml:space="preserve">пластина 90х90 мм, пластик белый – 6 шт.;
</t>
    </r>
    <r>
      <rPr>
        <sz val="10"/>
        <color rgb="FF000000"/>
        <rFont val="Times New Roman"/>
      </rPr>
      <t xml:space="preserve">стекло увеличительное трехлинзовое, увеличение 3х, 6х, 10х, оргстекло, форма треугольная со сторонами 100х100х50 мм – 6 шт.;
</t>
    </r>
    <r>
      <rPr>
        <sz val="10"/>
        <color rgb="FF000000"/>
        <rFont val="Times New Roman"/>
      </rPr>
      <t xml:space="preserve">воронка, пластик, длина 50 мм, макс диаметр 60 мм – 6 шт.;
</t>
    </r>
    <r>
      <rPr>
        <sz val="10"/>
        <color rgb="FF000000"/>
        <rFont val="Times New Roman"/>
      </rPr>
      <t xml:space="preserve">стакан пластиковый, прозрачный, высота 55, диаметр 60 мм, 100 мл – 6 шт.; емкость трапециевидной формы, 173(150)х132(110)х70 мм, пластик прозрачный – 6 шт.;
</t>
    </r>
    <r>
      <rPr>
        <sz val="10"/>
        <color rgb="FF000000"/>
        <rFont val="Times New Roman"/>
      </rPr>
      <t xml:space="preserve">диск для воздушной подушки, диаметр 110мм, пластик – 6 шт.; лента измерительная 1 м, двусторонняя, цена деления 1мм/1см, поливинил,
</t>
    </r>
    <r>
      <rPr>
        <sz val="10"/>
        <color rgb="FF000000"/>
        <rFont val="Times New Roman"/>
      </rPr>
      <t xml:space="preserve">1000х30мм – 6 шт.;
</t>
    </r>
    <r>
      <rPr>
        <sz val="10"/>
        <color rgb="FF000000"/>
        <rFont val="Times New Roman"/>
      </rPr>
      <t xml:space="preserve">фигурка парашютиста пластмассовая 90 мм на парашюте, диаметр парашюта 500 мм, нейлон  – 2 шт.;
</t>
    </r>
    <r>
      <rPr>
        <sz val="10"/>
        <color rgb="FF000000"/>
        <rFont val="Times New Roman"/>
      </rPr>
      <t xml:space="preserve">надувные шары – 48 шт.;
</t>
    </r>
    <r>
      <rPr>
        <sz val="10"/>
        <color rgb="FF000000"/>
        <rFont val="Times New Roman"/>
      </rPr>
      <t xml:space="preserve">сухой спирт в таблетках, 20 шт. – 1 уп.; горелка для сухого топлива, никелированная – 1 шт.;
</t>
    </r>
    <r>
      <rPr>
        <sz val="10"/>
        <color rgb="FF000000"/>
        <rFont val="Times New Roman"/>
      </rPr>
      <t xml:space="preserve">трубка теплопроводная, металл, длина 150мм, диаметр 50 мм – 1 шт.; насос для воздушных шаров пластиковый, длина 260 мм, ширина 65 мм, толщина 35 мм – 1 шт.;
</t>
    </r>
    <r>
      <rPr>
        <sz val="10"/>
        <color rgb="FF000000"/>
        <rFont val="Times New Roman"/>
      </rPr>
      <t xml:space="preserve">насос воздушный с прозрачным цилиндром, длина 255 мм – 3 шт.; модель воздушного шара, полиэтилен – 1 шт.;
</t>
    </r>
    <r>
      <rPr>
        <sz val="10"/>
        <color rgb="FF000000"/>
        <rFont val="Times New Roman"/>
      </rPr>
      <t xml:space="preserve">модель ракеты – 1 шт.;
</t>
    </r>
    <r>
      <rPr>
        <sz val="10"/>
        <color rgb="FF000000"/>
        <rFont val="Times New Roman"/>
      </rPr>
      <t xml:space="preserve">в составе: направляющие стойки высотой 120 мм – 3 шт., шланг 1500мм с клапанами, держатель кольцевой с прорезями;
</t>
    </r>
    <r>
      <rPr>
        <sz val="10"/>
        <color rgb="FF000000"/>
        <rFont val="Times New Roman"/>
      </rPr>
      <t xml:space="preserve">тарелка металлическая, высота 12мм, диаметр 145 мм – 1 шт.; шнур на катушке, нейлон – 1 шт.;
</t>
    </r>
    <r>
      <rPr>
        <sz val="10"/>
        <color rgb="FF000000"/>
        <rFont val="Times New Roman"/>
      </rPr>
      <t>секундомер электронный – 1 шт.;</t>
    </r>
  </si>
  <si>
    <r>
      <rPr>
        <sz val="9"/>
        <color rgb="FF000000"/>
        <rFont val="Times New Roman"/>
      </rPr>
      <t xml:space="preserve">пульверизатор – 1 шт.;
</t>
    </r>
    <r>
      <rPr>
        <sz val="9"/>
        <color rgb="FF000000"/>
        <rFont val="Times New Roman"/>
      </rPr>
      <t xml:space="preserve">свеча восковая в жестяной гильзе – 6 шт.; диаметр- 40мм; высота -15  мм; масса 50 г;
</t>
    </r>
    <r>
      <rPr>
        <sz val="9"/>
        <color rgb="FF000000"/>
        <rFont val="Times New Roman"/>
      </rPr>
      <t xml:space="preserve">салфетка протирочная из нетканого материала – 2 шт.; липкая лента в рулоне – 1 шт.;
</t>
    </r>
    <r>
      <rPr>
        <sz val="9"/>
        <color rgb="FF000000"/>
        <rFont val="Times New Roman"/>
      </rPr>
      <t xml:space="preserve">вазелин в жестяной банке, 40 г – 1 шт. пластиковый прозрачный контейнер (142х50х35 мм) №1:
</t>
    </r>
    <r>
      <rPr>
        <sz val="9"/>
        <color rgb="FF000000"/>
        <rFont val="Times New Roman"/>
      </rPr>
      <t xml:space="preserve">шарик, пластмассовый желтого цвета, диаметр 25мм – 6 шт.; ножницы, 115 мм, нержавеющая сталь, концы острый/закругленный – 2
</t>
    </r>
    <r>
      <rPr>
        <sz val="9"/>
        <color rgb="FF000000"/>
        <rFont val="Times New Roman"/>
      </rPr>
      <t xml:space="preserve">шт.;
</t>
    </r>
    <r>
      <rPr>
        <sz val="9"/>
        <color rgb="FF000000"/>
        <rFont val="Times New Roman"/>
      </rPr>
      <t xml:space="preserve">колпачок цилиндрический, пластик, высота 11 мм, диаметр 8мм – 6 шт.; пластина с 2 сквозными отверстиями по краям, 76х25х1мм, пластик – 6 шт.; пластиковый прозрачный контейнер (142х50х35 мм) №2:
</t>
    </r>
    <r>
      <rPr>
        <sz val="9"/>
        <color rgb="FF000000"/>
        <rFont val="Times New Roman"/>
      </rPr>
      <t xml:space="preserve">держатель клапана, длина 35мм, пластик – 6 шт.; клапан для воздушных шариков, диаметр 7/15 мм – 6 шт.;
</t>
    </r>
    <r>
      <rPr>
        <sz val="9"/>
        <color rgb="FF000000"/>
        <rFont val="Times New Roman"/>
      </rPr>
      <t xml:space="preserve">ниппель – 6 шт.;
</t>
    </r>
    <r>
      <rPr>
        <sz val="9"/>
        <color rgb="FF000000"/>
        <rFont val="Times New Roman"/>
      </rPr>
      <t>трубка, длина 120мм, диаметр 5 мм, пластик – 6 шт.</t>
    </r>
  </si>
  <si>
    <r>
      <rPr>
        <sz val="10"/>
        <color rgb="FF000000"/>
        <rFont val="Times New Roman"/>
      </rPr>
      <t xml:space="preserve">521-301-1610-0003 - Прибор для
</t>
    </r>
    <r>
      <rPr>
        <sz val="10"/>
        <color rgb="FF000000"/>
        <rFont val="Times New Roman"/>
      </rPr>
      <t>демонстрации атмосферного давления (Магдебурские полушария)</t>
    </r>
  </si>
  <si>
    <t>Прибор для
демонстрации атмосферного давления (Магдебурские полушария)</t>
  </si>
  <si>
    <r>
      <rPr>
        <sz val="10"/>
        <color theme="1"/>
        <rFont val="Times New Roman"/>
      </rPr>
      <t>Прибор представляет собой два полушария с ручками и хорошо пришлифованными краями-рантами. На одном из полушарий установлен кран со штуцером для подсоединения его с помощью резинового шланга к воздушному или вакуумному насосу.</t>
    </r>
  </si>
  <si>
    <r>
      <rPr>
        <sz val="10"/>
        <color theme="1"/>
        <rFont val="Times New Roman"/>
      </rPr>
      <t>521-301-1611 - Микролаборатория для проведения наблюдений, лабораторных и практических работ по биологии</t>
    </r>
  </si>
  <si>
    <r>
      <rPr>
        <sz val="10"/>
        <color rgb="FF000000"/>
        <rFont val="Times New Roman"/>
      </rPr>
      <t xml:space="preserve">В комплект входят: 1.Короб-1шт,  2.Крышка-1шт (Установлена на коробе) , 3.Лоток-1шт (Установлен в коробе), 4.Укладка-1шт (Установлена в коробе),
</t>
    </r>
    <r>
      <rPr>
        <sz val="10"/>
        <color rgb="FF000000"/>
        <rFont val="Times New Roman"/>
      </rPr>
      <t xml:space="preserve">5.Съемный ложемент-1шт (Установлена в коробе), 6.Лупа ручная-1шт, 7.Спиртовка лабораторная малая- 1шт, 8.Банка-капельница с
</t>
    </r>
    <r>
      <rPr>
        <sz val="10"/>
        <color rgb="FF000000"/>
        <rFont val="Times New Roman"/>
      </rPr>
      <t xml:space="preserve">крышкой-капельницей-1шт,  9.Стакан лабораторный, вместимость 50 мл-2шт,  10.Стакан лабораторный, вместимость 100 мл-1шт,  11.Воронка
</t>
    </r>
    <r>
      <rPr>
        <sz val="10"/>
        <color rgb="FF000000"/>
        <rFont val="Times New Roman"/>
      </rPr>
      <t xml:space="preserve">лабораторная В-56-1шт,  12.Чашка Петри-1шт,  13.Пробирка-6шт,
</t>
    </r>
    <r>
      <rPr>
        <sz val="10"/>
        <color rgb="FF000000"/>
        <rFont val="Times New Roman"/>
      </rPr>
      <t>14.Стекло предметное-4шт,  15.Стекло покровное-10шт,  16.Флакон ФО, вместимость 10 мл-7шт,  17.Крышка-капельница К/Ф-1-7шт (установлена на флаконе),  18.Зажим пробирочный-1шт,  19.Ерш  пробирочный-1шт, 20.Пинцет-1шт,  21.Ножницы-1шт,  22.Скальпель брюшистый-1шт, 23.Препаровальная игла-2шт,  24.Фильтр бумажный-5шт,  25.Методические рекомендации-1шт,  26.Пособие для учителя CD-1шт,  27.Комплект ЗИП (стекло предметное 6шт., стекло покровное-40 шт.)-1шт,  28.Упаковочная тара-1шт</t>
    </r>
  </si>
  <si>
    <r>
      <rPr>
        <sz val="10"/>
        <color theme="1"/>
        <rFont val="Times New Roman"/>
      </rPr>
      <t>521-301-1612 - Набор для препарирования</t>
    </r>
  </si>
  <si>
    <r>
      <rPr>
        <sz val="10"/>
        <color rgb="FF000000"/>
        <rFont val="Times New Roman"/>
      </rPr>
      <t xml:space="preserve">В набор входит: 1.Игла препаровальная-2шт,  2.Лоток-1шт, 3.Лупа ручная-1шт, 4.Скальпель брюшистый-1шт, 5.Стекло предметное-10шт,
</t>
    </r>
    <r>
      <rPr>
        <sz val="10"/>
        <color rgb="FF000000"/>
        <rFont val="Times New Roman"/>
      </rPr>
      <t>6.Стекло покровное (упак. 100 шт.)-1шт, 7.Палочка стеклянная-1шт, 8.Пинцет-1шт, 9.Флакон с крышкой-капельницей-2шт, 10.Фильтр бумажный (упак. 100 шт.)-1шт, 11.Чашка Петри-1шт</t>
    </r>
  </si>
  <si>
    <r>
      <rPr>
        <sz val="10"/>
        <color rgb="FF000000"/>
        <rFont val="Times New Roman"/>
      </rPr>
      <t xml:space="preserve">521-301-1706-0010 - Датчик для
</t>
    </r>
    <r>
      <rPr>
        <sz val="10"/>
        <color rgb="FF000000"/>
        <rFont val="Times New Roman"/>
      </rPr>
      <t xml:space="preserve">измерения температуры высокочувствительный беспроводной типа Phywe Cobra SMARTsense Thermocouple 12938-01. Диапазон:
</t>
    </r>
    <r>
      <rPr>
        <sz val="10"/>
        <color rgb="FF000000"/>
        <rFont val="Times New Roman"/>
      </rPr>
      <t xml:space="preserve">-200°C+1200°C. Разрешение: 0.4°C.
</t>
    </r>
    <r>
      <rPr>
        <sz val="10"/>
        <color rgb="FF000000"/>
        <rFont val="Times New Roman"/>
      </rPr>
      <t>Частота: 10 Гц</t>
    </r>
  </si>
  <si>
    <t>Датчик для
измерения температуры высокочувствительный беспроводной типа Phywe Cobra SMARTsense Thermocouple 12938-01. Диапазон:
-200°C+1200°C. Разрешение: 0.4°C.
Частота: 10 Гц</t>
  </si>
  <si>
    <r>
      <rPr>
        <sz val="10"/>
        <color theme="1"/>
        <rFont val="Times New Roman"/>
      </rPr>
      <t>521-301-1711 - Микроскоп цифровой портативный USB</t>
    </r>
  </si>
  <si>
    <r>
      <rPr>
        <sz val="10"/>
        <color theme="1"/>
        <rFont val="Times New Roman"/>
      </rPr>
      <t>Микроскоп цифровой портативный USB</t>
    </r>
  </si>
  <si>
    <r>
      <rPr>
        <sz val="10"/>
        <color rgb="FF000000"/>
        <rFont val="Times New Roman"/>
      </rPr>
      <t xml:space="preserve">521-301-1716-0001 - Цифровая
</t>
    </r>
    <r>
      <rPr>
        <sz val="10"/>
        <color rgb="FF000000"/>
        <rFont val="Times New Roman"/>
      </rPr>
      <t>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r>
  </si>
  <si>
    <t>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</si>
  <si>
    <r>
      <rPr>
        <sz val="10"/>
        <color rgb="FF000000"/>
        <rFont val="Times New Roman"/>
      </rPr>
      <t xml:space="preserve">1 х беспроводной датчик напряжения и тока 5 В. (1131) 1 х беспроводной датчик движения. (1190)
</t>
    </r>
    <r>
      <rPr>
        <sz val="10"/>
        <color rgb="FF000000"/>
        <rFont val="Times New Roman"/>
      </rPr>
      <t xml:space="preserve">1 х умный беспроводной датчик уровня звука. (1145)
</t>
    </r>
    <r>
      <rPr>
        <sz val="10"/>
        <color rgb="FF000000"/>
        <rFont val="Times New Roman"/>
      </rPr>
      <t xml:space="preserve">1 х интеллектуальный беспроводной датчик магнитного поля. (1140) 1 X беспроводной датчик света и цвета. (1160)
</t>
    </r>
    <r>
      <rPr>
        <sz val="10"/>
        <color rgb="FF000000"/>
        <rFont val="Times New Roman"/>
      </rPr>
      <t xml:space="preserve">1 х интеллектуальный беспроводной датчик силы и ускорения. (1120) 6 х USB соединительный провод.
</t>
    </r>
    <r>
      <rPr>
        <sz val="10"/>
        <color rgb="FF000000"/>
        <rFont val="Times New Roman"/>
      </rPr>
      <t>Программное обеспечение сбора и обработки данных Easysense2 на трех языках: каз., рус., англ. языке. Методические пособия.</t>
    </r>
  </si>
  <si>
    <r>
      <rPr>
        <sz val="10"/>
        <color rgb="FF000000"/>
        <rFont val="Times New Roman"/>
      </rPr>
      <t xml:space="preserve">521-301-1716-0002 - Цифровая
</t>
    </r>
    <r>
      <rPr>
        <sz val="10"/>
        <color rgb="FF000000"/>
        <rFont val="Times New Roman"/>
      </rPr>
      <t>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r>
  </si>
  <si>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</si>
  <si>
    <r>
      <rPr>
        <sz val="10"/>
        <color rgb="FF000000"/>
        <rFont val="Times New Roman"/>
      </rPr>
      <t xml:space="preserve">В комплект входят:
</t>
    </r>
    <r>
      <rPr>
        <sz val="10"/>
        <color rgb="FF000000"/>
        <rFont val="Times New Roman"/>
      </rPr>
      <t xml:space="preserve">Беспроводной цифровой датчик температуры типа PHYWE (Диапазон: -40
</t>
    </r>
    <r>
      <rPr>
        <sz val="10"/>
        <color rgb="FF000000"/>
        <rFont val="Times New Roman"/>
      </rPr>
      <t xml:space="preserve">... 120 °C; Разрешение: 0.01°),
</t>
    </r>
    <r>
      <rPr>
        <sz val="10"/>
        <color rgb="FF000000"/>
        <rFont val="Times New Roman"/>
      </rPr>
      <t xml:space="preserve">Беспроводной цифровой датчик силы, ускорения и наклона типа PHYWE (Диапазон: ±50 Н; Разрешение: 30 мН),
</t>
    </r>
    <r>
      <rPr>
        <sz val="10"/>
        <color rgb="FF000000"/>
        <rFont val="Times New Roman"/>
      </rPr>
      <t xml:space="preserve">Беспроводной цифровой датчик света типа PHYWE (Диапазон: 0 ... 200 кЛк; Разрешение: 1 Лк),
</t>
    </r>
    <r>
      <rPr>
        <sz val="10"/>
        <color rgb="FF000000"/>
        <rFont val="Times New Roman"/>
      </rPr>
      <t xml:space="preserve">Беспроводной цифровой датчик движения типа PHYWE (Диапазон: 0.2 ... 2 м; Разрешение: 1 мм),
</t>
    </r>
    <r>
      <rPr>
        <sz val="10"/>
        <color rgb="FF000000"/>
        <rFont val="Times New Roman"/>
      </rPr>
      <t xml:space="preserve">Датчик звука беспроводной типа PHYWE (Диапазон: 55 ... 110 дБ(А); Разрешение: 0,1 дБ(А)),
</t>
    </r>
    <r>
      <rPr>
        <sz val="10"/>
        <color rgb="FF000000"/>
        <rFont val="Times New Roman"/>
      </rPr>
      <t xml:space="preserve">Адаптер USB-Bluetooth 4.0.
</t>
    </r>
    <r>
      <rPr>
        <sz val="10"/>
        <color rgb="FF000000"/>
        <rFont val="Times New Roman"/>
      </rPr>
      <t xml:space="preserve">Аксессуары:
</t>
    </r>
    <r>
      <rPr>
        <sz val="10"/>
        <color rgb="FF000000"/>
        <rFont val="Times New Roman"/>
      </rPr>
      <t xml:space="preserve">Зарядное устройство с кабелем mini-USB USB Адаптер Bluetooth 4.1
</t>
    </r>
    <r>
      <rPr>
        <sz val="10"/>
        <color rgb="FF000000"/>
        <rFont val="Times New Roman"/>
      </rPr>
      <t xml:space="preserve">Краткое руководство по эксплуатации цифровой лаборатории Программное обеспечение
</t>
    </r>
    <r>
      <rPr>
        <sz val="10"/>
        <color rgb="FF000000"/>
        <rFont val="Times New Roman"/>
      </rPr>
      <t>Методические пособие</t>
    </r>
  </si>
  <si>
    <r>
      <rPr>
        <sz val="10"/>
        <color theme="1"/>
        <rFont val="Times New Roman"/>
      </rPr>
      <t>521-301-1716-0003 - Лаборатория цифровая мобильная по естественным наукам с методическими материалами типа ScienceCube Pro в комплекте с датчиками</t>
    </r>
  </si>
  <si>
    <r>
      <rPr>
        <sz val="10"/>
        <color rgb="FF000000"/>
        <rFont val="Times New Roman"/>
      </rPr>
      <t xml:space="preserve">Комплектация набора:
</t>
    </r>
    <r>
      <rPr>
        <sz val="10"/>
        <color rgb="FF000000"/>
        <rFont val="Times New Roman"/>
      </rPr>
      <t xml:space="preserve">Pro Interface Pro Interface KDM-1002 - 1 шт Датчик температуры KDS-1001 - 1 шт Датчик давления газа KDS-1034 - 1 шт Датчик влажности KDS-1008 - 1 шт Датчик мутности KDS-1017 - 1 шт
</t>
    </r>
    <r>
      <rPr>
        <sz val="10"/>
        <color rgb="FF000000"/>
        <rFont val="Times New Roman"/>
      </rPr>
      <t xml:space="preserve">Датчик света KDS-1033 - 1 шт Датчик кислорода - 1 шт Датчик рН KDS-1005 - 1 шт
</t>
    </r>
    <r>
      <rPr>
        <sz val="10"/>
        <color rgb="FF000000"/>
        <rFont val="Times New Roman"/>
      </rPr>
      <t>Датчик электропроводности KDS-1038 - 1 шт</t>
    </r>
  </si>
  <si>
    <r>
      <rPr>
        <sz val="10"/>
        <color rgb="FF000000"/>
        <rFont val="Times New Roman"/>
      </rPr>
      <t xml:space="preserve">521-301-1801-0001 - Шкаф
</t>
    </r>
    <r>
      <rPr>
        <sz val="10"/>
        <color rgb="FF000000"/>
        <rFont val="Times New Roman"/>
      </rPr>
      <t>вытяжной демонстрационный с защитным экраном, раковиной и смесителем 1200х690х2200мм</t>
    </r>
  </si>
  <si>
    <t>Шкаф
вытяжной демонстрационный с защитным экраном, раковиной и смесителем 1200х690х2200мм</t>
  </si>
  <si>
    <r>
      <rPr>
        <sz val="10"/>
        <color rgb="FF000000"/>
        <rFont val="Times New Roman"/>
      </rPr>
      <t xml:space="preserve">Шкаф вытяжной демонстрационный с защитным экраном, раковиной и смесителем. Размеры 1200х690х2200мм. Цельнометаллическая сварная конструкция с полимерно-порошковым покрытием. Подъемный экран выполнен из оконного стекла для усиления механической прочности помещен в металлическую рамку.  Подъемный экран уравновешивается противовесами, благодаря которым экран может быть зафиксирован в любом положении. К верхнему горизонту крепится патрубок для подключения к системе общей вентиляции. Нижняя часть – металлическая тумба с панелью для оборудования электропитания. Тумба оснащена 3-мя дверьми.  За металлической дверью имеется несъемная полка. Каждая дверь закрывается на врезной замок. Комплектация: смеситель для воды с гибкой подводкой; сливная раковина d150мм из полипропилена со сливом.
</t>
    </r>
    <r>
      <rPr>
        <sz val="10"/>
        <color rgb="FF000000"/>
        <rFont val="Times New Roman"/>
      </rPr>
      <t xml:space="preserve">Установлена люминесцентная лампа. Спереди шкафа имеются: –
</t>
    </r>
    <r>
      <rPr>
        <sz val="10"/>
        <color rgb="FF000000"/>
        <rFont val="Times New Roman"/>
      </rPr>
      <t>электрические розетки, прикрываемые пластиковой крышкой</t>
    </r>
  </si>
  <si>
    <r>
      <rPr>
        <sz val="10"/>
        <color rgb="FF000000"/>
        <rFont val="Times New Roman"/>
      </rPr>
      <t xml:space="preserve">521-301-1801-0002 - Шкаф
</t>
    </r>
    <r>
      <rPr>
        <sz val="10"/>
        <color rgb="FF000000"/>
        <rFont val="Times New Roman"/>
      </rPr>
      <t>вытяжной демонстрационный с защитным экраном, раковиной и смесителем 900х640х2087мм</t>
    </r>
  </si>
  <si>
    <t>Шкаф
вытяжной демонстрационный с защитным экраном, раковиной и смесителем 900х640х2087мм</t>
  </si>
  <si>
    <r>
      <rPr>
        <sz val="10"/>
        <color theme="1"/>
        <rFont val="Times New Roman"/>
      </rPr>
      <t>Шкаф вытяжной  900*640*2087 на металлическом основании, каркас которого нижняя часть изготовлен из лдсп, а ноги из квадратной трубы 30х30 толщина стенки не менее 1,5 мм. Верхняя часть шкафа выполнена из трубы прямоугольного сечения по задней части 60*30мм и 60*60мм по передней части, дополнительно из профиля F2 в которое вставляется оргстекло. Шкаф оборудован вытяжкой и предназначен для проведения опытов с более летучими веществами. Имеется 2 розетки и раковина 300*150мм</t>
    </r>
  </si>
  <si>
    <r>
      <rPr>
        <sz val="10"/>
        <color rgb="FF000000"/>
        <rFont val="Times New Roman"/>
      </rPr>
      <t xml:space="preserve">521-301-1801-0003 - Шкаф
</t>
    </r>
    <r>
      <rPr>
        <sz val="10"/>
        <color rgb="FF000000"/>
        <rFont val="Times New Roman"/>
      </rPr>
      <t>вытяжной демонстрационный с защитным экраном, раковиной и смесителем 1200х700х2200мм</t>
    </r>
  </si>
  <si>
    <t>Шкаф
вытяжной демонстрационный с защитным экраном, раковиной и смесителем 1200х700х2200мм</t>
  </si>
  <si>
    <r>
      <rPr>
        <sz val="10"/>
        <color rgb="FF000000"/>
        <rFont val="Times New Roman"/>
      </rPr>
      <t xml:space="preserve">Каркас шкафа изготовлен из стали с покрытием. Рабочая зона со столешницей выполнена из керамогранита. Она снабжена двухуровневой вытяжкой, подъемным экраном из триплекса, светодиодным светильником. Установлена на опорную тумбу с дверцами и вытяжкой. Стеклянный экран фиксируется в любом положении от «полностью закрыт» до «полностью открыт». В столешницу допускается встраивание раковины с кранами.
</t>
    </r>
    <r>
      <rPr>
        <sz val="10"/>
        <color rgb="FF000000"/>
        <rFont val="Times New Roman"/>
      </rPr>
      <t xml:space="preserve">Наружная и внутренняя поверхности шкафа окрашены порошковой, эпоксиполиэфирной краской. Подъемный защитный экран покрыт противоударной пленкой и фиксируется на любой высоте. Комплектация: Светильник размещен вне зоны воздействия агрессивных сред.
</t>
    </r>
    <r>
      <rPr>
        <sz val="10"/>
        <color rgb="FF000000"/>
        <rFont val="Times New Roman"/>
      </rPr>
      <t xml:space="preserve">Электророзетки 16А 250В (3шт); Выключатель освещения 10А, 250В;
</t>
    </r>
    <r>
      <rPr>
        <sz val="10"/>
        <color rgb="FF000000"/>
        <rFont val="Times New Roman"/>
      </rPr>
      <t xml:space="preserve">Дифференциальный автомат, двухполюсный 16А 250В; Патрубок для подключения к системе вентиляции Ø250мм; Тумбы в нижней части шкафа (полки, двери).
</t>
    </r>
    <r>
      <rPr>
        <sz val="10"/>
        <color rgb="FF000000"/>
        <rFont val="Times New Roman"/>
      </rPr>
      <t>Кран для подачи воды в рабочей зоне; Сливная полипропиленовая чаша не менее 120*100мм</t>
    </r>
  </si>
  <si>
    <r>
      <rPr>
        <sz val="10"/>
        <color rgb="FF000000"/>
        <rFont val="Times New Roman"/>
      </rPr>
      <t xml:space="preserve">521-301-1801-0004 - Шкаф
</t>
    </r>
    <r>
      <rPr>
        <sz val="10"/>
        <color rgb="FF000000"/>
        <rFont val="Times New Roman"/>
      </rPr>
      <t>вытяжной демонстрационный с защитным экраном, раковиной и смесителем 1200х600х2200мм</t>
    </r>
  </si>
  <si>
    <t>Шкаф
вытяжной демонстрационный с защитным экраном, раковиной и смесителем 1200х600х2200мм</t>
  </si>
  <si>
    <r>
      <rPr>
        <sz val="10"/>
        <color rgb="FF000000"/>
        <rFont val="Times New Roman"/>
      </rPr>
      <t xml:space="preserve">Шкаф вытяжной демонстрационный с системой вентиляции, размеры: 1200х600х2000мм. Корпус металлический, шкаф двухсекционный.
</t>
    </r>
    <r>
      <rPr>
        <sz val="10"/>
        <color rgb="FF000000"/>
        <rFont val="Times New Roman"/>
      </rPr>
      <t xml:space="preserve">Фасадная часть с дверцей открываются вертикально и фиксируются в трех положениях с помощью кнопочных фиксаторов. Потолок и нижний отсек изготовлены из ЛДСП толщиной 16мм и имеет вытяжной вентилятор.
</t>
    </r>
    <r>
      <rPr>
        <sz val="10"/>
        <color rgb="FF000000"/>
        <rFont val="Times New Roman"/>
      </rPr>
      <t>Столешница толщиной 22 мм с химически термоустойчивым пластиковым покрытием толщиной 0,6мм, цвет белый. Кромка столешницы изготовлена из ПВХ толщиной 2мм.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смеситель лабораторный – 1 шт, полипропиленовая раковина лабораторная – 1 шт, сифон канализационный бытовой – 1 шт, вентилятор вытяжной электрический – 1 шт, розетка  IP56 с защитной шторкой - 2шт</t>
    </r>
  </si>
  <si>
    <r>
      <rPr>
        <sz val="10"/>
        <color rgb="FF000000"/>
        <rFont val="Times New Roman"/>
      </rPr>
      <t xml:space="preserve">521-301-1801-0005 - Шкаф
</t>
    </r>
    <r>
      <rPr>
        <sz val="10"/>
        <color rgb="FF000000"/>
        <rFont val="Times New Roman"/>
      </rPr>
      <t>вытяжной демонстрационный с защитным экраном, раковиной и смесителем 1200х600х2000мм</t>
    </r>
  </si>
  <si>
    <t>Шкаф
вытяжной демонстрационный с защитным экраном, раковиной и смесителем 1200х600х2000мм</t>
  </si>
  <si>
    <r>
      <rPr>
        <sz val="10"/>
        <color rgb="FF000000"/>
        <rFont val="Times New Roman"/>
      </rPr>
      <t xml:space="preserve">Несущая часть состоит из ЛДСП 16мм. Фасадная часть со стеклом открываются горизонтально и фиксируются в двух положениях с помощью кнопочных фиксаторов. Потолок и нижний отсек изготовлены из ЛДСП белого цвета толщиной 16 мм и имеет вытяжной вентилятор. Столешница толщиной 22 мм из химически-термоустойчивого пластикового покрытия толщиной 0,6 мм, цвет белый. Кромка столешницы изготовлена из ПВХ толщиной 2 мм. На краю столешницы вмонтированы раковина и кран.
</t>
    </r>
    <r>
      <rPr>
        <sz val="10"/>
        <color rgb="FF000000"/>
        <rFont val="Times New Roman"/>
      </rPr>
      <t xml:space="preserve">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кран излива – 1 шт, раковина лабораторная – 1 шт, сифон канализационный бытовой – 1шт, вентилятор
</t>
    </r>
    <r>
      <rPr>
        <sz val="10"/>
        <color rgb="FF000000"/>
        <rFont val="Times New Roman"/>
      </rPr>
      <t>вытяжной электрический – 1 шт. Розетка двойная 220в</t>
    </r>
  </si>
  <si>
    <r>
      <rPr>
        <sz val="10"/>
        <color rgb="FF000000"/>
        <rFont val="Times New Roman"/>
      </rPr>
      <t xml:space="preserve">521-301-1801-0006 - Шкаф
</t>
    </r>
    <r>
      <rPr>
        <sz val="10"/>
        <color rgb="FF000000"/>
        <rFont val="Times New Roman"/>
      </rPr>
      <t>вытяжной демонстрационный с защитным экраном и раковиной, размер 1100х600х2400мм</t>
    </r>
  </si>
  <si>
    <t>Шкаф
вытяжной демонстрационный с защитным экраном и раковиной, размер 1100х600х2400мм</t>
  </si>
  <si>
    <r>
      <rPr>
        <sz val="10"/>
        <color theme="1"/>
        <rFont val="Times New Roman"/>
      </rPr>
      <t>Материал: ЛДСП 16 мм, столешница постформинг 25 мм. В верхней части за остеклением столешница с мойкой (диаметром 14 см, глубиной до сливного отверстия 12 см)  и лабораторным краном. В нижней части - вставная полка за двумя глухими дверями. Кромки деталей облицованы полимерным кромочным материалом (ПВХ), толщиной 1,5 мм. Имеется раковина и лабораторный кран. Фурнитура: стяжка типа BLUM, навес типа BLUM, ручки</t>
    </r>
  </si>
  <si>
    <r>
      <rPr>
        <sz val="10"/>
        <color rgb="FF000000"/>
        <rFont val="Times New Roman"/>
      </rPr>
      <t xml:space="preserve">521-301-1801-0007 - Шкаф
</t>
    </r>
    <r>
      <rPr>
        <sz val="10"/>
        <color rgb="FF000000"/>
        <rFont val="Times New Roman"/>
      </rPr>
      <t>вытяжной металлический демонстрационный с защитным экраном, раковиной и смесителем 1500х850х2350мм</t>
    </r>
  </si>
  <si>
    <t>Шкаф
вытяжной металлический демонстрационный с защитным экраном, раковиной и смесителем 1500х850х2350мм</t>
  </si>
  <si>
    <r>
      <rPr>
        <sz val="10"/>
        <color rgb="FF000000"/>
        <rFont val="Times New Roman"/>
      </rPr>
      <t xml:space="preserve">Лабораторный шкаф имеет разборную конструкцию, состоящую из верхней части - вытяжной камеры и нижней части - шкафа с двумя отделениями. Шкаф: основой изделия является сборно-разборный металлический каркас, окрашенный порошковой краской RAL-7035. Вытяжка воздуха осуществляется из верхней и средней части камеры, чтобы удалить из рабочей зоны газ и пары. Внутренний каркас изготовлен из кислостойкого HPL. Столешница выполнена из монолитного химически стойкого материала (HPL), устойчивого к сильным ударам, кислотам и щелочам.
</t>
    </r>
    <r>
      <rPr>
        <sz val="10"/>
        <color rgb="FF000000"/>
        <rFont val="Times New Roman"/>
      </rPr>
      <t xml:space="preserve">Имеется встроенная шести зонная вентиляция в рабочем пространстве шкафа. За циркуляцию воздуха отвечает осевой вентилятор мощностью 40 Вт, диаметром 160 мм, напряжением 220 В, скоростью вращения 1450 об/мин и уровнем шума 30 дБ. Брызгозащищенные электророзетки (2 шт.) с заземлением. Также имеется автоматическое устройство аварийного отключения питания. Светодиодный светильник 30 Вт размещен на верхней панели вытяжной камеры над рабочей зоной. Экран изготовлен из закаленного стекла толщиной 5 мм и алюминиевой рамы. Механизм подъема расположен вне рабочей зоны. При полностью открытом рабочем пространстве экраны не выходят за габариты вытяжного шкафа.
</t>
    </r>
    <r>
      <rPr>
        <sz val="10"/>
        <color rgb="FF000000"/>
        <rFont val="Times New Roman"/>
      </rPr>
      <t xml:space="preserve">Подъемный механизм обеспечивает легкое перемещение и надежное фиксирование экрана на любой заданной высоте. В комплектацию входят мойка, стойкая к кислотам, из PP материала (1 шт.) и лабораторный медный
</t>
    </r>
    <r>
      <rPr>
        <sz val="10"/>
        <color rgb="FF000000"/>
        <rFont val="Times New Roman"/>
      </rPr>
      <t>кран (1 шт.).</t>
    </r>
  </si>
  <si>
    <r>
      <rPr>
        <sz val="10"/>
        <color theme="1"/>
        <rFont val="Times New Roman"/>
      </rPr>
      <t>521-301-1802 - Тележка пластиковая с 4 лотками</t>
    </r>
  </si>
  <si>
    <r>
      <rPr>
        <sz val="10"/>
        <color theme="1"/>
        <rFont val="Times New Roman"/>
      </rPr>
      <t>Тележка пластиковая с 4 лотками изготовлена из пластика. Передвижная, оснащена 4 колесиками.  Размеры 430х354х645 мм. В комплекте 4 пластиковых лотка яркого цвета разной высоты: размер лотка 312 х 427 х 75 мм - 2 штуки, размер лотка 312 х 427 х 150 мм – 2 штуки. Лотки должны быть изготовлены из прочного полипропилена.</t>
    </r>
  </si>
  <si>
    <r>
      <rPr>
        <sz val="10"/>
        <color rgb="FF000000"/>
        <rFont val="Times New Roman"/>
      </rPr>
      <t xml:space="preserve">521-301-1803-0001 - Шкаф для
</t>
    </r>
    <r>
      <rPr>
        <sz val="10"/>
        <color rgb="FF000000"/>
        <rFont val="Times New Roman"/>
      </rPr>
      <t>химических реактивов 800*500*1800</t>
    </r>
  </si>
  <si>
    <t>Шкаф для
химических реактивов 800*500*1800</t>
  </si>
  <si>
    <r>
      <rPr>
        <sz val="10"/>
        <color theme="1"/>
        <rFont val="Times New Roman"/>
      </rPr>
      <t>Шкаф металлический окрашен полимерной краской. Полки не съемные. Дверцы двустворчатые.  Правые двери(верхние и нижние) оборудованы замком, без ручек. Левые двери – шпингалетом. Размеры: 800х500х1800 мм. К верхнему горизонту крепится патрубок, высота патрубка 100мм.</t>
    </r>
  </si>
  <si>
    <r>
      <rPr>
        <sz val="10"/>
        <color rgb="FF000000"/>
        <rFont val="Times New Roman"/>
      </rPr>
      <t xml:space="preserve">521-301-1803-0002 - Шкаф для
</t>
    </r>
    <r>
      <rPr>
        <sz val="10"/>
        <color rgb="FF000000"/>
        <rFont val="Times New Roman"/>
      </rPr>
      <t>химических реактивов 900х420х1920</t>
    </r>
  </si>
  <si>
    <t>Шкаф для
химических реактивов 900х420х1920</t>
  </si>
  <si>
    <r>
      <rPr>
        <sz val="10"/>
        <color theme="1"/>
        <rFont val="Times New Roman"/>
      </rPr>
      <t>Конструкция изготовленная из листовой стали. Шкаф оборудован внизу – двумя металлическими дверями, регулируемой полкой внутри; вверху – двумя металлическими дверями, двумя регулируемыми полками внутри; вверху – химически стойким патрубком диаметром 100 мм для подключения к центральной вытяжной системе. Четыре распашные двери оборудованы замками.  Размеры 900х420х1970мм. Замок+ключ</t>
    </r>
  </si>
  <si>
    <r>
      <rPr>
        <sz val="10"/>
        <color rgb="FF000000"/>
        <rFont val="Times New Roman"/>
      </rPr>
      <t xml:space="preserve">521-301-1803-0003 - Шкаф для
</t>
    </r>
    <r>
      <rPr>
        <sz val="10"/>
        <color rgb="FF000000"/>
        <rFont val="Times New Roman"/>
      </rPr>
      <t>химических реактивов пожарозащищенный 500х500х900</t>
    </r>
  </si>
  <si>
    <t>Шкаф для
химических реактивов пожарозащищенный 500х500х900</t>
  </si>
  <si>
    <r>
      <rPr>
        <sz val="10"/>
        <color theme="1"/>
        <rFont val="Times New Roman"/>
      </rPr>
      <t>Шкаф для хранения реактивов (пожарозащищенный). Размеры 500х500х900мм. Огнестойкость не менее 60 минут, патрубок для ЦВС. Разделен на два закрытых отдела. В верхнем имеется перегородка, с каждой стороны по 2 полки. В нижнем имеется перегородка, с каждой стороны по 1 полке. По середине этих отделов имеются 2 выдвижные полки.</t>
    </r>
  </si>
  <si>
    <r>
      <rPr>
        <sz val="10"/>
        <color rgb="FF000000"/>
        <rFont val="Times New Roman"/>
      </rPr>
      <t xml:space="preserve">521-301-1803-0004 - Шкаф для
</t>
    </r>
    <r>
      <rPr>
        <sz val="10"/>
        <color rgb="FF000000"/>
        <rFont val="Times New Roman"/>
      </rPr>
      <t>химических реактивов 800х400х1750мм</t>
    </r>
  </si>
  <si>
    <t>Шкаф для
химических реактивов 800х400х1750мм</t>
  </si>
  <si>
    <r>
      <rPr>
        <sz val="10"/>
        <color rgb="FF000000"/>
        <rFont val="Times New Roman"/>
      </rPr>
      <t xml:space="preserve">Шкаф изготовлен из стали, толщина корпуса 0,6мм, толщина двери 0,7мм, комплектуются ключевыми замками, замок устанавливается на верхнюю и на нижнюю дверь. Ручка пластиковая. Максимальная нагрузка на металлическую полку – 30 кг. Общее количество полок-5шт. Полки имеют перфорацию для вентилирования. Сверху крепиться патрубок
</t>
    </r>
    <r>
      <rPr>
        <sz val="10"/>
        <color rgb="FF000000"/>
        <rFont val="Times New Roman"/>
      </rPr>
      <t>диаметром-100 мм (металлический). Нижняя часть задней стенки оснащена вентиляционными отверстиями. Ножки Н100мм.</t>
    </r>
  </si>
  <si>
    <r>
      <rPr>
        <sz val="10"/>
        <color rgb="FF000000"/>
        <rFont val="Times New Roman"/>
      </rPr>
      <t xml:space="preserve">521-301-1805-0001 - Стол
</t>
    </r>
    <r>
      <rPr>
        <sz val="10"/>
        <color rgb="FF000000"/>
        <rFont val="Times New Roman"/>
      </rPr>
      <t>демонстрационный с раковиной (составной из двух столов) 2400*750*750мм</t>
    </r>
  </si>
  <si>
    <t>Стол
демонстрационный с раковиной (составной из двух столов) 2400*750*750мм</t>
  </si>
  <si>
    <r>
      <rPr>
        <sz val="10"/>
        <color theme="1"/>
        <rFont val="Times New Roman"/>
      </rPr>
      <t>Стол демонстрационный состоит из двух частей с бортом, однотумбовый в каждой части. Каркас цельносварная рамочная конструкция, окрашеная стойкой порошковой краской. Столешница изготовлена из ДСП с декоративно-пластиковым покрытием,тумбы и стенки – надстройки изготовлены из ЛДСП 16мм. Под крышкой на лицевой панели закреплена электрическая розетка на 220V, и 42V. В комплекте стола имеются раковина лабораторная с краном, сифон канализационный. Размеры: 2400х750х750мм</t>
    </r>
  </si>
  <si>
    <r>
      <rPr>
        <sz val="10"/>
        <color rgb="FF000000"/>
        <rFont val="Times New Roman"/>
      </rPr>
      <t xml:space="preserve">521-301-1805-0002 - Стол
</t>
    </r>
    <r>
      <rPr>
        <sz val="10"/>
        <color rgb="FF000000"/>
        <rFont val="Times New Roman"/>
      </rPr>
      <t xml:space="preserve">демонстрационный с раковиной 2800*600*900мм
</t>
    </r>
    <r>
      <rPr>
        <sz val="10"/>
        <color rgb="FF000000"/>
        <rFont val="Times New Roman"/>
      </rPr>
      <t>столешница-постформинг</t>
    </r>
  </si>
  <si>
    <t>Стол
демонстрационный с раковиной 2800*600*900мм
столешница-постформинг</t>
  </si>
  <si>
    <r>
      <rPr>
        <sz val="10"/>
        <color theme="1"/>
        <rFont val="Times New Roman"/>
      </rPr>
      <t>Стол демонстрационный имеет электрические розетки на 220V, и 42V. Стол-тумба с моечной раковиной. Каркас цельносварная рамочную конструкцию, окрашеная стойкой к химическим и механическим воздействиям порошковой краской. Столешница выполнена из постформинга28мм, ящики и стенки – надстройки – изготовлены из ламинированной ДСП 16мм . В комплекте имеются лабораторная раковина с краном, сифон канализационный. Размеры: 2800х600х900мм</t>
    </r>
  </si>
  <si>
    <r>
      <rPr>
        <sz val="10"/>
        <color rgb="FF000000"/>
        <rFont val="Times New Roman"/>
      </rPr>
      <t xml:space="preserve">521-301-1805-0003 - Стол
</t>
    </r>
    <r>
      <rPr>
        <sz val="10"/>
        <color rgb="FF000000"/>
        <rFont val="Times New Roman"/>
      </rPr>
      <t xml:space="preserve">демонстрационный с раковиной 2800*700*900мм
</t>
    </r>
    <r>
      <rPr>
        <sz val="10"/>
        <color rgb="FF000000"/>
        <rFont val="Times New Roman"/>
      </rPr>
      <t>столешница-керамо-плитка</t>
    </r>
  </si>
  <si>
    <t>Стол
демонстрационный с раковиной 2800*700*900мм
столешница-керамо-плитка</t>
  </si>
  <si>
    <r>
      <rPr>
        <sz val="10"/>
        <color theme="1"/>
        <rFont val="Times New Roman"/>
      </rPr>
      <t>Стол демонстрационный состоит из трех частей с бортом, тумбой. Столешница- шлифованное ДСП 16мм, с керамической плиткой. На лицевой панели закреплена электрическая розетка на 220V, и 42V. Тумба с моечной раковиной. Каркас цельносварная рамочную конструкцию, окрашеная стойкой к химическим и механическим воздействиям порошковой краской. Ящики и стенки – надстройки – изготовлены из ЛДСП 16мм . В комплекте имеются раковина с краном, сифон канализационный. Размеры: 2800х700х900мм</t>
    </r>
  </si>
  <si>
    <r>
      <rPr>
        <sz val="10"/>
        <color rgb="FF000000"/>
        <rFont val="Times New Roman"/>
      </rPr>
      <t xml:space="preserve">521-301-1805-0004 - Стол
</t>
    </r>
    <r>
      <rPr>
        <sz val="10"/>
        <color rgb="FF000000"/>
        <rFont val="Times New Roman"/>
      </rPr>
      <t>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r>
  </si>
  <si>
    <t>Стол
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</si>
  <si>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r>
      <rPr>
        <sz val="10"/>
        <color rgb="FF000000"/>
        <rFont val="Times New Roman"/>
      </rPr>
      <t xml:space="preserve">Рабочая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В рабочую поверхность стола вмонтирована раковина. На сервисной панели стола расположены автомат отключения питания УЗО 16 А и 4 электророзетки 230V, система индивидуального включения/отключения подачи напряжения к столам учителя и учащихся.
</t>
    </r>
    <r>
      <rPr>
        <sz val="10"/>
        <color rgb="FF000000"/>
        <rFont val="Times New Roman"/>
      </rPr>
      <t xml:space="preserve">Рабочая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RAL 7040. Инженерные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RAL 7040. Размеры 2000 мм
</t>
    </r>
    <r>
      <rPr>
        <sz val="10"/>
        <color rgb="FF000000"/>
        <rFont val="Times New Roman"/>
      </rPr>
      <t>х 750 мм.</t>
    </r>
  </si>
  <si>
    <r>
      <rPr>
        <sz val="10"/>
        <color rgb="FF000000"/>
        <rFont val="Times New Roman"/>
      </rPr>
      <t xml:space="preserve">521-301-1805-0005 - Стол
</t>
    </r>
    <r>
      <rPr>
        <sz val="10"/>
        <color rgb="FF000000"/>
        <rFont val="Times New Roman"/>
      </rPr>
      <t xml:space="preserve">демонстрационный лабораторный с раковиной и  встроенными тумбами.
</t>
    </r>
    <r>
      <rPr>
        <sz val="10"/>
        <color rgb="FF000000"/>
        <rFont val="Times New Roman"/>
      </rPr>
      <t>Столешница из химического стойкого пластика 16мм, основание металлокаркас, размер 1800х750х900мм.</t>
    </r>
  </si>
  <si>
    <t>Стол
демонстрационный лабораторный с раковиной и  встроенными тумбами.
Столешница из химического стойкого пластика 16мм, основание металлокаркас, размер 1800х750х900мм.</t>
  </si>
  <si>
    <r>
      <rPr>
        <sz val="10"/>
        <color rgb="FF000000"/>
        <rFont val="Times New Roman"/>
      </rPr>
      <t xml:space="preserve">Наличие крана и раковины, без розеток. Стол на 2-х боковых опорах, соединенных между собой царгой. Стол на 2-х боковых опорах, соединенных между собой царгой.  Раковина из полипропилена, размером 300х150мм. Столешница из химического стойкого пластика 16мм, должна быть устойчива к различным воздействиям (нагрев, кислоты, растворители и пр.). Торцы закатаны кромочным материалом ПВХ не менее 1,0 мм.
</t>
    </r>
    <r>
      <rPr>
        <sz val="10"/>
        <color rgb="FF000000"/>
        <rFont val="Times New Roman"/>
      </rPr>
      <t xml:space="preserve">Корпус состоит из металокаркаса, окрашенного в полимерно-порошковую краску. Столешница должна быть антивандальной и устойчивой к
</t>
    </r>
    <r>
      <rPr>
        <sz val="10"/>
        <color rgb="FF000000"/>
        <rFont val="Times New Roman"/>
      </rPr>
      <t>царапинам и повреждениями.</t>
    </r>
  </si>
  <si>
    <r>
      <rPr>
        <sz val="10"/>
        <color rgb="FF000000"/>
        <rFont val="Times New Roman"/>
      </rPr>
      <t xml:space="preserve">521-301-1805-0006 - Стол
</t>
    </r>
    <r>
      <rPr>
        <sz val="10"/>
        <color rgb="FF000000"/>
        <rFont val="Times New Roman"/>
      </rPr>
      <t>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r>
  </si>
  <si>
    <t>Стол
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</si>
  <si>
    <r>
      <rPr>
        <sz val="10"/>
        <color theme="1"/>
        <rFont val="Times New Roman"/>
      </rPr>
      <t>Каркас металлический. Размер 1800х750х900мм. Столешница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Кромка ПВХ 2мм. Боковые опоры: глухая, передняя панель изготовлена из квадратного перфорационного листа, толщиной 1,2мм, ящики и дверцы изготовлены из ЛДСП. Торцы закатаны кромкой ПВХ 2мм,  к столу подведены все коммуникации, розетки IP56 с защитной шторкой, с краном и раковиной.</t>
    </r>
  </si>
  <si>
    <r>
      <rPr>
        <sz val="10"/>
        <color rgb="FF000000"/>
        <rFont val="Times New Roman"/>
      </rPr>
      <t xml:space="preserve">521-301-1805-0007 - Стол
</t>
    </r>
    <r>
      <rPr>
        <sz val="10"/>
        <color rgb="FF000000"/>
        <rFont val="Times New Roman"/>
      </rPr>
      <t>демонстрационный с раковиной, розетками, размер 2000*750*900мм</t>
    </r>
  </si>
  <si>
    <t>Стол
демонстрационный с раковиной, розетками, размер 2000*750*900мм</t>
  </si>
  <si>
    <r>
      <rPr>
        <sz val="10"/>
        <color rgb="FF000000"/>
        <rFont val="Times New Roman"/>
      </rPr>
      <t xml:space="preserve">Основание металлический каркас, выполнен из трубы квадратного сечения. Ножки с регулировкой высоты. На лицевой панели расположены розетки ip56 с защитой в количестве 6 штук.
</t>
    </r>
    <r>
      <rPr>
        <sz val="10"/>
        <color rgb="FF000000"/>
        <rFont val="Times New Roman"/>
      </rPr>
      <t>Мойка из полипропилена, квадратная. Кран металический. Габариты 2000*750*900мм. Стол имеет 3 выдвижные полки, 2 встроенные тумбы размером 656х639мм с двумя ящиками под формуляры. Стол выполнен из ЛДСП 16 мм, торцы обрамлены кантом ПВХ 1мм. Столешница из ЛДСП 16мм.</t>
    </r>
  </si>
  <si>
    <r>
      <rPr>
        <sz val="10"/>
        <color rgb="FF000000"/>
        <rFont val="Times New Roman"/>
      </rPr>
      <t xml:space="preserve">521-301-1805-0008 - Стол
</t>
    </r>
    <r>
      <rPr>
        <sz val="10"/>
        <color rgb="FF000000"/>
        <rFont val="Times New Roman"/>
      </rPr>
      <t>демонстрационный с раковиной и письменным столом в комплекте, столешница постформинг 25мм, размер 2400х600х900(750) мм</t>
    </r>
  </si>
  <si>
    <t>Стол
демонстрационный с раковиной и письменным столом в комплекте, столешница постформинг 25мм, размер 2400х600х900(750) мм</t>
  </si>
  <si>
    <r>
      <rPr>
        <sz val="10"/>
        <color theme="1"/>
        <rFont val="Times New Roman"/>
      </rPr>
      <t>Стол состоит из двух частей, ЛДСП толщиной 16 мм, столешница выполнена из химически стойкой плиты постформинг 25 мм. В левой части стола оборудована тумба стационарная, за глухим фасадом - 1 вставная полка. С левой стороны лабораторный кран с раковиной. Раковина из химически стойкого пластика, диаметром 140мм, глубиной (до сливного отверстия) 120мм. В правой части стола оборудована стационарная тумба с четырьмя выдвижными ящиками. Фурнитура: конфирматы, стяжка BLUM, полкодержатель металлический (без пластиковых элементов), роликовые направляющие, ручки, навес мебельный BLUM.</t>
    </r>
  </si>
  <si>
    <r>
      <rPr>
        <sz val="10"/>
        <color rgb="FF000000"/>
        <rFont val="Times New Roman"/>
      </rPr>
      <t xml:space="preserve">521-301-1805-0010 - Стол
</t>
    </r>
    <r>
      <rPr>
        <sz val="10"/>
        <color rgb="FF000000"/>
        <rFont val="Times New Roman"/>
      </rPr>
      <t xml:space="preserve">демонстрационный с раковиной, размеры 1600х750х900 мм.
</t>
    </r>
    <r>
      <rPr>
        <sz val="10"/>
        <color rgb="FF000000"/>
        <rFont val="Times New Roman"/>
      </rPr>
      <t>Столешница из ЛДСП 22 мм, покрытая пластиком, кромка ПВХ, раковина полипропиленовая размером 300х300мм</t>
    </r>
  </si>
  <si>
    <t>Стол
демонстрационный с раковиной, размеры 1600х750х900 мм.
Столешница из ЛДСП 22 мм, покрытая пластиком, кромка ПВХ, раковина полипропиленовая размером 300х300мм</t>
  </si>
  <si>
    <r>
      <rPr>
        <sz val="10"/>
        <color rgb="FF000000"/>
        <rFont val="Times New Roman"/>
      </rPr>
      <t xml:space="preserve">Материал столешницы должен быть ЛДСП толщиной не менее 22 мм, покрытая пластиком толщиной не менее 0,5 мм. Кромка должна быть из ПВХ не менее 2 мм. На столешнице должен располагаться вырез для установки мойки полипропиленовой с левой стороны, размером 300х300.
</t>
    </r>
    <r>
      <rPr>
        <sz val="10"/>
        <color rgb="FF000000"/>
        <rFont val="Times New Roman"/>
      </rPr>
      <t xml:space="preserve">Стол состоит из двух боковых опор, глухой передней панели, крышки и дна. Внутренние полки должны быть изготовлены из ЛДСП толщиной не менее 16мм. Дверцы должны быть изготовлены из цветного ЛДСП толщиной не менее 16мм. Внутри стола должна быть полка и вертикальная перегородки на всю высоту. Внутреннее пространство стола должно быть поделено на 2 отдела, один из которых закрыт глухой дверью для скрытия коммуникаций. Дверцы должны быть раздвижные на направляющих.
</t>
    </r>
    <r>
      <rPr>
        <sz val="10"/>
        <color rgb="FF000000"/>
        <rFont val="Times New Roman"/>
      </rPr>
      <t xml:space="preserve">Дверцы должны быть с ручками. Мебельные ножки должны регулироваться
</t>
    </r>
    <r>
      <rPr>
        <sz val="10"/>
        <color rgb="FF000000"/>
        <rFont val="Times New Roman"/>
      </rPr>
      <t>по высоте для компенсации неровностей пола.</t>
    </r>
  </si>
  <si>
    <r>
      <rPr>
        <sz val="10"/>
        <color rgb="FF000000"/>
        <rFont val="Times New Roman"/>
      </rPr>
      <t xml:space="preserve">521-301-1806-0001 - Шкаф для
</t>
    </r>
    <r>
      <rPr>
        <sz val="10"/>
        <color rgb="FF000000"/>
        <rFont val="Times New Roman"/>
      </rPr>
      <t xml:space="preserve">хранения методических материалов. Размеры 900*600*1970мм. Верхний топ из ЛДСП 22 мм, боковые и фасадные из ЛДСП 18мм, полки съёмные из листового металла.
</t>
    </r>
    <r>
      <rPr>
        <sz val="10"/>
        <color rgb="FF000000"/>
        <rFont val="Times New Roman"/>
      </rPr>
      <t xml:space="preserve">Основание металлический каркас. Снизу глухие двери с замком и ключом, сверху стеклянные двери в
</t>
    </r>
    <r>
      <rPr>
        <sz val="10"/>
        <color rgb="FF000000"/>
        <rFont val="Times New Roman"/>
      </rPr>
      <t>алюминиевом профиле, стекло бесцветное</t>
    </r>
  </si>
  <si>
    <t>Шкаф для
хранения методических материалов. Размеры 900*600*1970мм. Верхний топ из ЛДСП 22 мм, боковые и фасадные из ЛДСП 18мм, полки съёмные из листового металла.
Основание металлический каркас. Снизу глухие двери с замком и ключом, сверху стеклянные двери в
алюминиевом профиле, стекло бесцветное</t>
  </si>
  <si>
    <r>
      <rPr>
        <sz val="10"/>
        <color rgb="FF000000"/>
        <rFont val="Times New Roman"/>
      </rPr>
      <t xml:space="preserve">Шкаф для хранения методических материалов. Размеры 900*600*1970мм. Верхний топ из ЛДСП 22 мм. Боковые и фасадные части из ЛДСП 18 мм, полки съёмные из листового металла и покрашены в
</t>
    </r>
    <r>
      <rPr>
        <sz val="10"/>
        <color rgb="FF000000"/>
        <rFont val="Times New Roman"/>
      </rPr>
      <t>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стеклянные двери в алюминиевом профиле, стекло бесцветное, 2 полками внутри.</t>
    </r>
  </si>
  <si>
    <r>
      <rPr>
        <sz val="10"/>
        <color rgb="FF000000"/>
        <rFont val="Times New Roman"/>
      </rPr>
      <t xml:space="preserve">521-301-1806-0002 - Шкаф для
</t>
    </r>
    <r>
      <rPr>
        <sz val="10"/>
        <color rgb="FF000000"/>
        <rFont val="Times New Roman"/>
      </rPr>
      <t xml:space="preserve">хранения наборов, лабораторной посуды. Размеры 900*600*1970мм.
</t>
    </r>
    <r>
      <rPr>
        <sz val="10"/>
        <color rgb="FF000000"/>
        <rFont val="Times New Roman"/>
      </rPr>
      <t xml:space="preserve">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t>
    </r>
    <r>
      <rPr>
        <sz val="10"/>
        <color rgb="FF000000"/>
        <rFont val="Times New Roman"/>
      </rPr>
      <t>Все двери имеют замок+ключ</t>
    </r>
  </si>
  <si>
    <t>Шкаф для
хранения наборов, лабораторной посуды. Размеры 900*600*1970мм.
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Все двери имеют замок+ключ</t>
  </si>
  <si>
    <r>
      <rPr>
        <sz val="10"/>
        <color theme="1"/>
        <rFont val="Times New Roman"/>
      </rPr>
      <t>Шкаф для хранения наборов, лабораторной посуды. Размеры 900*600*1970мм. Верхний топ из ЛДСП 22 мм. Боковые и фасадные части из ЛДСП 18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t>
    </r>
  </si>
  <si>
    <r>
      <rPr>
        <sz val="10"/>
        <color rgb="FF000000"/>
        <rFont val="Times New Roman"/>
      </rPr>
      <t xml:space="preserve">521-301-1806-0003 - Шкаф для
</t>
    </r>
    <r>
      <rPr>
        <sz val="10"/>
        <color rgb="FF000000"/>
        <rFont val="Times New Roman"/>
      </rPr>
      <t>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r>
  </si>
  <si>
    <t>Шкаф для
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</si>
  <si>
    <r>
      <rPr>
        <sz val="10"/>
        <color rgb="FF000000"/>
        <rFont val="Times New Roman"/>
      </rPr>
      <t xml:space="preserve">Верхний топ из ЛДСП 16 мм. Боковые и фасадные части из ЛДСП 16 мм, полки съемные из листового металла и покрашены в
</t>
    </r>
    <r>
      <rPr>
        <sz val="10"/>
        <color rgb="FF000000"/>
        <rFont val="Times New Roman"/>
      </rPr>
      <t>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 Размеры 900х600х1970мм.</t>
    </r>
  </si>
  <si>
    <r>
      <rPr>
        <sz val="10"/>
        <color rgb="FF000000"/>
        <rFont val="Times New Roman"/>
      </rPr>
      <t xml:space="preserve">521-301-1806-0004 - Система для хранения лотков мобильная, 19 лотков для хранения из
</t>
    </r>
    <r>
      <rPr>
        <sz val="10"/>
        <color rgb="FF000000"/>
        <rFont val="Times New Roman"/>
      </rPr>
      <t>АБС-пластика, размерами 312x427х75 мм, столешница ЛДСП 22 мм, кромка ПВХ 2 мм, размеры 1190х580х850 мм</t>
    </r>
  </si>
  <si>
    <t>Система для хранения лотков мобильная, 19 лотков для хранения из
АБС-пластика, размерами 312x427х75 мм, столешница ЛДСП 22 мм, кромка ПВХ 2 мм, размеры 1190х580х850 мм</t>
  </si>
  <si>
    <r>
      <rPr>
        <sz val="10"/>
        <color rgb="FF000000"/>
        <rFont val="Times New Roman"/>
      </rPr>
      <t xml:space="preserve">Габаритные размеры столешницы должны быть, не менее 1190х580 мм. Высота верхнего края столешницы над уровнем пола должна быть 850 мм.
</t>
    </r>
    <r>
      <rPr>
        <sz val="10"/>
        <color rgb="FF000000"/>
        <rFont val="Times New Roman"/>
      </rPr>
      <t xml:space="preserve">Материал столешницы ЛДСП должен быть толщиной не менее 22мм.
</t>
    </r>
    <r>
      <rPr>
        <sz val="10"/>
        <color rgb="FF000000"/>
        <rFont val="Times New Roman"/>
      </rPr>
      <t>Кромка должна быть из ПВХ не менее 2мм. Каркас стола должен состоять из двух боковых опор, изготовленных из труб квадратного сечения 40х40, толщиной не менее 1,2 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В средней секции находится выдвижной ящик, высотой 156 мм, с эргономичным вырезом вместо ручки.</t>
    </r>
  </si>
  <si>
    <r>
      <rPr>
        <sz val="10"/>
        <color rgb="FF000000"/>
        <rFont val="Times New Roman"/>
      </rPr>
      <t xml:space="preserve">521-301-2101-0001 - Набор
</t>
    </r>
    <r>
      <rPr>
        <sz val="10"/>
        <color rgb="FF000000"/>
        <rFont val="Times New Roman"/>
      </rPr>
      <t>химической посуды и принадлежностей для лабораторных работ</t>
    </r>
  </si>
  <si>
    <t>Набор
химической посуды и принадлежностей для лабораторных работ</t>
  </si>
  <si>
    <r>
      <rPr>
        <sz val="10"/>
        <color rgb="FF000000"/>
        <rFont val="Times New Roman"/>
      </rPr>
      <t xml:space="preserve">В набор входят: Колба круглодонная, 50 мл
</t>
    </r>
    <r>
      <rPr>
        <sz val="10"/>
        <color rgb="FF000000"/>
        <rFont val="Times New Roman"/>
      </rPr>
      <t xml:space="preserve">Колба плоскодонная, 50 мл Колба коническая, 50 мл Колба коническая, 100 мл
</t>
    </r>
    <r>
      <rPr>
        <sz val="10"/>
        <color rgb="FF000000"/>
        <rFont val="Times New Roman"/>
      </rPr>
      <t xml:space="preserve">Стакан высокий с носиком и шкалой, 50 мл Стакан высокий со шкалой, 100 мл
</t>
    </r>
    <r>
      <rPr>
        <sz val="10"/>
        <color rgb="FF000000"/>
        <rFont val="Times New Roman"/>
      </rPr>
      <t xml:space="preserve">Мензурка коническая, 50 мл
</t>
    </r>
    <r>
      <rPr>
        <sz val="10"/>
        <color rgb="FF000000"/>
        <rFont val="Times New Roman"/>
      </rPr>
      <t xml:space="preserve">Цилиндр мерный с носиком на подставке,100 мл Ступка с пестиком, фарфор, d- 60 мм  Тигли низкие c крышкой, фарфор, 50 м
</t>
    </r>
    <r>
      <rPr>
        <sz val="10"/>
        <color rgb="FF000000"/>
        <rFont val="Times New Roman"/>
      </rPr>
      <t xml:space="preserve">Чашка выпарительная с носиком, фарфор, 50 мл Воронка 56-80
</t>
    </r>
    <r>
      <rPr>
        <sz val="10"/>
        <color rgb="FF000000"/>
        <rFont val="Times New Roman"/>
      </rPr>
      <t xml:space="preserve">Пробирка 12*100 Пробирка 15*150
</t>
    </r>
    <r>
      <rPr>
        <sz val="10"/>
        <color rgb="FF000000"/>
        <rFont val="Times New Roman"/>
      </rPr>
      <t xml:space="preserve">Трубка стеклянная, d- 5 мм, L-5 см Пробка резиновые с отверстием 14,5 м Спиртовка лабораторная, 150 мл
</t>
    </r>
    <r>
      <rPr>
        <sz val="10"/>
        <color rgb="FF000000"/>
        <rFont val="Times New Roman"/>
      </rPr>
      <t xml:space="preserve">Трубка У-образная
</t>
    </r>
    <r>
      <rPr>
        <sz val="10"/>
        <color rgb="FF000000"/>
        <rFont val="Times New Roman"/>
      </rPr>
      <t xml:space="preserve">Лоток для раздаточного материала Промывала, 250 мл
</t>
    </r>
    <r>
      <rPr>
        <sz val="10"/>
        <color rgb="FF000000"/>
        <rFont val="Times New Roman"/>
      </rPr>
      <t xml:space="preserve">Штатив для пробирок на 10 гнезд, d- 18 мм Зажим пробирочный
</t>
    </r>
    <r>
      <rPr>
        <sz val="10"/>
        <color rgb="FF000000"/>
        <rFont val="Times New Roman"/>
      </rPr>
      <t xml:space="preserve">Щипцы тигельные
</t>
    </r>
    <r>
      <rPr>
        <sz val="10"/>
        <color rgb="FF000000"/>
        <rFont val="Times New Roman"/>
      </rPr>
      <t xml:space="preserve">Пластины для капельного анализа, фарфор, 12 гнёзд Ложка-шпатель
</t>
    </r>
    <r>
      <rPr>
        <sz val="10"/>
        <color rgb="FF000000"/>
        <rFont val="Times New Roman"/>
      </rPr>
      <t>Палочка стеклянная, d- 6 мм, L-30 см Трубка резиновая  1 м Пипетка пластиковая 6</t>
    </r>
  </si>
  <si>
    <r>
      <rPr>
        <sz val="10"/>
        <color rgb="FF000000"/>
        <rFont val="Times New Roman"/>
      </rPr>
      <t xml:space="preserve">521-301-2101-0002 - Набор
</t>
    </r>
    <r>
      <rPr>
        <sz val="10"/>
        <color rgb="FF000000"/>
        <rFont val="Times New Roman"/>
      </rPr>
      <t>химической посуды и принадлежностей для кабинета физики</t>
    </r>
  </si>
  <si>
    <t>Набор
химической посуды и принадлежностей для кабинета физики</t>
  </si>
  <si>
    <r>
      <rPr>
        <sz val="10"/>
        <color rgb="FF000000"/>
        <rFont val="Times New Roman"/>
      </rPr>
      <t xml:space="preserve">Комплектность: 1 Воронка d 75-110 2 шт.,2 Колба коническая 250мл 2 шт.,3
</t>
    </r>
    <r>
      <rPr>
        <sz val="10"/>
        <color rgb="FF000000"/>
        <rFont val="Times New Roman"/>
      </rPr>
      <t>Колба плоскодонная 250 мл 2 шт.,4 Колба плоскодонная 500 мл 1 шт.,5 Стакан с меткой 50 мл 15 шт.,6 Стакан с делением 600 мл 2 шт.,7 Стакан с делением 250мл 15 шт.,8 Цилиндр измерительный, 250 мл 2 шт.,9 Цилиндр 50 мл 5 шт.,10 Чаша кристаллизационная 180 мм (термостойкое стекло) 1 шт.,11 Набор трубок (15-20 см, 5 шт.) 1шт.,12 Зажим винтовой 5 шт.,13 Зажим пружинный 2 шт.</t>
    </r>
  </si>
  <si>
    <r>
      <rPr>
        <sz val="10"/>
        <color theme="1"/>
        <rFont val="Times New Roman"/>
      </rPr>
      <t>521-301-2102-0002 - Аппарат для проведения химических реакций. Емкость колбы реактора 500 мл</t>
    </r>
  </si>
  <si>
    <r>
      <rPr>
        <sz val="10"/>
        <color theme="1"/>
        <rFont val="Times New Roman"/>
      </rPr>
      <t>Емкость колбы реактора 500 мл.</t>
    </r>
  </si>
  <si>
    <r>
      <rPr>
        <sz val="10"/>
        <color theme="1"/>
        <rFont val="Times New Roman"/>
      </rPr>
      <t>521-301-2104 - Колбонагреватель</t>
    </r>
  </si>
  <si>
    <r>
      <rPr>
        <sz val="10"/>
        <color rgb="FF000000"/>
        <rFont val="Times New Roman"/>
      </rPr>
      <t xml:space="preserve">Представляет собой устройство, предназначенное для нагрева различных растворов, смесей, проб и образцов в колбах в лабораторных условиях.
</t>
    </r>
    <r>
      <rPr>
        <sz val="10"/>
        <color rgb="FF000000"/>
        <rFont val="Times New Roman"/>
      </rPr>
      <t>Объем нагревательной колбы 250-1000 мл.</t>
    </r>
  </si>
  <si>
    <r>
      <rPr>
        <sz val="10"/>
        <color theme="1"/>
        <rFont val="Times New Roman"/>
      </rPr>
      <t>521-301-2105 - Набор ареометров (19 шт)</t>
    </r>
  </si>
  <si>
    <r>
      <rPr>
        <sz val="10"/>
        <color theme="1"/>
        <rFont val="Times New Roman"/>
      </rPr>
      <t>Предназначены для изучения устройства ареометра и измерения плотности жидкостей. Диапазон от 700 до 1840 кг/м3. В наборе 19 штук</t>
    </r>
  </si>
  <si>
    <r>
      <rPr>
        <sz val="10"/>
        <color theme="1"/>
        <rFont val="Times New Roman"/>
      </rPr>
      <t>521-301-2106-0001 - Нагреватель пробирок универсальный</t>
    </r>
  </si>
  <si>
    <r>
      <rPr>
        <sz val="10"/>
        <color theme="1"/>
        <rFont val="Times New Roman"/>
      </rPr>
      <t>Нагреватель пробирок. Должен обеспечивать нагрев не менее 5 см3 воды в пробирке от температуры 20 °С ± 5 °С до кипения.</t>
    </r>
  </si>
  <si>
    <r>
      <rPr>
        <sz val="10"/>
        <color theme="1"/>
        <rFont val="Times New Roman"/>
      </rPr>
      <t>521-301-2106-0002 - Нагреватель пробирок электрический</t>
    </r>
  </si>
  <si>
    <r>
      <rPr>
        <sz val="10"/>
        <color rgb="FF000000"/>
        <rFont val="Times New Roman"/>
      </rPr>
      <t xml:space="preserve">Предназначен для нагревания различных веществ в пробирках 14*120 (кроме горючих и легко воспламеняющихся жидкостей). Источник напряжения 42V.
</t>
    </r>
    <r>
      <rPr>
        <sz val="10"/>
        <color rgb="FF000000"/>
        <rFont val="Times New Roman"/>
      </rPr>
      <t>Изделие состоит из пластмассовых основания и кольца, скрепленных между собой тремя стяжками. В круговой прорези основания и кольца вставлен защитный экран, выполненный в виде металлического цилиндра. Защитный экран предотвращает от случайного прикосновения к нагретым поверхностям изделия. На основании установлен нагреватель.</t>
    </r>
  </si>
  <si>
    <r>
      <rPr>
        <sz val="10"/>
        <color theme="1"/>
        <rFont val="Times New Roman"/>
      </rPr>
      <t>521-301-2107 - Прибор для сбора газов</t>
    </r>
  </si>
  <si>
    <r>
      <rPr>
        <sz val="10"/>
        <color theme="1"/>
        <rFont val="Times New Roman"/>
      </rPr>
      <t>Прибор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t>
    </r>
  </si>
  <si>
    <r>
      <rPr>
        <sz val="10"/>
        <color theme="1"/>
        <rFont val="Times New Roman"/>
      </rPr>
      <t>521-301-2111-0001 - Аппарат для дистилляции воды</t>
    </r>
  </si>
  <si>
    <r>
      <rPr>
        <sz val="10"/>
        <color theme="1"/>
        <rFont val="Times New Roman"/>
      </rPr>
      <t>Аппарат для дистилляции воды. Производства дистиллированной воды 5 л/ч, выход воды 5 л, потребляемая мощность 4,5 кВт, входная мощность 220 В</t>
    </r>
  </si>
  <si>
    <r>
      <rPr>
        <sz val="10"/>
        <color rgb="FF000000"/>
        <rFont val="Times New Roman"/>
      </rPr>
      <t xml:space="preserve">521-301-2112-0001 - Сушильный
</t>
    </r>
    <r>
      <rPr>
        <sz val="10"/>
        <color rgb="FF000000"/>
        <rFont val="Times New Roman"/>
      </rPr>
      <t>шкаф</t>
    </r>
  </si>
  <si>
    <t>Сушильный
шкаф</t>
  </si>
  <si>
    <r>
      <rPr>
        <sz val="10"/>
        <color rgb="FF000000"/>
        <rFont val="Times New Roman"/>
      </rPr>
      <t xml:space="preserve">Нагрев не выше 200 градусов. Представляет собой термокамеру с электрообогревом, в которой установлены полки для материалов и принадлежностей. Корпус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Установлена дверь в электрическую рубку управления, приборы, электроприборы, электрическая схема. Студийный нижний обогреватель. Габаритные размеры рабочей камеры: 250*260*250мм, внешний размер 530*480*420мм, мощность 450Вт. Объем рабочей камеры 16л. Источник питания- переменный ток 220В/50Гц.
</t>
    </r>
    <r>
      <rPr>
        <sz val="10"/>
        <color rgb="FF000000"/>
        <rFont val="Times New Roman"/>
      </rPr>
      <t xml:space="preserve">Аппарат снабжен системой защиты от перегрева, имеет цифровой дисплей
</t>
    </r>
    <r>
      <rPr>
        <sz val="10"/>
        <color rgb="FF000000"/>
        <rFont val="Times New Roman"/>
      </rPr>
      <t>и настройку.</t>
    </r>
  </si>
  <si>
    <r>
      <rPr>
        <sz val="10"/>
        <color rgb="FF000000"/>
        <rFont val="Times New Roman"/>
      </rPr>
      <t xml:space="preserve">521-301-2113-0001 - Горелка
</t>
    </r>
    <r>
      <rPr>
        <sz val="10"/>
        <color rgb="FF000000"/>
        <rFont val="Times New Roman"/>
      </rPr>
      <t>универсальная</t>
    </r>
  </si>
  <si>
    <t>Горелка
универсальная</t>
  </si>
  <si>
    <r>
      <rPr>
        <sz val="10"/>
        <color theme="1"/>
        <rFont val="Times New Roman"/>
      </rPr>
      <t>Горелка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На верхней части внутренней трубки через резиновый патрубок закреплен отрезок кварцевой термостойкой трубки.</t>
    </r>
  </si>
  <si>
    <r>
      <rPr>
        <sz val="10"/>
        <color theme="1"/>
        <rFont val="Times New Roman"/>
      </rPr>
      <t>521-301-2114 - Прибор для получения растворимых веществ в твердом виде</t>
    </r>
  </si>
  <si>
    <t>Прибор для получения растворимых веществ в твердом виде</t>
  </si>
  <si>
    <r>
      <rPr>
        <sz val="10"/>
        <color rgb="FF000000"/>
        <rFont val="Times New Roman"/>
      </rPr>
      <t xml:space="preserve">Объем колбы-реактора 500 мл.
</t>
    </r>
    <r>
      <rPr>
        <sz val="10"/>
        <color rgb="FF000000"/>
        <rFont val="Times New Roman"/>
      </rPr>
      <t xml:space="preserve">Комплектность:
</t>
    </r>
    <r>
      <rPr>
        <sz val="10"/>
        <color rgb="FF000000"/>
        <rFont val="Times New Roman"/>
      </rPr>
      <t xml:space="preserve">колба - 1 шт.,
</t>
    </r>
    <r>
      <rPr>
        <sz val="10"/>
        <color rgb="FF000000"/>
        <rFont val="Times New Roman"/>
      </rPr>
      <t xml:space="preserve">сосуд для жидких веществ - 2 шт., воронка делительная - 1 шт., воронка капельная - 1 шт., колпачок - 2 шт.,
</t>
    </r>
    <r>
      <rPr>
        <sz val="10"/>
        <color rgb="FF000000"/>
        <rFont val="Times New Roman"/>
      </rPr>
      <t xml:space="preserve">колонка реакционная - 1 шт., сосуд для твердых веществ - 1 шт.
</t>
    </r>
    <r>
      <rPr>
        <sz val="10"/>
        <color rgb="FF000000"/>
        <rFont val="Times New Roman"/>
      </rPr>
      <t>Принцип работы прибора основан на образовании твердых растворимых веществ в результате химических реакций.</t>
    </r>
  </si>
  <si>
    <r>
      <rPr>
        <sz val="10"/>
        <color theme="1"/>
        <rFont val="Times New Roman"/>
      </rPr>
      <t>521-301-2115 - Эвдиометр</t>
    </r>
  </si>
  <si>
    <r>
      <rPr>
        <sz val="10"/>
        <color rgb="FF000000"/>
        <rFont val="Times New Roman"/>
      </rPr>
      <t xml:space="preserve">Прибор состоит из стеклянной трубки - корпуса с двумя отводами, в которые через резиновые пробки вставлены электроды. Верхняя и нижняя части корпуса закрыты резиновыми пробками со стеклянными трубками. На корпус нанесены метки, которые делят его объем на 7 равных частей.
</t>
    </r>
    <r>
      <rPr>
        <sz val="10"/>
        <color rgb="FF000000"/>
        <rFont val="Times New Roman"/>
      </rPr>
      <t xml:space="preserve">Комплектность:
</t>
    </r>
    <r>
      <rPr>
        <sz val="10"/>
        <color rgb="FF000000"/>
        <rFont val="Times New Roman"/>
      </rPr>
      <t xml:space="preserve">стеклянная трубка-корпус с двумя отводами – 1 шт., резиновые пробки со стеклянными трубками – 2 шт., резиновые пробки с электродами – 2 шт.,
</t>
    </r>
    <r>
      <rPr>
        <sz val="10"/>
        <color rgb="FF000000"/>
        <rFont val="Times New Roman"/>
      </rPr>
      <t>Прибор состоит из стеклянной трубки-корпуса с двумя отводами, в которые через резиновые пробки вставлены электроды. Верхняя и нижняя части трубки закрыты резиновыми пробками со стеклянными трубками. На корпус нанесены метки, делящие его объем на несколько частей.</t>
    </r>
  </si>
  <si>
    <r>
      <rPr>
        <sz val="10"/>
        <color theme="1"/>
        <rFont val="Times New Roman"/>
      </rPr>
      <t>521-301-2116 - Аппарат для электролиза</t>
    </r>
  </si>
  <si>
    <r>
      <rPr>
        <sz val="10"/>
        <color theme="1"/>
        <rFont val="Times New Roman"/>
      </rPr>
      <t>Предназначен для демонстрации опытов по исследованию электропроводности и электролизу различных веществ. U-образная стеклянная трубка , двумя газоотводами 1 шт.</t>
    </r>
  </si>
  <si>
    <r>
      <rPr>
        <sz val="10"/>
        <color theme="1"/>
        <rFont val="Times New Roman"/>
      </rPr>
      <t>521-301-2117 - Колонка адсорбционная</t>
    </r>
  </si>
  <si>
    <r>
      <rPr>
        <sz val="10"/>
        <color rgb="FF000000"/>
        <rFont val="Times New Roman"/>
      </rPr>
      <t xml:space="preserve">Представляет собой тонкостенный сосуд из стекла стубулусами и небольшой перетяжкой в средней его части.
</t>
    </r>
    <r>
      <rPr>
        <sz val="10"/>
        <color rgb="FF000000"/>
        <rFont val="Times New Roman"/>
      </rPr>
      <t>Прибор представляет собой тонкостенный сосуд с тремя впаянными патрубками (один - в верхней части и два - в нижней), и кольцевым перехватом на расстоянии 40 мм от основания.</t>
    </r>
  </si>
  <si>
    <r>
      <rPr>
        <sz val="10"/>
        <color theme="1"/>
        <rFont val="Times New Roman"/>
      </rPr>
      <t>521-301-2118 - Прибор для иллюстрации сохранения массы веществ</t>
    </r>
  </si>
  <si>
    <t>Прибор для иллюстрации сохранения массы веществ</t>
  </si>
  <si>
    <r>
      <rPr>
        <sz val="10"/>
        <color rgb="FF000000"/>
        <rFont val="Times New Roman"/>
      </rPr>
      <t xml:space="preserve">Прибор состоит из двух колб с принадлежностями, одна изкоторых используется для проведения реакций без выделения газа, другая - с выделением газа.
</t>
    </r>
    <r>
      <rPr>
        <sz val="10"/>
        <color rgb="FF000000"/>
        <rFont val="Times New Roman"/>
      </rPr>
      <t xml:space="preserve">Комплектность:
</t>
    </r>
    <r>
      <rPr>
        <sz val="10"/>
        <color rgb="FF000000"/>
        <rFont val="Times New Roman"/>
      </rPr>
      <t xml:space="preserve">колба плоскодонная 50 мл – 2 шт.,
</t>
    </r>
    <r>
      <rPr>
        <sz val="10"/>
        <color rgb="FF000000"/>
        <rFont val="Times New Roman"/>
      </rPr>
      <t xml:space="preserve">пипетка химическая лабораторная на пробке резиновой – 2 шт., воронка – 1 шт.,
</t>
    </r>
    <r>
      <rPr>
        <sz val="10"/>
        <color rgb="FF000000"/>
        <rFont val="Times New Roman"/>
      </rPr>
      <t>шарик надувной резиновый – 1шт., нитка швейная (L = 40 см) – 1шт., руководство по эксплуатации – 1 шт.</t>
    </r>
  </si>
  <si>
    <r>
      <rPr>
        <sz val="10"/>
        <color theme="1"/>
        <rFont val="Times New Roman"/>
      </rPr>
      <t>521-301-2119 - Прибор для опытов с электрическим током</t>
    </r>
  </si>
  <si>
    <r>
      <rPr>
        <sz val="10"/>
        <color rgb="FF000000"/>
        <rFont val="Times New Roman"/>
      </rPr>
      <t xml:space="preserve">Комплектность: пластмассовый сосуд – 1 шт.,
</t>
    </r>
    <r>
      <rPr>
        <sz val="10"/>
        <color rgb="FF000000"/>
        <rFont val="Times New Roman"/>
      </rPr>
      <t xml:space="preserve">крышка с тремя клеммами, двумя зажимами и индикатором – 1 шт., электроды из графита – 2 шт.,
</t>
    </r>
    <r>
      <rPr>
        <sz val="10"/>
        <color rgb="FF000000"/>
        <rFont val="Times New Roman"/>
      </rPr>
      <t xml:space="preserve">контактор – 1 шт., руководство по эксплуатации – 1 шт.
</t>
    </r>
    <r>
      <rPr>
        <sz val="10"/>
        <color rgb="FF000000"/>
        <rFont val="Times New Roman"/>
      </rPr>
      <t>Один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t>
    </r>
  </si>
  <si>
    <r>
      <rPr>
        <sz val="10"/>
        <color theme="1"/>
        <rFont val="Times New Roman"/>
      </rPr>
      <t>521-301-2120 - Станция для промывки глаз</t>
    </r>
  </si>
  <si>
    <r>
      <rPr>
        <sz val="10"/>
        <color rgb="FF000000"/>
        <rFont val="Times New Roman"/>
      </rPr>
      <t xml:space="preserve">Используется при попадании в глаза инородных тел (металлической или древесной стружки, пыли, грязи). Флаконы содержат стерильный раствор хлорида натрия (0,9%).
</t>
    </r>
    <r>
      <rPr>
        <sz val="10"/>
        <color rgb="FF000000"/>
        <rFont val="Times New Roman"/>
      </rPr>
      <t xml:space="preserve">В комплект входит пиктограмма (инструкция по применению) на внешней стороне крышки и зеркало на внутренней.
</t>
    </r>
    <r>
      <rPr>
        <sz val="10"/>
        <color rgb="FF000000"/>
        <rFont val="Times New Roman"/>
      </rPr>
      <t xml:space="preserve">Флакон pH Neutra 200 мл содержит стерильный буферный раствор фосфата концентрацией 4,9%.
</t>
    </r>
    <r>
      <rPr>
        <sz val="10"/>
        <color rgb="FF000000"/>
        <rFont val="Times New Roman"/>
      </rPr>
      <t xml:space="preserve">Флакон Plum Eye Wash 500 мл содержит 0,9% стерильный раствор хлорида натрия.
</t>
    </r>
    <r>
      <rPr>
        <sz val="10"/>
        <color rgb="FF000000"/>
        <rFont val="Times New Roman"/>
      </rPr>
      <t xml:space="preserve">Все флаконы имеют колпачок эргономичной формы, пылезащитную крышку и подробную инструкцию на этикетке.
</t>
    </r>
    <r>
      <rPr>
        <sz val="10"/>
        <color rgb="FF000000"/>
        <rFont val="Times New Roman"/>
      </rPr>
      <t>Продукты предназначены для оказания первой помощи.</t>
    </r>
  </si>
  <si>
    <r>
      <rPr>
        <sz val="10"/>
        <color rgb="FF000000"/>
        <rFont val="Times New Roman"/>
      </rPr>
      <t xml:space="preserve">521-301-2122-0002 - Магнитная
</t>
    </r>
    <r>
      <rPr>
        <sz val="10"/>
        <color rgb="FF000000"/>
        <rFont val="Times New Roman"/>
      </rPr>
      <t xml:space="preserve">мешалка. Мощность: 10Вт.
</t>
    </r>
    <r>
      <rPr>
        <sz val="10"/>
        <color rgb="FF000000"/>
        <rFont val="Times New Roman"/>
      </rPr>
      <t>Скорость: 100-600 оборотов/мин</t>
    </r>
  </si>
  <si>
    <t>Магнитная
мешалка. Мощность: 10Вт.
Скорость: 100-600 оборотов/мин</t>
  </si>
  <si>
    <r>
      <rPr>
        <sz val="10"/>
        <color rgb="FF000000"/>
        <rFont val="Times New Roman"/>
      </rPr>
      <t xml:space="preserve">Напряжение питающей сети переменного тока частотой 50 Гц, В 220.
</t>
    </r>
    <r>
      <rPr>
        <sz val="10"/>
        <color rgb="FF000000"/>
        <rFont val="Times New Roman"/>
      </rPr>
      <t xml:space="preserve">Потребляемая мощность не более 10Вт. Скорость вращения, оборотов/мин 100.  600. Режим работы непрерывный. Комплектация: мешалка магнитная -
</t>
    </r>
    <r>
      <rPr>
        <sz val="10"/>
        <color rgb="FF000000"/>
        <rFont val="Times New Roman"/>
      </rPr>
      <t>1 шт.; стержни перемешивающие - 3 шт.; вставка плавкая ВП1-0,25А 1 шт.</t>
    </r>
  </si>
  <si>
    <r>
      <rPr>
        <sz val="10"/>
        <color rgb="FF000000"/>
        <rFont val="Times New Roman"/>
      </rPr>
      <t xml:space="preserve">521-301-2122-0003 - Магнитная
</t>
    </r>
    <r>
      <rPr>
        <sz val="10"/>
        <color rgb="FF000000"/>
        <rFont val="Times New Roman"/>
      </rPr>
      <t>мешалка с подогревом. Скорость: от 120 до 1500 об/мин</t>
    </r>
  </si>
  <si>
    <t>Магнитная
мешалка с подогревом. Скорость: от 120 до 1500 об/мин</t>
  </si>
  <si>
    <r>
      <rPr>
        <sz val="10"/>
        <color theme="1"/>
        <rFont val="Times New Roman"/>
      </rPr>
      <t>Предназначена для перемешивания жидкостей с помощью вращающегося в магнитном поле якоря. Максимальный перемешиваемый объем 1000 ml. Электропитание от сети переменного тока напряжением 220В. Диапазон вращения якоря от 120 до 1500 об/мин</t>
    </r>
  </si>
  <si>
    <r>
      <rPr>
        <sz val="10"/>
        <color rgb="FF000000"/>
        <rFont val="Times New Roman"/>
      </rPr>
      <t xml:space="preserve">521-301-2123 - Плитка
</t>
    </r>
    <r>
      <rPr>
        <sz val="10"/>
        <color rgb="FF000000"/>
        <rFont val="Times New Roman"/>
      </rPr>
      <t>электрическая лабораторная</t>
    </r>
  </si>
  <si>
    <t>Плитка
электрическая лабораторная</t>
  </si>
  <si>
    <r>
      <rPr>
        <sz val="10"/>
        <color theme="1"/>
        <rFont val="Times New Roman"/>
      </rPr>
      <t>Плитка электрическая малогабаритная. Рабочее напряжение: 220 В. Мощность: 1000 Вт. Диаметр конфорки 14 см. Дисковый нагревательный элемент из высококачественного чугуна. Плавная регулировка температуры. Защита от перегрева. Световой индикатор работы</t>
    </r>
  </si>
  <si>
    <r>
      <rPr>
        <sz val="10"/>
        <color rgb="FF000000"/>
        <rFont val="Times New Roman"/>
      </rPr>
      <t xml:space="preserve">521-301-2124-0001 - Центрифуга электрическая. Максимальный объем: 60 мл. 6 пробирок по 20 мл.
</t>
    </r>
    <r>
      <rPr>
        <sz val="10"/>
        <color rgb="FF000000"/>
        <rFont val="Times New Roman"/>
      </rPr>
      <t>Частота вращения ротора: 1000-4000 об/мин</t>
    </r>
  </si>
  <si>
    <t>Центрифуга электрическая. Максимальный объем: 60 мл. 6 пробирок по 20 мл.
Частота вращения ротора: 1000-4000 об/мин</t>
  </si>
  <si>
    <r>
      <rPr>
        <sz val="10"/>
        <color rgb="FF000000"/>
        <rFont val="Times New Roman"/>
      </rPr>
      <t xml:space="preserve">Максимальный объем центрифугата: 60 мл. Количество пробирок: 6 пробирок по 20 мл. Частота вращения ротора: 1000-4000 об/мин.
</t>
    </r>
    <r>
      <rPr>
        <sz val="10"/>
        <color rgb="FF000000"/>
        <rFont val="Times New Roman"/>
      </rPr>
      <t>Максимальное время непрерывной работы: 180 минут. Состоит из: корпуса, привода, пульта управления, ротора, крышки</t>
    </r>
  </si>
  <si>
    <r>
      <rPr>
        <sz val="10"/>
        <color rgb="FF000000"/>
        <rFont val="Times New Roman"/>
      </rPr>
      <t xml:space="preserve">521-301-2124-0002 - Центрифуга демонстрационная. Максимальная вместимость 4×15 мл.
</t>
    </r>
    <r>
      <rPr>
        <sz val="10"/>
        <color rgb="FF000000"/>
        <rFont val="Times New Roman"/>
      </rPr>
      <t>Максимальная скорость вращения 3000 об/мин</t>
    </r>
  </si>
  <si>
    <t>Центрифуга демонстрационная. Максимальная вместимость 4×15 мл.
Максимальная скорость вращения 3000 об/мин</t>
  </si>
  <si>
    <r>
      <rPr>
        <sz val="10"/>
        <color theme="1"/>
        <rFont val="Times New Roman"/>
      </rPr>
      <t>Прибор состоит из крестообразной пластины с вилками на концах. К вилкам подвешены на осях кольца с пластмассовыми полыми цилиндрами для вкладывания в них стеклянных пробирок.</t>
    </r>
  </si>
  <si>
    <r>
      <rPr>
        <sz val="10"/>
        <color theme="1"/>
        <rFont val="Times New Roman"/>
      </rPr>
      <t>521-301-2306 - Пюпитр</t>
    </r>
  </si>
  <si>
    <r>
      <rPr>
        <sz val="10"/>
        <color theme="1"/>
        <rFont val="Times New Roman"/>
      </rPr>
      <t>Пюпитр. Регулируемая высота 940 - 1420 мм; Держатель для нот 475 х 345 мм; Металлические узлы; Материал: сталь; Цвет: черный.</t>
    </r>
  </si>
  <si>
    <r>
      <rPr>
        <sz val="10"/>
        <color rgb="FF000000"/>
        <rFont val="Times New Roman"/>
      </rPr>
      <t xml:space="preserve">521-301-2602-0001 - Стул "Визитер"
</t>
    </r>
    <r>
      <rPr>
        <sz val="10"/>
        <color rgb="FF000000"/>
        <rFont val="Times New Roman"/>
      </rPr>
      <t>с пюпитром</t>
    </r>
  </si>
  <si>
    <t>Стул "Визитер"
с пюпитром</t>
  </si>
  <si>
    <r>
      <rPr>
        <sz val="10"/>
        <color theme="1"/>
        <rFont val="Times New Roman"/>
      </rPr>
      <t>Каркас стула выполнен из металлической плоскоовальной трубы, окрашенной полимерной порошковой краской. Сидение и спинка стула и мебельной ткани – гобелен, винилискожа. Пюпитр из ЛДСП 16мм закреплен к каркасу стула.</t>
    </r>
  </si>
  <si>
    <r>
      <rPr>
        <sz val="10"/>
        <color rgb="FF000000"/>
        <rFont val="Times New Roman"/>
      </rPr>
      <t xml:space="preserve">521-301-2602-0002 - Стул "ИЗО" с
</t>
    </r>
    <r>
      <rPr>
        <sz val="10"/>
        <color rgb="FF000000"/>
        <rFont val="Times New Roman"/>
      </rPr>
      <t>пюпитром</t>
    </r>
  </si>
  <si>
    <t>Стул "ИЗО" с
пюпитром</t>
  </si>
  <si>
    <r>
      <rPr>
        <sz val="10"/>
        <color theme="1"/>
        <rFont val="Times New Roman"/>
      </rPr>
      <t>Каркас стула выполнен из металлической плоскоовальной трубы. Обивка сиденья и спинки стула по согласованию. Пюпитр закреплен к каркасу стула. Размеры: Длина: 435мм, Ширина: 440мм, Высота: 840мм. Каркас металлический цветной</t>
    </r>
  </si>
  <si>
    <r>
      <rPr>
        <sz val="10"/>
        <color theme="1"/>
        <rFont val="Times New Roman"/>
      </rPr>
      <t>521-301-2701-0001 - Тумба, размеры не менее 416х416х625мм</t>
    </r>
  </si>
  <si>
    <r>
      <rPr>
        <sz val="10"/>
        <color theme="1"/>
        <rFont val="Times New Roman"/>
      </rPr>
      <t>Размеры не менее 416х416х625 мм. Материал ЛДСП, толщиной не менее 16 мм. Имеет выдвижные и секционные ящики.</t>
    </r>
  </si>
  <si>
    <r>
      <rPr>
        <sz val="10"/>
        <color rgb="FF000000"/>
        <rFont val="Times New Roman"/>
      </rPr>
      <t xml:space="preserve">521-301-2901-0004 - Верстак
</t>
    </r>
    <r>
      <rPr>
        <sz val="10"/>
        <color rgb="FF000000"/>
        <rFont val="Times New Roman"/>
      </rPr>
      <t>инструментальный ITP-1-T. Размер 1200х600х860мм.</t>
    </r>
  </si>
  <si>
    <t>Верстак
инструментальный ITP-1-T. Размер 1200х600х860мм.</t>
  </si>
  <si>
    <r>
      <rPr>
        <sz val="10"/>
        <color theme="1"/>
        <rFont val="Times New Roman"/>
      </rPr>
      <t>Верстак инструментальный ITP-1-T. Размер 1200х600х860мм.</t>
    </r>
  </si>
  <si>
    <r>
      <rPr>
        <sz val="10"/>
        <color rgb="FF000000"/>
        <rFont val="Times New Roman"/>
      </rPr>
      <t xml:space="preserve">521-301-2901-0005 - Верстак
</t>
    </r>
    <r>
      <rPr>
        <sz val="10"/>
        <color rgb="FF000000"/>
        <rFont val="Times New Roman"/>
      </rPr>
      <t xml:space="preserve">инструментальный ITP-1-T-S. Тумба с дверцей и перфопанель.
</t>
    </r>
    <r>
      <rPr>
        <sz val="10"/>
        <color rgb="FF000000"/>
        <rFont val="Times New Roman"/>
      </rPr>
      <t>Размер 1200х600х1310мм.</t>
    </r>
  </si>
  <si>
    <t>Верстак
инструментальный ITP-1-T-S. Тумба с дверцей и перфопанель.
Размер 1200х600х1310мм.</t>
  </si>
  <si>
    <r>
      <rPr>
        <sz val="10"/>
        <color rgb="FF000000"/>
        <rFont val="Times New Roman"/>
      </rPr>
      <t xml:space="preserve">Верстак инструментальный ITP-1-T-S. Тумба с дверцей и перфопанель.
</t>
    </r>
    <r>
      <rPr>
        <sz val="10"/>
        <color rgb="FF000000"/>
        <rFont val="Times New Roman"/>
      </rPr>
      <t>Размер 1200х600х1310мм.</t>
    </r>
  </si>
  <si>
    <r>
      <rPr>
        <sz val="10"/>
        <color theme="1"/>
        <rFont val="Times New Roman"/>
      </rPr>
      <t>521-301-2901-0006 - Верстак Profi (№201) WT120.WD1/F1.000</t>
    </r>
  </si>
  <si>
    <r>
      <rPr>
        <sz val="10"/>
        <color theme="1"/>
        <rFont val="Times New Roman"/>
      </rPr>
      <t>Верстак Profi (№201) WT120.WD1/F1.000. Тумба и полка. Размер 866х1200х700мм.</t>
    </r>
  </si>
  <si>
    <r>
      <rPr>
        <sz val="10"/>
        <color rgb="FF000000"/>
        <rFont val="Times New Roman"/>
      </rPr>
      <t xml:space="preserve">521-301-2901-0010 - Верстак
</t>
    </r>
    <r>
      <rPr>
        <sz val="10"/>
        <color rgb="FF000000"/>
        <rFont val="Times New Roman"/>
      </rPr>
      <t>однотумбовый, тумба с дверцей ВП-2. Размер 1200х685х860мм.</t>
    </r>
  </si>
  <si>
    <t>Верстак
однотумбовый, тумба с дверцей ВП-2. Размер 1200х685х860мм.</t>
  </si>
  <si>
    <r>
      <rPr>
        <sz val="10"/>
        <color theme="1"/>
        <rFont val="Times New Roman"/>
      </rPr>
      <t>Верстак однотумбовый, тумба с дверцей ВП-2. Размер 1200х685х860мм.</t>
    </r>
  </si>
  <si>
    <r>
      <rPr>
        <sz val="10"/>
        <color rgb="FF000000"/>
        <rFont val="Times New Roman"/>
      </rPr>
      <t xml:space="preserve">521-301-2901-0011 - Верстак
</t>
    </r>
    <r>
      <rPr>
        <sz val="10"/>
        <color rgb="FF000000"/>
        <rFont val="Times New Roman"/>
      </rPr>
      <t>однотумбовый, тумба с ящиками ВП-3. Размер 1200х685х860мм.</t>
    </r>
  </si>
  <si>
    <t>Верстак
однотумбовый, тумба с ящиками ВП-3. Размер 1200х685х860мм.</t>
  </si>
  <si>
    <r>
      <rPr>
        <sz val="10"/>
        <color theme="1"/>
        <rFont val="Times New Roman"/>
      </rPr>
      <t>Верстак однотумбовый, тумба с ящиками ВП-3. Размер 1200х685х860мм.</t>
    </r>
  </si>
  <si>
    <r>
      <rPr>
        <sz val="10"/>
        <color rgb="FF000000"/>
        <rFont val="Times New Roman"/>
      </rPr>
      <t xml:space="preserve">521-301-2901-0012 - Верстак
</t>
    </r>
    <r>
      <rPr>
        <sz val="10"/>
        <color rgb="FF000000"/>
        <rFont val="Times New Roman"/>
      </rPr>
      <t>двухтумбовый, тумба с дверцей и тумба с 5 ящиками ВП-4. Размер 1600х685х860мм.</t>
    </r>
  </si>
  <si>
    <t>Верстак
двухтумбовый, тумба с дверцей и тумба с 5 ящиками ВП-4. Размер 1600х685х860мм.</t>
  </si>
  <si>
    <r>
      <rPr>
        <sz val="10"/>
        <color theme="1"/>
        <rFont val="Times New Roman"/>
      </rPr>
      <t>Верстак двухтумбовый, тумба с дверцей и тумба с 5 ящиками ВП-4. Размер 1600х685х860мм.</t>
    </r>
  </si>
  <si>
    <r>
      <rPr>
        <sz val="10"/>
        <color rgb="FF000000"/>
        <rFont val="Times New Roman"/>
      </rPr>
      <t xml:space="preserve">521-301-2901-0013 - Верстак
</t>
    </r>
    <r>
      <rPr>
        <sz val="10"/>
        <color rgb="FF000000"/>
        <rFont val="Times New Roman"/>
      </rPr>
      <t>двухтумбовый, две тумбы с дверцами ВП-5. Размер 1600х685х860мм.</t>
    </r>
  </si>
  <si>
    <t>Верстак
двухтумбовый, две тумбы с дверцами ВП-5. Размер 1600х685х860мм.</t>
  </si>
  <si>
    <r>
      <rPr>
        <sz val="10"/>
        <color theme="1"/>
        <rFont val="Times New Roman"/>
      </rPr>
      <t>Верстак двухтумбовый, две тумбы с дверцами ВП-5. Размер 1600х685х860мм.</t>
    </r>
  </si>
  <si>
    <r>
      <rPr>
        <sz val="10"/>
        <color rgb="FF000000"/>
        <rFont val="Times New Roman"/>
      </rPr>
      <t xml:space="preserve">521-301-2901-0014 - Верстак
</t>
    </r>
    <r>
      <rPr>
        <sz val="10"/>
        <color rgb="FF000000"/>
        <rFont val="Times New Roman"/>
      </rPr>
      <t>двухтумбовый, две тумбы с ящиками ВП-6/1,6. Размер 1600х685х860мм.</t>
    </r>
  </si>
  <si>
    <t>Верстак
двухтумбовый, две тумбы с ящиками ВП-6/1,6. Размер 1600х685х860мм.</t>
  </si>
  <si>
    <r>
      <rPr>
        <sz val="10"/>
        <color theme="1"/>
        <rFont val="Times New Roman"/>
      </rPr>
      <t>Верстак двухтумбовый, две тумбы с ящиками ВП-6/1,6. Размер 1600х685х860мм.</t>
    </r>
  </si>
  <si>
    <r>
      <rPr>
        <sz val="10"/>
        <color rgb="FF000000"/>
        <rFont val="Times New Roman"/>
      </rPr>
      <t xml:space="preserve">521-301-2901-0021 - Верстак
</t>
    </r>
    <r>
      <rPr>
        <sz val="10"/>
        <color rgb="FF000000"/>
        <rFont val="Times New Roman"/>
      </rPr>
      <t>инструментальный ITP-1-D. Тумба с ящиками. Размер 1200х600х860мм.</t>
    </r>
  </si>
  <si>
    <t>Верстак
инструментальный ITP-1-D. Тумба с ящиками. Размер 1200х600х860мм.</t>
  </si>
  <si>
    <r>
      <rPr>
        <sz val="10"/>
        <color theme="1"/>
        <rFont val="Times New Roman"/>
      </rPr>
      <t>Верстак инструментальный ITP-1-D. Тумба с ящиками. Размер 1200х600х860мм.</t>
    </r>
  </si>
  <si>
    <r>
      <rPr>
        <sz val="10"/>
        <color rgb="FF000000"/>
        <rFont val="Times New Roman"/>
      </rPr>
      <t xml:space="preserve">521-301-2901-0022 - Верстак
</t>
    </r>
    <r>
      <rPr>
        <sz val="10"/>
        <color rgb="FF000000"/>
        <rFont val="Times New Roman"/>
      </rPr>
      <t>инструментальный ITP-1-TT. Размер 1200х600х860мм.</t>
    </r>
  </si>
  <si>
    <t>Верстак
инструментальный ITP-1-TT. Размер 1200х600х860мм.</t>
  </si>
  <si>
    <r>
      <rPr>
        <sz val="10"/>
        <color theme="1"/>
        <rFont val="Times New Roman"/>
      </rPr>
      <t>Верстак инструментальный ITP-1-TT. Размер 1200х600х860мм.</t>
    </r>
  </si>
  <si>
    <r>
      <rPr>
        <sz val="10"/>
        <color rgb="FF000000"/>
        <rFont val="Times New Roman"/>
      </rPr>
      <t xml:space="preserve">521-301-2901-0023 - Верстак
</t>
    </r>
    <r>
      <rPr>
        <sz val="10"/>
        <color rgb="FF000000"/>
        <rFont val="Times New Roman"/>
      </rPr>
      <t xml:space="preserve">инструментальный ITP-1-TD. Тумба с дверцей и тумба с ящиками.
</t>
    </r>
    <r>
      <rPr>
        <sz val="10"/>
        <color rgb="FF000000"/>
        <rFont val="Times New Roman"/>
      </rPr>
      <t>Размер 1200х600х860мм.</t>
    </r>
  </si>
  <si>
    <t>Верстак
инструментальный ITP-1-TD. Тумба с дверцей и тумба с ящиками.
Размер 1200х600х860мм.</t>
  </si>
  <si>
    <r>
      <rPr>
        <sz val="10"/>
        <color rgb="FF000000"/>
        <rFont val="Times New Roman"/>
      </rPr>
      <t xml:space="preserve">Верстак инструментальный ITP-1-TD. Тумба с дверцей и тумба с ящиками.
</t>
    </r>
    <r>
      <rPr>
        <sz val="10"/>
        <color rgb="FF000000"/>
        <rFont val="Times New Roman"/>
      </rPr>
      <t>Размер 1200х600х860мм.</t>
    </r>
  </si>
  <si>
    <r>
      <rPr>
        <sz val="10"/>
        <color rgb="FF000000"/>
        <rFont val="Times New Roman"/>
      </rPr>
      <t xml:space="preserve">521-301-2901-0024 - Верстак
</t>
    </r>
    <r>
      <rPr>
        <sz val="10"/>
        <color rgb="FF000000"/>
        <rFont val="Times New Roman"/>
      </rPr>
      <t xml:space="preserve">инструментальный ITP-1-D-S. Перфопанель и тумба с ящиками.
</t>
    </r>
    <r>
      <rPr>
        <sz val="10"/>
        <color rgb="FF000000"/>
        <rFont val="Times New Roman"/>
      </rPr>
      <t>Размер 1200х600х1310мм.</t>
    </r>
  </si>
  <si>
    <t>Верстак
инструментальный ITP-1-D-S. Перфопанель и тумба с ящиками.
Размер 1200х600х1310мм.</t>
  </si>
  <si>
    <r>
      <rPr>
        <sz val="10"/>
        <color rgb="FF000000"/>
        <rFont val="Times New Roman"/>
      </rPr>
      <t xml:space="preserve">Верстак инструментальный ITP-1-D-S. Перфопанель и тумба с ящиками.
</t>
    </r>
    <r>
      <rPr>
        <sz val="10"/>
        <color rgb="FF000000"/>
        <rFont val="Times New Roman"/>
      </rPr>
      <t>Размер 1200х600х1310мм.</t>
    </r>
  </si>
  <si>
    <r>
      <rPr>
        <sz val="10"/>
        <color rgb="FF000000"/>
        <rFont val="Times New Roman"/>
      </rPr>
      <t xml:space="preserve">521-301-2901-0025 - Верстак
</t>
    </r>
    <r>
      <rPr>
        <sz val="10"/>
        <color rgb="FF000000"/>
        <rFont val="Times New Roman"/>
      </rPr>
      <t>инструментальный ITP-1-TD-S. Тумба с дверцей и тумба с ящиками, перфопанель. Размер 1200х600х1310мм.</t>
    </r>
  </si>
  <si>
    <t>Верстак
инструментальный ITP-1-TD-S. Тумба с дверцей и тумба с ящиками, перфопанель. Размер 1200х600х1310мм.</t>
  </si>
  <si>
    <r>
      <rPr>
        <sz val="10"/>
        <color theme="1"/>
        <rFont val="Times New Roman"/>
      </rPr>
      <t>Верстак инструментальный ITP-1-TD-S. Тумба с дверцей и тумба с ящиками, перфопанель. Размер 1200х600х1310мм.</t>
    </r>
  </si>
  <si>
    <r>
      <rPr>
        <sz val="10"/>
        <color rgb="FF000000"/>
        <rFont val="Times New Roman"/>
      </rPr>
      <t xml:space="preserve">521-301-2901-0026 - Верстак
</t>
    </r>
    <r>
      <rPr>
        <sz val="10"/>
        <color rgb="FF000000"/>
        <rFont val="Times New Roman"/>
      </rPr>
      <t>инструментальный ITP-1-TT-S. 2 тумбы и перфопанель. Размер 1200х600х1310мм.</t>
    </r>
  </si>
  <si>
    <t>Верстак
инструментальный ITP-1-TT-S. 2 тумбы и перфопанель. Размер 1200х600х1310мм.</t>
  </si>
  <si>
    <r>
      <rPr>
        <sz val="10"/>
        <color theme="1"/>
        <rFont val="Times New Roman"/>
      </rPr>
      <t>Верстак инструментальный ITP-1-TT-S. 2 тумбы и перфопанель. Размер 1200х600х1310мм.</t>
    </r>
  </si>
  <si>
    <r>
      <rPr>
        <sz val="10"/>
        <color rgb="FF000000"/>
        <rFont val="Times New Roman"/>
      </rPr>
      <t xml:space="preserve">521-301-2901-0027 - Верстак
</t>
    </r>
    <r>
      <rPr>
        <sz val="10"/>
        <color rgb="FF000000"/>
        <rFont val="Times New Roman"/>
      </rPr>
      <t>инструментальный ITP-2-TT-S. 2 тумбы и перфопанель. Размер 1600х600х1310мм.</t>
    </r>
  </si>
  <si>
    <t>Верстак
инструментальный ITP-2-TT-S. 2 тумбы и перфопанель. Размер 1600х600х1310мм.</t>
  </si>
  <si>
    <r>
      <rPr>
        <sz val="10"/>
        <color theme="1"/>
        <rFont val="Times New Roman"/>
      </rPr>
      <t>Верстак инструментальный ITP-2-TT-S. 2 тумбы и перфопанель. Размер 1600х600х1310мм.</t>
    </r>
  </si>
  <si>
    <r>
      <rPr>
        <sz val="10"/>
        <color rgb="FF000000"/>
        <rFont val="Times New Roman"/>
      </rPr>
      <t xml:space="preserve">521-301-2901-0028 - Верстак
</t>
    </r>
    <r>
      <rPr>
        <sz val="10"/>
        <color rgb="FF000000"/>
        <rFont val="Times New Roman"/>
      </rPr>
      <t>инструментальный ITP-2-TD-S. Тумба с дверцей и тумба с ящиками, перфопанель. Размер 1600х600х1310мм.</t>
    </r>
  </si>
  <si>
    <t>Верстак
инструментальный ITP-2-TD-S. Тумба с дверцей и тумба с ящиками, перфопанель. Размер 1600х600х1310мм.</t>
  </si>
  <si>
    <r>
      <rPr>
        <sz val="10"/>
        <color theme="1"/>
        <rFont val="Times New Roman"/>
      </rPr>
      <t>Верстак инструментальный ITP-2-TD-S. Тумба с дверцей и тумба с ящиками, перфопанель. Размер 1600х600х1310мм.</t>
    </r>
  </si>
  <si>
    <r>
      <rPr>
        <sz val="10"/>
        <color rgb="FF000000"/>
        <rFont val="Times New Roman"/>
      </rPr>
      <t xml:space="preserve">521-301-2901-0032 - Верстак
</t>
    </r>
    <r>
      <rPr>
        <sz val="10"/>
        <color rgb="FF000000"/>
        <rFont val="Times New Roman"/>
      </rPr>
      <t>слесарный с подвесной тумбой металлический (CraftLab). Размер 1000х860х685</t>
    </r>
  </si>
  <si>
    <t>Верстак
слесарный с подвесной тумбой металлический (CraftLab). Размер 1000х860х685</t>
  </si>
  <si>
    <r>
      <rPr>
        <sz val="10"/>
        <color theme="1"/>
        <rFont val="Times New Roman"/>
      </rPr>
      <t>Верстак состоит из отдельных модулей.Столешница из МДФ покрыта оцинкованным листовым металлом. В комплект верстака входят две металлические верстачные опоры. Верстак также оснащен одним подвесным ящиком, который выдерживает нагрузку до 23 кг.</t>
    </r>
  </si>
  <si>
    <r>
      <rPr>
        <sz val="10"/>
        <color rgb="FF000000"/>
        <rFont val="Times New Roman"/>
      </rPr>
      <t xml:space="preserve">521-301-2901-0033 - Верстак
</t>
    </r>
    <r>
      <rPr>
        <sz val="10"/>
        <color rgb="FF000000"/>
        <rFont val="Times New Roman"/>
      </rPr>
      <t>бестумбовый со столешницей из деревяного бруса (CraftLab). Размер 2500х1200х1050</t>
    </r>
  </si>
  <si>
    <t>Верстак
бестумбовый со столешницей из деревяного бруса (CraftLab). Размер 2500х1200х1050</t>
  </si>
  <si>
    <r>
      <rPr>
        <sz val="10"/>
        <color theme="1"/>
        <rFont val="Times New Roman"/>
      </rPr>
      <t>Верстак установлен на 6 ножках, имеет 2 столешницы: нижнюю и верхнюю. Верхняя столешница имеет борты, высота которых 105 мм, выполненных из деревянного бруса. Верстак установлен на промышленных колесах, имеющих диаметр 45 мм и ширину колес 30 мм. Конструкция является полностью разборной.</t>
    </r>
  </si>
  <si>
    <r>
      <rPr>
        <sz val="10"/>
        <color rgb="FF000000"/>
        <rFont val="Times New Roman"/>
      </rPr>
      <t xml:space="preserve">521-301-2901-0034 - Верстак на
</t>
    </r>
    <r>
      <rPr>
        <sz val="10"/>
        <color rgb="FF000000"/>
        <rFont val="Times New Roman"/>
      </rPr>
      <t>металлическом каркасе со столешницей из деревянного бруса (CraftLab), размер 1200мм х 600мм х 750мм шт.</t>
    </r>
  </si>
  <si>
    <t>Верстак на
металлическом каркасе со столешницей из деревянного бруса (CraftLab), размер 1200мм х 600мм х 750мм шт.</t>
  </si>
  <si>
    <r>
      <rPr>
        <sz val="10"/>
        <color theme="1"/>
        <rFont val="Times New Roman"/>
      </rPr>
      <t>Каркас верстака выполнен из металлической профильной трубы, сечением 40х40 мм, при толщине стенки 1,5 мм. Столешница выполнена из клеенного деревянного бруса, толщиной 45 мм, покрыта защитным слоем из бесцветного лака. Конструкция установлена на 4х колесах, диаметром 45 мм, при этом 2 из них оснащены системы блокировки.</t>
    </r>
  </si>
  <si>
    <r>
      <rPr>
        <sz val="10"/>
        <color rgb="FF000000"/>
        <rFont val="Times New Roman"/>
      </rPr>
      <t xml:space="preserve">521-301-2901-0035 - Верстак
</t>
    </r>
    <r>
      <rPr>
        <sz val="10"/>
        <color rgb="FF000000"/>
        <rFont val="Times New Roman"/>
      </rPr>
      <t>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r>
  </si>
  <si>
    <t>Верстак
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</si>
  <si>
    <r>
      <rPr>
        <sz val="10"/>
        <color theme="1"/>
        <rFont val="Times New Roman"/>
      </rPr>
      <t>Верстак универсальный ученический с защитным экраном. Столешница ДСП 32 мм, облицованный металлическим листом толщиной не более 1,2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r>
  </si>
  <si>
    <r>
      <rPr>
        <sz val="10"/>
        <color rgb="FF000000"/>
        <rFont val="Times New Roman"/>
      </rPr>
      <t xml:space="preserve">521-301-2901-0036 - Верстак
</t>
    </r>
    <r>
      <rPr>
        <sz val="10"/>
        <color rgb="FF000000"/>
        <rFont val="Times New Roman"/>
      </rPr>
      <t>универсальный ученический с защитным экраном и полкой, столешница из фанеры 30 мм, каркас из стального профиля, размер 1000х500х860мм</t>
    </r>
  </si>
  <si>
    <t>Верстак
универсальный ученический с защитным экраном и полкой, столешница из фанеры 30 мм, каркас из стального профиля, размер 1000х500х860мм</t>
  </si>
  <si>
    <r>
      <rPr>
        <sz val="10"/>
        <color theme="1"/>
        <rFont val="Times New Roman"/>
      </rPr>
      <t>Верстак универсальный ученический с защитным экраном. 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r>
  </si>
  <si>
    <r>
      <rPr>
        <sz val="10"/>
        <color rgb="FF000000"/>
        <rFont val="Times New Roman"/>
      </rPr>
      <t xml:space="preserve">521-301-2901-0037 - Верстак
</t>
    </r>
    <r>
      <rPr>
        <sz val="10"/>
        <color rgb="FF000000"/>
        <rFont val="Times New Roman"/>
      </rPr>
      <t>бестумбовый с полкой, столешница из фанеры 30 мм, каркас из стального профиля, размер 1000х680х860мм</t>
    </r>
  </si>
  <si>
    <t>Верстак
бестумбовый с полкой, столешница из фанеры 30 мм, каркас из стального профиля, размер 1000х680х860мм</t>
  </si>
  <si>
    <r>
      <rPr>
        <sz val="10"/>
        <color theme="1"/>
        <rFont val="Times New Roman"/>
      </rPr>
      <t>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r>
  </si>
  <si>
    <r>
      <rPr>
        <sz val="10"/>
        <color rgb="FF000000"/>
        <rFont val="Times New Roman"/>
      </rPr>
      <t xml:space="preserve">521-301-2902-0001 - Шкаф
</t>
    </r>
    <r>
      <rPr>
        <sz val="10"/>
        <color rgb="FF000000"/>
        <rFont val="Times New Roman"/>
      </rPr>
      <t>инструментальный в комплекте с инструментами по дереву (CraftLab), размер 1000мм х 550мм х 1800мм</t>
    </r>
  </si>
  <si>
    <t>Шкаф
инструментальный в комплекте с инструментами по дереву (CraftLab), размер 1000мм х 550мм х 1800мм</t>
  </si>
  <si>
    <r>
      <rPr>
        <sz val="10"/>
        <color theme="1"/>
        <rFont val="Times New Roman"/>
      </rPr>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r>
  </si>
  <si>
    <r>
      <rPr>
        <sz val="10"/>
        <color rgb="FF000000"/>
        <rFont val="Times New Roman"/>
      </rPr>
      <t xml:space="preserve">521-301-2902-0002 - Шкаф
</t>
    </r>
    <r>
      <rPr>
        <sz val="10"/>
        <color rgb="FF000000"/>
        <rFont val="Times New Roman"/>
      </rPr>
      <t>инструментальный в комплекте с инструментами по металлу (CraftLab), размер 1000мм х 550мм х 1800мм</t>
    </r>
  </si>
  <si>
    <t>Шкаф
инструментальный в комплекте с инструментами по металлу (CraftLab), размер 1000мм х 550мм х 1800мм</t>
  </si>
  <si>
    <r>
      <rPr>
        <sz val="10"/>
        <color theme="1"/>
        <rFont val="Times New Roman"/>
      </rPr>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r>
  </si>
  <si>
    <r>
      <rPr>
        <sz val="10"/>
        <color rgb="FF000000"/>
        <rFont val="Times New Roman"/>
      </rPr>
      <t xml:space="preserve">521-301-2902-0003 - Шкаф
</t>
    </r>
    <r>
      <rPr>
        <sz val="10"/>
        <color rgb="FF000000"/>
        <rFont val="Times New Roman"/>
      </rPr>
      <t>инструментальный в комплекте с электроинструментами (CraftLab), размер 1000мм х 550мм х 1800мм</t>
    </r>
  </si>
  <si>
    <t>Шкаф
инструментальный в комплекте с электроинструментами (CraftLab), размер 1000мм х 550мм х 1800мм</t>
  </si>
  <si>
    <r>
      <rPr>
        <sz val="10"/>
        <color theme="1"/>
        <rFont val="Times New Roman"/>
      </rPr>
      <t>Шкаф выполнен из ЛДСП, толщиной 16 мм, кромка ПВХ. Каждый инструмент установлен в специализированное под инструмент место, выполненное из фанеры, окрашенной в бесцветный лак. На каждый инструмент установлена табличка с названием инструмента на казахском языке(латиница), также имеется иконка с иллюстрацией инструмента.</t>
    </r>
  </si>
  <si>
    <r>
      <rPr>
        <sz val="10"/>
        <color theme="1"/>
        <rFont val="Times New Roman"/>
      </rPr>
      <t>521-301-2903 - Станок сверлильный по металлу</t>
    </r>
  </si>
  <si>
    <r>
      <rPr>
        <sz val="10"/>
        <color theme="1"/>
        <rFont val="Times New Roman"/>
      </rPr>
      <t>Напряжение не менее 220 В.  Потребляемая мощность: не менее 0,35 кВт. Частота вращения шпинделя: не менее 220-2450 об/мин. Максимальный диаметр зажима для сверления: не менее 13 мм. Ход шпинделя: не менее 60 мм. Максимальное расстояние от шпинделя до стола: не менее 340 мм.</t>
    </r>
  </si>
  <si>
    <r>
      <rPr>
        <sz val="10"/>
        <color theme="1"/>
        <rFont val="Times New Roman"/>
      </rPr>
      <t>521-301-2904-0001 - Подставка под сверлильный станок 600х500х800мм</t>
    </r>
  </si>
  <si>
    <t>Подставка под сверлильный станок 600х500х800мм</t>
  </si>
  <si>
    <r>
      <rPr>
        <sz val="10"/>
        <color rgb="FF000000"/>
        <rFont val="Times New Roman"/>
      </rPr>
      <t xml:space="preserve">Подставка под сверлильный станок . Основа конструкции – металлический каркас из профильной трубы сечением 40 х 40 мм. Для дополнительного укрепления ножки должны быть соединены между собой профильной трубой сечением 40 х 20 мм. Размер подставки должен быть не менее 600 х 500 х 800 мм. Размер подставки должен соответствовать размерам сверлильного станка. Внизу должна быть предусмотрена полка.
</t>
    </r>
    <r>
      <rPr>
        <sz val="10"/>
        <color rgb="FF000000"/>
        <rFont val="Times New Roman"/>
      </rPr>
      <t>Столешница должна быть изготовлена из фанеры толщиной не менее 15 мм и покрыта матовым лаком.</t>
    </r>
  </si>
  <si>
    <r>
      <rPr>
        <sz val="10"/>
        <color theme="1"/>
        <rFont val="Times New Roman"/>
      </rPr>
      <t>521-301-2904-0002 - Подставка под сверлильный станок (CraftLab), размер 500мм х 500мм х 700мм</t>
    </r>
  </si>
  <si>
    <t>Подставка под сверлильный станок (CraftLab), размер 500мм х 500мм х 700мм</t>
  </si>
  <si>
    <r>
      <rPr>
        <sz val="10"/>
        <color theme="1"/>
        <rFont val="Times New Roman"/>
      </rPr>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r>
  </si>
  <si>
    <r>
      <rPr>
        <sz val="10"/>
        <color rgb="FF000000"/>
        <rFont val="Times New Roman"/>
      </rPr>
      <t xml:space="preserve">521-301-2904-0003 - Стол со
</t>
    </r>
    <r>
      <rPr>
        <sz val="10"/>
        <color rgb="FF000000"/>
        <rFont val="Times New Roman"/>
      </rPr>
      <t>столешницей из ЛДСП 32мм и каркасом из стального профиля, размер 700х700х750мм</t>
    </r>
  </si>
  <si>
    <t>Стол со
столешницей из ЛДСП 32мм и каркасом из стального профиля, размер 700х700х750мм</t>
  </si>
  <si>
    <r>
      <rPr>
        <sz val="10"/>
        <color theme="1"/>
        <rFont val="Times New Roman"/>
      </rPr>
      <t>Каркас изготовлен из стального профиля 40х40 мм (толщина 1,2 мм), покраска полимерно-порошковая. Столешница  ЛДСП 32 мм, торцы закатаны кромочным материалом ПВХ 1,5 мм.</t>
    </r>
  </si>
  <si>
    <r>
      <rPr>
        <sz val="10"/>
        <color rgb="FF000000"/>
        <rFont val="Times New Roman"/>
      </rPr>
      <t xml:space="preserve">521-301-2905-0001 - Станок
</t>
    </r>
    <r>
      <rPr>
        <sz val="10"/>
        <color rgb="FF000000"/>
        <rFont val="Times New Roman"/>
      </rPr>
      <t>токарный по металлу</t>
    </r>
  </si>
  <si>
    <t>Станок
токарный по металлу</t>
  </si>
  <si>
    <r>
      <rPr>
        <sz val="10"/>
        <color theme="1"/>
        <rFont val="Times New Roman"/>
      </rPr>
      <t>Станок токарный. Должен быть предназначен для обработки изделий из стали, древесины, пластика. Технические характеристики: напряжение не менее 220 В,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100-1200 об/мин., диаметр проходного отверстия шпинделя не менее 10 мм, размер резца не менее 8х8 мм, ход поперечного суппорта не менее 50 мм. В комплекте должно быть не менее: 3-х кулачковый патрон, невращающийся центр, защитный экран патрона, защитная задняя стенка, резиновые опоры для установки станка.</t>
    </r>
  </si>
  <si>
    <r>
      <rPr>
        <sz val="10"/>
        <color rgb="FF000000"/>
        <rFont val="Times New Roman"/>
      </rPr>
      <t xml:space="preserve">521-301-2905-0002 - Станок
</t>
    </r>
    <r>
      <rPr>
        <sz val="10"/>
        <color rgb="FF000000"/>
        <rFont val="Times New Roman"/>
      </rPr>
      <t>токарный по металлу типа MetalCraft Pro 591488</t>
    </r>
  </si>
  <si>
    <t>Станок
токарный по металлу типа MetalCraft Pro 591488</t>
  </si>
  <si>
    <r>
      <rPr>
        <sz val="10"/>
        <color theme="1"/>
        <rFont val="Times New Roman"/>
      </rPr>
      <t>Оснащен бесщеточным двигателем мощностью не менее 700 Вт, напряжение 220 В. Расстояние между центрами не менее 400 мм, диаметр вращения не более 210 мм, малый ход перевозки не менее 40 мм. Конус шпинделя - MT5, диаметр главного вала через отверстие не более 40 мм, диаметр патрона не менее 100 мм. Переключение передач осуществляется бесступенчато, а диапазон скорости шпинделя варьируется не менее от 100 до 2000 об/мин. Конус хвостовика - MT2.</t>
    </r>
  </si>
  <si>
    <r>
      <rPr>
        <sz val="10"/>
        <color theme="1"/>
        <rFont val="Times New Roman"/>
      </rPr>
      <t>521-301-2906-0002 - Подставка под токарный станок (CraftLab), размер 1100мм х 550мм х 600мм</t>
    </r>
  </si>
  <si>
    <r>
      <rPr>
        <sz val="10"/>
        <color theme="1"/>
        <rFont val="Times New Roman"/>
      </rPr>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r>
  </si>
  <si>
    <r>
      <rPr>
        <sz val="10"/>
        <color rgb="FF000000"/>
        <rFont val="Times New Roman"/>
      </rPr>
      <t xml:space="preserve">521-301-2907-0001 - Станок
</t>
    </r>
    <r>
      <rPr>
        <sz val="10"/>
        <color rgb="FF000000"/>
        <rFont val="Times New Roman"/>
      </rPr>
      <t>комбинированный деревообрабатывающий</t>
    </r>
  </si>
  <si>
    <t>Станок
комбинированный деревообрабатывающий</t>
  </si>
  <si>
    <r>
      <rPr>
        <sz val="10"/>
        <color theme="1"/>
        <rFont val="Times New Roman"/>
      </rPr>
      <t>Станок деревообрабатывающий комбинированный: Оснащен 3 ножами для обработки древесины, работает при номинальном напряжении 220 В и частоте 50 Гц. Максимальная глубина строгания, или фугования, составляет не менее 3 мм, а максимальная ширина строгания не более 270 мм. Станок обладает максимальной мощностью не менее 1200 Вт и оснащен асинхронным электродвигателем. Функции пиления: продольное, поперечное, под углом. Эти характеристики обеспечивают высокую производительность и точность.</t>
    </r>
  </si>
  <si>
    <r>
      <rPr>
        <sz val="10"/>
        <color rgb="FF000000"/>
        <rFont val="Times New Roman"/>
      </rPr>
      <t xml:space="preserve">521-301-2907-0002 - Станок
</t>
    </r>
    <r>
      <rPr>
        <sz val="10"/>
        <color rgb="FF000000"/>
        <rFont val="Times New Roman"/>
      </rPr>
      <t>деревообрабатывающий комбинированный типа WoodMaster Combo 145182</t>
    </r>
  </si>
  <si>
    <t>Станок
деревообрабатывающий комбинированный типа WoodMaster Combo 145182</t>
  </si>
  <si>
    <r>
      <rPr>
        <sz val="10"/>
        <color theme="1"/>
        <rFont val="Times New Roman"/>
      </rPr>
      <t>Оснащен 3 ножами для обработки древесины. Номинальное напряжение 220 В, частота 50 Гц. Максимальная глубина строгания или фугования, составляет не менее 3 мм, а максимальная ширина строгания не менее 80 мм. Станок обладает максимальной мощностью не менее 800 Вт и оснащен асинхронным электродвигателем. Функции пиления: продольное, поперечное, под углом.</t>
    </r>
  </si>
  <si>
    <r>
      <rPr>
        <sz val="10"/>
        <color theme="1"/>
        <rFont val="Times New Roman"/>
      </rPr>
      <t>521-301-2907-0003 - Комбо станок - дробилка экструдер типа ShredXpress DuoTech</t>
    </r>
  </si>
  <si>
    <t>Комбо станок</t>
  </si>
  <si>
    <t>дробилка экструдер типа ShredXpress DuoTech</t>
  </si>
  <si>
    <r>
      <rPr>
        <sz val="10"/>
        <color rgb="FF000000"/>
        <rFont val="Times New Roman"/>
      </rPr>
      <t xml:space="preserve">Дробилка для пластиковых отходов с разнообразными режимами измельчения
</t>
    </r>
    <r>
      <rPr>
        <sz val="10"/>
        <color rgb="FF000000"/>
        <rFont val="Times New Roman"/>
      </rPr>
      <t xml:space="preserve">Экструдер для обработки пластиковой массы и создания пластиковой пасты или гранул
</t>
    </r>
    <r>
      <rPr>
        <sz val="10"/>
        <color rgb="FF000000"/>
        <rFont val="Times New Roman"/>
      </rPr>
      <t xml:space="preserve">Набор сменных насадок и инструментов для различных видов обработки пластика
</t>
    </r>
    <r>
      <rPr>
        <sz val="10"/>
        <color rgb="FF000000"/>
        <rFont val="Times New Roman"/>
      </rPr>
      <t xml:space="preserve">Руководство по установке, настройке и использованию комбо ShredXpress DuoTech
</t>
    </r>
    <r>
      <rPr>
        <sz val="10"/>
        <color rgb="FF000000"/>
        <rFont val="Times New Roman"/>
      </rPr>
      <t xml:space="preserve">Безопасные механизмы и защитные элементы для работы с оборудованием Лицензионное программное обеспечение для контроля и управления процессами дробления и экструзии
</t>
    </r>
    <r>
      <rPr>
        <sz val="10"/>
        <color rgb="FF000000"/>
        <rFont val="Times New Roman"/>
      </rPr>
      <t xml:space="preserve">Тип дробилки: Мощное оборудование для измельчения пластиковых отходов.
</t>
    </r>
    <r>
      <rPr>
        <sz val="10"/>
        <color rgb="FF000000"/>
        <rFont val="Times New Roman"/>
      </rPr>
      <t xml:space="preserve">Режимы измельчения: Несколько режимов измельчения для получения различных степеней крошки.
</t>
    </r>
    <r>
      <rPr>
        <sz val="10"/>
        <color rgb="FF000000"/>
        <rFont val="Times New Roman"/>
      </rPr>
      <t xml:space="preserve">Производительность: Высокая производительность обработки пластика на мелкую крошку.
</t>
    </r>
    <r>
      <rPr>
        <sz val="10"/>
        <color rgb="FF000000"/>
        <rFont val="Times New Roman"/>
      </rPr>
      <t xml:space="preserve">Материалы: Способность обрабатывать разнообразные типы пластиков. Размер входных отходов: Допустимые размеры входных пластиковых изделий.
</t>
    </r>
    <r>
      <rPr>
        <sz val="10"/>
        <color rgb="FF000000"/>
        <rFont val="Times New Roman"/>
      </rPr>
      <t>Безопасность: Встроенные механизмы безопасности для предотвращения аварийных ситуаций.</t>
    </r>
  </si>
  <si>
    <r>
      <rPr>
        <sz val="10"/>
        <color theme="1"/>
        <rFont val="Times New Roman"/>
      </rPr>
      <t>521-301-2908-0001 - Подставка под деревообрабатывающий станок (CraftLab), размер 600мм х 500мм х 400мм</t>
    </r>
  </si>
  <si>
    <r>
      <rPr>
        <sz val="10"/>
        <color theme="1"/>
        <rFont val="Times New Roman"/>
      </rPr>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 Конструкция установлена на регулируемых пластиковых ножках.</t>
    </r>
  </si>
  <si>
    <r>
      <rPr>
        <sz val="10"/>
        <color theme="1"/>
        <rFont val="Times New Roman"/>
      </rPr>
      <t>521-301-2908-0002 - Подставка под мини-станки (CraftLab), размер 1200мм х 600мм х 1200мм</t>
    </r>
  </si>
  <si>
    <r>
      <rPr>
        <sz val="10"/>
        <color theme="1"/>
        <rFont val="Times New Roman"/>
      </rPr>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t>
    </r>
  </si>
  <si>
    <r>
      <rPr>
        <sz val="10"/>
        <color rgb="FF000000"/>
        <rFont val="Times New Roman"/>
      </rPr>
      <t xml:space="preserve">521-301-2908-0003 - Стол для
</t>
    </r>
    <r>
      <rPr>
        <sz val="10"/>
        <color rgb="FF000000"/>
        <rFont val="Times New Roman"/>
      </rPr>
      <t>обработки материала типа Craft Lab</t>
    </r>
  </si>
  <si>
    <t>Стол для
обработки материала типа Craft Lab</t>
  </si>
  <si>
    <r>
      <rPr>
        <sz val="10"/>
        <color rgb="FF000000"/>
        <rFont val="Times New Roman"/>
      </rPr>
      <t xml:space="preserve">Дополнительные модули или плоскости для разных видов работы (по выбору)
</t>
    </r>
    <r>
      <rPr>
        <sz val="10"/>
        <color rgb="FF000000"/>
        <rFont val="Times New Roman"/>
      </rPr>
      <t xml:space="preserve">Встроенные полки и ящики для удобного хранения материалов и инструментов
</t>
    </r>
    <r>
      <rPr>
        <sz val="10"/>
        <color rgb="FF000000"/>
        <rFont val="Times New Roman"/>
      </rPr>
      <t xml:space="preserve">Инструкция по сборке и использованию стола Возможные комплектующие для регулировки высоты или крепления
</t>
    </r>
    <r>
      <rPr>
        <sz val="10"/>
        <color rgb="FF000000"/>
        <rFont val="Times New Roman"/>
      </rPr>
      <t xml:space="preserve">аксессуаров
</t>
    </r>
    <r>
      <rPr>
        <sz val="10"/>
        <color rgb="FF000000"/>
        <rFont val="Times New Roman"/>
      </rPr>
      <t>Столешница клееный брус, толщинй 45 мм, корпус металлическая труба 40х40 мм, габариты 1200 х 600 х 750 мм</t>
    </r>
  </si>
  <si>
    <r>
      <rPr>
        <sz val="10"/>
        <color theme="1"/>
        <rFont val="Times New Roman"/>
      </rPr>
      <t>521-301-2908-0004 - Craftlab типті станоктарға арналған арнайы үстел</t>
    </r>
  </si>
  <si>
    <r>
      <rPr>
        <sz val="10"/>
        <color theme="1"/>
        <rFont val="Times New Roman"/>
      </rPr>
      <t>Специализированный стол для станков, размером не менее 600*1200*1050мм (ГxШxВ). Материал: каркас – металл, столешница – клееный брус сосны толщиной не менее 45мм.</t>
    </r>
  </si>
  <si>
    <r>
      <rPr>
        <sz val="10"/>
        <color theme="1"/>
        <rFont val="Times New Roman"/>
      </rPr>
      <t>521-301-2909 - Электроточило с подставкой</t>
    </r>
  </si>
  <si>
    <r>
      <rPr>
        <sz val="10"/>
        <color theme="1"/>
        <rFont val="Times New Roman"/>
      </rPr>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r>
  </si>
  <si>
    <r>
      <rPr>
        <sz val="10"/>
        <color rgb="FF000000"/>
        <rFont val="Times New Roman"/>
      </rPr>
      <t xml:space="preserve">521-301-2910 - Лобзик
</t>
    </r>
    <r>
      <rPr>
        <sz val="10"/>
        <color rgb="FF000000"/>
        <rFont val="Times New Roman"/>
      </rPr>
      <t>электрический</t>
    </r>
  </si>
  <si>
    <t>Лобзик
электрический</t>
  </si>
  <si>
    <r>
      <rPr>
        <sz val="10"/>
        <color theme="1"/>
        <rFont val="Times New Roman"/>
      </rPr>
      <t>Электроинструмент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t>
    </r>
  </si>
  <si>
    <r>
      <rPr>
        <sz val="10"/>
        <color theme="1"/>
        <rFont val="Times New Roman"/>
      </rPr>
      <t>521-301-2911 - Дрель-шуруповерт аккумуляторная</t>
    </r>
  </si>
  <si>
    <r>
      <rPr>
        <sz val="10"/>
        <color theme="1"/>
        <rFont val="Times New Roman"/>
      </rPr>
      <t>Дрель-шуруповерт аккумуляторная: компактный и легкий дизайн, идеальна для сверления и закручивания в различных материалах.</t>
    </r>
  </si>
  <si>
    <r>
      <rPr>
        <sz val="10"/>
        <color theme="1"/>
        <rFont val="Times New Roman"/>
      </rPr>
      <t>521-301-2912 - Машина угловая шлифовальная</t>
    </r>
  </si>
  <si>
    <r>
      <rPr>
        <sz val="10"/>
        <color theme="1"/>
        <rFont val="Times New Roman"/>
      </rPr>
      <t>Шлифовальная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t>
    </r>
  </si>
  <si>
    <r>
      <rPr>
        <sz val="10"/>
        <color theme="1"/>
        <rFont val="Times New Roman"/>
      </rPr>
      <t>521-301-2914 - Прибор для выжигания</t>
    </r>
  </si>
  <si>
    <r>
      <rPr>
        <sz val="10"/>
        <color theme="1"/>
        <rFont val="Times New Roman"/>
      </rPr>
      <t>Прибор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t>
    </r>
  </si>
  <si>
    <r>
      <rPr>
        <sz val="10"/>
        <color rgb="FF000000"/>
        <rFont val="Times New Roman"/>
      </rPr>
      <t xml:space="preserve">521-301-2918-0001 -
</t>
    </r>
    <r>
      <rPr>
        <sz val="10"/>
        <color rgb="FF000000"/>
        <rFont val="Times New Roman"/>
      </rPr>
      <t>Перфорированная доска для подвешивания инструментов Pegboard для хранения и переноса инструментов типа CraftLab</t>
    </r>
  </si>
  <si>
    <t>521-301-2918-0001 -
Перфорированная доска для подвешивания инструментов Pegboard для хранения и переноса инструментов типа CraftLab</t>
  </si>
  <si>
    <r>
      <rPr>
        <sz val="10"/>
        <color rgb="FF000000"/>
        <rFont val="Times New Roman"/>
      </rPr>
      <t xml:space="preserve">Pegboard для хранения и переноса инструментов. Наружные панели выполнены из металла, внутренняя панель выполнена из ЛДСП, толщиной 16 мм. Мобильная для передвижения.
</t>
    </r>
    <r>
      <rPr>
        <sz val="10"/>
        <color rgb="FF000000"/>
        <rFont val="Times New Roman"/>
      </rPr>
      <t>Перфорированная доска для подвешивания инструментов Pegboard для хранения и переноса инструментов типа CraftLab, каркас выполнен из металлической профильной трубы 40х20 мм, окрашенной в порошковую краску. Доска выполнена из ЛДСП, на которой закреплены перфорированные панели, предназначенные для подвешивания инструментов. Габариты: 1800x1100x50/500мм (нижние ножки)</t>
    </r>
  </si>
  <si>
    <r>
      <rPr>
        <sz val="10"/>
        <color rgb="FF000000"/>
        <rFont val="Times New Roman"/>
      </rPr>
      <t xml:space="preserve">521-301-2918-0002 - Панель
</t>
    </r>
    <r>
      <rPr>
        <sz val="10"/>
        <color rgb="FF000000"/>
        <rFont val="Times New Roman"/>
      </rPr>
      <t>перфорированная 2100х300х1200мм</t>
    </r>
  </si>
  <si>
    <t>Панель
перфорированная 2100х300х1200мм</t>
  </si>
  <si>
    <r>
      <rPr>
        <sz val="10"/>
        <color theme="1"/>
        <rFont val="Times New Roman"/>
      </rPr>
      <t>Металлический каркас изготовлен из квадратного профиля 30х30х2 мм, а перфорированные панели чисто и ровно нарезаны из листового металла толщиной 2 мм. Изделия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t>
    </r>
  </si>
  <si>
    <r>
      <rPr>
        <sz val="10"/>
        <color theme="1"/>
        <rFont val="Times New Roman"/>
      </rPr>
      <t>521-301-2954 - Штангенциркуль</t>
    </r>
  </si>
  <si>
    <r>
      <rPr>
        <sz val="10"/>
        <color theme="1"/>
        <rFont val="Times New Roman"/>
      </rPr>
      <t>Штангенциркуль: измерительный инструмент с точностью до 0,02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t>
    </r>
  </si>
  <si>
    <r>
      <rPr>
        <sz val="10"/>
        <color theme="1"/>
        <rFont val="Times New Roman"/>
      </rPr>
      <t>521-301-2959 - Мультиметр цифровой</t>
    </r>
  </si>
  <si>
    <r>
      <rPr>
        <sz val="10"/>
        <color theme="1"/>
        <rFont val="Times New Roman"/>
      </rPr>
      <t>Функционально мультиметр заменяет несколько измерительных устройств: вольтметр, амперметр, омметр. Прибор оснащен дисплеем, отображающим результат измерений. Комплектуется щупами с проводами.</t>
    </r>
  </si>
  <si>
    <r>
      <rPr>
        <sz val="10"/>
        <color rgb="FF000000"/>
        <rFont val="Times New Roman"/>
      </rPr>
      <t xml:space="preserve">521-301-2964-0001 - Станок с ЧПУ
</t>
    </r>
    <r>
      <rPr>
        <sz val="10"/>
        <color rgb="FF000000"/>
        <rFont val="Times New Roman"/>
      </rPr>
      <t>для фигурной резки пенопласта с расходниками типа Form Carve CNC</t>
    </r>
  </si>
  <si>
    <t>Станок с ЧПУ
для фигурной резки пенопласта с расходниками типа Form Carve CNC</t>
  </si>
  <si>
    <r>
      <rPr>
        <sz val="10"/>
        <color rgb="FF000000"/>
        <rFont val="Times New Roman"/>
      </rPr>
      <t xml:space="preserve">Размер рабочего поля - 0,7*0,7*0,7 м. Длина режущих струн - 0,7.
</t>
    </r>
    <r>
      <rPr>
        <sz val="10"/>
        <color rgb="FF000000"/>
        <rFont val="Times New Roman"/>
      </rPr>
      <t>Количество нитей - 1. Мощность потребления - 300 Вт. Файловый формат - PLT, DXF, STL</t>
    </r>
  </si>
  <si>
    <r>
      <rPr>
        <sz val="10"/>
        <color rgb="FF000000"/>
        <rFont val="Times New Roman"/>
      </rPr>
      <t xml:space="preserve">521-301-2966-0001 - Пылесос
</t>
    </r>
    <r>
      <rPr>
        <sz val="10"/>
        <color rgb="FF000000"/>
        <rFont val="Times New Roman"/>
      </rPr>
      <t>индустриальный</t>
    </r>
  </si>
  <si>
    <t>Пылесос
индустриальный</t>
  </si>
  <si>
    <r>
      <rPr>
        <sz val="10"/>
        <color theme="1"/>
        <rFont val="Times New Roman"/>
      </rPr>
      <t>Источник питания: Шнуровой  Потребляемая мощность: не менее 900 Вт. Объем пылесборника: не менее 10 л. Длина шланга: не менее 1м. Длина шнура питания: не менее 5м. Насадки и принадлежности: В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t>
    </r>
  </si>
  <si>
    <r>
      <rPr>
        <sz val="10"/>
        <color rgb="FF000000"/>
        <rFont val="Times New Roman"/>
      </rPr>
      <t xml:space="preserve">521-301-2967-0001 - Станок
</t>
    </r>
    <r>
      <rPr>
        <sz val="10"/>
        <color rgb="FF000000"/>
        <rFont val="Times New Roman"/>
      </rPr>
      <t>фрезерно-гравировальный с ЧПУ для дизайна и технологий типа TechGenius Pro 370891</t>
    </r>
  </si>
  <si>
    <t>Станок
фрезерно-гравировальный с ЧПУ для дизайна и технологий типа TechGenius Pro 370891</t>
  </si>
  <si>
    <r>
      <rPr>
        <sz val="10"/>
        <color theme="1"/>
        <rFont val="Times New Roman"/>
      </rPr>
      <t>Оснащен мощным двигателем не менее 1000 оборотов в минуту скорость вращения, имеет регулируемые направляющие, охлаждающую систему. Максимальная толщина заготовки не более 1мм и размер заготовки не более 20мм. Возможность регулировки скорости вращения и глубины фрезеровки. ЧПУ станок в комплекте с фрезами для шпинделя и блоком управления</t>
    </r>
  </si>
  <si>
    <r>
      <rPr>
        <sz val="10"/>
        <color rgb="FF000000"/>
        <rFont val="Times New Roman"/>
      </rPr>
      <t xml:space="preserve">521-301-2967-0002 - Система
</t>
    </r>
    <r>
      <rPr>
        <sz val="10"/>
        <color rgb="FF000000"/>
        <rFont val="Times New Roman"/>
      </rPr>
      <t>безопасности с фрезерным станком типа Craft Mill</t>
    </r>
  </si>
  <si>
    <t>Система
безопасности с фрезерным станком типа Craft Mill</t>
  </si>
  <si>
    <r>
      <rPr>
        <sz val="10"/>
        <color rgb="FF000000"/>
        <rFont val="Times New Roman"/>
      </rPr>
      <t xml:space="preserve">Система безопасности с фрезерным станком. Портал - конструкционный алюминиевый профиль, стальные пластины. Стол - конструкционный алюминиевый профиль, лист МДФ. Привод - шаговые двигатели. Передачи
</t>
    </r>
    <r>
      <rPr>
        <sz val="10"/>
        <color rgb="FF000000"/>
        <rFont val="Times New Roman"/>
      </rPr>
      <t xml:space="preserve">- ременная передача по осям X и Y, винтовая передача по оси Z. Скорость перемещения - по осям X и Y 12000 мм/мин, по оси Z 600 мм/мин.
</t>
    </r>
    <r>
      <rPr>
        <sz val="10"/>
        <color rgb="FF000000"/>
        <rFont val="Times New Roman"/>
      </rPr>
      <t xml:space="preserve">Электрическая часть - буксируемые гибкие кабель-каналы, сигнальный кабель. Подключение - USB порт. Питание - 220 В/50 Гц. Точность позиционирования +/- 0.2 мм. Формат совместимых файлов - G-код, nc, ncc, ngc, tap, txt. Станок оснащен функциональной стол-системой безопасности с
</t>
    </r>
    <r>
      <rPr>
        <sz val="10"/>
        <color rgb="FF000000"/>
        <rFont val="Times New Roman"/>
      </rPr>
      <t>открывающейся вверх дверцей.</t>
    </r>
  </si>
  <si>
    <r>
      <rPr>
        <sz val="10"/>
        <color rgb="FF000000"/>
        <rFont val="Times New Roman"/>
      </rPr>
      <t xml:space="preserve">521-301-2967-0003 - Станок с ЧПУ с
</t>
    </r>
    <r>
      <rPr>
        <sz val="10"/>
        <color rgb="FF000000"/>
        <rFont val="Times New Roman"/>
      </rPr>
      <t xml:space="preserve">возможностями лазерной гравировки, фрезеровки и
</t>
    </r>
    <r>
      <rPr>
        <sz val="10"/>
        <color rgb="FF000000"/>
        <rFont val="Times New Roman"/>
      </rPr>
      <t>3D-печати типа CNC MasterLab 3-in-1 Laser Nova</t>
    </r>
  </si>
  <si>
    <t>Станок с ЧПУ с
возможностями лазерной гравировки, фрезеровки и
3D-печати типа CNC MasterLab 3-in-1 Laser Nova</t>
  </si>
  <si>
    <r>
      <rPr>
        <sz val="10"/>
        <color rgb="FF000000"/>
        <rFont val="Times New Roman"/>
      </rPr>
      <t xml:space="preserve">Лазерная головка для гравировки.
</t>
    </r>
    <r>
      <rPr>
        <sz val="10"/>
        <color rgb="FF000000"/>
        <rFont val="Times New Roman"/>
      </rPr>
      <t xml:space="preserve">Фрезерный модуль. 3D-печатная головка.
</t>
    </r>
    <r>
      <rPr>
        <sz val="10"/>
        <color rgb="FF000000"/>
        <rFont val="Times New Roman"/>
      </rPr>
      <t xml:space="preserve">Программное обеспечение для управления и дизайна.
</t>
    </r>
    <r>
      <rPr>
        <sz val="10"/>
        <color rgb="FF000000"/>
        <rFont val="Times New Roman"/>
      </rPr>
      <t xml:space="preserve">Инструкция по эксплуатации.
</t>
    </r>
    <r>
      <rPr>
        <sz val="10"/>
        <color rgb="FF000000"/>
        <rFont val="Times New Roman"/>
      </rPr>
      <t xml:space="preserve">Тип устройства: Станок с ЧПУ (числовым программным управлением) для образовательных целей.
</t>
    </r>
    <r>
      <rPr>
        <sz val="10"/>
        <color rgb="FF000000"/>
        <rFont val="Times New Roman"/>
      </rPr>
      <t xml:space="preserve">Функциональность: Объединяет возможности лазерной гравировки, фрезеровки и 3D-печати в одном устройстве.
</t>
    </r>
    <r>
      <rPr>
        <sz val="10"/>
        <color rgb="FF000000"/>
        <rFont val="Times New Roman"/>
      </rPr>
      <t xml:space="preserve">Рабочая область: Размер области, в которой выполняются операции лазерной гравировки, фрезеровки и 3D-печати.
</t>
    </r>
    <r>
      <rPr>
        <sz val="10"/>
        <color rgb="FF000000"/>
        <rFont val="Times New Roman"/>
      </rPr>
      <t xml:space="preserve">Материалы: Поддерживаемые материалы для лазерной гравировки, фрезеровки и 3D-печати.
</t>
    </r>
    <r>
      <rPr>
        <sz val="10"/>
        <color rgb="FF000000"/>
        <rFont val="Times New Roman"/>
      </rPr>
      <t xml:space="preserve">Управление: ЧПУ с программным обеспечением для создания и выполнения операций.
</t>
    </r>
    <r>
      <rPr>
        <sz val="10"/>
        <color rgb="FF000000"/>
        <rFont val="Times New Roman"/>
      </rPr>
      <t xml:space="preserve">Точность: Высокая точность выполнения операций для обеспечения качественных результатов.
</t>
    </r>
    <r>
      <rPr>
        <sz val="10"/>
        <color rgb="FF000000"/>
        <rFont val="Times New Roman"/>
      </rPr>
      <t xml:space="preserve">Дополнительные функции: Возможность создания и редактирования дизайнов, настройка параметров работы и т.д.
</t>
    </r>
    <r>
      <rPr>
        <sz val="10"/>
        <color rgb="FF000000"/>
        <rFont val="Times New Roman"/>
      </rPr>
      <t xml:space="preserve">Подключение: Возможность подключения к компьютеру для загрузки файлов и управления.
</t>
    </r>
    <r>
      <rPr>
        <sz val="10"/>
        <color rgb="FF000000"/>
        <rFont val="Times New Roman"/>
      </rPr>
      <t xml:space="preserve">Рабочая область: не менее 200 x200 мм.
</t>
    </r>
    <r>
      <rPr>
        <sz val="10"/>
        <color rgb="FF000000"/>
        <rFont val="Times New Roman"/>
      </rPr>
      <t xml:space="preserve">Максимальная скорость: 100 мм/с. Точность позиционирования: 0,01 мм.
</t>
    </r>
    <r>
      <rPr>
        <sz val="10"/>
        <color rgb="FF000000"/>
        <rFont val="Times New Roman"/>
      </rPr>
      <t xml:space="preserve">Максимальная высота слоя для 3D-печати: не менее 200 мм.
</t>
    </r>
    <r>
      <rPr>
        <sz val="10"/>
        <color rgb="FF000000"/>
        <rFont val="Times New Roman"/>
      </rPr>
      <t>Мощность лазера для гравировки: не более 5 Вт.</t>
    </r>
  </si>
  <si>
    <r>
      <rPr>
        <sz val="10"/>
        <color rgb="FF000000"/>
        <rFont val="Times New Roman"/>
      </rPr>
      <t xml:space="preserve">521-301-2967-0004 - Станок
</t>
    </r>
    <r>
      <rPr>
        <sz val="10"/>
        <color rgb="FF000000"/>
        <rFont val="Times New Roman"/>
      </rPr>
      <t>гравировальный типа СNС Wegstr</t>
    </r>
  </si>
  <si>
    <t>Станок
гравировальный типа СNС Wegstr</t>
  </si>
  <si>
    <r>
      <rPr>
        <sz val="10"/>
        <color rgb="FF000000"/>
        <rFont val="Times New Roman"/>
      </rPr>
      <t xml:space="preserve">Основное устройство: Фрезерный станок с трехосевым управлением и интегрированной системой ЧПУ.
</t>
    </r>
    <r>
      <rPr>
        <sz val="10"/>
        <color rgb="FF000000"/>
        <rFont val="Times New Roman"/>
      </rPr>
      <t xml:space="preserve">Рабочая платформа: Поверхность для размещения и обработки материалов. Двигатели и оси: Встроенные двигатели и оси для точного перемещения и обработки по осям X, Y, Z.
</t>
    </r>
    <r>
      <rPr>
        <sz val="10"/>
        <color rgb="FF000000"/>
        <rFont val="Times New Roman"/>
      </rPr>
      <t xml:space="preserve">Электронная система ЧПУ: Управляющая плата и программное обеспечение для управления станком.
</t>
    </r>
    <r>
      <rPr>
        <sz val="10"/>
        <color rgb="FF000000"/>
        <rFont val="Times New Roman"/>
      </rPr>
      <t xml:space="preserve">Интерфейс: Поддержка подключения к компьютеру или устройству для управления через программное обеспечение ЧПУ.
</t>
    </r>
    <r>
      <rPr>
        <sz val="10"/>
        <color rgb="FF000000"/>
        <rFont val="Times New Roman"/>
      </rPr>
      <t xml:space="preserve">Инструменты: Комплект фрез и инструментов для обработки различных материалов.
</t>
    </r>
    <r>
      <rPr>
        <sz val="10"/>
        <color rgb="FF000000"/>
        <rFont val="Times New Roman"/>
      </rPr>
      <t xml:space="preserve">Крепежные элементы: Комплект крепежных элементов и зажимов для фиксации обрабатываемых деталей.
</t>
    </r>
    <r>
      <rPr>
        <sz val="10"/>
        <color rgb="FF000000"/>
        <rFont val="Times New Roman"/>
      </rPr>
      <t xml:space="preserve">Дополнительные аксессуары: Дополнительные компоненты для оптимизации работы станка.
</t>
    </r>
    <r>
      <rPr>
        <sz val="10"/>
        <color rgb="FF000000"/>
        <rFont val="Times New Roman"/>
      </rPr>
      <t>Максимальное число оборотов 11 000 оборотов. Мощность 50Вт</t>
    </r>
  </si>
  <si>
    <r>
      <rPr>
        <sz val="10"/>
        <color rgb="FF000000"/>
        <rFont val="Times New Roman"/>
      </rPr>
      <t xml:space="preserve">521-301-2968-0001 - Станок
</t>
    </r>
    <r>
      <rPr>
        <sz val="10"/>
        <color rgb="FF000000"/>
        <rFont val="Times New Roman"/>
      </rPr>
      <t>гравировальный лазерный в комплекте с чиллером и стабилизатором типа LaserPro 958452</t>
    </r>
  </si>
  <si>
    <t>Станок
гравировальный лазерный в комплекте с чиллером и стабилизатором типа LaserPro 958452</t>
  </si>
  <si>
    <r>
      <rPr>
        <sz val="10"/>
        <color theme="1"/>
        <rFont val="Times New Roman"/>
      </rPr>
      <t>Станок оснащен чиллером для охлаждения и стабилизатором для поддержки постоянной мощности лазера. Размер рабочего поля 200х70 мм, мощность лазера 30 Вт, частота работы 0-50 кГц, тип лазера CO2, рабочий стол алюминиевый с Т-образными пазами, система управления контроллер, охлаждение воздушное охлаждение</t>
    </r>
  </si>
  <si>
    <r>
      <rPr>
        <sz val="10"/>
        <color rgb="FF000000"/>
        <rFont val="Times New Roman"/>
      </rPr>
      <t xml:space="preserve">521-301-2968-0002 - Станок
</t>
    </r>
    <r>
      <rPr>
        <sz val="10"/>
        <color rgb="FF000000"/>
        <rFont val="Times New Roman"/>
      </rPr>
      <t>лазерный с ЧПУ типа Laser Nova</t>
    </r>
  </si>
  <si>
    <t>Станок
лазерный с ЧПУ типа Laser Nova</t>
  </si>
  <si>
    <r>
      <rPr>
        <sz val="10"/>
        <color rgb="FF000000"/>
        <rFont val="Times New Roman"/>
      </rPr>
      <t xml:space="preserve">ЧПУ лазерный станок работает с напряжением переменного тока 110-220В
</t>
    </r>
    <r>
      <rPr>
        <sz val="10"/>
        <color rgb="FF000000"/>
        <rFont val="Times New Roman"/>
      </rPr>
      <t>± 10% и частотой 50-60ГЦ. Скорость гравировки может варьироваться от 0 до 500 мм/мин, а толщина гравировки может быть от 0 до 20 мм. Рабочая температура станка составляет от 8 до 45°С, а рабочая влажность - от 5 до 95%. Станок обеспечивает повторную точность позиционирования в пределах ±0.01 мм с разрешением 2500DPI. Он совместим с программным обеспечением, таким как CorelDRAW, Автокад, Фотошоп, лазерный САПР и другими. Станок поддерживает графические форматы, такие как А. и., BMP, DST, DWG, DXF и другие. Он может обрабатывать различные материалы, включая акрил, стекло, кожу, MDF, металл, бумагу, пластик, оргстекло, фанеру, резину, дерево и другие. Станок оснащен помпой для режима охлаждения и имеет дополнительные устройства, такие как вытяжка-улитка и комплект гофр. Управление станком осуществляется с помощью программного обеспечения DSP, а для подключения используется порт USB 2.0. Мощность 60Вт.</t>
    </r>
  </si>
  <si>
    <r>
      <rPr>
        <sz val="10"/>
        <color rgb="FF000000"/>
        <rFont val="Times New Roman"/>
      </rPr>
      <t xml:space="preserve">521-301-2970-0001 - Пистолет
</t>
    </r>
    <r>
      <rPr>
        <sz val="10"/>
        <color rgb="FF000000"/>
        <rFont val="Times New Roman"/>
      </rPr>
      <t>краскораспылитель</t>
    </r>
  </si>
  <si>
    <t>Пистолет
краскораспылитель</t>
  </si>
  <si>
    <r>
      <rPr>
        <sz val="10"/>
        <color rgb="FF000000"/>
        <rFont val="Times New Roman"/>
      </rPr>
      <t xml:space="preserve">Профессиональный аэрограф для покраски моделей
</t>
    </r>
    <r>
      <rPr>
        <sz val="10"/>
        <color rgb="FF000000"/>
        <rFont val="Times New Roman"/>
      </rPr>
      <t xml:space="preserve">Набор разнообразных сопел для настройки ширины линии и плотности распыла
</t>
    </r>
    <r>
      <rPr>
        <sz val="10"/>
        <color rgb="FF000000"/>
        <rFont val="Times New Roman"/>
      </rPr>
      <t xml:space="preserve">Бачок для краски с различными емкостями для адаптации к разным проектам
</t>
    </r>
    <r>
      <rPr>
        <sz val="10"/>
        <color rgb="FF000000"/>
        <rFont val="Times New Roman"/>
      </rPr>
      <t xml:space="preserve">Дополнительные иглы и элементы для регулировки и настройки аэрографа Ключи и инструменты для разборки и обслуживания аэрографа Руководство пользователя с подробными инструкциями по использованию и уходу за аэрографом
</t>
    </r>
    <r>
      <rPr>
        <sz val="10"/>
        <color rgb="FF000000"/>
        <rFont val="Times New Roman"/>
      </rPr>
      <t xml:space="preserve">Тип аэрографа: Профессиональный аэрограф, предназначенный для точной и качественной покраски моделей.
</t>
    </r>
    <r>
      <rPr>
        <sz val="10"/>
        <color rgb="FF000000"/>
        <rFont val="Times New Roman"/>
      </rPr>
      <t xml:space="preserve">Тип питания: Работает на сжатом воздухе или компрессоре.
</t>
    </r>
    <r>
      <rPr>
        <sz val="10"/>
        <color rgb="FF000000"/>
        <rFont val="Times New Roman"/>
      </rPr>
      <t xml:space="preserve">Тип сопла: Разнообразные сопла для настройки ширины линии и плотности распыла.
</t>
    </r>
    <r>
      <rPr>
        <sz val="10"/>
        <color rgb="FF000000"/>
        <rFont val="Times New Roman"/>
      </rPr>
      <t xml:space="preserve">Регулировка: Возможность регулировки давления и расхода краски для точного контроля покрытия.
</t>
    </r>
    <r>
      <rPr>
        <sz val="10"/>
        <color rgb="FF000000"/>
        <rFont val="Times New Roman"/>
      </rPr>
      <t xml:space="preserve">Материал корпуса: Прочный и легкий материал, обеспечивающий долгий срок службы.
</t>
    </r>
    <r>
      <rPr>
        <sz val="10"/>
        <color rgb="FF000000"/>
        <rFont val="Times New Roman"/>
      </rPr>
      <t>Удобство использования: Эргономичный дизайн для комфортной работы в течение длительного времени.</t>
    </r>
  </si>
  <si>
    <r>
      <rPr>
        <sz val="10"/>
        <color theme="1"/>
        <rFont val="Times New Roman"/>
      </rPr>
      <t>521-301-3003-0001 - Стол мойка со смесителем 500х500х850 мм</t>
    </r>
  </si>
  <si>
    <r>
      <rPr>
        <sz val="10"/>
        <color theme="1"/>
        <rFont val="Times New Roman"/>
      </rPr>
      <t>Стол-мойка производственный со смесителем. Размеры 500х500х850мм</t>
    </r>
  </si>
  <si>
    <r>
      <rPr>
        <sz val="10"/>
        <color rgb="FF000000"/>
        <rFont val="Times New Roman"/>
      </rPr>
      <t xml:space="preserve">521-301-3005-0001 - Табурет.
</t>
    </r>
    <r>
      <rPr>
        <sz val="10"/>
        <color rgb="FF000000"/>
        <rFont val="Times New Roman"/>
      </rPr>
      <t>Основание металлокаркас, сиденье из ЛДСП 16мм, размеры 300х300х420мм</t>
    </r>
  </si>
  <si>
    <t>Табурет.
Основание металлокаркас, сиденье из ЛДСП 16мм, размеры 300х300х420мм</t>
  </si>
  <si>
    <r>
      <rPr>
        <sz val="10"/>
        <color theme="1"/>
        <rFont val="Times New Roman"/>
      </rPr>
      <t>Табурет. Основание металлокаркас, сиденье из ЛДСП 16мм, размеры 300х300х420мм</t>
    </r>
  </si>
  <si>
    <r>
      <rPr>
        <sz val="10"/>
        <color theme="1"/>
        <rFont val="Times New Roman"/>
      </rPr>
      <t>521-301-3005-0003 - Табурет, каркас из квадратной профильной трубы, сиденье из ЛДСП 16 мм, размеры 350х350х450 мм</t>
    </r>
  </si>
  <si>
    <r>
      <rPr>
        <sz val="10"/>
        <color theme="1"/>
        <rFont val="Times New Roman"/>
      </rPr>
      <t>Каркас выполнен из квадратной профильной трубы 25х25 мм толщиной не менее 1,2 мм, окрашенной полимерной краской, сидушка 350х350 мм, ЛДСП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t>
    </r>
  </si>
  <si>
    <r>
      <rPr>
        <sz val="10"/>
        <color theme="1"/>
        <rFont val="Times New Roman"/>
      </rPr>
      <t>521-301-3009-0001 - Микроволновая печь</t>
    </r>
  </si>
  <si>
    <r>
      <rPr>
        <sz val="10"/>
        <color theme="1"/>
        <rFont val="Times New Roman"/>
      </rPr>
      <t>Микроволновая печь. Мощность 700Вт, внутренний объем не менее 20л, тип управления механическое</t>
    </r>
  </si>
  <si>
    <r>
      <rPr>
        <sz val="10"/>
        <color rgb="FF000000"/>
        <rFont val="Times New Roman"/>
      </rPr>
      <t xml:space="preserve">521-301-3010 - Чайник
</t>
    </r>
    <r>
      <rPr>
        <sz val="10"/>
        <color rgb="FF000000"/>
        <rFont val="Times New Roman"/>
      </rPr>
      <t>электрический</t>
    </r>
  </si>
  <si>
    <t>Чайник
электрический</t>
  </si>
  <si>
    <r>
      <rPr>
        <sz val="10"/>
        <color theme="1"/>
        <rFont val="Times New Roman"/>
      </rPr>
      <t>Чайник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t>
    </r>
  </si>
  <si>
    <r>
      <rPr>
        <sz val="10"/>
        <color theme="1"/>
        <rFont val="Times New Roman"/>
      </rPr>
      <t>521-301-3012 - Кухонный комбайн</t>
    </r>
  </si>
  <si>
    <r>
      <rPr>
        <sz val="10"/>
        <color theme="1"/>
        <rFont val="Times New Roman"/>
      </rPr>
      <t>Электрическое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t>
    </r>
  </si>
  <si>
    <r>
      <rPr>
        <sz val="10"/>
        <color theme="1"/>
        <rFont val="Times New Roman"/>
      </rPr>
      <t>521-301-3017-0007 - Холодильник, общий объем не менее 94л, однокамерный</t>
    </r>
  </si>
  <si>
    <t>Холодильник, общий объем не менее 94л, однокамерный</t>
  </si>
  <si>
    <r>
      <rPr>
        <sz val="10"/>
        <color theme="1"/>
        <rFont val="Times New Roman"/>
      </rPr>
      <t>Тип холодильника: однокамерный. Общий объем не менее 94л. Класс энергопотребления А+</t>
    </r>
  </si>
  <si>
    <r>
      <rPr>
        <sz val="10"/>
        <color rgb="FF000000"/>
        <rFont val="Times New Roman"/>
      </rPr>
      <t xml:space="preserve">521-301-3018-0001 - Шкаф для
</t>
    </r>
    <r>
      <rPr>
        <sz val="10"/>
        <color rgb="FF000000"/>
        <rFont val="Times New Roman"/>
      </rPr>
      <t>посуды (кухонный гарнитур) 1200х500х1800мм</t>
    </r>
  </si>
  <si>
    <t>Шкаф для
посуды (кухонный гарнитур) 1200х500х1800мм</t>
  </si>
  <si>
    <r>
      <rPr>
        <sz val="10"/>
        <color theme="1"/>
        <rFont val="Times New Roman"/>
      </rPr>
      <t>Навесной шкаф состоит из двух частей (длиной 800 мм и 400 мм) в каждой из которых предусмотрено по одной вставной полке, фасады глухие. В нижней части предусмотрена столешница из постформинга, толщиной 25 мм. Нижняя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Фурнитура: конфирматы, стяжка BLUM, полкодержатель металл.(без пластиковых элементов, ручка 128мм без острых улов, навес мебельный BLUM.</t>
    </r>
  </si>
  <si>
    <r>
      <rPr>
        <sz val="10"/>
        <color rgb="FF000000"/>
        <rFont val="Times New Roman"/>
      </rPr>
      <t xml:space="preserve">521-301-3101-0001 - Стол для труда под швейную машину. Столешница состоит из двух рабочих частей: одна размером 700х500 мм и вторая
</t>
    </r>
    <r>
      <rPr>
        <sz val="10"/>
        <color rgb="FF000000"/>
        <rFont val="Times New Roman"/>
      </rPr>
      <t>- откидная размером 500х500 мм, Столешница ЛДСП 22мм, опоры ЛДСП 16мм.</t>
    </r>
  </si>
  <si>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</si>
  <si>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r>
      <rPr>
        <sz val="10"/>
        <color theme="1"/>
        <rFont val="Times New Roman"/>
      </rPr>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r>
  </si>
  <si>
    <r>
      <rPr>
        <sz val="10"/>
        <color rgb="FF000000"/>
        <rFont val="Times New Roman"/>
      </rPr>
      <t xml:space="preserve">521-301-3101-0002 - Стол под
</t>
    </r>
    <r>
      <rPr>
        <sz val="10"/>
        <color rgb="FF000000"/>
        <rFont val="Times New Roman"/>
      </rPr>
      <t xml:space="preserve">швейную машину. Столешница состоит из двух рабочих частей: одна размером 700х500 мм и вторая
</t>
    </r>
    <r>
      <rPr>
        <sz val="10"/>
        <color rgb="FF000000"/>
        <rFont val="Times New Roman"/>
      </rPr>
      <t>- откидная размером 500х500 мм, столешница МДФ 16 мм, корпус ЛДСП 16мм.</t>
    </r>
  </si>
  <si>
    <t>Стол под
швейную машину. Столешница состоит из двух рабочих частей: одна размером 700х500 мм и вторая
- откидная размером 500х500 мм, столешница МДФ 16 мм, корпус ЛДСП 16мм.</t>
  </si>
  <si>
    <r>
      <rPr>
        <sz val="10"/>
        <color theme="1"/>
        <rFont val="Times New Roman"/>
      </rPr>
      <t>Рабочий стол для швейной машины. Столешница состоит из двух рабочих частей: одна размером 700х500 мм и вторая откидная размером 500х500 мм, материал -  столешница ламинированый МДФ 16 мм, корпус ЛДСП - 16 мм, кромка ПВХ с исполькозованием высокотемпературного клея. В столе имеется 3 выдвижных ящика. Ящики собраны на роликовых направляющих с колесиками. направляющие окрашены порошковой электростатической краской. На ящиках имеются ручки. в соединении дверей корпусной части имеются 2 петли и 1 ручка.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t>
    </r>
  </si>
  <si>
    <r>
      <rPr>
        <sz val="10"/>
        <color rgb="FF000000"/>
        <rFont val="Times New Roman"/>
      </rPr>
      <t xml:space="preserve">521-301-3101-0003 - Стол под
</t>
    </r>
    <r>
      <rPr>
        <sz val="10"/>
        <color rgb="FF000000"/>
        <rFont val="Times New Roman"/>
      </rPr>
      <t>швейную машину 500х800х800 мм. Столешница из ЛДСП 16мм, тумба с выдвижными ящиками, основание металлическое</t>
    </r>
  </si>
  <si>
    <t>Стол под
швейную машину 500х800х800 мм. Столешница из ЛДСП 16мм, тумба с выдвижными ящиками, основание металлическое</t>
  </si>
  <si>
    <r>
      <rPr>
        <sz val="10"/>
        <color rgb="FF000000"/>
        <rFont val="Times New Roman"/>
      </rPr>
      <t xml:space="preserve">Размер 500х800х800мм. Материал корпуса, выдвижных ящиков, столешница из ЛДСП 16 мм, на столещнице присутствует кабельная заглушка.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t>
    </r>
    <r>
      <rPr>
        <sz val="10"/>
        <color rgb="FF000000"/>
        <rFont val="Times New Roman"/>
      </rPr>
      <t xml:space="preserve">стяжки-минификс. На нижней детали ящиков фрезеруется канал, в которую монтируется нижняя МДФ деталь. Для предотвращения воздействия воды и влаги боковые стенки имеют полимерные не регулируемые подпятники.
</t>
    </r>
    <r>
      <rPr>
        <sz val="10"/>
        <color rgb="FF000000"/>
        <rFont val="Times New Roman"/>
      </rPr>
      <t>Металлические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r>
  </si>
  <si>
    <r>
      <rPr>
        <sz val="10"/>
        <color rgb="FF000000"/>
        <rFont val="Times New Roman"/>
      </rPr>
      <t xml:space="preserve">521-301-3101-0005 - Стол под
</t>
    </r>
    <r>
      <rPr>
        <sz val="10"/>
        <color rgb="FF000000"/>
        <rFont val="Times New Roman"/>
      </rPr>
      <t>швейную машину, столешница из 2-х частей, одна - 700х500 мм, вторая - 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r>
  </si>
  <si>
    <t>Стол под
швейную машину, столешница из 2-х частей, одна</t>
  </si>
  <si>
    <t>700х500 мм, вторая</t>
  </si>
  <si>
    <t>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</si>
  <si>
    <r>
      <rPr>
        <sz val="10"/>
        <color rgb="FF000000"/>
        <rFont val="Times New Roman"/>
      </rPr>
      <t xml:space="preserve">Столешница состоит из 2-х частей, одна рабочая размером 700х500 и вторая откидная 500х500 мм. Высота верхнего края столешницы над полом не менее 760 мм. Столешница должна быть из ЛДСП толщиной не менее 22 мм, кромка ПВХ не менее 2 мм. Опоры стола должна быть из ЛДСП толщиной не менее 16мм, кромка ПВХ не менее 0,4 мм. В левой части стола должна быть расположена тумба с 1-ой распашной дверцей, ниже которой располагается выдвижной ящик. Размеры тумбы должны быть, не менее 500х450х730 мм. Задняя стенка из ЛДСП не менее 16 мм. Справа от тумбы расположено рабочие место шириной не менее 680 мм. В верхней части рабочего места под столешницей находится выдвижной ящик для принадлежностей. Размер фасада ящика должен быть не менее 120х700 мм.
</t>
    </r>
    <r>
      <rPr>
        <sz val="10"/>
        <color rgb="FF000000"/>
        <rFont val="Times New Roman"/>
      </rPr>
      <t xml:space="preserve">В качестве фурнитуры для ящиков должны использоваться направляющие полного выдвижения с доводчиком длиной не менее 400 мм. Рабочее место должно быть закрыто с фасадной части двумя царгами шириной 180мм. В качестве фурнитуры крепления должны использоваться конфирматы 6,4х50 мм, стяжка эксцентриковая, шкант буковый 8х30 мм. Фурнитура для открывания крышки стола должна быть с использованием механического
</t>
    </r>
    <r>
      <rPr>
        <sz val="10"/>
        <color rgb="FF000000"/>
        <rFont val="Times New Roman"/>
      </rPr>
      <t>подъёмника, с механизмом предотвращающим инертный сход фасада.</t>
    </r>
  </si>
  <si>
    <r>
      <rPr>
        <sz val="10"/>
        <color rgb="FF000000"/>
        <rFont val="Times New Roman"/>
      </rPr>
      <t xml:space="preserve">521-301-3101-0006 - Стол для
</t>
    </r>
    <r>
      <rPr>
        <sz val="10"/>
        <color rgb="FF000000"/>
        <rFont val="Times New Roman"/>
      </rPr>
      <t>раскроя ткани на колесах, размеры столешницы 1600х1200 мм, толщина ЛДСП 22 мм</t>
    </r>
  </si>
  <si>
    <t>Стол для
раскроя ткани на колесах, размеры столешницы 1600х1200 мм, толщина ЛДСП 22 мм</t>
  </si>
  <si>
    <r>
      <rPr>
        <sz val="10"/>
        <color theme="1"/>
        <rFont val="Times New Roman"/>
      </rPr>
      <t>Высота верхнего края столешницы над уровнем пола должна быть не менее 800 мм. Материал столешницы должен быть ЛДСП, толщиной не менее 22 мм. Кромка из ПВХ не менее 2 мм. Стол изготовлен из ЛДСП толщиной не менее 16 мм. Внутреннее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В центральной части должен быть сквозной проем для удобства хранения и использования ткани и принадлежностей. По ширине стола с 2 сторон должны быть ниши, разделенные горизонтально на 2 одинаковые части. Основание стола должно быть изготовлено из трубы квадратного сечения не менее 25х25 мм, толщиной не менее 1,2 мм, и оснащено не менее 6 колесными опорами для свободного перемещения стола.</t>
    </r>
  </si>
  <si>
    <r>
      <rPr>
        <sz val="10"/>
        <color theme="1"/>
        <rFont val="Times New Roman"/>
      </rPr>
      <t>521-301-3102 - Стол для раскроя ткани. Столешница 32мм, опоры ЛДСП 16мм. Размеры 1000х800мм.</t>
    </r>
  </si>
  <si>
    <t>Стол для раскроя ткани. Столешница 32мм, опоры ЛДСП 16мм. Размеры 1000х800мм.</t>
  </si>
  <si>
    <r>
      <rPr>
        <sz val="10"/>
        <color rgb="FF000000"/>
        <rFont val="Times New Roman"/>
      </rPr>
      <t xml:space="preserve">Стол для раскроя ткани. Столешница ЛДСП 32мм, опоры ЛДСП 16мм.
</t>
    </r>
    <r>
      <rPr>
        <sz val="10"/>
        <color rgb="FF000000"/>
        <rFont val="Times New Roman"/>
      </rPr>
      <t>Размеры 1000х800мм.</t>
    </r>
  </si>
  <si>
    <r>
      <rPr>
        <sz val="10"/>
        <color rgb="FF000000"/>
        <rFont val="Times New Roman"/>
      </rPr>
      <t xml:space="preserve">521-301-3103-0009 - Оверлок
</t>
    </r>
    <r>
      <rPr>
        <sz val="10"/>
        <color rgb="FF000000"/>
        <rFont val="Times New Roman"/>
      </rPr>
      <t>(UniCraft RK-95), размер 470мм х 330мм х 490мм</t>
    </r>
  </si>
  <si>
    <t>Оверлок
(UniCraft RK-95), размер 470мм х 330мм х 490мм</t>
  </si>
  <si>
    <r>
      <rPr>
        <sz val="10"/>
        <color theme="1"/>
        <rFont val="Times New Roman"/>
      </rPr>
      <t>Максимальная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t>
    </r>
  </si>
  <si>
    <r>
      <rPr>
        <sz val="10"/>
        <color theme="1"/>
        <rFont val="Times New Roman"/>
      </rPr>
      <t>521-301-3109-0001 - Станок ткацкий ручной (UniCraft RT -95), размер 385мм х270мм х320мм</t>
    </r>
  </si>
  <si>
    <r>
      <rPr>
        <sz val="10"/>
        <color theme="1"/>
        <rFont val="Times New Roman"/>
      </rPr>
      <t>Материал-дерево, с разборным корпусом,оснащен регулируемыми натяжителями нитей, различными режимами настройки.</t>
    </r>
  </si>
  <si>
    <r>
      <rPr>
        <sz val="10"/>
        <color rgb="FF000000"/>
        <rFont val="Times New Roman"/>
      </rPr>
      <t xml:space="preserve">521-301-3112-0002 - Машина
</t>
    </r>
    <r>
      <rPr>
        <sz val="10"/>
        <color rgb="FF000000"/>
        <rFont val="Times New Roman"/>
      </rPr>
      <t>вышивальная (UniCraft Memory Craft), размер 450мм х 350мм х480мм</t>
    </r>
  </si>
  <si>
    <t>Машина
вышивальная (UniCraft Memory Craft), размер 450мм х 350мм х480мм</t>
  </si>
  <si>
    <r>
      <rPr>
        <sz val="10"/>
        <color theme="1"/>
        <rFont val="Times New Roman"/>
      </rPr>
      <t>Площадь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USB для импорта дополнительных дизайнов вышивки</t>
    </r>
  </si>
  <si>
    <r>
      <rPr>
        <sz val="10"/>
        <color rgb="FF000000"/>
        <rFont val="Times New Roman"/>
      </rPr>
      <t xml:space="preserve">521-301-3113-0015 - Машина
</t>
    </r>
    <r>
      <rPr>
        <sz val="10"/>
        <color rgb="FF000000"/>
        <rFont val="Times New Roman"/>
      </rPr>
      <t>швейная компьютеризированная (UniCraft RC 4300), размер 510мм х380мм х380мм</t>
    </r>
  </si>
  <si>
    <t>Машина
швейная компьютеризированная (UniCraft RC 4300), размер 510мм х380мм х380мм</t>
  </si>
  <si>
    <r>
      <rPr>
        <sz val="10"/>
        <color theme="1"/>
        <rFont val="Times New Roman"/>
      </rPr>
      <t>Максимальная скорость шитья: не менее 570 стежков в минуту, с ЖК-дисплеем для выбора строчек и настройки параметров</t>
    </r>
  </si>
  <si>
    <r>
      <rPr>
        <sz val="10"/>
        <color rgb="FF000000"/>
        <rFont val="Times New Roman"/>
      </rPr>
      <t xml:space="preserve">521-301-3113-0016 - Машина
</t>
    </r>
    <r>
      <rPr>
        <sz val="10"/>
        <color rgb="FF000000"/>
        <rFont val="Times New Roman"/>
      </rPr>
      <t>швейная электрическая (UniCraft SK-95), размер 580мм х 250мм х 540мм</t>
    </r>
  </si>
  <si>
    <t>Машина
швейная электрическая (UniCraft SK-95), размер 580мм х 250мм х 540мм</t>
  </si>
  <si>
    <r>
      <rPr>
        <sz val="10"/>
        <color theme="1"/>
        <rFont val="Times New Roman"/>
      </rPr>
      <t>Максимальная скорость шитья: не менее 4 100 стежков в минуту</t>
    </r>
  </si>
  <si>
    <r>
      <rPr>
        <sz val="10"/>
        <color rgb="FF000000"/>
        <rFont val="Times New Roman"/>
      </rPr>
      <t xml:space="preserve">521-301-3119-0001 - Кабина
</t>
    </r>
    <r>
      <rPr>
        <sz val="10"/>
        <color rgb="FF000000"/>
        <rFont val="Times New Roman"/>
      </rPr>
      <t>примерочная прямоугольная с занавесом</t>
    </r>
  </si>
  <si>
    <t>Кабина
примерочная прямоугольная с занавесом</t>
  </si>
  <si>
    <r>
      <rPr>
        <sz val="10"/>
        <color theme="1"/>
        <rFont val="Times New Roman"/>
      </rPr>
      <t>Кабина примерочная со шторкой, ЛДСП 16 мм, размеры не менее 1500*1500*1800мм</t>
    </r>
  </si>
  <si>
    <r>
      <rPr>
        <sz val="10"/>
        <color rgb="FF000000"/>
        <rFont val="Times New Roman"/>
      </rPr>
      <t xml:space="preserve">521-301-3120-0001 - Шкаф в
</t>
    </r>
    <r>
      <rPr>
        <sz val="10"/>
        <color rgb="FF000000"/>
        <rFont val="Times New Roman"/>
      </rPr>
      <t>комплекте со швейными инструментами и расходниками (CraftLab). Размер 1200х550х1800</t>
    </r>
  </si>
  <si>
    <t>Шкаф в
комплекте со швейными инструментами и расходниками (CraftLab). Размер 1200х550х1800</t>
  </si>
  <si>
    <r>
      <rPr>
        <sz val="10"/>
        <color theme="1"/>
        <rFont val="Times New Roman"/>
      </rPr>
      <t>Шкаф выполнен из ЛДСП, толщиной 16 мм, кромка ПВХ.Каждый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r>
  </si>
  <si>
    <r>
      <rPr>
        <sz val="10"/>
        <color rgb="FF000000"/>
        <rFont val="Times New Roman"/>
      </rPr>
      <t xml:space="preserve">521-301-3401 - Стеллаж металлический для хранения противогазов и
</t>
    </r>
    <r>
      <rPr>
        <sz val="10"/>
        <color rgb="FF000000"/>
        <rFont val="Times New Roman"/>
      </rPr>
      <t xml:space="preserve">военно-технического имущества.
</t>
    </r>
    <r>
      <rPr>
        <sz val="10"/>
        <color rgb="FF000000"/>
        <rFont val="Times New Roman"/>
      </rPr>
      <t>Размеры 700х300х1800мм.</t>
    </r>
  </si>
  <si>
    <t>Стеллаж металлический для хранения противогазов и
военно-технического имущества.
Размеры 700х300х1800мм.</t>
  </si>
  <si>
    <r>
      <rPr>
        <sz val="10"/>
        <color theme="1"/>
        <rFont val="Times New Roman"/>
      </rPr>
      <t>Стеллаж металлический для хранения противогазов и военно-технического имущества. Размеры 700х300х1800мм. Изготовлен из высококачественной стали.</t>
    </r>
  </si>
  <si>
    <r>
      <rPr>
        <sz val="10"/>
        <color rgb="FF000000"/>
        <rFont val="Times New Roman"/>
      </rPr>
      <t xml:space="preserve">521-301-3402-0003 - Шкаф для
</t>
    </r>
    <r>
      <rPr>
        <sz val="10"/>
        <color rgb="FF000000"/>
        <rFont val="Times New Roman"/>
      </rPr>
      <t>хранения оружия, ЛДСП 16мм, 10 единиц оружия, размер 1000х500х2000мм</t>
    </r>
  </si>
  <si>
    <t>Шкаф для
хранения оружия, ЛДСП 16мм, 10 единиц оружия, размер 1000х500х2000мм</t>
  </si>
  <si>
    <r>
      <rPr>
        <sz val="10"/>
        <color theme="1"/>
        <rFont val="Times New Roman"/>
      </rPr>
      <t>Шкаф для хранения оружия на 10 единиц. Рекомендуемые размеры не менее 1000х500х2000 мм. Шкаф имеет вставные полки за двумя глухими фасадами. В производстве используется материал ЛДСП не менее 16 мм., торцы закатаны кромочным материалом ПВХ не менее 1,0 мм.</t>
    </r>
  </si>
  <si>
    <r>
      <rPr>
        <sz val="10"/>
        <color rgb="FF000000"/>
        <rFont val="Times New Roman"/>
      </rPr>
      <t xml:space="preserve">521-301-3402-0004 - Стол для
</t>
    </r>
    <r>
      <rPr>
        <sz val="10"/>
        <color rgb="FF000000"/>
        <rFont val="Times New Roman"/>
      </rPr>
      <t>чистки и смазки стрелкового оружия, размеры 1200х750х890 мм. Подставка из фанеры толщиной 15 мм, основание металлический каркас из профильной трубы</t>
    </r>
  </si>
  <si>
    <t>Стол для
чистки и смазки стрелкового оружия, размеры 1200х750х890 мм. Подставка из фанеры толщиной 15 мм, основание металлический каркас из профильной трубы</t>
  </si>
  <si>
    <r>
      <rPr>
        <sz val="10"/>
        <color rgb="FF000000"/>
        <rFont val="Times New Roman"/>
      </rPr>
      <t xml:space="preserve">Каркас изготовлен из профильной трубы 50х25 мм толщиной не менее 1,2 мм и 40х25 мм толщиной не менее 1,2 мм и окрашен
</t>
    </r>
    <r>
      <rPr>
        <sz val="10"/>
        <color rgb="FF000000"/>
        <rFont val="Times New Roman"/>
      </rPr>
      <t>полимерно-порошковым покрытием. Основа конструкции – металлический каркас из профильной трубы. Для дополнительного укрепления опоры должны быть соединены между собой профильной трубой. Размер подставки для оружия должен быть не менее 1200х750х120 мм. Подставка должна быть изготовлены из фанеры толщиной не менее 15 мм, и покрыта матовым лаком.  Металлический каркас окрашен эпоксидно-полиэфирной порошковой краской.  На основании каркаса имеются подпятники, предотвращающие порчу полового покрытия.</t>
    </r>
  </si>
  <si>
    <r>
      <rPr>
        <sz val="10"/>
        <color theme="1"/>
        <rFont val="Times New Roman"/>
      </rPr>
      <t>521-301-3406 - Общевойсковой защитный комплект</t>
    </r>
  </si>
  <si>
    <r>
      <rPr>
        <sz val="10"/>
        <color theme="1"/>
        <rFont val="Times New Roman"/>
      </rPr>
      <t>Предназначен для защиты кожных покровов пользователя и снижения заражения одежды, снаряжения и обуви. В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t>
    </r>
  </si>
  <si>
    <r>
      <rPr>
        <sz val="10"/>
        <color theme="1"/>
        <rFont val="Times New Roman"/>
      </rPr>
      <t>521-301-3407 - Противогаз общевойсковой фильтрующий</t>
    </r>
  </si>
  <si>
    <r>
      <rPr>
        <sz val="10"/>
        <color theme="1"/>
        <rFont val="Times New Roman"/>
      </rPr>
      <t>Противогаз фильтрующий предназначен для очистки загрязнённого воздуха от аэрозольных частиц высокотоксичных веществ, содержащихся в пыли, дыме или тумане. Корпус фильтра изготовлен из специальной пластмассы и снаряжён противоаэрозольным фильтром из фильтрующего материала и поглощающим слоем (шихтой) из сорбента.</t>
    </r>
  </si>
  <si>
    <r>
      <rPr>
        <sz val="10"/>
        <color theme="1"/>
        <rFont val="Times New Roman"/>
      </rPr>
      <t>521-301-3408 - Противогаз гражданский</t>
    </r>
  </si>
  <si>
    <r>
      <rPr>
        <sz val="10"/>
        <color theme="1"/>
        <rFont val="Times New Roman"/>
      </rPr>
      <t>Противогаз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t>
    </r>
  </si>
  <si>
    <r>
      <rPr>
        <sz val="10"/>
        <color theme="1"/>
        <rFont val="Times New Roman"/>
      </rPr>
      <t>521-301-3409 - Респиратор</t>
    </r>
  </si>
  <si>
    <r>
      <rPr>
        <sz val="10"/>
        <color theme="1"/>
        <rFont val="Times New Roman"/>
      </rPr>
      <t>Респиратор</t>
    </r>
  </si>
  <si>
    <r>
      <rPr>
        <sz val="10"/>
        <color theme="1"/>
        <rFont val="Times New Roman"/>
      </rPr>
      <t>521-301-3410 - Войсковой прибор химической разведки</t>
    </r>
  </si>
  <si>
    <r>
      <rPr>
        <sz val="10"/>
        <color theme="1"/>
        <rFont val="Times New Roman"/>
      </rPr>
      <t>Прибор химической разведки войсковой ВПХР предназначен для обнаружения и оценки степени опасности заражения отравляющими веществами вероятного противника (ОB ВП) воздуха, местности, военной техники при помощи индикаторных трубок (ИТ).</t>
    </r>
  </si>
  <si>
    <r>
      <rPr>
        <sz val="10"/>
        <color theme="1"/>
        <rFont val="Times New Roman"/>
      </rPr>
      <t>521-301-3412 - Комплект индивидуальных дозиметров</t>
    </r>
  </si>
  <si>
    <r>
      <rPr>
        <sz val="10"/>
        <color theme="1"/>
        <rFont val="Times New Roman"/>
      </rPr>
      <t>Прибор предназначен для измерения поглощенных доз гамма-нейтронного излучения в интервале температур от -50ᵒС до +50ᵒС при относительной влажности воздуха до 98%. В комплект входят не менее 10 индивидуальных дозиметров и зарядное устройство на пьезоэлементе.</t>
    </r>
  </si>
  <si>
    <r>
      <rPr>
        <sz val="10"/>
        <color theme="1"/>
        <rFont val="Times New Roman"/>
      </rPr>
      <t>521-301-3415 - Малая пехотная лопата</t>
    </r>
  </si>
  <si>
    <r>
      <rPr>
        <sz val="10"/>
        <color theme="1"/>
        <rFont val="Times New Roman"/>
      </rPr>
      <t>Малая пехотная лопата</t>
    </r>
  </si>
  <si>
    <r>
      <rPr>
        <sz val="10"/>
        <color theme="1"/>
        <rFont val="Times New Roman"/>
      </rPr>
      <t>521-301-3418 - Компас армейский</t>
    </r>
  </si>
  <si>
    <r>
      <rPr>
        <sz val="10"/>
        <color theme="1"/>
        <rFont val="Times New Roman"/>
      </rPr>
      <t>Компас армейский</t>
    </r>
  </si>
  <si>
    <r>
      <rPr>
        <sz val="10"/>
        <color theme="1"/>
        <rFont val="Times New Roman"/>
      </rPr>
      <t>521-301-3420 - Индивидуальный перевязочный пакет</t>
    </r>
  </si>
  <si>
    <r>
      <rPr>
        <sz val="10"/>
        <color theme="1"/>
        <rFont val="Times New Roman"/>
      </rPr>
      <t>Индивидуальный перевязочный пакет</t>
    </r>
  </si>
  <si>
    <r>
      <rPr>
        <sz val="10"/>
        <color theme="1"/>
        <rFont val="Times New Roman"/>
      </rPr>
      <t>521-301-3422 - Сумка санитарная со спецукладкой в комплекте</t>
    </r>
  </si>
  <si>
    <r>
      <rPr>
        <sz val="10"/>
        <color theme="1"/>
        <rFont val="Times New Roman"/>
      </rPr>
      <t>Сумка санитарная со спецукладкой в комплекте</t>
    </r>
  </si>
  <si>
    <r>
      <rPr>
        <sz val="10"/>
        <color rgb="FF000000"/>
        <rFont val="Times New Roman"/>
      </rPr>
      <t xml:space="preserve">521-301-3906-0001 - Стойка для
</t>
    </r>
    <r>
      <rPr>
        <sz val="10"/>
        <color rgb="FF000000"/>
        <rFont val="Times New Roman"/>
      </rPr>
      <t>хранения лука для стрельбы. Габариты: 1300х250х1300 мм</t>
    </r>
  </si>
  <si>
    <t>Стойка для
хранения лука для стрельбы. Габариты: 1300х250х1300 мм</t>
  </si>
  <si>
    <r>
      <rPr>
        <sz val="10"/>
        <color theme="1"/>
        <rFont val="Times New Roman"/>
      </rPr>
      <t>Основание каркаса металл. Порошковая краска. Материал изготовления: металл покрытый порошковой краской.</t>
    </r>
  </si>
  <si>
    <r>
      <rPr>
        <sz val="10"/>
        <color rgb="FF000000"/>
        <rFont val="Times New Roman"/>
      </rPr>
      <t xml:space="preserve">521-301-4001-0001 - Набор
</t>
    </r>
    <r>
      <rPr>
        <sz val="10"/>
        <color rgb="FF000000"/>
        <rFont val="Times New Roman"/>
      </rPr>
      <t>оборудования для проведения экспериментов электрофореза агароза типа Experia BN-15</t>
    </r>
  </si>
  <si>
    <t>Набор
оборудования для проведения экспериментов электрофореза агароза типа Experia BN-15</t>
  </si>
  <si>
    <r>
      <rPr>
        <sz val="10"/>
        <color theme="1"/>
        <rFont val="Times New Roman"/>
      </rPr>
      <t>Комплектация: кейс с крышкой - 1 шт , лоток со вставкой - 1шт, флакон объемом 500 мл с 5-кратным буферным концентратом TBE - 1 шт, 5 г сверхчистой агарозы - 1шт, флакон 60 мл ДНК-красителя - 1 шт, 5 мл красителя с 10-кратной загрузкой и поддон для окрашивания - 1 шт, стандарт массы ДНК  - 1 шт, пробирка объемом 50 мл - 1 шт, микропипетка с возможностью набора 1-20 мкл - 1 шт, пипетка градуированная 10 мл, - 1 шт.</t>
    </r>
  </si>
  <si>
    <r>
      <rPr>
        <sz val="10"/>
        <color rgb="FF000000"/>
        <rFont val="Times New Roman"/>
      </rPr>
      <t xml:space="preserve">521-301-4001-0002 - Набор
</t>
    </r>
    <r>
      <rPr>
        <sz val="10"/>
        <color rgb="FF000000"/>
        <rFont val="Times New Roman"/>
      </rPr>
      <t>оборудования для проведения экспериментов электрофореза агароза типа Wards Science 4701</t>
    </r>
  </si>
  <si>
    <t>Набор
оборудования для проведения экспериментов электрофореза агароза типа Wards Science 4701</t>
  </si>
  <si>
    <r>
      <rPr>
        <sz val="10"/>
        <color theme="1"/>
        <rFont val="Times New Roman"/>
      </rPr>
      <t>В комплект входят: гелевый пластиковый лоток для смесей подключения проводов 4 шт.,   электрический источник питания постоянный выход 100 В или 200 В, 200 мА, 2 шт.  многоразовый дозатор-пипеток с фиксированным объемом (10 мкл μL) 8 шт. стойка наконечников для пипетки 4 шт., комплект с красителями 6 агароз геля (Bromophenol синий, фиолетовый кристалл, оранжевый G, метиловый зеленый, ксилол cyanol, неизвестный "uncknown" краситель) 2 шт.</t>
    </r>
  </si>
  <si>
    <r>
      <rPr>
        <sz val="10"/>
        <color theme="1"/>
        <rFont val="Times New Roman"/>
      </rPr>
      <t>521-301-4002-0001 - Лабораторный практикум "Анализ отпечатков пальцев" типа Experia BN-16</t>
    </r>
  </si>
  <si>
    <r>
      <rPr>
        <sz val="10"/>
        <color theme="1"/>
        <rFont val="Times New Roman"/>
      </rPr>
      <t>Комплектация: Кейс с крышкой - 1 шт , Лоток со вставкой - 1шт, Руководство для инструктора - 1шт ; Дактилоскопический порошок 50 г - 1 шт ; Нингидрин 25 мл- 1 шт ; Ацетон 50 мл - 1 шт; Йод Люголя  25 мл- 1 шт; Кисти для снятия отпечатков пальцев - 1 шт; Увеличительные стекла - 1 шт; Облигационная бумага - 2шт; Перчатки - 3 пары; Пипетки - 3 шт; Суперклей 15 мл - 1 шт; Чернильные подушечки - 1 шт; Дактилоскопическая скотч-лента - 1 шт; Инструкции по способу работы - 1 шт.</t>
    </r>
  </si>
  <si>
    <r>
      <rPr>
        <sz val="10"/>
        <color theme="1"/>
        <rFont val="Times New Roman"/>
      </rPr>
      <t>521-301-4002-0002 - Лабораторный практикум "Анализ отпечатков пальцев" типа Wards Science 4702</t>
    </r>
  </si>
  <si>
    <r>
      <rPr>
        <sz val="10"/>
        <color theme="1"/>
        <rFont val="Times New Roman"/>
      </rPr>
      <t>Набор содержит необходимые реагенты некоторые из них требуют определенный температурный режим. Образцы подозреваемых (A-F DNA suspect Enzyme) темп режим,  ультраспек агароза,   50X концентрированный электрофорезный раствор,  гелевый раствор,  синька (DNA stain flash blue), insta stain blue card,  1 мл пипетка,  трансферные пипетки.</t>
    </r>
  </si>
  <si>
    <r>
      <rPr>
        <sz val="10"/>
        <color rgb="FF000000"/>
        <rFont val="Times New Roman"/>
      </rPr>
      <t xml:space="preserve">521-301-4003-0001 -
</t>
    </r>
    <r>
      <rPr>
        <sz val="10"/>
        <color rgb="FF000000"/>
        <rFont val="Times New Roman"/>
      </rPr>
      <t>Экспериментальный набор "Электрофорез" типа Experia BN-17</t>
    </r>
  </si>
  <si>
    <t>521-301-4003-0001 -
Экспериментальный набор "Электрофорез" типа Experia BN-17</t>
  </si>
  <si>
    <r>
      <rPr>
        <sz val="10"/>
        <color theme="1"/>
        <rFont val="Times New Roman"/>
      </rPr>
      <t>Комплектация: кейс с крышкой - 1 шт , лоток со вставкой - 1шт,  агароза 2,5 г- 1 шт, 1X буфер для электрофореза, 1,25 л  - 1 шт , маркер размеров  - 3 шт, пробирки - 20 шт, электрофоррезнеая камера - 1 шт, электрофорезный блок - 1 шт , микропипетки(разных диапозонов) - 2 шт, пипеточные наконечники - 50 шт, образцы ДНК - 10 шт, краситель для загрузки ДНК, 25 мкл - 1 шт, УФ-трансиллюминатор - 1 шт.</t>
    </r>
  </si>
  <si>
    <r>
      <rPr>
        <sz val="10"/>
        <color rgb="FF000000"/>
        <rFont val="Times New Roman"/>
      </rPr>
      <t xml:space="preserve">521-301-4003-0002 -
</t>
    </r>
    <r>
      <rPr>
        <sz val="10"/>
        <color rgb="FF000000"/>
        <rFont val="Times New Roman"/>
      </rPr>
      <t>Экспериментальный набор "Электрофорез" типа Wards Science 4703</t>
    </r>
  </si>
  <si>
    <t>521-301-4003-0002 -
Экспериментальный набор "Электрофорез" типа Wards Science 4703</t>
  </si>
  <si>
    <r>
      <rPr>
        <sz val="10"/>
        <color theme="1"/>
        <rFont val="Times New Roman"/>
      </rPr>
      <t>В комплект входит: • компонент А (темп. режим, живые молекулы) • компонент В (темп. режим живые молекулы) •  компонент С (темп. режим живые молекулы) • компонент D (темп. режим живые молекулы) • Компонент Е  (EDyeMixture) (темп. режим) • Компонент F (F Blue Dye Mixture (Blue 1 + Blue 2)  • Ультраспекагароз (UltraSpec-Agarose powder)  • Концетрированный электрофорезный раствор  • 1мл пипетки пластик</t>
    </r>
  </si>
  <si>
    <r>
      <rPr>
        <sz val="10"/>
        <color rgb="FF000000"/>
        <rFont val="Times New Roman"/>
      </rPr>
      <t xml:space="preserve">521-301-4004-0001 -
</t>
    </r>
    <r>
      <rPr>
        <sz val="10"/>
        <color rgb="FF000000"/>
        <rFont val="Times New Roman"/>
      </rPr>
      <t>Экспериментальный набор "Строение ДНК" типа Experia BN-19</t>
    </r>
  </si>
  <si>
    <t>521-301-4004-0001 -
Экспериментальный набор "Строение ДНК" типа Experia BN-19</t>
  </si>
  <si>
    <r>
      <rPr>
        <sz val="10"/>
        <color theme="1"/>
        <rFont val="Times New Roman"/>
      </rPr>
      <t>Комплектация: Кейс с крышкой - 1 шт; Лоток со вставкой - 1шт; Белые бусины - 570 шт; Красные бусины - 570 шт;Оранжевые бусины - 140 шт; Зеленые бусины - 140 шт; Синие бусины - 140 шт; Желтые бусины - 140 шт; Прозрачные соединители - 300 шт; Руководства для студентов - 10 шт; Учебное руководство для учителя - 1 шт.</t>
    </r>
  </si>
  <si>
    <r>
      <rPr>
        <sz val="10"/>
        <color rgb="FF000000"/>
        <rFont val="Times New Roman"/>
      </rPr>
      <t xml:space="preserve">521-301-4004-0002 -
</t>
    </r>
    <r>
      <rPr>
        <sz val="10"/>
        <color rgb="FF000000"/>
        <rFont val="Times New Roman"/>
      </rPr>
      <t>Экспериментальный набор "Строение ДНК" типа Wards Science 4705</t>
    </r>
  </si>
  <si>
    <t>521-301-4004-0002 -
Экспериментальный набор "Строение ДНК" типа Wards Science 4705</t>
  </si>
  <si>
    <r>
      <rPr>
        <sz val="10"/>
        <color theme="1"/>
        <rFont val="Times New Roman"/>
      </rPr>
      <t>В набор входят:  100 прочных красочных штампованных нуклеотида и аминокислоты,  руководство для учащихся и рабочий лист,  руководство для учителя с дополнительными рекомендуемыми заданиями и коробка для хранения.</t>
    </r>
  </si>
  <si>
    <r>
      <rPr>
        <sz val="10"/>
        <color rgb="FF000000"/>
        <rFont val="Times New Roman"/>
      </rPr>
      <t xml:space="preserve">521-301-4005-0001 - Практикум
</t>
    </r>
    <r>
      <rPr>
        <sz val="10"/>
        <color rgb="FF000000"/>
        <rFont val="Times New Roman"/>
      </rPr>
      <t>"Электрофорез ДНК часть 1" типа Experia BN-20</t>
    </r>
  </si>
  <si>
    <t>Практикум
"Электрофорез ДНК часть 1" типа Experia BN-20</t>
  </si>
  <si>
    <r>
      <rPr>
        <sz val="10"/>
        <color rgb="FF000000"/>
        <rFont val="Times New Roman"/>
      </rPr>
      <t xml:space="preserve">Комплектация: кейс с крышкой - 1 шт , лоток со вставкой - 1шт, двойные камеры - 6 шт , источник питания - 3 шт , стационарные микропипетки по 10 мкл - 6 шт, подставки с наконечниками - 2шт, наборы "Введение в электрофорез" - 2 шт, руководство по электрофорезу - 1 шт
</t>
    </r>
    <r>
      <rPr>
        <sz val="10"/>
        <color rgb="FF000000"/>
        <rFont val="Times New Roman"/>
      </rPr>
      <t xml:space="preserve">,трансиллюминатор белого света - 1 шт и DVD-диск для электрофореза в агарозе -  1 шт, агарозные таблетки 3 таблетки - 1 упаковка, электрофорезный буфер TBE, 1 л - 1 шт, одноразовые наконечники для микропипеток - 50 шт, колба для растворения агарозы - 3 шт, контроллер цепи - 3 шт, светодиодная полоса - 3 шт,проволока для электродов - 6 шт, кабель для электродов - 6 шт, пара электродных дамов (одна черная, одна красная) - 3 пары, держатели для гребня- 2 шт, гребень 6 шт,  электродные
</t>
    </r>
    <r>
      <rPr>
        <sz val="10"/>
        <color rgb="FF000000"/>
        <rFont val="Times New Roman"/>
      </rPr>
      <t>зажимы  - 3 шт.</t>
    </r>
  </si>
  <si>
    <r>
      <rPr>
        <sz val="10"/>
        <color rgb="FF000000"/>
        <rFont val="Times New Roman"/>
      </rPr>
      <t xml:space="preserve">521-301-4005-0002 - Практикум
</t>
    </r>
    <r>
      <rPr>
        <sz val="10"/>
        <color rgb="FF000000"/>
        <rFont val="Times New Roman"/>
      </rPr>
      <t>"Электрофорез ДНК часть 1" типа Wards Science 4706</t>
    </r>
  </si>
  <si>
    <t>Практикум
"Электрофорез ДНК часть 1" типа Wards Science 4706</t>
  </si>
  <si>
    <r>
      <rPr>
        <sz val="10"/>
        <color rgb="FF000000"/>
        <rFont val="Times New Roman"/>
      </rPr>
      <t xml:space="preserve">В каждый комплект входит источник тока мощностью от 15Вт до 140Вт. Набор должен содержать весь необходимый инструментарий, а также методическое руководство для преподавателя и учащихся.  Практикум содержит: Источник тока с цифровым индикатором, переменного напряжения универсальная микропипетка (Fixed Volume 10«M,50[mu lower case]»),  96 одноразовых головок для универсальной микропипетки, контейнер для электрофореза (gel box/TANK),  6 агароз геля (Bromophenol синий, фиолетовый кристалл, оранжевый G, метиловым зеленым, ксилол cyanol, неизвестно смесь краситель),  30 микротрубок 1.5ml,  1 готовый агароз гель,  2.0%, 200ml,  1 Реактивы для электрофореза агароза
</t>
    </r>
    <r>
      <rPr>
        <sz val="10"/>
        <color rgb="FF000000"/>
        <rFont val="Times New Roman"/>
      </rPr>
      <t>(Tris-Borate-Edta) 5x  500mL.</t>
    </r>
  </si>
  <si>
    <r>
      <rPr>
        <sz val="10"/>
        <color rgb="FF000000"/>
        <rFont val="Times New Roman"/>
      </rPr>
      <t xml:space="preserve">521-301-4006-0001 - Практикум
</t>
    </r>
    <r>
      <rPr>
        <sz val="10"/>
        <color rgb="FF000000"/>
        <rFont val="Times New Roman"/>
      </rPr>
      <t>"Электрофорез ДНК часть 2" типа Experia BN-21</t>
    </r>
  </si>
  <si>
    <t>Практикум
"Электрофорез ДНК часть 2" типа Experia BN-21</t>
  </si>
  <si>
    <r>
      <rPr>
        <sz val="10"/>
        <color theme="1"/>
        <rFont val="Times New Roman"/>
      </rPr>
      <t>Комплектация: кейс с крышкой - 1 шт , лоток со вставкой - 1шт, гель-бокс с лотками гребешками и силовыми кабелями - 4 шт; источник питания - 2 шт; микропипетки (2-20 мкл) - 8 шт;микропипетка (20-200 мкл) - 1 шт; сухая ванна для микроцентрифужных трубок объемом 1,5 мл с блоком - 1 шт ; термометр - 1 шт; стойки для микроцентрифужных трубок - 4 шт; микроцентрифуга - 1 шт; коробки с наконечниками для микропипеток - 4 шт; пакет микроцентрифужных трубок объемом 1,5 мл (30 трубок) - 2 шт; коническая пробирка с агарозой (10 г) - 1 шт; флакон с беговым буфером TBE, 800 мл - 1 шт; запасной предохранитель для источников питания - 1 шт; темный считыватель - 1 шт.</t>
    </r>
  </si>
  <si>
    <r>
      <rPr>
        <sz val="10"/>
        <color rgb="FF000000"/>
        <rFont val="Times New Roman"/>
      </rPr>
      <t xml:space="preserve">521-301-4006-0002 - Практикум
</t>
    </r>
    <r>
      <rPr>
        <sz val="10"/>
        <color rgb="FF000000"/>
        <rFont val="Times New Roman"/>
      </rPr>
      <t>"Электрофорез ДНК часть 2" типа Wards Science 4707</t>
    </r>
  </si>
  <si>
    <t>Практикум
"Электрофорез ДНК часть 2" типа Wards Science 4707</t>
  </si>
  <si>
    <r>
      <rPr>
        <sz val="10"/>
        <color theme="1"/>
        <rFont val="Times New Roman"/>
      </rPr>
      <t>Набор должен содержать весь необходимый инструментарий. В комплект входит:  источник тока мощностью от 15Вт до 140Вт, 2 универсальная микропипетка (Fixed Volume 10«M,50[mu lower case]»),  96 одноразовых головок для универсальной микропипетки,  2 контейнера для электрофореза (gel box/TANK), 6 агароз геля (Bromophenol синий, фиолетовый кристалл, оранжевый G, метиловым зеленым, ксилол cyanol, неизвестно смесь краситель),  30 микрофуговые трубки 1.5ml,  1 готовый агароз гель,  2.0%, 200ml,  1 Реактивы для электрофореза агароза (Tris-Borate-Edta) 5x  500mL.</t>
    </r>
  </si>
  <si>
    <r>
      <rPr>
        <sz val="10"/>
        <color rgb="FF000000"/>
        <rFont val="Times New Roman"/>
      </rPr>
      <t xml:space="preserve">521-301-4007-0001 - Учебный
</t>
    </r>
    <r>
      <rPr>
        <sz val="10"/>
        <color rgb="FF000000"/>
        <rFont val="Times New Roman"/>
      </rPr>
      <t>практикум "Экстракция ДНК из фруктов и овощей" типа Experia BN-22</t>
    </r>
  </si>
  <si>
    <t>Учебный
практикум "Экстракция ДНК из фруктов и овощей" типа Experia BN-22</t>
  </si>
  <si>
    <r>
      <rPr>
        <sz val="10"/>
        <color theme="1"/>
        <rFont val="Times New Roman"/>
      </rPr>
      <t>Комплектация: кейс с крышкой - 1 шт , лоток со вставкой - 1шт, ДНК-экстракционный буфер, 250 мл - 1 шт; Градуированные пипетки Пастера - 10 шт ; Деревянные палочки - 8 шт; Пробирки - 10 шт; Изопропиловый спирт, 250 мл - 1 шт.</t>
    </r>
  </si>
  <si>
    <r>
      <rPr>
        <sz val="10"/>
        <color rgb="FF000000"/>
        <rFont val="Times New Roman"/>
      </rPr>
      <t xml:space="preserve">521-301-4007-0002 - Учебный
</t>
    </r>
    <r>
      <rPr>
        <sz val="10"/>
        <color rgb="FF000000"/>
        <rFont val="Times New Roman"/>
      </rPr>
      <t>практикум "Экстракция ДНК из фруктов и овощей" типа Wards Science 4708</t>
    </r>
  </si>
  <si>
    <t>Учебный
практикум "Экстракция ДНК из фруктов и овощей" типа Wards Science 4708</t>
  </si>
  <si>
    <r>
      <rPr>
        <sz val="10"/>
        <color theme="1"/>
        <rFont val="Times New Roman"/>
      </rPr>
      <t>В комплект входит: • Буфер экстракции ДНК  • калибровочные пипетки  • деревянная палочка  • большие тест трубки  •  маленькие тест трубки</t>
    </r>
  </si>
  <si>
    <r>
      <rPr>
        <sz val="10"/>
        <color rgb="FF000000"/>
        <rFont val="Times New Roman"/>
      </rPr>
      <t xml:space="preserve">521-301-4008-0001 - Набор для
</t>
    </r>
    <r>
      <rPr>
        <sz val="10"/>
        <color rgb="FF000000"/>
        <rFont val="Times New Roman"/>
      </rPr>
      <t>лабораторных работ по исследованию ДНК бактерий типа Experia BN-23</t>
    </r>
  </si>
  <si>
    <t>Набор для
лабораторных работ по исследованию ДНК бактерий типа Experia BN-23</t>
  </si>
  <si>
    <r>
      <rPr>
        <sz val="10"/>
        <color rgb="FF000000"/>
        <rFont val="Times New Roman"/>
      </rPr>
      <t xml:space="preserve">Комплектация: Кейс с крышкой - 1 шт;  Лоток со вставкой - 1шт; Бактериальная культура - 5 шт; Лизирующий раствор, 50 - 1 шт; Изопропанол и этиловый спирт, 100 мл - 1 шт; Буфер для ресуспензии ДНК, 50 мл - 1 шт; Агарозный гель - 5 шт; Аппарат для электрофореза в геле - 1 шт; Этидий бромид (EtBr), 5 мл - 1 шт; Микропипетки - 1 шт ; Насадки для микропипеток - 10 шт; Микроцентрифужные пробирки - 4 шт,; Химическая колба конусовидная градуированная - 1 шт.
</t>
    </r>
    <r>
      <rPr>
        <sz val="10"/>
        <color rgb="FF000000"/>
        <rFont val="Times New Roman"/>
      </rPr>
      <t>"</t>
    </r>
  </si>
  <si>
    <r>
      <rPr>
        <sz val="10"/>
        <color rgb="FF000000"/>
        <rFont val="Times New Roman"/>
      </rPr>
      <t xml:space="preserve">521-301-4008-0002 - Набор для
</t>
    </r>
    <r>
      <rPr>
        <sz val="10"/>
        <color rgb="FF000000"/>
        <rFont val="Times New Roman"/>
      </rPr>
      <t>лабораторных работ по исследованию ДНК бактерий типа Wards Science 4709</t>
    </r>
  </si>
  <si>
    <t>Набор для
лабораторных работ по исследованию ДНК бактерий типа Wards Science 4709</t>
  </si>
  <si>
    <r>
      <rPr>
        <sz val="10"/>
        <color theme="1"/>
        <rFont val="Times New Roman"/>
      </rPr>
      <t>В набор входит весь необходимый материал, включая реагенты и лабораторные принадлежности. Методическая инструкция. • культуры галобактерии  (иммитация живых бактерий halobacterium salinarum cultures, температурный режим) •  трубоки для экстрации (пробирки) • ДНК виндер • ватные палочки  • этиловый спирт • дистилированная вода (пробирки) • стерильные пипетки  • макро молекулярные растворы в баночках (macromolecular solution) • мешок для биологически опасных веществ.</t>
    </r>
  </si>
  <si>
    <r>
      <rPr>
        <sz val="10"/>
        <color rgb="FF000000"/>
        <rFont val="Times New Roman"/>
      </rPr>
      <t xml:space="preserve">521-301-4009-0001 - Практикум
</t>
    </r>
    <r>
      <rPr>
        <sz val="10"/>
        <color rgb="FF000000"/>
        <rFont val="Times New Roman"/>
      </rPr>
      <t>"Регулирование экспрессии гена: эксперимент по метилированию ДНК" типа Experia BN-24</t>
    </r>
  </si>
  <si>
    <t>Практикум
"Регулирование экспрессии гена: эксперимент по метилированию ДНК" типа Experia BN-24</t>
  </si>
  <si>
    <r>
      <rPr>
        <sz val="10"/>
        <color theme="1"/>
        <rFont val="Times New Roman"/>
      </rPr>
      <t>Комплектация: Кейс с крышкой - 1 шт; Лоток со вставкой - 1шт; Образцы ДНК: 2 мл (без метилирования и с метилированием) - 1 шт; Ферменты рестрикции, 500 мкл. - 1 шт; 10X буфер для фермента рестрикции 5 мл, - 1 шт.; Агароза,5 г.; 1X TAE буфер, 500 мл. - 1 шт; Краситель для ДНК,500 мкл, этидиумбромид - 1 шт ; Гель-бокс с блоком для агарозного геля - 1 шт; Микропипетки 1 -20 мкл - 1 шт; Насадки для микропипеток - 10 шт; Микроцентрифужные пробирки- 10 шт; Инструкция по эксперименту: 1 брошюра; Химическая колба конусовидная градуированная - 1 шт;</t>
    </r>
  </si>
  <si>
    <r>
      <rPr>
        <sz val="10"/>
        <color rgb="FF000000"/>
        <rFont val="Times New Roman"/>
      </rPr>
      <t xml:space="preserve">521-301-4009-0002 - Практикум
</t>
    </r>
    <r>
      <rPr>
        <sz val="10"/>
        <color rgb="FF000000"/>
        <rFont val="Times New Roman"/>
      </rPr>
      <t>"Регулирование экспрессии гена: эксперимент по метилированию ДНК" типа Wards Science 47010</t>
    </r>
  </si>
  <si>
    <t>Практикум
"Регулирование экспрессии гена: эксперимент по метилированию ДНК" типа Wards Science 47010</t>
  </si>
  <si>
    <r>
      <rPr>
        <sz val="10"/>
        <color rgb="FF000000"/>
        <rFont val="Times New Roman"/>
      </rPr>
      <t xml:space="preserve">Набор содержит: • Компоненты для метилирования ДНК (Lambda DNA, Hind, Ecor, S-adenosyl..) (темп. режим) • Растворэкспресиигена 0,5 мл (1 Bottle of loadin Regulation of Gene Expressiong solution, 0.5 ml ) • 1 бутылекразбавленногоагароза 0.8%, 200 мл (1 Bottle of pre-cooked agarose
</t>
    </r>
    <r>
      <rPr>
        <sz val="10"/>
        <color rgb="FF000000"/>
        <rFont val="Times New Roman"/>
      </rPr>
      <t xml:space="preserve">0.8%, 200 ml)  • 1 бутылек трисборатбуфер10x, 250мл (1 Bottle of TBE running buffer 10x, 250 ml)  • 1 бутылек красителя ДНК 60 мл (1 Bottle of DNA Stain concentrate, 60ml)  •  реакционные микротрубки • 1 лотокдлягеля
</t>
    </r>
    <r>
      <rPr>
        <sz val="10"/>
        <color rgb="FF000000"/>
        <rFont val="Times New Roman"/>
      </rPr>
      <t>• 1 мешалка</t>
    </r>
  </si>
  <si>
    <r>
      <rPr>
        <sz val="10"/>
        <color rgb="FF000000"/>
        <rFont val="Times New Roman"/>
      </rPr>
      <t xml:space="preserve">521-301-4010-0001 - Практикум
</t>
    </r>
    <r>
      <rPr>
        <sz val="10"/>
        <color rgb="FF000000"/>
        <rFont val="Times New Roman"/>
      </rPr>
      <t>"Расщепление молекул: Система анализа белка и ДНК" типа Experia BN-25</t>
    </r>
  </si>
  <si>
    <t>Практикум
"Расщепление молекул: Система анализа белка и ДНК" типа Experia BN-25</t>
  </si>
  <si>
    <r>
      <rPr>
        <sz val="10"/>
        <color rgb="FF000000"/>
        <rFont val="Times New Roman"/>
      </rPr>
      <t xml:space="preserve">Комплектация: Кейс с крышкой - 1 шт; Лоток со вставкой - 1шт; Культура
</t>
    </r>
    <r>
      <rPr>
        <sz val="10"/>
        <color rgb="FF000000"/>
        <rFont val="Times New Roman"/>
      </rPr>
      <t xml:space="preserve">E. coli. - 1 пачка; Жидкая питательная среда (например, LB-бульон)100 мл  - 1 шт; Пробирки - 5 шт; Пипетки - 9 шт ; Пластиковые мерные ложки - 1 шт;
</t>
    </r>
    <r>
      <rPr>
        <sz val="10"/>
        <color rgb="FF000000"/>
        <rFont val="Times New Roman"/>
      </rPr>
      <t>0,1 М раствор NaOH 20 мл - 1 шт; 1,5 М раствор NaCl 20 мл - 1 шт; Фильтровальная бумага - 1 упаковка; Агароза, 1 г - 1 шт; 1X TAE буфер (Tris-acetate-EDTA), 250 мл - 1 шт; Гель-бокс с блоком для агарозного геля - 1 шт;Электрофорезный бак - 1 шт; Источник питания для электрофореза - 1 шт; Питательная среда для культивирования бактерий с соответствующими антибиотиками, 200 мл  - 1 шт; Ферменты рестрикции, 20 мкл - 1 шт; Белковый гель  - 1 шт; Раствор Coomassie Blue, 20 мл  - 1 шт; Раствор этидиумбромида ДНК, 10 мл - 1 шт; SDS -PAGE загрузочный буфер, 20 мл - 1 шт;</t>
    </r>
  </si>
  <si>
    <r>
      <rPr>
        <sz val="10"/>
        <color rgb="FF000000"/>
        <rFont val="Times New Roman"/>
      </rPr>
      <t xml:space="preserve">521-301-4010-0002 - Практикум
</t>
    </r>
    <r>
      <rPr>
        <sz val="10"/>
        <color rgb="FF000000"/>
        <rFont val="Times New Roman"/>
      </rPr>
      <t>"Расщепление молекул: Система анализа белка и ДНК" типа Wards Science 47011</t>
    </r>
  </si>
  <si>
    <t>Практикум
"Расщепление молекул: Система анализа белка и ДНК" типа Wards Science 47011</t>
  </si>
  <si>
    <r>
      <rPr>
        <sz val="10"/>
        <color rgb="FF000000"/>
        <rFont val="Times New Roman"/>
      </rPr>
      <t xml:space="preserve">В комплект входит: • рыбный компонент желтый окунь (строго в холодильнике, живые протеиновые молекулы) • рыбный компонент судак (строго в холодильнике, живые протеиновые молекулы) • рыбный компонент Лосось (строго в холодильнике, живые протеиновые молекулы)
</t>
    </r>
    <r>
      <rPr>
        <sz val="10"/>
        <color rgb="FF000000"/>
        <rFont val="Times New Roman"/>
      </rPr>
      <t xml:space="preserve">• высоко-молекулярный протеиновый маркер • 1 порошкообразный СДС буферный концетрат (1 Packet SDS running Concestrate ) • 1 бутылек с протеиновым с агарозовым раствором 500 мл (Agarose Protein mix) • 1
</t>
    </r>
    <r>
      <rPr>
        <sz val="10"/>
        <color rgb="FF000000"/>
        <rFont val="Times New Roman"/>
      </rPr>
      <t>лоток  • 1 мешалка для раствора •  пластиковые пипетики  • 30 микротрубок для центрифуги • Лоток вертикальный для пластин (Vertical dual-PAGE chamber)  • источник питания для проведения электрофореза (постоянный выход 100 В или 200 В, 200 м) • Трисглицин СДС %  гелиевые пластины для электрофореза ( % gradient tris-glycine gels) (температурный режим) • Микропипетки универсальные10 μL • Миллиметровка (бумага)</t>
    </r>
  </si>
  <si>
    <r>
      <rPr>
        <sz val="10"/>
        <color theme="1"/>
        <rFont val="Times New Roman"/>
      </rPr>
      <t>521-301-4011-0002 - Лабораторный практикум "Открытие ДНК" типа Wards Science 47012</t>
    </r>
  </si>
  <si>
    <t>Лабораторный практикум "Открытие ДНК" типа Wards Science 47012</t>
  </si>
  <si>
    <r>
      <rPr>
        <sz val="10"/>
        <color theme="1"/>
        <rFont val="Times New Roman"/>
      </rPr>
      <t>Набор содержит:  Методическую пошаговую литературу для учащихся. • ДНК хромосомы в буфере • Инстаблукарта (InstaStain methylene blue card) • палочкидлямешания • пластиковые калибровочные пипетки</t>
    </r>
  </si>
  <si>
    <r>
      <rPr>
        <sz val="10"/>
        <color theme="1"/>
        <rFont val="Times New Roman"/>
      </rPr>
      <t>521-301-4012-0001 - Лабораторный практикум "Карта ДНК семьи" типа Experia BN-27</t>
    </r>
  </si>
  <si>
    <t>Лабораторный практикум "Карта ДНК семьи" типа Experia BN-27</t>
  </si>
  <si>
    <r>
      <rPr>
        <sz val="10"/>
        <color rgb="FF000000"/>
        <rFont val="Times New Roman"/>
      </rPr>
      <t xml:space="preserve">Комплектация:  Кейс с крышкой - 1 шт; Лоток со вставкой - 1шт; Раствор для лизиса, 10 мл - 1 шт; Ватные тампоны - 1 шт; NaCI (хлорид натрия), 5 г
</t>
    </r>
    <r>
      <rPr>
        <sz val="10"/>
        <color rgb="FF000000"/>
        <rFont val="Times New Roman"/>
      </rPr>
      <t>- 1 шт;  Протеаза, 20 мл - 1 шт; Краситель метиленовый синий, 5 мл - 1 шт; Калиброванные переносные пипетки - 2 шт; Микропипетки - 1 шт; Наконечники для микропипеток - 5 шт; Пробирки  - 3 шт; Семейная идентификационная карта - 1 шт.</t>
    </r>
  </si>
  <si>
    <r>
      <rPr>
        <sz val="10"/>
        <color theme="1"/>
        <rFont val="Times New Roman"/>
      </rPr>
      <t>521-301-4012-0002 - Лабораторный практикум "Карта ДНК семьи" типа Wards Science 47013</t>
    </r>
  </si>
  <si>
    <t>Лабораторный практикум "Карта ДНК семьи" типа Wards Science 47013</t>
  </si>
  <si>
    <r>
      <rPr>
        <sz val="10"/>
        <color theme="1"/>
        <rFont val="Times New Roman"/>
      </rPr>
      <t>Набор должен содержать весь необходимый инструментарий, а также методическое руководство для преподавателя и учащихся. • Лисис буфер • Ватные палочки • Натрий хлор • Энзим (Protease enzyme) • Метелинблу (Methylene blue plus stain) • Калибровочные пипетки • Микропипетки  • Тестовые пробирки • Семейная ДНК карта</t>
    </r>
  </si>
  <si>
    <r>
      <rPr>
        <sz val="10"/>
        <color rgb="FF000000"/>
        <rFont val="Times New Roman"/>
      </rPr>
      <t xml:space="preserve">521-301-4013-0001 - Практикум
</t>
    </r>
    <r>
      <rPr>
        <sz val="10"/>
        <color rgb="FF000000"/>
        <rFont val="Times New Roman"/>
      </rPr>
      <t>"Воссоздание кариотипирования" типа Experia BN-28</t>
    </r>
  </si>
  <si>
    <t>Практикум
"Воссоздание кариотипирования" типа Experia BN-28</t>
  </si>
  <si>
    <r>
      <rPr>
        <sz val="10"/>
        <color theme="1"/>
        <rFont val="Times New Roman"/>
      </rPr>
      <t>Комплектация: кейс с крышкой - 1 шт , лоток со вставкой - 1шт, подготовленные образцы метафазных хромосом - 20 шт. Фиксирующий раствор, 500 мл - 1 бутылка Раствор Гимзы, 100 мл - 1 бутылка, Компьютерная с программа для анализа изображений и составления кариограмм - 1 шт. Буфер для промывки (фосфатный буферный раствор, PBS), 500 мл - 1 бутылка;  пипетки разного объема - 10 шт;наконечники дл пипеток - 100 шт; Микроцентрифужные пробирки, 1,5 мл - 100 пробирок; Ванна для окрашивания слайдов - 1 шт; Инструкции и учебные пособия по кариотипированию - 20 комплектов; Резиновые перчатки - 50 пар; Искусственные модели хромосом  - 1 набор; хромосом (для каждого студента) - 23 шт; Коллажные материалы для создания кариограммы - 10 листов; Копмлект цветных карандашов - 10 шт; Лупы - 10 шт.Иллюстративные материалы о различных генетических расстройствах, связанных с хромосомами - 20 шт; Печатные инструкции для учеников - 20 шт; Интерактивные демонстрационные материалы - 5 шт; Видеоматериалы с демонстрацией процесса кариотипирования - 1 шт; Микроскопические слайды с изображениями реальных кариограмм - 1 шт.</t>
    </r>
  </si>
  <si>
    <r>
      <rPr>
        <sz val="10"/>
        <color rgb="FF000000"/>
        <rFont val="Times New Roman"/>
      </rPr>
      <t xml:space="preserve">521-301-4013-0002 - Практикум
</t>
    </r>
    <r>
      <rPr>
        <sz val="10"/>
        <color rgb="FF000000"/>
        <rFont val="Times New Roman"/>
      </rPr>
      <t>"Воссоздание кариотипирования" типа Wards Science 47014</t>
    </r>
  </si>
  <si>
    <t>Практикум
"Воссоздание кариотипирования" типа Wards Science 47014</t>
  </si>
  <si>
    <r>
      <rPr>
        <sz val="10"/>
        <color rgb="FF000000"/>
        <rFont val="Times New Roman"/>
      </rPr>
      <t xml:space="preserve">В набор входит пошаговая инструкция. • 6 пластин кариотипирования (6 karyotype trays ) • 6 пластин №1 (6 chromosome plate #1) • 6 пластин №2 (6
</t>
    </r>
    <r>
      <rPr>
        <sz val="10"/>
        <color rgb="FF000000"/>
        <rFont val="Times New Roman"/>
      </rPr>
      <t>chromosome plate #2) • 6 пластин №3 (6 chromosome plate #3) • 6 пластиковых пакетов</t>
    </r>
  </si>
  <si>
    <r>
      <rPr>
        <sz val="10"/>
        <color theme="1"/>
        <rFont val="Times New Roman"/>
      </rPr>
      <t>521-301-4014-0001 - Лабораторный практикум "Рекомбинант ДНК, демонстрация моделей" типа Experia BN-29</t>
    </r>
  </si>
  <si>
    <r>
      <rPr>
        <sz val="10"/>
        <color theme="1"/>
        <rFont val="Times New Roman"/>
      </rPr>
      <t>Комплектация: Кейс с крышкой - 1 шт , Лоток со вставкой - 1шт, Белые бусины - 570 шт; Красные бусины - 570 шт; Оранжевые бусины - 140 шт; Зеленые бусины -140 шт; Синие бусины -140 шт; Желтые бусины -140 шт; Фиолетовые бусины -140 шт; Розовые бусины -140 шт; Прозрачные соединители -300 шт; Руководства для студентов -10 шт; Учебное руководство и руководство для студентов -1 шт;</t>
    </r>
  </si>
  <si>
    <r>
      <rPr>
        <sz val="10"/>
        <color theme="1"/>
        <rFont val="Times New Roman"/>
      </rPr>
      <t>521-301-4014-0002 - Лабораторный практикум "Рекомбинант ДНК, демонстрация моделей" типа Wards Science 47016</t>
    </r>
  </si>
  <si>
    <r>
      <rPr>
        <sz val="10"/>
        <color theme="1"/>
        <rFont val="Times New Roman"/>
      </rPr>
      <t>Набор содержит:  • 1 Фрагмент «Циркулярнаяплазмида» (KAN 1875BP) T1 (Circularplasmid)  • 1 Фрагмент «Циркулярнаяплазмида» (KAN 2332BP) T2 (Circularplasmid) • 1 Фрагмент «Циркулярнаяплазмида» (AMP 3755BP) T3 (Circularplasmid) • 1 Фрагмент «Циркулярнаяплазмида» (KAN 784BP) T4 (Circularplasmid) • 1 Рестрикционныйфермент (BamHI) T5 (Restrictionenzyme) • 1 Рестрикционныйфермент (HindIII) T6 (Restrictionenzyme) • 2 Линейныйфрагмент (Lg.KAN 1875BP) T7 (Linearfrag.) • 2 Линейныйфрагмент (Lg.KAN2332BP) T8 (Linearfrag.) • 2 Линейныйфрагмент (Lg.AMP 3755BP) T9 (Linearfrag.) • 2 Линейныйфрагмент (Lg.AMP 784BP) T10 (Linearfrag.) • 1 Гельэлектрофорезнаядоска (Lg.) T11 (Gel Electrophoresis board) • Инструкция T12 (Instructional manual) • 12 Линейныйфрагмент (Sm.KAN 1875BP) S1 (Linear frag.) • 12 Линейныйфрагмент (Sm.KAN2332BP) S2 (Linear frag.) • 12 Линейныйфрагмент (Sm.AMP 3755BP) S3 (Linear frag.) • 12 Линейныйфрагмент (Sm.AMP784BP) S4 (Linear frag.) • 15 Гельэлектрофорезнаядоска S5 (Gel Electrophoresis board) • 6 магнитов (magnets)</t>
    </r>
  </si>
  <si>
    <r>
      <rPr>
        <sz val="10"/>
        <color rgb="FF000000"/>
        <rFont val="Times New Roman"/>
      </rPr>
      <t xml:space="preserve">521-301-4015-0001 - Набор для
</t>
    </r>
    <r>
      <rPr>
        <sz val="10"/>
        <color rgb="FF000000"/>
        <rFont val="Times New Roman"/>
      </rPr>
      <t>определения уровня антител типа Experia BN-30</t>
    </r>
  </si>
  <si>
    <t>Набор для
определения уровня антител типа Experia BN-30</t>
  </si>
  <si>
    <r>
      <rPr>
        <sz val="10"/>
        <color rgb="FF000000"/>
        <rFont val="Times New Roman"/>
      </rPr>
      <t xml:space="preserve">Комплектация: Кейс с крышкой - 1 шт , лоток со вставкой - 1шт, микропланшеты с прокаллиброванными ячейками для ELISA - 6 шт; эталонные образцы антител с различными известными концентрациями, 100 мкл - 8 шт; образцы крови пациентов с неизвестными концентрациями антител, 100 мкл - 8 шт; раствор антигенов для образцов крови, 50 мл - 1 шт.; фосфатный буферный раствор, 100 мл - 1 шт; растворы стандартных антител, 1 мл - 2 шт; ферментный конъюгат , 10 мл - 1 шт, пероксидаза, 10 мл - 1 шт, алкалическая фосфатаза, 10 мл - 1 шт; раствор субстрата для ферментного действия, 10 мл - 1шт; реакционные емкости для ELISA
</t>
    </r>
    <r>
      <rPr>
        <sz val="10"/>
        <color rgb="FF000000"/>
        <rFont val="Times New Roman"/>
      </rPr>
      <t xml:space="preserve">(96-луночные микротитровые планшеты) - 6 шт; пипетки - 30 шт; наконечники для пипеток - 60 шт; субстрат для ферментов - 1 шт; калибровочные образцы с известными уровнями антител  - 2 шт;
</t>
    </r>
    <r>
      <rPr>
        <sz val="10"/>
        <color rgb="FF000000"/>
        <rFont val="Times New Roman"/>
      </rPr>
      <t>химические колбы конусовидные - 5 шт; пробирки - 16 шт.</t>
    </r>
  </si>
  <si>
    <r>
      <rPr>
        <sz val="10"/>
        <color rgb="FF000000"/>
        <rFont val="Times New Roman"/>
      </rPr>
      <t xml:space="preserve">521-301-4015-0002 - Набор для
</t>
    </r>
    <r>
      <rPr>
        <sz val="10"/>
        <color rgb="FF000000"/>
        <rFont val="Times New Roman"/>
      </rPr>
      <t>определения уровня антител типа Wards Science 47017</t>
    </r>
  </si>
  <si>
    <t>Набор для
определения уровня антител типа Wards Science 47017</t>
  </si>
  <si>
    <r>
      <rPr>
        <sz val="10"/>
        <color theme="1"/>
        <rFont val="Times New Roman"/>
      </rPr>
      <t>В набор входит: • компонент A (A Antigen 1) (темп. режим)  • компонент B (B Antigen 2) (темп. режим)  • компонент C (C Diluition buffer)  (темп. режим) • компонент D (D Primary Antibody A) (темп. режим) • компонент E (E Primery Antibody B) (темп. режим) • компонент F (F 10x Wash buffer) (темп. режим) • компонент G (G Secondary antibody)  (темп. режим) • компонент H (H ABTS) (темп. режим) • компонент I (I Stop solution)  (темп. режим) • микропластина планшет с углублениями  • пластиковые пипетки и трубки</t>
    </r>
  </si>
  <si>
    <r>
      <rPr>
        <sz val="10"/>
        <color theme="1"/>
        <rFont val="Times New Roman"/>
      </rPr>
      <t>521-301-4016-0001 - Учебный набор "Определение диагноза" типа Experia BN-31</t>
    </r>
  </si>
  <si>
    <t>Учебный набор "Определение диагноза" типа Experia BN-31</t>
  </si>
  <si>
    <r>
      <rPr>
        <sz val="10"/>
        <color theme="1"/>
        <rFont val="Times New Roman"/>
      </rPr>
      <t>Комплектация: кейс с крышкой - 1 шт , лоток со вставкой - 1шт,  10X раствор для промывки ELISA, 20 мл - 1 шт; Раствор для разведения ELISA, 15 мл - 1 шт; Антиген (замороженный сублимат), 10 мл - 1 шт; Первичные антитела (замороженный сублимат), 10 мл - 1 шт; Вторичные антитела (замороженный сублимат), 10 мл - 1 шт; ABTS (замороженный сублимат), 10 мл - 1 шт; ABTS буфер для реакции, 20 мл - 1 шт; Микротитровая плита из 72 ячеек - 1 шт; Пипетки для переноса жидкостей, 3 мл - 7 шт; Микроцентрифужные трубки с запирающимися крышками - 10 шт; Конические пробирки объемом 15 мл - 2 шт.; Градуированные пипетки Пастер - 11 шт</t>
    </r>
  </si>
  <si>
    <r>
      <rPr>
        <sz val="10"/>
        <color theme="1"/>
        <rFont val="Times New Roman"/>
      </rPr>
      <t>521-301-4016-0002 - Учебный набор "Определение диагноза" типа Wards Science 47018</t>
    </r>
  </si>
  <si>
    <t>Учебный набор "Определение диагноза" типа Wards Science 47018</t>
  </si>
  <si>
    <r>
      <rPr>
        <sz val="10"/>
        <color rgb="FF000000"/>
        <rFont val="Times New Roman"/>
      </rPr>
      <t xml:space="preserve">Набор содержит:  • компонентантиген A (A HIV Antigens simulated) (темп. режим) • компонент B (B Positive control) (темп. режим) • компонент C (C Donor 1 Serum simulated) (темп. режим) • компонент D (D Donor 2 Serum simulated) (темп. режим) • компонент E (E Donor 3 Serum simulated) (темп. режим) • компонент F (F Donor 4 Serum  simulated) (темп. режим) • компонент G (G Anti-IgG peroxidase conjugate) (темп. режим) • компонент H (H Hydrogen peroxide stabilized) (темп. режим) • компонент I (I Peroxide
</t>
    </r>
    <r>
      <rPr>
        <sz val="10"/>
        <color rgb="FF000000"/>
        <rFont val="Times New Roman"/>
      </rPr>
      <t xml:space="preserve">co-substrate) (темп. режим) • компонент J (J Phosphate buffered saline concentrate) (темп. режим) • микропластина с углублениями  • пластиковые
</t>
    </r>
    <r>
      <rPr>
        <sz val="10"/>
        <color rgb="FF000000"/>
        <rFont val="Times New Roman"/>
      </rPr>
      <t>пипетки  • микротрубки с колпачками</t>
    </r>
  </si>
  <si>
    <r>
      <rPr>
        <sz val="10"/>
        <color rgb="FF000000"/>
        <rFont val="Times New Roman"/>
      </rPr>
      <t xml:space="preserve">521-301-4017-0001 - Комплект
</t>
    </r>
    <r>
      <rPr>
        <sz val="10"/>
        <color rgb="FF000000"/>
        <rFont val="Times New Roman"/>
      </rPr>
      <t>оборудования для ферментации типа Experia BN-32</t>
    </r>
  </si>
  <si>
    <t>Комплект
оборудования для ферментации типа Experia BN-32</t>
  </si>
  <si>
    <r>
      <rPr>
        <sz val="10"/>
        <color theme="1"/>
        <rFont val="Times New Roman"/>
      </rPr>
      <t>Комплектация: Кейс с крышкой - 1 шт; Лоток со вставкой - 1шт; Шпатель ложка – 6 шт.; Пробирка 18смх1,8см – 6 шт.; Крышка с отверстиями - 6 шт. д:1.8 см; Фильтрованная бумага – 1 упаковка.; Стеклянные банки – 250 мл, - 18 шт.; Мерный стакан 250 мл – 6 шт.; Воздушный шарик 18 шт.;Клейкая лента 1 шт.; Saccharomyces cerevisiae (пекарские дрожжи)2-3 гр.- 6 упаковка; Сахар 50 гр. - 6 упаковка; Лабораторные весы(200 гр.) – 1 шт.; Термометр - 3 шт.</t>
    </r>
  </si>
  <si>
    <r>
      <rPr>
        <sz val="10"/>
        <color rgb="FF000000"/>
        <rFont val="Times New Roman"/>
      </rPr>
      <t xml:space="preserve">521-301-4017-0002 - Комплект
</t>
    </r>
    <r>
      <rPr>
        <sz val="10"/>
        <color rgb="FF000000"/>
        <rFont val="Times New Roman"/>
      </rPr>
      <t>оборудования для ферментации типа Wards Science 47019</t>
    </r>
  </si>
  <si>
    <t>Комплект
оборудования для ферментации типа Wards Science 47019</t>
  </si>
  <si>
    <r>
      <rPr>
        <sz val="10"/>
        <color theme="1"/>
        <rFont val="Times New Roman"/>
      </rPr>
      <t>В комплект входят: 1. Магнитная мешалка с подогревом.  2. рН-метр.  3. Термометр.  4. Вакуумный насос.  5. Авторская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t>
    </r>
  </si>
  <si>
    <r>
      <rPr>
        <sz val="10"/>
        <color theme="1"/>
        <rFont val="Times New Roman"/>
      </rPr>
      <t>521-301-4018-0001 - Учебный набор "Тестирование продуктов ферментации" типа Experia BN-34</t>
    </r>
  </si>
  <si>
    <r>
      <rPr>
        <sz val="10"/>
        <color theme="1"/>
        <rFont val="Times New Roman"/>
      </rPr>
      <t>Комплектация: Кейс с крышкой - 1 шт; Лоток со вставкой - 1шт; Микроорганизмы для ферментации 1 мл -  5 ампул;Питательная среда для культивирования микроорганизмов, 100 мл - 5 бутылок; Пробирки для культивирования микроорганизмов, 15 мл -  20 шт;  Раствор для остановки ферментации, 250 мл - 1 бутылка; Комплект для определения содержания алкоголя - 1 шт; pH-тест-полоски (100 полосок) - комплект; Пипетки , 3 мл - 10 шт; Градуированые пипетки Пастера - 20 т; Микроцентрифужные пробирки, 2 мл - 50 шт</t>
    </r>
  </si>
  <si>
    <r>
      <rPr>
        <sz val="10"/>
        <color theme="1"/>
        <rFont val="Times New Roman"/>
      </rPr>
      <t>521-301-4018-0002 - Учебный набор "Тестирование продуктов ферментации" типа Wards Science 47021</t>
    </r>
  </si>
  <si>
    <r>
      <rPr>
        <sz val="10"/>
        <color rgb="FF000000"/>
        <rFont val="Times New Roman"/>
      </rPr>
      <t xml:space="preserve">Набор содержит:  • 1 Колба Эрленмейера 1 л  • 1 резиновая пробка 3
</t>
    </r>
    <r>
      <rPr>
        <sz val="10"/>
        <color rgb="FF000000"/>
        <rFont val="Times New Roman"/>
      </rPr>
      <t>затычки  • 1 зажимкомпрес • 1 бутылекмедиум NYSM 100 мл  (1 bottleofsterile NYSM InoculumMedium, 100 mlwithmagneticstirbar)  • 1 бутылек NYSM стерилныймедиум 500 мл (1 bottle of sterile NYSM fermentation medium, 500 ml)  •  чаши петри с агаром NYSM (agarplatesNYSM) (темп. режим) • 2 стерильные трубки  (2 sterile saline tubes, 5 ml)  • 1 изогнутый стержень из нержавеющей стали (1 bent stainless steel plating rod)  • 2 стерильные мешалки (2 sterile inoculating loops) • 1 бутылексафранина 0,25% (1 bottle of aqueous safranin 0.25% 1 oz.) • 1 бутылекспор-окрашивающийраствор 10% (1 bottle of spore-staining solution 10%, 1 oz.)  • 1 агарный раствор Bacillus licheniformis  (темп. режим) • 1 агарный раствор Bacillusthuringiensis var. israelensis  (темп. режим) полоски ph, прищепоки, пакет для биологически опасных веществ, виниловаят рубка, шприц,стерильных фильтров, слайды для микроскопа</t>
    </r>
  </si>
  <si>
    <r>
      <rPr>
        <sz val="10"/>
        <color theme="1"/>
        <rFont val="Times New Roman"/>
      </rPr>
      <t>521-301-4018-0003 - Учебный набор "Тестирование продуктов ферментации" типа Wards Science 47060</t>
    </r>
  </si>
  <si>
    <r>
      <rPr>
        <sz val="10"/>
        <color theme="1"/>
        <rFont val="Times New Roman"/>
      </rPr>
      <t>В комплект входит: 50 г глюкозы 50 г сахарозы 50 г лактозы 50 г фруктозы 10 г дрожжей</t>
    </r>
  </si>
  <si>
    <r>
      <rPr>
        <sz val="10"/>
        <color rgb="FF000000"/>
        <rFont val="Times New Roman"/>
      </rPr>
      <t xml:space="preserve">521-301-4019-0001 -
</t>
    </r>
    <r>
      <rPr>
        <sz val="10"/>
        <color rgb="FF000000"/>
        <rFont val="Times New Roman"/>
      </rPr>
      <t>Экспериментальный набор "Изучение свойств энзимов на практике" типа Experia BN-35</t>
    </r>
  </si>
  <si>
    <t>521-301-4019-0001 -
Экспериментальный набор "Изучение свойств энзимов на практике" типа Experia BN-35</t>
  </si>
  <si>
    <r>
      <rPr>
        <sz val="10"/>
        <color theme="1"/>
        <rFont val="Times New Roman"/>
      </rPr>
      <t>Комплектация: Кейс с крышкой - 1 шт; Лоток со вставкой - 1шт,;Амилаза 50 г- 1 шт; Липаза 50 г  - 1 шт; Протеаза 50 г - 1 шт; Крахмал 50г - 1 шт, Оливковое масло (50мл) - 1 шт; Казеин(50г) - 1 шт.  Йодный раствор,50 мл - 1 шт, Жирообразующий реагент 50 мл - 1 шт; Биуретовый реагент 50 мл- 1 шт;. Буферное решение, объемом, 500 мл - 1 шт pH-бумага - 1 пакет, Микротрубочки - 100 шт; Микропипетка - 1 шт; Наконечники - 200 шт.</t>
    </r>
  </si>
  <si>
    <r>
      <rPr>
        <sz val="10"/>
        <color rgb="FF000000"/>
        <rFont val="Times New Roman"/>
      </rPr>
      <t xml:space="preserve">521-301-4019-0002 -
</t>
    </r>
    <r>
      <rPr>
        <sz val="10"/>
        <color rgb="FF000000"/>
        <rFont val="Times New Roman"/>
      </rPr>
      <t>Экспериментальный набор "Изучение свойств энзимов на практике" типа Wards Science 47024</t>
    </r>
  </si>
  <si>
    <t>521-301-4019-0002 -
Экспериментальный набор "Изучение свойств энзимов на практике" типа Wards Science 47024</t>
  </si>
  <si>
    <r>
      <rPr>
        <sz val="10"/>
        <color theme="1"/>
        <rFont val="Times New Roman"/>
      </rPr>
      <t>В комплект входит: 250 мл крахмального раствора 200 мл раствора сахарозы  200 мл раствора инвертазы  150 мл раствора амилазы  100 мл раствора папаина  15 мл качественного раствора Бенедикта 15 г желатинового порошка  градуированные пластиковые пипетки</t>
    </r>
  </si>
  <si>
    <r>
      <rPr>
        <sz val="10"/>
        <color theme="1"/>
        <rFont val="Times New Roman"/>
      </rPr>
      <t>521-301-4020-0001 - Лабораторный практикум "Пища, как инструмент научной деятельности лаборатории" типа Experia BN-36</t>
    </r>
  </si>
  <si>
    <r>
      <rPr>
        <sz val="10"/>
        <color theme="1"/>
        <rFont val="Times New Roman"/>
      </rPr>
      <t>Комплектация: кейс с крышкой - 1 шт , лоток со вставкой - 1шт, сухие дрожжи 7 гр - 1 пакетик, крахмал 50 гр - 1 пакетик, сахар 50 гр - 1 пакетик, раствор йода 100 мл - 1 шт, лист фильтровальной бумаги на 36 полосок - 1 шт, лакмусовая бумага - 12 шт, большие пробирки, маленькие пробирки,градуированные пипетки Пастера - 2 шт, деревянные аппликаторные палочки - 2 шт, маленькие ложки - 2 шт.</t>
    </r>
  </si>
  <si>
    <r>
      <rPr>
        <sz val="10"/>
        <color theme="1"/>
        <rFont val="Times New Roman"/>
      </rPr>
      <t>521-301-4020-0002 - Лабораторный практикум "Пища, как инструмент научной деятельности лаборатории" типа Wards Science 47026</t>
    </r>
  </si>
  <si>
    <r>
      <rPr>
        <sz val="10"/>
        <color rgb="FF000000"/>
        <rFont val="Times New Roman"/>
      </rPr>
      <t xml:space="preserve">Должен включать в себя следующее: • дрожжи бутылек  •  крахмал • сахар • иодин раствор • фильтр бумага  • латмусовая бумага  • большие тест трубки
</t>
    </r>
    <r>
      <rPr>
        <sz val="10"/>
        <color rgb="FF000000"/>
        <rFont val="Times New Roman"/>
      </rPr>
      <t>• малые тест трубки  • калибровочные пипетки • аппликаторные деревянные палочки • маленькие ложки</t>
    </r>
  </si>
  <si>
    <r>
      <rPr>
        <sz val="10"/>
        <color theme="1"/>
        <rFont val="Times New Roman"/>
      </rPr>
      <t>521-301-4021-0001 - Лабораторный практикум "Геномодифицированные продукты: полиразмерная идентификация" типа Experia BN-37</t>
    </r>
  </si>
  <si>
    <r>
      <rPr>
        <sz val="10"/>
        <color theme="1"/>
        <rFont val="Times New Roman"/>
      </rPr>
      <t>Комплектация: кейс с крышкой - 1 шт , лоток со вставкой - 1шт, сертифицированный негенетически модифицированный продукт 5 шт; InstaGene, 10 мл - 1 шт; позитивный контроль ДНК ГМО, 500 мкл - 1 шт; смесь для ПЦР (Taq ДНК-полимераза, dNTP, буферы), 5 мл - 1шт; праймеры для ГМО (красные), 500 мкл - 1 шт; праймеры для гена PSll растений (зеленые), 500 мкл - 1 шт; молекулярный вес маркер для ПЦР, 1000 мкл - 1 шт; оранжевый краситель для загрузки образцов, 5 мл - 1 шт: Градуированная пипетка, 1 мл – 5 шт; Микропипетка, 10 – больше мкл, - 5 шт.; Насадки для микропипеток – 60 шт; пробирок с винтовой крышкой, 1,5 мл - 50 шт; ПЦР пробирки 1,5 мл, - 30 шт; Адаптер для пробирок без крышки – 5 шт; Держатель для ПЦР пробирок из пенопласта – 5 шт.</t>
    </r>
  </si>
  <si>
    <r>
      <rPr>
        <sz val="10"/>
        <color theme="1"/>
        <rFont val="Times New Roman"/>
      </rPr>
      <t>521-301-4021-0002 - Лабораторный практикум "Геномодифицированные продукты: полиразмерная идентификация" типа Wards Science 47027</t>
    </r>
  </si>
  <si>
    <r>
      <rPr>
        <sz val="10"/>
        <color theme="1"/>
        <rFont val="Times New Roman"/>
      </rPr>
      <t>Набор содержит: • A компонент (Universal DNA Buffer) (темп. режим)  • B компонент TE Buffer  (темп. режим)  • C LyphoPrimer Mix (темп. режим)  • D GMO Positive LyphoControl (темп. режим)  • E NaCl Solution компонент (темп. режим)  • F DNA Extraction Buffer (темп. режим)  • G 100 base pair ladder (темп. режим)  • ультраспекагарозы, (Ultraspec-agarose) • буфер электрофореза 50x ( TBE electrophoresis Buffer) • микротрубки цнтрифужные  • трубки для ПЦР  • калибровочние пипетки</t>
    </r>
  </si>
  <si>
    <r>
      <rPr>
        <sz val="10"/>
        <color rgb="FF000000"/>
        <rFont val="Times New Roman"/>
      </rPr>
      <t xml:space="preserve">521-301-4022-0001 - Набор
</t>
    </r>
    <r>
      <rPr>
        <sz val="10"/>
        <color rgb="FF000000"/>
        <rFont val="Times New Roman"/>
      </rPr>
      <t>микропрепаратов "Ткани" (растений, грибов, животных) типа Experia BN-38</t>
    </r>
  </si>
  <si>
    <t>Набор
микропрепаратов "Ткани" (растений, грибов, животных) типа Experia BN-38</t>
  </si>
  <si>
    <r>
      <rPr>
        <sz val="10"/>
        <color rgb="FF000000"/>
        <rFont val="Times New Roman"/>
      </rPr>
      <t xml:space="preserve">Комплектация:  Морская звезда (образование полярного тела) - 1 шт; Морская звезда (раннее/позднее клеваж) - 1 шт; Морская звезда (поздний клеваж) - 1 шт; Морская звезда (бластула) - 1 шт; Морская звезда (гаструла)
</t>
    </r>
    <r>
      <rPr>
        <sz val="10"/>
        <color rgb="FF000000"/>
        <rFont val="Times New Roman"/>
      </rPr>
      <t>- 1 шт; Морская звезда (бипиннария личинка) - 1 шт; Эмбрион лягушки (поперечное срез) - 1 шт; Эмбрион курицы - 48 часов - 1 шт; Эмбрион курицы - 56 часов (поперечное срез) - 1 шт; Митоз животных (продольный срез) - 1 шт. Кейс с крышкой - 1 шт; Лоток со вставкой - 1шт;</t>
    </r>
  </si>
  <si>
    <r>
      <rPr>
        <sz val="10"/>
        <color rgb="FF000000"/>
        <rFont val="Times New Roman"/>
      </rPr>
      <t xml:space="preserve">521-301-4022-0002 - Набор
</t>
    </r>
    <r>
      <rPr>
        <sz val="10"/>
        <color rgb="FF000000"/>
        <rFont val="Times New Roman"/>
      </rPr>
      <t>микропрепаратов "Ткани" (растений, грибов, животных) типа Wards Science 47028</t>
    </r>
  </si>
  <si>
    <t>Набор
микропрепаратов "Ткани" (растений, грибов, животных) типа Wards Science 47028</t>
  </si>
  <si>
    <r>
      <rPr>
        <sz val="10"/>
        <color rgb="FF000000"/>
        <rFont val="Times New Roman"/>
      </rPr>
      <t xml:space="preserve">Набор содержит следующие образцы:  Эмбрион цыпленка:  1) 12-16 час,  2) 18 час,  3) 21 час,  4)24 часа,  5)28 часов,  6) 33 часа,  7) 40 часов,  8) 43
</t>
    </r>
    <r>
      <rPr>
        <sz val="10"/>
        <color rgb="FF000000"/>
        <rFont val="Times New Roman"/>
      </rPr>
      <t>часа,  9)48 часов,  10) 56 часов,  11) 72 часа,  12) 96 часов. Внимание: часы могут отличаться ± в зависимости созревания плода эмбриона.</t>
    </r>
  </si>
  <si>
    <r>
      <rPr>
        <sz val="10"/>
        <color rgb="FF000000"/>
        <rFont val="Times New Roman"/>
      </rPr>
      <t xml:space="preserve">521-301-4023-0001 - Набор "Ткани
</t>
    </r>
    <r>
      <rPr>
        <sz val="10"/>
        <color rgb="FF000000"/>
        <rFont val="Times New Roman"/>
      </rPr>
      <t>животных" типа Experia BN-39</t>
    </r>
  </si>
  <si>
    <t>Набор "Ткани
животных" типа Experia BN-39</t>
  </si>
  <si>
    <r>
      <rPr>
        <sz val="10"/>
        <color theme="1"/>
        <rFont val="Times New Roman"/>
      </rPr>
      <t>Комплектация: эпителиальная ткань - 1 шт , эпидермис кожи - 1 шт; соединительная ткань - 1 шт, костная ткань - 1 шт, хрящевая ткань - 1 шт, жировая ткань - 1 шт;  Мышечная ткань - 1 шт, скелетная мышца - 1 шт, сердечная мышца - 1 шт, гладкая мышца - 1 шт;  Нервная ткань - 1 шт, срез спинного мозга или нервные волокная - 1 шт;  Набор для окрашивания тканей- 1 шт; Пинцеты - 5 шт.  Кейс с крышкой - 1 шт , лоток со вставкой - 1шт.</t>
    </r>
  </si>
  <si>
    <r>
      <rPr>
        <sz val="10"/>
        <color rgb="FF000000"/>
        <rFont val="Times New Roman"/>
      </rPr>
      <t xml:space="preserve">521-301-4023-0002 - Набор "Ткани
</t>
    </r>
    <r>
      <rPr>
        <sz val="10"/>
        <color rgb="FF000000"/>
        <rFont val="Times New Roman"/>
      </rPr>
      <t>животных" типа Wards Science 47029</t>
    </r>
  </si>
  <si>
    <t>Набор "Ткани
животных" типа Wards Science 47029</t>
  </si>
  <si>
    <r>
      <rPr>
        <sz val="10"/>
        <color rgb="FF000000"/>
        <rFont val="Times New Roman"/>
      </rPr>
      <t xml:space="preserve">Набор содержит: Гистоклир по 2 бутылки 30 мл в упаковке (температурный режим) 1 метанол, 30 мл 1 Eosin / Phloxine рабочего раствора 1
</t>
    </r>
    <r>
      <rPr>
        <sz val="10"/>
        <color rgb="FF000000"/>
        <rFont val="Times New Roman"/>
      </rPr>
      <t>гематоксилин, 1 спирт, 99%  1 пиколит II, 15 мл 1 бутылек сбалансированного солевого раствора Хенкс 100 мл (температурный режим)</t>
    </r>
  </si>
  <si>
    <r>
      <rPr>
        <sz val="10"/>
        <color rgb="FF000000"/>
        <rFont val="Times New Roman"/>
      </rPr>
      <t xml:space="preserve">521-301-4024-0001 - Набор для
</t>
    </r>
    <r>
      <rPr>
        <sz val="10"/>
        <color rgb="FF000000"/>
        <rFont val="Times New Roman"/>
      </rPr>
      <t>исследования по выращивания клеток живой ткани типа Experia BN-40</t>
    </r>
  </si>
  <si>
    <t>Набор для
исследования по выращивания клеток живой ткани типа Experia BN-40</t>
  </si>
  <si>
    <r>
      <rPr>
        <sz val="10"/>
        <color rgb="FF000000"/>
        <rFont val="Times New Roman"/>
      </rPr>
      <t xml:space="preserve">Комплектация: Кейс с крышкой - 1 шт; Лоток со вставкой - 1шт; Тканевые клетки(образцы) - 1 порция; Среда для выращивания клеток, 500 мл3 - 1 шт; Пипетки  - 20 шт.; Штатив для пипеток - 1 шт.; Культура клеток - 1 порция; Стандартная среда 500 мл, - 1 шт; Среда с повышенным содержанием глюкозы, 500 мл - 1 шт; Среда с пониженным содержанием аминокислот, 500 мл - 1 шт; Среда без добавления витаминов, 500 мл - 1 шт, Среда с добавлением антибиотиков, 500 мл - 1шт.
</t>
    </r>
    <r>
      <rPr>
        <sz val="10"/>
        <color rgb="FF000000"/>
        <rFont val="Times New Roman"/>
      </rPr>
      <t>"</t>
    </r>
  </si>
  <si>
    <r>
      <rPr>
        <sz val="10"/>
        <color rgb="FF000000"/>
        <rFont val="Times New Roman"/>
      </rPr>
      <t xml:space="preserve">521-301-4024-0002 - Набор для
</t>
    </r>
    <r>
      <rPr>
        <sz val="10"/>
        <color rgb="FF000000"/>
        <rFont val="Times New Roman"/>
      </rPr>
      <t>исследования по выращивания клеток живой ткани типа Wards Science 47030</t>
    </r>
  </si>
  <si>
    <t>Набор для
исследования по выращивания клеток живой ткани типа Wards Science 47030</t>
  </si>
  <si>
    <r>
      <rPr>
        <sz val="10"/>
        <color theme="1"/>
        <rFont val="Times New Roman"/>
      </rPr>
      <t>Набор содержит: 1 трубка для культур,  1 чаша петри,  пробироки для культур,  трубки Версена 10 мл, (темп. режим)  трубки медиум 10 мл, (темп. режим)  стерильные салфетки, палочка для перемешивания, пипетки</t>
    </r>
  </si>
  <si>
    <r>
      <rPr>
        <sz val="10"/>
        <color rgb="FF000000"/>
        <rFont val="Times New Roman"/>
      </rPr>
      <t xml:space="preserve">521-301-4025-0001 - Комплект
</t>
    </r>
    <r>
      <rPr>
        <sz val="10"/>
        <color rgb="FF000000"/>
        <rFont val="Times New Roman"/>
      </rPr>
      <t>"Растительные ткани" типа Experia BN-41</t>
    </r>
  </si>
  <si>
    <t>Комплект
"Растительные ткани" типа Experia BN-41</t>
  </si>
  <si>
    <r>
      <rPr>
        <sz val="10"/>
        <color rgb="FF000000"/>
        <rFont val="Times New Roman"/>
      </rPr>
      <t xml:space="preserve">Комплектация: Кейс с крышкой - 1 шт; Лоток со вставкой - 1шт;Миропрепараты: Allium (лук) - 1 шт;  эпидермис (wm) - 1 шт; Lillium (лилия)- 1 шт, молодой бутон цветка (cs)- 1 шт; Zea (кукуруза)- 1 шт, верхушка корня (ls)- 1 шт; Zea, стебель (cs)- 1 шт; Zea, лист (cs)- 1 шт; Zea, ядро и зародыш (ls)- 1 шт; Capsella (пастушья сумка)- 1 шт, зрелые зародыши (ls)- 1 шт; Ligustrum (бирючина)- 1 шт, лист (cs)- 1 шт; Ranunculus (лютик)- 1 шт, зрелый корень (cs)- 1 шт; Tilia (липа)- 1 шт,
</t>
    </r>
    <r>
      <rPr>
        <sz val="10"/>
        <color rgb="FF000000"/>
        <rFont val="Times New Roman"/>
      </rPr>
      <t>3-годовой стебель (cs)- 1 шт.</t>
    </r>
  </si>
  <si>
    <r>
      <rPr>
        <sz val="10"/>
        <color rgb="FF000000"/>
        <rFont val="Times New Roman"/>
      </rPr>
      <t xml:space="preserve">521-301-4025-0002 - Комплект
</t>
    </r>
    <r>
      <rPr>
        <sz val="10"/>
        <color rgb="FF000000"/>
        <rFont val="Times New Roman"/>
      </rPr>
      <t>"Растительные ткани" типа Wards Science 47031</t>
    </r>
  </si>
  <si>
    <t>Комплект
"Растительные ткани" типа Wards Science 47031</t>
  </si>
  <si>
    <r>
      <rPr>
        <sz val="10"/>
        <color rgb="FF000000"/>
        <rFont val="Times New Roman"/>
      </rPr>
      <t xml:space="preserve">Набор содержит следующие образцы:  1. Смешанная пыльца,   2. Лук эпидерма,  3. Лилия, молодой цветочный зародыш,  4. Зерно, наконечник корня,  5. Основа,  6. Лист,  7. Ядро и эмбрион,  8. Зрелые эмбрионы,  9. Бирючина, лист,   10. Лютик, зрелый корень,  11. Липа американская,
</t>
    </r>
    <r>
      <rPr>
        <sz val="10"/>
        <color rgb="FF000000"/>
        <rFont val="Times New Roman"/>
      </rPr>
      <t>3-летняя основа,  12. Кукуруза, кончик корня.</t>
    </r>
  </si>
  <si>
    <r>
      <rPr>
        <sz val="10"/>
        <color theme="1"/>
        <rFont val="Times New Roman"/>
      </rPr>
      <t>521-301-4026-0001 - Лабораторный набор "Патология растений" типа Experia BN-42</t>
    </r>
  </si>
  <si>
    <r>
      <rPr>
        <sz val="10"/>
        <color theme="1"/>
        <rFont val="Times New Roman"/>
      </rPr>
      <t>Комплектация: Кейс с крышкой - 1 шт; Лоток со вставкой - 1шт; микропрепараты: Кочанный корень капусты - 1 шт; Белая ржавчина- 4 слайда; Ложная мучнистая роса - 2 слайда; Черная бородавка - 1 шт; Спорынья ржаная - 1 шт; Мучнистая роса - 4 слайда; Синяя цитрусовая плесень - 1 шт; Кленовое звездное пятно - 1 шт; Яблочная парша - 2 горки; Желчь из кедрового яблока - 2 горки; Зерновая ржавчина - 1 шт; Кукурузная головня - 1 шт; Грибок древесной гнили - 1 шт.</t>
    </r>
  </si>
  <si>
    <r>
      <rPr>
        <sz val="10"/>
        <color theme="1"/>
        <rFont val="Times New Roman"/>
      </rPr>
      <t>521-301-4026-0002 - Лабораторный набор "Патология растений" типа Wards Science 47032</t>
    </r>
  </si>
  <si>
    <r>
      <rPr>
        <sz val="10"/>
        <color rgb="FF000000"/>
        <rFont val="Times New Roman"/>
      </rPr>
      <t xml:space="preserve">Набор содержит 21 образец, включая:  1. Корень капусты,  2. Белая ржавчина (4 слайда),  3. Плесень (2 слайда),  4. Черная бородавка,  5.
</t>
    </r>
    <r>
      <rPr>
        <sz val="10"/>
        <color rgb="FF000000"/>
        <rFont val="Times New Roman"/>
      </rPr>
      <t xml:space="preserve">Порошкообразная плесень (4 слайда),  6. Синяя почва цитрусовых,  7.
</t>
    </r>
    <r>
      <rPr>
        <sz val="10"/>
        <color rgb="FF000000"/>
        <rFont val="Times New Roman"/>
      </rPr>
      <t>Пятно смолы клена,  8. Струпья яблока (2 слайда),  9. Злоба яблока кедра (2 слайда),  10. Зерновая ржавчина,  11. Грязь зерна,  12. Деревянный гриб гнили.</t>
    </r>
  </si>
  <si>
    <r>
      <rPr>
        <sz val="10"/>
        <color rgb="FF000000"/>
        <rFont val="Times New Roman"/>
      </rPr>
      <t xml:space="preserve">521-301-4027-0001 - ДНК набор:
</t>
    </r>
    <r>
      <rPr>
        <sz val="10"/>
        <color rgb="FF000000"/>
        <rFont val="Times New Roman"/>
      </rPr>
      <t>Вирусы и бактерии типа Experia BN-43</t>
    </r>
  </si>
  <si>
    <t>ДНК набор:
Вирусы и бактерии типа Experia BN-43</t>
  </si>
  <si>
    <r>
      <rPr>
        <sz val="10"/>
        <color theme="1"/>
        <rFont val="Times New Roman"/>
      </rPr>
      <t>Комплектация: Кейс с крышкой - 1 шт; Лоток со вставкой - 1шт; Бактерии род. Bacillus - 1 пачка; Сухие Дрожжи 7 гр - 1 пачка; Кристалловый фиолетовый грам-окраска, 10мл - 1 шт; Питательный агар 20 мл - 1 шт; Стерильные пипетки, 3 мл - 30 шт; Нутритивная среда,100 мл - 1 шт; Йодный раствор 100 мл - 1 шт; Пробирки ,16смх1,5 см - 12 шт; Крышки для пробирок с отверстиями - 12 шт.</t>
    </r>
  </si>
  <si>
    <r>
      <rPr>
        <sz val="10"/>
        <color rgb="FF000000"/>
        <rFont val="Times New Roman"/>
      </rPr>
      <t xml:space="preserve">521-301-4027-0002 - ДНК набор:
</t>
    </r>
    <r>
      <rPr>
        <sz val="10"/>
        <color rgb="FF000000"/>
        <rFont val="Times New Roman"/>
      </rPr>
      <t>Вирусы и бактерии типа Wards Science 47033</t>
    </r>
  </si>
  <si>
    <t>ДНК набор:
Вирусы и бактерии типа Wards Science 47033</t>
  </si>
  <si>
    <r>
      <rPr>
        <sz val="10"/>
        <color theme="1"/>
        <rFont val="Times New Roman"/>
      </rPr>
      <t>Комплектация: Микроорганизмы температурный режим:  Aquaspirillum serpens (спириллы),  Bacillus cereus (бациллы)  Staphylococcus epidermidis (кокки) • Crystal violet gram stain • methylene blue stain • микроскобные слайды (Microscope slides) • carbol fuchsin • ватные палочки (Cotton swabs)</t>
    </r>
  </si>
  <si>
    <r>
      <rPr>
        <sz val="10"/>
        <color rgb="FF000000"/>
        <rFont val="Times New Roman"/>
      </rPr>
      <t xml:space="preserve">521-301-4028-0001 - Набор слайдов по бактериологии типа Experia
</t>
    </r>
    <r>
      <rPr>
        <sz val="10"/>
        <color rgb="FF000000"/>
        <rFont val="Times New Roman"/>
      </rPr>
      <t>BN-44</t>
    </r>
  </si>
  <si>
    <t>Набор слайдов по бактериологии типа Experia
BN-44</t>
  </si>
  <si>
    <r>
      <rPr>
        <sz val="10"/>
        <color theme="1"/>
        <rFont val="Times New Roman"/>
      </rPr>
      <t>Комплектация:кейс с крышкой - 1 шт , лоток со вставкой - 1шт, слайд бактерии - 2 шт., слайд волосы/волокно - 4 шт, слайды обычные вещи - 7 шт, слайд печати - 1 шт , слайд протисты - 4 шт, слайды ячеек - 2  шт, слайды растительные ткани - 3 шт, слайды животные ткани - 2 шт.</t>
    </r>
  </si>
  <si>
    <r>
      <rPr>
        <sz val="10"/>
        <color theme="1"/>
        <rFont val="Times New Roman"/>
      </rPr>
      <t>521-301-4028-0002 - Набор слайдов по бактериологии типа Wards Science 47034</t>
    </r>
  </si>
  <si>
    <r>
      <rPr>
        <sz val="10"/>
        <color theme="1"/>
        <rFont val="Times New Roman"/>
      </rPr>
      <t>Компоненты:  Azotobacter chroococcum; Agrobacterium tumefaciens; Bacillus anthracis; Bacillus subtilis; Lactococcus lactis; Mycobacterium sp.; Proteus hauseri; Rhodospirillum rubrum; Streptococcus pyogenes</t>
    </r>
  </si>
  <si>
    <r>
      <rPr>
        <sz val="10"/>
        <color theme="1"/>
        <rFont val="Times New Roman"/>
      </rPr>
      <t>521-301-4029-0001 - Лабораторный практикум "Морфология цианобактерий" типа Experia BN-45</t>
    </r>
  </si>
  <si>
    <r>
      <rPr>
        <sz val="10"/>
        <color rgb="FF000000"/>
        <rFont val="Times New Roman"/>
      </rPr>
      <t xml:space="preserve">Комплектация:  Кейс с крышкой - 1 шт; Лоток со вставкой - 1шт; Бактериальная культура оциллятория - 1 шт; Бактериальная культура носток
</t>
    </r>
    <r>
      <rPr>
        <sz val="10"/>
        <color rgb="FF000000"/>
        <rFont val="Times New Roman"/>
      </rPr>
      <t xml:space="preserve">- 1 шт; Бактериальная культура глеокапса - 1 шт; Бактериальная культура глеотрихия - 1 шт; KNO₃ (нитрат калия), 4 г - 1 шт; MgSO₄·7H₂O (сульфат магния), 2 г - 1 шт;   CaCl₂·2H₂O (хлорид кальция), 2 г - 1 шт; NaCl (хлорид натрия), 2 г - 1 шт; KH₂PO₄ (дигидрофосфат калия),1 г - 1 шт; FeSO₄·7H₂O (сульфат железа(II)), 1 г - 1 шт; НаHCO₃ (гидрокарбонат натрия) - 1 г - 1 шт;  Микроэлементный раствор, 4 мл - 1 шт; Стеклянные колбы для культивирования - 4 шт; Стерильные пипетки - 10 шт; Стерильные шпатели
</t>
    </r>
    <r>
      <rPr>
        <sz val="10"/>
        <color rgb="FF000000"/>
        <rFont val="Times New Roman"/>
      </rPr>
      <t xml:space="preserve">-5 шт; Стеклянные палочки для перемешивания - 5 шт; Стерильные
</t>
    </r>
    <r>
      <rPr>
        <sz val="10"/>
        <color rgb="FF000000"/>
        <rFont val="Times New Roman"/>
      </rPr>
      <t>пластиковые пробирки - 20 шт.</t>
    </r>
  </si>
  <si>
    <r>
      <rPr>
        <sz val="10"/>
        <color theme="1"/>
        <rFont val="Times New Roman"/>
      </rPr>
      <t>521-301-4029-0002 - Лабораторный практикум "Морфология цианобактерий" типа Wards Science 47035</t>
    </r>
  </si>
  <si>
    <r>
      <rPr>
        <sz val="10"/>
        <color rgb="FF000000"/>
        <rFont val="Times New Roman"/>
      </rPr>
      <t xml:space="preserve">Набор содержит:  1. Образец цианобактерий – Oscillatoria, Nostoc (filamentous); Gloeocapsa (colonial globular); and Gloeotrichia (colonial filamentous) (разновидность цианобактерий держать в холодильнике)  2.
</t>
    </r>
    <r>
      <rPr>
        <sz val="10"/>
        <color rgb="FF000000"/>
        <rFont val="Times New Roman"/>
      </rPr>
      <t>Одноразовые пипетки – 4 шт. (темп. режим)</t>
    </r>
  </si>
  <si>
    <r>
      <rPr>
        <sz val="10"/>
        <color rgb="FF000000"/>
        <rFont val="Times New Roman"/>
      </rPr>
      <t xml:space="preserve">521-301-4030-0001 - Набор
</t>
    </r>
    <r>
      <rPr>
        <sz val="10"/>
        <color rgb="FF000000"/>
        <rFont val="Times New Roman"/>
      </rPr>
      <t>микропрепаратов "Основы бактериологии" типа  Experia BN-46</t>
    </r>
  </si>
  <si>
    <t>Набор
микропрепаратов "Основы бактериологии" типа  Experia BN-46</t>
  </si>
  <si>
    <r>
      <rPr>
        <sz val="10"/>
        <color theme="1"/>
        <rFont val="Times New Roman"/>
      </rPr>
      <t>Комплектация: Кейс с крышкой - 1 шт; Лоток со вставкой - 1шт; колбы Эрленмейера 250 мл - 8 шт; стеклянная палочка - 1 шт; пипетки Пастера 5 мл - 15 шт; Чашки Петри - 4 шт; Бактериологическая петля - 1 шт.; герметичные крышки для колб - 6 шт, крышка 3 отверстиями для колб - 1 шт; крышка с узким отверстием - 1 шт; Аэробные / микроаэробные подвижные Bacillus subtilis - 1 шт;  Escherichia coli K-12 - 1 шт; палочки E. coli - 1 шт;  Micrococcus luteus - 1 шт; Corynebacterium glutamicum - 1 шт; LB (Luria-Bertani) среда 500 мл - 1 шт; Питательный агар, 500 - 1 шт; BHI (Brain Heart Infusion) агар, 500 мл - 1 шт.</t>
    </r>
  </si>
  <si>
    <r>
      <rPr>
        <sz val="10"/>
        <color rgb="FF000000"/>
        <rFont val="Times New Roman"/>
      </rPr>
      <t xml:space="preserve">521-301-4030-0002 - Набор
</t>
    </r>
    <r>
      <rPr>
        <sz val="10"/>
        <color rgb="FF000000"/>
        <rFont val="Times New Roman"/>
      </rPr>
      <t>микропрепаратов "Основы бактериологии" типа Wards Science 47036</t>
    </r>
  </si>
  <si>
    <t>Набор
микропрепаратов "Основы бактериологии" типа Wards Science 47036</t>
  </si>
  <si>
    <r>
      <rPr>
        <sz val="10"/>
        <color rgb="FF000000"/>
        <rFont val="Times New Roman"/>
      </rPr>
      <t xml:space="preserve">Набор содержит 16 образцов, включая:  1. Спирохета  2. Аэробный  3.
</t>
    </r>
    <r>
      <rPr>
        <sz val="10"/>
        <color rgb="FF000000"/>
        <rFont val="Times New Roman"/>
      </rPr>
      <t xml:space="preserve">Микроаэробный 4. Аэробная палочка 5. Аэробный кок 6. Анаэробный клей
</t>
    </r>
    <r>
      <rPr>
        <sz val="10"/>
        <color rgb="FF000000"/>
        <rFont val="Times New Roman"/>
      </rPr>
      <t>7. Анаэробный кок  8. Кок  9. Образующий эндоспоры 10. Неспорообразующие палочки  11. Микобактерия</t>
    </r>
  </si>
  <si>
    <r>
      <rPr>
        <sz val="10"/>
        <color rgb="FF000000"/>
        <rFont val="Times New Roman"/>
      </rPr>
      <t xml:space="preserve">521-301-4031-0001 - Набор
</t>
    </r>
    <r>
      <rPr>
        <sz val="10"/>
        <color rgb="FF000000"/>
        <rFont val="Times New Roman"/>
      </rPr>
      <t>микропрепаратов "Структура бактерий" типа Experia BN-47</t>
    </r>
  </si>
  <si>
    <t>Набор
микропрепаратов "Структура бактерий" типа Experia BN-47</t>
  </si>
  <si>
    <r>
      <rPr>
        <sz val="10"/>
        <color rgb="FF000000"/>
        <rFont val="Times New Roman"/>
      </rPr>
      <t xml:space="preserve">Комплектация: Кейс с крышкой - 1 шт , Лоток со вставкой - 1шт; Чашки Петри - 20 шт; градуированные пипетки пастера - 50 шт; Бактериологическая петля - 5 шт;Краситель для капсул (красный конго) 50мл - 1шт;Медный сульфат (20% раствор) 50 мл- 1шт; Маневаль буфер 50 мл - 1шт; Химический фиксатор 50 мл - 1шт; Малахитовый зеленый раствор 50 мл - 1шт; Краситель Сафранин 50 мл- 1шт; Толуидиновый синий 25 мл - 1шт; Глицерин  50 мл - 1 шт; Этиловый спирт по 50 мл каждого ; Йод 50 мл - 1шт; Кристаллический фиолет 50 мл - 1шт; Культуры бактерий
</t>
    </r>
    <r>
      <rPr>
        <sz val="10"/>
        <color rgb="FF000000"/>
        <rFont val="Times New Roman"/>
      </rPr>
      <t xml:space="preserve">- 3 колонии; Краситель Судан Черный 50 мл - 1шт; 70% этиловый спирт 100 мл - 1шт; 96% этиловый спирт 100 мл - 1шт; Краситель кристаллический фиолетовый для Грамовой окраски 50мл - 1шт; Йодный раствор для Грамовой окраски 50 мл - 1шт; Краситель фуксин для окраски по
</t>
    </r>
    <r>
      <rPr>
        <sz val="10"/>
        <color rgb="FF000000"/>
        <rFont val="Times New Roman"/>
      </rPr>
      <t xml:space="preserve">Циль-Нильсену 50 мл - 1шт; Краситель метиленовый синий для окраски по
</t>
    </r>
    <r>
      <rPr>
        <sz val="10"/>
        <color rgb="FF000000"/>
        <rFont val="Times New Roman"/>
      </rPr>
      <t>Циль-Нильсену 50 мл - 1шт.</t>
    </r>
  </si>
  <si>
    <r>
      <rPr>
        <sz val="10"/>
        <color rgb="FF000000"/>
        <rFont val="Times New Roman"/>
      </rPr>
      <t xml:space="preserve">521-301-4031-0002 - Набор
</t>
    </r>
    <r>
      <rPr>
        <sz val="10"/>
        <color rgb="FF000000"/>
        <rFont val="Times New Roman"/>
      </rPr>
      <t>микропрепаратов "Структура бактерий" типа Wards Science 47037</t>
    </r>
  </si>
  <si>
    <t>Набор
микропрепаратов "Структура бактерий" типа Wards Science 47037</t>
  </si>
  <si>
    <r>
      <rPr>
        <sz val="10"/>
        <color theme="1"/>
        <rFont val="Times New Roman"/>
      </rPr>
      <t>Набор содержит 6 образцов: • стенка клетки • Жировое тело • Метахроматические гранулы  • Споравбактерии • Оболочкабактерии • обычная бактерия</t>
    </r>
  </si>
  <si>
    <r>
      <rPr>
        <sz val="10"/>
        <color theme="1"/>
        <rFont val="Times New Roman"/>
      </rPr>
      <t>521-301-4032-0001 - Лабораторный практикум "Введение в гистологию" типа Experia BN-48</t>
    </r>
  </si>
  <si>
    <t>Лабораторный практикум "Введение в гистологию" типа Experia BN-48</t>
  </si>
  <si>
    <r>
      <rPr>
        <sz val="10"/>
        <color theme="1"/>
        <rFont val="Times New Roman"/>
      </rPr>
      <t>Комплектация: Кейс с крышкой - 1 шт; Лоток со вставкой - 1шт; Эпителий простого плоского типа (срез) - 1 шт; эпителий простого кубического типа (срез) - 1 шт; эпителий многослойного плоского типа (срез) - 1 шт; гладкая мышца (поперечный/продольный срез) - 1 шт; сердечная мышца (поперечный/продольный срез) - 1 шт; скелетная мышца (поперечный/продольный срез) - 1 шт; орган: гипофиз (срез) - 1 шт; спинной мозг (поперечный срез) - 1 шт; тимус (срез) - 1 шт; щитовидная и околощитовидная железы (срез) - 1 шт; артерия, вена и нерв (срез) - 1 шт; легкое (срез) - 1 шт; желудок (продольный срез) - 1 шт; истина (срез) - 1 шт; ободочная кишка (поперечный срез) - 1 шт; печень (срез) - 1 шт; поджелудочная железа (срез) - 1 шт; почка (срез) - 1 шт; яичник, сперматогенез (срез) - 1 шт; и яичник, фолликул (срез) - 1 шт.</t>
    </r>
  </si>
  <si>
    <r>
      <rPr>
        <sz val="10"/>
        <color theme="1"/>
        <rFont val="Times New Roman"/>
      </rPr>
      <t>521-301-4032-0002 - Лабораторный практикум "Введение в гистологию" типа Wards Science 47038</t>
    </r>
  </si>
  <si>
    <r>
      <rPr>
        <sz val="10"/>
        <color rgb="FF000000"/>
        <rFont val="Times New Roman"/>
      </rPr>
      <t xml:space="preserve">Набор содержит следующие образцы:  1. Чешуйчатый эпителий  2.
</t>
    </r>
    <r>
      <rPr>
        <sz val="10"/>
        <color rgb="FF000000"/>
        <rFont val="Times New Roman"/>
      </rPr>
      <t xml:space="preserve">Ареолярный   3. Хрящ 4. Оссификация в соединительнотканной мембране
</t>
    </r>
    <r>
      <rPr>
        <sz val="10"/>
        <color rgb="FF000000"/>
        <rFont val="Times New Roman"/>
      </rPr>
      <t xml:space="preserve">5. Развитие кости  6. Гигантские многополюсные нейроны  7. Пирамидальные клетки и их процессы   8. Органы 9. Мышцы 10. мышцы
</t>
    </r>
    <r>
      <rPr>
        <sz val="10"/>
        <color rgb="FF000000"/>
        <rFont val="Times New Roman"/>
      </rPr>
      <t xml:space="preserve">11. мышцы  12. Миелинизированные нервы 13. Спинной мозг,
</t>
    </r>
    <r>
      <rPr>
        <sz val="10"/>
        <color rgb="FF000000"/>
        <rFont val="Times New Roman"/>
      </rPr>
      <t xml:space="preserve">млекопитающее 14. Артерия, вена 15. Нерв 16. Щитовидная железа 17.
</t>
    </r>
    <r>
      <rPr>
        <sz val="10"/>
        <color rgb="FF000000"/>
        <rFont val="Times New Roman"/>
      </rPr>
      <t xml:space="preserve">Подверхнечелюстная железа  18. Пищевод 19. Тонкая кишка 20. Толстая
</t>
    </r>
    <r>
      <rPr>
        <sz val="10"/>
        <color rgb="FF000000"/>
        <rFont val="Times New Roman"/>
      </rPr>
      <t xml:space="preserve">кишка 21. Печень  22. Почка 23. Мочевой пузырь 24. Яичко,
</t>
    </r>
    <r>
      <rPr>
        <sz val="10"/>
        <color rgb="FF000000"/>
        <rFont val="Times New Roman"/>
      </rPr>
      <t>сперматогенезиз 25. Яичник</t>
    </r>
  </si>
  <si>
    <r>
      <rPr>
        <sz val="10"/>
        <color theme="1"/>
        <rFont val="Times New Roman"/>
      </rPr>
      <t>521-301-4033-0001 - Лабораторный практикум "Биоремедиация на нефть. Деятельность бактерий" типа Experia BN-49</t>
    </r>
  </si>
  <si>
    <t>Лабораторный практикум "Биоремедиация на нефть. Деятельность бактерий" типа Experia BN-49</t>
  </si>
  <si>
    <r>
      <rPr>
        <sz val="10"/>
        <color theme="1"/>
        <rFont val="Times New Roman"/>
      </rPr>
      <t>Комплектация: Кейс с крышкой - 1 шт; Лоток со вставкой - 1шт; Мерные колбы химические конусовидные, 250 мл – 4 шт.; Герметичные крышки для колб – 4 шт.; Пробирки, 18смх1,8см – 9 шт; Герметичные крышки для пробирок – 6 шт.; Крышки для пробирок с отверстиями – 3 шт.;Термометр – 1 шт.; Индикатор pH – 1 шт.; Микробы OEM – 7 гр.; NaOH  50 мл– 1 банка; HCl 50 мл  – 1 банка.</t>
    </r>
  </si>
  <si>
    <r>
      <rPr>
        <sz val="10"/>
        <color theme="1"/>
        <rFont val="Times New Roman"/>
      </rPr>
      <t>521-301-4033-0002 - Лабораторный практикум "Биоремедиация на нефть. Деятельность бактерий" типа Wards Science 47040</t>
    </r>
  </si>
  <si>
    <r>
      <rPr>
        <sz val="10"/>
        <color rgb="FF000000"/>
        <rFont val="Times New Roman"/>
      </rPr>
      <t xml:space="preserve">В набор входят: 1. Споры:      A)Penicillium sp.  (темп. режим, живые) B)Pseudomonas sp. (темп. режим, живые)  2. Трансферные пипетки, 3.
</t>
    </r>
    <r>
      <rPr>
        <sz val="10"/>
        <color rgb="FF000000"/>
        <rFont val="Times New Roman"/>
      </rPr>
      <t>Ватные палочки.</t>
    </r>
  </si>
  <si>
    <r>
      <rPr>
        <sz val="10"/>
        <color rgb="FF000000"/>
        <rFont val="Times New Roman"/>
      </rPr>
      <t xml:space="preserve">521-301-4034-0001 - Практикум
</t>
    </r>
    <r>
      <rPr>
        <sz val="10"/>
        <color rgb="FF000000"/>
        <rFont val="Times New Roman"/>
      </rPr>
      <t>"Бактерии в питьевой воде" типа Experia BN-50</t>
    </r>
  </si>
  <si>
    <t>Практикум
"Бактерии в питьевой воде" типа Experia BN-50</t>
  </si>
  <si>
    <r>
      <rPr>
        <sz val="10"/>
        <color theme="1"/>
        <rFont val="Times New Roman"/>
      </rPr>
      <t>Комплектация: Кейс с крышкой - 1 шт; Лоток со вставкой - 1шт; Колиформный бульон, 10 мл - 1 шт; стерильная вода 10 мл, - 1 шт; культура кишечной палочки на склоне - 1 шт; микроинъекционные пробирки объемом 2 мл с винтовыми крышками - 6 шт; градуированные пипетки Пастера, 1 мл - 7 шт ; стерильные ватные тампоны - 1 шт; пластиковые стерильные пробирки объемом 15 мл с крышками, Контрольный раствор колиформных бактерий 10 мл - 1 шт, Палочка тампон - 1 шт,</t>
    </r>
  </si>
  <si>
    <r>
      <rPr>
        <sz val="10"/>
        <color rgb="FF000000"/>
        <rFont val="Times New Roman"/>
      </rPr>
      <t xml:space="preserve">521-301-4034-0002 - Практикум
</t>
    </r>
    <r>
      <rPr>
        <sz val="10"/>
        <color rgb="FF000000"/>
        <rFont val="Times New Roman"/>
      </rPr>
      <t>"Бактерии в питьевой воде" типа Wards Science 47041</t>
    </r>
  </si>
  <si>
    <t>Практикум
"Бактерии в питьевой воде" типа Wards Science 47041</t>
  </si>
  <si>
    <r>
      <rPr>
        <sz val="10"/>
        <color rgb="FF000000"/>
        <rFont val="Times New Roman"/>
      </rPr>
      <t xml:space="preserve">Набор включает в себя: - бутылек среда агара  (темп. режим , живые)  - бутылек среда агара  (темп. режим , живые)  -транферные пипетки
</t>
    </r>
    <r>
      <rPr>
        <sz val="10"/>
        <color rgb="FF000000"/>
        <rFont val="Times New Roman"/>
      </rPr>
      <t>-теструбки  -чаши петри</t>
    </r>
  </si>
  <si>
    <r>
      <rPr>
        <sz val="10"/>
        <color rgb="FF000000"/>
        <rFont val="Times New Roman"/>
      </rPr>
      <t xml:space="preserve">521-301-4035-0001 -
</t>
    </r>
    <r>
      <rPr>
        <sz val="10"/>
        <color rgb="FF000000"/>
        <rFont val="Times New Roman"/>
      </rPr>
      <t>Экспериментальный набор: Эпидемия типа Experia BN-51</t>
    </r>
  </si>
  <si>
    <t>521-301-4035-0001 -
Экспериментальный набор: Эпидемия типа Experia BN-51</t>
  </si>
  <si>
    <r>
      <rPr>
        <sz val="10"/>
        <color theme="1"/>
        <rFont val="Times New Roman"/>
      </rPr>
      <t>Комплектация: кейс с крышкой - 1 шт , лоток со вставкой - 1шт, порошок имитирующего инфекционный агент, 100 гр - 1 шт, контрольный порошок,100 гр - 1шт, глицериновый раствор - 400 гр, - 1 шт, переносные пипетки - 25 шт, микроцентрифужные трубки - 30 шт.</t>
    </r>
  </si>
  <si>
    <r>
      <rPr>
        <sz val="10"/>
        <color rgb="FF000000"/>
        <rFont val="Times New Roman"/>
      </rPr>
      <t xml:space="preserve">521-301-4035-0002 -
</t>
    </r>
    <r>
      <rPr>
        <sz val="10"/>
        <color rgb="FF000000"/>
        <rFont val="Times New Roman"/>
      </rPr>
      <t>Экспериментальный набор: Эпидемия типа Wards Science 47042</t>
    </r>
  </si>
  <si>
    <t>521-301-4035-0002 -
Экспериментальный набор: Эпидемия типа Wards Science 47042</t>
  </si>
  <si>
    <r>
      <rPr>
        <sz val="10"/>
        <color theme="1"/>
        <rFont val="Times New Roman"/>
      </rPr>
      <t>Набор включает в себя: 1. флакон раствора LS3   (темп. режим, живые)  2. флакон раствора ETS1,  (темп. режим , живые)  3. трансферные пипетки 4. микроцентрифужные пробирки,  5. стерильные ватные палочки .</t>
    </r>
  </si>
  <si>
    <r>
      <rPr>
        <sz val="10"/>
        <color theme="1"/>
        <rFont val="Times New Roman"/>
      </rPr>
      <t>521-301-4036-0001 - Лабораторный практикум "Аллергия"  типа Experia BN-52</t>
    </r>
  </si>
  <si>
    <r>
      <rPr>
        <sz val="10"/>
        <color theme="1"/>
        <rFont val="Times New Roman"/>
      </rPr>
      <t>Комплектация: кейс с крышкой - 1 шт , лоток со вставкой - 1шт, антитело к арахису 80 мл - 1 шт, Отрицательный контроль 80 мл, 1 шт, Положительный контроль 80 мл, - 1 шт, Симулированный экстракт пищи 1 , 100 мл - 1 шт, Симулированный экстракт пищи 2, 100 мл, - 1 шт, Вторичное антитело 100 мл, - 1 шт, Субстрат, 100 мл, - 1 шт Полоски для микротитровых ячеек -3 шт, Пипетки для переноса жидкости- 12 шт.</t>
    </r>
  </si>
  <si>
    <r>
      <rPr>
        <sz val="10"/>
        <color theme="1"/>
        <rFont val="Times New Roman"/>
      </rPr>
      <t>521-301-4036-0002 - Лабораторный практикум "Аллергия" типа Wards Science 47043</t>
    </r>
  </si>
  <si>
    <r>
      <rPr>
        <sz val="10"/>
        <color theme="1"/>
        <rFont val="Times New Roman"/>
      </rPr>
      <t>Набор содержит:  • ореховое антитело компонент А (A Peanut Antibody)  • Негатив контроль компонент B (B Negative Control)  • Положительный контроль компонент С (C Positive Control)  • симуляция экстракта еды 1 компонент D (D Simulated Food Extract 1) • симуляция экстракта еды 2 компонент E (E SimulatedFoodExtract2)  • второстепенное антитело компонент F ( F Secondary Antibody)  • субстрат компонент G (G Substrate)  • микропластина с углублениями • пипетки</t>
    </r>
  </si>
  <si>
    <r>
      <rPr>
        <sz val="10"/>
        <color theme="1"/>
        <rFont val="Times New Roman"/>
      </rPr>
      <t>521-301-4037-0001 - Лабораторный практикум "Фотосинтез и клеточное дыхание"  типа Experia BN-53</t>
    </r>
  </si>
  <si>
    <r>
      <rPr>
        <sz val="10"/>
        <color rgb="FF000000"/>
        <rFont val="Times New Roman"/>
      </rPr>
      <t xml:space="preserve">Комплектация:  кейс с крышкой - 1 шт , лоток со вставкой - 1шт, пробирки
</t>
    </r>
    <r>
      <rPr>
        <sz val="10"/>
        <color rgb="FF000000"/>
        <rFont val="Times New Roman"/>
      </rPr>
      <t>- 14 шт, пробки - 14 шт, одноразовые пипетки - 14 шт, сахароза 100 гр - 1 шт, бромтимоловый синий 50 мл - 1 шт, гидроксид натрия 50 гр, - 1 шт, соляная кислота -  10 мл - 1 шт.</t>
    </r>
  </si>
  <si>
    <r>
      <rPr>
        <sz val="10"/>
        <color theme="1"/>
        <rFont val="Times New Roman"/>
      </rPr>
      <t>521-301-4037-0002 - Лабораторный практикум "Фотосинтез и клеточное дыхание" типа Wards Science 47044</t>
    </r>
  </si>
  <si>
    <r>
      <rPr>
        <sz val="10"/>
        <color theme="1"/>
        <rFont val="Times New Roman"/>
      </rPr>
      <t>Набор содержит:  • 50 тест трубки  (test tubes) • 40 пробки (corks)  • 30 plastic pipets (пипетки) • 100g Sucrose (сахароза) • 0.5g Bromothymol blue (бромитил) • 15 ml Sodium hydroxide 2% (содиумгидрооксид) • 15 ml Hydrochloric acid 0.1% (гидрохлоридоксид) 1 упаковка дрожжей</t>
    </r>
  </si>
  <si>
    <r>
      <rPr>
        <sz val="10"/>
        <color theme="1"/>
        <rFont val="Times New Roman"/>
      </rPr>
      <t>521-301-4038-0001 - Лабораторный практикум "Основы микробиологической деятельности" типа Experia  BN-54</t>
    </r>
  </si>
  <si>
    <r>
      <rPr>
        <sz val="10"/>
        <color rgb="FF000000"/>
        <rFont val="Times New Roman"/>
      </rPr>
      <t xml:space="preserve">Комплектация:  кейс с крышкой - 1 шт , лоток со вставкой - 1шт, питательные среда 180 мл - 1 шт, красители, 90 мл - 1 шт, фиксативы,90 мл
</t>
    </r>
    <r>
      <rPr>
        <sz val="10"/>
        <color rgb="FF000000"/>
        <rFont val="Times New Roman"/>
      </rPr>
      <t>- 1 шт, антибиотики - 18 дисков, биохимические реактивы - 6 шт, буферные растворы, 180 мл - 1 шт, ферменты 90 мл - 1 шт, материалы для микробиологических анализов, стерильные петельки - 6шт, стерильные пипетки - 25 шт, стерильные пробирки - 20 шт.</t>
    </r>
  </si>
  <si>
    <r>
      <rPr>
        <sz val="10"/>
        <color theme="1"/>
        <rFont val="Times New Roman"/>
      </rPr>
      <t>521-301-4038-0002 - Лабораторный практикум  «Основы микробиологии» типа Wards Science 47045</t>
    </r>
  </si>
  <si>
    <r>
      <rPr>
        <sz val="10"/>
        <color rgb="FF000000"/>
        <rFont val="Times New Roman"/>
      </rPr>
      <t xml:space="preserve">Набор содержит:  • 1 упаковка микроскопных слайдов • 1 упаковка чашек петри  •  триптический соевый агар  • триптический соевыйбульон  • петля для мешания • метелинблу  • сафранин 0.1%  • сафранин 0.25% ( safranin 0.25% ) • раствор для спор ( spore staining solution) • иодин раствор ( iodine solution) • марганцовка (crystal violet) •  этиловый спирт ( ethyl alcohol, 95%)
</t>
    </r>
    <r>
      <rPr>
        <sz val="10"/>
        <color rgb="FF000000"/>
        <rFont val="Times New Roman"/>
      </rPr>
      <t>• прищепки (clothspins ) • био защитный пакет ( biohazard bag)</t>
    </r>
  </si>
  <si>
    <r>
      <rPr>
        <sz val="10"/>
        <color theme="1"/>
        <rFont val="Times New Roman"/>
      </rPr>
      <t>521-301-4039-0001 - Лабораторный набор "Диффузия и размер клетки" типа Experia BN-55</t>
    </r>
  </si>
  <si>
    <r>
      <rPr>
        <sz val="10"/>
        <color theme="1"/>
        <rFont val="Times New Roman"/>
      </rPr>
      <t>Комплектация: Кейс с крышкой - 1 шт; Лоток со вставкой - 1шт; Подготовленные агаровые кубики (размером 1 см, 2 см, 3 см) - 15 шт; Пластиковые ножи - 5 шт; стеклянные колбы - 5 шт; Дистиллированный уксус, 2 л - 1 шт; Линейки - 5 шт.</t>
    </r>
  </si>
  <si>
    <r>
      <rPr>
        <sz val="10"/>
        <color theme="1"/>
        <rFont val="Times New Roman"/>
      </rPr>
      <t>521-301-4039-0002 - Лабораторный набор "Диффузия и размер клетки" типа Wards Science 47046</t>
    </r>
  </si>
  <si>
    <r>
      <rPr>
        <sz val="10"/>
        <color theme="1"/>
        <rFont val="Times New Roman"/>
      </rPr>
      <t>Набор содержит:  • 1 порошок фенофталеин агар (Package of phenolphthalein agar powder) • 1 уксус (diffusion medium vinegar) •  пластиковые ножи • пластиковые ложки •  пластиковые кружки •  поддон (rectangular trays) • 15 мл NaOH содиум гидрооксид раствор 2% (sodium hydroxide solution 2% ) • метрические линейки • 1 коробка одноразовых перчаток (1 box of  gloves)</t>
    </r>
  </si>
  <si>
    <r>
      <rPr>
        <sz val="10"/>
        <color theme="1"/>
        <rFont val="Times New Roman"/>
      </rPr>
      <t>521-301-4040-0001 - Лабораторный практикум "Гены в пробирке" типа Experia BN-56</t>
    </r>
  </si>
  <si>
    <t>Лабораторный практикум "Гены в пробирке" типа Experia BN-56</t>
  </si>
  <si>
    <r>
      <rPr>
        <sz val="10"/>
        <color theme="1"/>
        <rFont val="Times New Roman"/>
      </rPr>
      <t>Комплектация: Кейс с крышкой - 1 шт; Лоток со вставкой - 1шт; Раствор лизиса, 15 мл - 1 шт, Протеаза 30 мл - 1 шт, Трис-буфер - 15 мл - 1 шт, Раствор Flash Bluе 15 мл - 1 шт, Пакеты соли - 1 пакет, Прозрачные пробирки для изоляции ДНК - 3 шт, Микроцентрифужные пробирки с крышками - 3 шт, Одноразовые градуированные пипетки Пастера - 12 шт, Нить для ожерельев - 3 шт, Одноразовые пластиковые стаканчики - 3 шт.</t>
    </r>
  </si>
  <si>
    <r>
      <rPr>
        <sz val="10"/>
        <color theme="1"/>
        <rFont val="Times New Roman"/>
      </rPr>
      <t>521-301-4040-0002 - Лабораторный практикум "Гены в пробирке" типа Wards Science 47047</t>
    </r>
  </si>
  <si>
    <t>Лабораторный практикум "Гены в пробирке" типа Wards Science 47047</t>
  </si>
  <si>
    <r>
      <rPr>
        <sz val="10"/>
        <color theme="1"/>
        <rFont val="Times New Roman"/>
      </rPr>
      <t>Набор содержит необходимый инструментарий, в том числе Общая информация инструкция по применению. • лисис буфер  • ватные палочки  • энзим протеаза  • метелин блу (flash blue) • калибровочные трансферные пипетки  • тесттрубки • мешалка/струнка</t>
    </r>
  </si>
  <si>
    <r>
      <rPr>
        <sz val="10"/>
        <color theme="1"/>
        <rFont val="Times New Roman"/>
      </rPr>
      <t>521-301-4041-0001 - Лабораторный практикум "Принцип Менделя" типа Experia BN-57</t>
    </r>
  </si>
  <si>
    <t>Лабораторный практикум "Принцип Менделя" типа Experia BN-57</t>
  </si>
  <si>
    <r>
      <rPr>
        <sz val="10"/>
        <color theme="1"/>
        <rFont val="Times New Roman"/>
      </rPr>
      <t>Комплектация: кейс с крышкой - 1 шт , лоток со вставкой - 1шт,  шейкер для чашек - 15 шт, 4-сторонние игральных кости - 60 шт, По 15 прозрачных пластиковых дисков каждого цвета (желтый, зеленый, красный, синий) прозрачный желтый диск - 15 шт, прозрачный зелёный диск - 15 шт, прозрачный красный диск - 15 шт , прозрачы синий диск - 15 шт, красные аллельные дисков - 150 шт, двусторонни пластиковые монеты  - 30 шт, синие восковые маркировочные ручки  - 8 шт.</t>
    </r>
  </si>
  <si>
    <r>
      <rPr>
        <sz val="10"/>
        <color theme="1"/>
        <rFont val="Times New Roman"/>
      </rPr>
      <t>521-301-4041-0002 - Лабораторный практикум "Принцип Менделя" типа Wards Science 47048</t>
    </r>
  </si>
  <si>
    <t>Лабораторный практикум "Принцип Менделя" типа Wards Science 47048</t>
  </si>
  <si>
    <r>
      <rPr>
        <sz val="10"/>
        <color theme="1"/>
        <rFont val="Times New Roman"/>
      </rPr>
      <t>Техническая характеристика: • 15 стаканчиков • 4-х сторонние кубики • диски пластиковые (зеленые, желтые, красные, голубые) • красные диски • пластиковые монеты •  восковые маркеры</t>
    </r>
  </si>
  <si>
    <r>
      <rPr>
        <sz val="10"/>
        <color rgb="FF000000"/>
        <rFont val="Times New Roman"/>
      </rPr>
      <t xml:space="preserve">521-301-4042-0001 - Лабораторный практикум "Введение в определение наличия антител" типа Experia
</t>
    </r>
    <r>
      <rPr>
        <sz val="10"/>
        <color rgb="FF000000"/>
        <rFont val="Times New Roman"/>
      </rPr>
      <t>BN-58</t>
    </r>
  </si>
  <si>
    <t>Лабораторный практикум "Введение в определение наличия антител" типа Experia
BN-58</t>
  </si>
  <si>
    <r>
      <rPr>
        <sz val="10"/>
        <color theme="1"/>
        <rFont val="Times New Roman"/>
      </rPr>
      <t>Комплектация:  кейс с крышкой - 1 шт; лоток со вставкой - 1шт; имитация крови - 6 шт; антиген - 6 шт; антитела - 6 шт;  Пипетки - 12 шт ; Микротитровая планшета - 6 шт; Раствор для промывки,1 л - 1 бутылка; Реактивы для развития цвета - 1 комплект.</t>
    </r>
  </si>
  <si>
    <r>
      <rPr>
        <sz val="10"/>
        <color theme="1"/>
        <rFont val="Times New Roman"/>
      </rPr>
      <t>521-301-4042-0002 - Лабораторный практикум "Введение в определение наличия антител" типа Wards Science 47051</t>
    </r>
  </si>
  <si>
    <r>
      <rPr>
        <sz val="10"/>
        <color theme="1"/>
        <rFont val="Times New Roman"/>
      </rPr>
      <t>Набор содержит:  • компонент A (A Antigens) (темп. режим)  • компонент B (B whey antigen (liophilized ) (темп. режим)  • компонент C (C 10xPBST ) (темп. режим)  • компонент D (D Primary antibody) (темп. режим)  • компонент E (E Secondary Antybody) (темп. режим)  • компонент F (F Abts substrate) (темп. режим)  • компонент G (G Aminosalicylic Acid) (темп. режим)  • компонент H (H Hydrogen peroxide) (темп. режим)  • микропластина с углублениями  • пластиковые пипетки • микротрубки с колпочками  • пластиковые трубки 15 мл</t>
    </r>
  </si>
  <si>
    <r>
      <rPr>
        <sz val="10"/>
        <color theme="1"/>
        <rFont val="Times New Roman"/>
      </rPr>
      <t>521-301-4043-0001 - Лабораторный практикум "Наркотест" типа Wards Science 47015</t>
    </r>
  </si>
  <si>
    <r>
      <rPr>
        <sz val="10"/>
        <color theme="1"/>
        <rFont val="Times New Roman"/>
      </rPr>
      <t>Набор содержит:  Образцы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t>
    </r>
  </si>
  <si>
    <r>
      <rPr>
        <sz val="10"/>
        <color rgb="FF000000"/>
        <rFont val="Times New Roman"/>
      </rPr>
      <t xml:space="preserve">521-301-4044-0001 - Учебный
</t>
    </r>
    <r>
      <rPr>
        <sz val="10"/>
        <color rgb="FF000000"/>
        <rFont val="Times New Roman"/>
      </rPr>
      <t>практикум "Полиразмерный цепной анализ" типа Wards Science 47022</t>
    </r>
  </si>
  <si>
    <t>Учебный
практикум "Полиразмерный цепной анализ" типа Wards Science 47022</t>
  </si>
  <si>
    <r>
      <rPr>
        <sz val="10"/>
        <color rgb="FF000000"/>
        <rFont val="Times New Roman"/>
      </rPr>
      <t xml:space="preserve">Набор содержит:  • компонент A (А Universal DNA Buffer) • компонент B (B-1 MitochondrialLyphoprimer)  • компонент B-2 (B-2 PV92 primer) • компонент B-3 (B-3 VNTR LyphoPrimerD1S80 )  • компонент C (DNA Ladder)  • компонент D (D-1 Mitochondrial LyphoControl)  • компонент D-2 (D-2 Alu LyphoControl PV92) • компонент D-3 (VNTR LyphoControl (D1S80)
</t>
    </r>
    <r>
      <rPr>
        <sz val="10"/>
        <color rgb="FF000000"/>
        <rFont val="Times New Roman"/>
      </rPr>
      <t>• компонент E (E TE Buffer) компоненты А - Е (темп. режим) • ультраспек агарозы (UltraSpec-Agarose) • буфер эл. форез (Electrophoresis Buffer 50x)  • микрофуговыетрубки (microcentrifuge tubes) • набор трубок и пр. пластика.</t>
    </r>
  </si>
  <si>
    <r>
      <rPr>
        <sz val="10"/>
        <color theme="1"/>
        <rFont val="Times New Roman"/>
      </rPr>
      <t>521-301-4045-0001 - Комплект для полиразмерной реакции магнезия хлорида типа Wards Science 47023</t>
    </r>
  </si>
  <si>
    <r>
      <rPr>
        <sz val="10"/>
        <color theme="1"/>
        <rFont val="Times New Roman"/>
      </rPr>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r>
  </si>
  <si>
    <r>
      <rPr>
        <sz val="10"/>
        <color theme="1"/>
        <rFont val="Times New Roman"/>
      </rPr>
      <t>521-301-4046-0001 - Комплект для полиразмерной реакции энзимов типа Wards Science 47025</t>
    </r>
  </si>
  <si>
    <r>
      <rPr>
        <sz val="10"/>
        <color theme="1"/>
        <rFont val="Times New Roman"/>
      </rPr>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r>
  </si>
  <si>
    <r>
      <rPr>
        <sz val="10"/>
        <color theme="1"/>
        <rFont val="Times New Roman"/>
      </rPr>
      <t>521-301-4047-0001 - Набор учебный по курсу "Генетика" типа Wards Science 47049</t>
    </r>
  </si>
  <si>
    <r>
      <rPr>
        <sz val="10"/>
        <color theme="1"/>
        <rFont val="Times New Roman"/>
      </rPr>
      <t>В состав набора входит:  1. Агарный раствор для спаривания,  2. чашки Петри,  3. предметные стекла,  4. покровные стекла,  5. стерильные скальпели,  6. одноразовые пипетки,  7. одноразовые петли.</t>
    </r>
  </si>
  <si>
    <r>
      <rPr>
        <sz val="10"/>
        <color theme="1"/>
        <rFont val="Times New Roman"/>
      </rPr>
      <t>521-301-4048-0001 - Набор учебный по курсу "Визуализация клеточных процессов" типа Wards Science 470450</t>
    </r>
  </si>
  <si>
    <r>
      <rPr>
        <sz val="10"/>
        <color theme="1"/>
        <rFont val="Times New Roman"/>
      </rPr>
      <t>В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Пленка, •1 спирт Этанол 95% (Ethanol). •4 круглых контейнера, •4 квадратных контейнера,</t>
    </r>
  </si>
  <si>
    <r>
      <rPr>
        <sz val="10"/>
        <color theme="1"/>
        <rFont val="Times New Roman"/>
      </rPr>
      <t>521-301-4049-0001 - Лабораторный эксперимент: "Осмос и диффузия" типа Wards Science 47061</t>
    </r>
  </si>
  <si>
    <r>
      <rPr>
        <sz val="10"/>
        <color rgb="FF000000"/>
        <rFont val="Times New Roman"/>
      </rPr>
      <t xml:space="preserve">Эксперимент должен демонстрировать полупроницаемость, осмос и молекулярную диффузию при изменениях. Наблюдаемых в цветных растворах. В состав входят: • 4 диализные трубки, • 1 бутылек глюкозы, 250 мл, • 1 бутылек содиум хлорид, 30 мл, • 4 красители, • 20 чаша петри, • пластик ножи, • пластик ложки, • 100 покрывные стекла, • 1 бутылек уксуса,
</t>
    </r>
    <r>
      <rPr>
        <sz val="10"/>
        <color rgb="FF000000"/>
        <rFont val="Times New Roman"/>
      </rPr>
      <t>• 1 бутылек альбумин, • 1 шт пластиковые линейки • 1 сахар (5 пачек разный грамаж)</t>
    </r>
  </si>
  <si>
    <r>
      <rPr>
        <sz val="10"/>
        <color rgb="FF000000"/>
        <rFont val="Times New Roman"/>
      </rPr>
      <t xml:space="preserve">521-301-4050-0001 - Учебный
</t>
    </r>
    <r>
      <rPr>
        <sz val="10"/>
        <color rgb="FF000000"/>
        <rFont val="Times New Roman"/>
      </rPr>
      <t>практикум «Изучение растений и митоза животных» типа Wards Science 47062</t>
    </r>
  </si>
  <si>
    <t>Учебный
практикум «Изучение растений и митоза животных» типа Wards Science 47062</t>
  </si>
  <si>
    <r>
      <rPr>
        <sz val="10"/>
        <color rgb="FF000000"/>
        <rFont val="Times New Roman"/>
      </rPr>
      <t xml:space="preserve">• 1 корень растения (1 vival of specially grown root tips) (темп. режим) • 1 коробка слайдов (1 box of mircoscope slides) • 1 коробка с пластинами
</t>
    </r>
    <r>
      <rPr>
        <sz val="10"/>
        <color rgb="FF000000"/>
        <rFont val="Times New Roman"/>
      </rPr>
      <t>пластиковыми (1 box of cover slips) • деревянные палочки ( wooden stics) • 1 щипцы (1 tissue forceps) • 1 Ацето-орцеин бутылек 30 мл (Dropping Bottle of Aceto-orcein Stain 30 ml) • 1 бутылек 1N HCL 6 мл (1 droping bottle 1N HCL 6ml) • стирильные салфетки • 4 бутылька для жидкостей (4 droppingbottles 3 ml) • 1 лоток • 1 бутылек пиколита II 15 мл  (1 dropping bottle of Mounting Media (Piccolyte ) 15 ml) • 1 слайд клетки растения (1 Plant cell Mitosis referance slide)</t>
    </r>
  </si>
  <si>
    <r>
      <rPr>
        <sz val="10"/>
        <color rgb="FF000000"/>
        <rFont val="Times New Roman"/>
      </rPr>
      <t xml:space="preserve">521-301-4051-0001 -
</t>
    </r>
    <r>
      <rPr>
        <sz val="10"/>
        <color rgb="FF000000"/>
        <rFont val="Times New Roman"/>
      </rPr>
      <t>УФ-Трансиллюминатор типа Wards Science</t>
    </r>
  </si>
  <si>
    <t>521-301-4051-0001 -
УФ-Трансиллюминатор типа Wards Science</t>
  </si>
  <si>
    <r>
      <rPr>
        <sz val="10"/>
        <color theme="1"/>
        <rFont val="Times New Roman"/>
      </rPr>
      <t>УФ-Трансиллюминатор предназначен просмотра реакций ДНК в геле агарозы с бромидом этидия или другими красителями, поэтому подходит для аналитических и подготовительных работ.  Прибор пропускает интенсивный свет для реакций с бромидом этидия. Длина волны прибора позволяет сократить повреждение молекул ДНК, а поверхностное покрытие, состоящее из блокирующих УФ лучи акрилов, защищает пользователя от вредного радиоактивного УФ-излучения. Смотровое окно: 16 x 19 cm Длина волны: 302 нм.</t>
    </r>
  </si>
  <si>
    <r>
      <rPr>
        <sz val="10"/>
        <color theme="1"/>
        <rFont val="Times New Roman"/>
      </rPr>
      <t>521-301-4101-0001 - Набор "Зеленая нанохимия: синтез наночастиц серебра" типа Experia BN-61</t>
    </r>
  </si>
  <si>
    <t>Набор "Зеленая нанохимия: синтез наночастиц серебра" типа Experia BN-61</t>
  </si>
  <si>
    <r>
      <rPr>
        <sz val="10"/>
        <color theme="1"/>
        <rFont val="Times New Roman"/>
      </rPr>
      <t>Комплектация: кейс с крышкой - 1 шт; лоток со вставкой - 1шт; 50 мл нитрата серебра - 1 шт; 10 г декстрозы - 1 шт; 30 г растворимого крахмала - 1 шт; 150 мл гидроксида натрия - 1 шт, пробирки - 5 шт, пипетки - 6 шт, цилиндр градуированный 250 мл - 1 шт.</t>
    </r>
  </si>
  <si>
    <r>
      <rPr>
        <sz val="10"/>
        <color theme="1"/>
        <rFont val="Times New Roman"/>
      </rPr>
      <t>521-301-4101-0002 - Набор "Зеленая нанохимия: синтез наночастиц серебра" типа Wards Science 47053</t>
    </r>
  </si>
  <si>
    <r>
      <rPr>
        <sz val="10"/>
        <color theme="1"/>
        <rFont val="Times New Roman"/>
      </rPr>
      <t>В набор входит:  1 бутылка Нитрат серебра, 0,1 - 1 мл, Декстроза/Глюкоза 5 мл, Растворимый крахмал, Гидроксид натрия 0,1 - 5 мл, пластиковые пипетки.</t>
    </r>
  </si>
  <si>
    <r>
      <rPr>
        <sz val="10"/>
        <color rgb="FF000000"/>
        <rFont val="Times New Roman"/>
      </rPr>
      <t xml:space="preserve">521-301-4102-0001 - Учебный
</t>
    </r>
    <r>
      <rPr>
        <sz val="10"/>
        <color rgb="FF000000"/>
        <rFont val="Times New Roman"/>
      </rPr>
      <t>набор: Скрытые отпечатки пальцев типа Experia BN-62</t>
    </r>
  </si>
  <si>
    <t>Учебный
набор: Скрытые отпечатки пальцев типа Experia BN-62</t>
  </si>
  <si>
    <r>
      <rPr>
        <sz val="10"/>
        <color theme="1"/>
        <rFont val="Times New Roman"/>
      </rPr>
      <t>Комплектация: кейс с крышкой - 1 шт , лоток со вставкой - 1шт, порошок для отпечатков пальцев -25 гр, кисти для отпечатков пальцев - 15 шт, увеличительные стекла - 5 шт, ацетатные листы - 15 шт, чернильная подушечка - 3 шт, Руководство для инструктора - 1шт ; Дактилоскопический порошок - 1 шт ; Нингидрин - 1 шт ; Ацетон - 1 шт; Йод Люголя - 1 шт; Перчатки - 3 пары; Пипетки - 3 шт; Дактилоскопическая скотч-лента - 1 шт; Инструкции по способу работы - 1 шт.</t>
    </r>
  </si>
  <si>
    <r>
      <rPr>
        <sz val="10"/>
        <color rgb="FF000000"/>
        <rFont val="Times New Roman"/>
      </rPr>
      <t xml:space="preserve">521-301-4102-0002 - Учебный
</t>
    </r>
    <r>
      <rPr>
        <sz val="10"/>
        <color rgb="FF000000"/>
        <rFont val="Times New Roman"/>
      </rPr>
      <t>набор: Скрытые отпечатки пальцев типа Wards Science 47054</t>
    </r>
  </si>
  <si>
    <t>Учебный
набор: Скрытые отпечатки пальцев типа Wards Science 47054</t>
  </si>
  <si>
    <r>
      <rPr>
        <sz val="10"/>
        <color theme="1"/>
        <rFont val="Times New Roman"/>
      </rPr>
      <t>Комплектность: 1. магнитный порошок, 1 гр. 2. моток ленты,  3. магнитный аппликатор 4. Дактилокарта 5. кейс, черный пластик 6. диск с инструкцией по использованию</t>
    </r>
  </si>
  <si>
    <r>
      <rPr>
        <sz val="10"/>
        <color rgb="FF000000"/>
        <rFont val="Times New Roman"/>
      </rPr>
      <t xml:space="preserve">521-301-4103-0001 - Лабораторный практикум по курсу "Спектроскопия" типа Experia
</t>
    </r>
    <r>
      <rPr>
        <sz val="10"/>
        <color rgb="FF000000"/>
        <rFont val="Times New Roman"/>
      </rPr>
      <t>BN-63</t>
    </r>
  </si>
  <si>
    <t>Лабораторный практикум по курсу "Спектроскопия" типа Experia
BN-63</t>
  </si>
  <si>
    <r>
      <rPr>
        <sz val="10"/>
        <color rgb="FF000000"/>
        <rFont val="Times New Roman"/>
      </rPr>
      <t xml:space="preserve">Комплектация:  кейс с крышкой - 1 шт , лоток со вставкой - 1шт, синяя краска № 1,Scienceade, 50 мл - 1 шт, инструкции - 1 шт, пипетки 5 мл - 6 шт, пробирки - 10 шт, градуированные цилиндры 100 мл - 6 шт, клейкая лента
</t>
    </r>
    <r>
      <rPr>
        <sz val="10"/>
        <color rgb="FF000000"/>
        <rFont val="Times New Roman"/>
      </rPr>
      <t>-1 шт, спектроскоп ручной - 6 шт</t>
    </r>
  </si>
  <si>
    <r>
      <rPr>
        <sz val="10"/>
        <color theme="1"/>
        <rFont val="Times New Roman"/>
      </rPr>
      <t>521-301-4103-0002 - Лабораторный практикум по курсу "Спектроскопия": Идентификация металлов типа Wards Science 47055</t>
    </r>
  </si>
  <si>
    <r>
      <rPr>
        <sz val="10"/>
        <color theme="1"/>
        <rFont val="Times New Roman"/>
      </rPr>
      <t>Набор содержит: 1 Спектроскоп учебный.  2 шт. Цветные зажигательные свечи (Color flame candles) 2 Микроконфорки (Micro-burners) 5 мл минерально-солевой спиртовой раствор ( Mineral salt alcohol solution) 15 Дифракционные решетки (Diffraction grating slides) 24 лотка для свечей (Candle holding trays)</t>
    </r>
  </si>
  <si>
    <r>
      <rPr>
        <sz val="10"/>
        <color rgb="FF000000"/>
        <rFont val="Times New Roman"/>
      </rPr>
      <t xml:space="preserve">521-301-4104-0001 - Набор для
</t>
    </r>
    <r>
      <rPr>
        <sz val="10"/>
        <color rgb="FF000000"/>
        <rFont val="Times New Roman"/>
      </rPr>
      <t>лабораторных экспериментов по спектральному анализу и анализу окраски пламени типа Experia BN-64</t>
    </r>
  </si>
  <si>
    <t>Набор для
лабораторных экспериментов по спектральному анализу и анализу окраски пламени типа Experia BN-64</t>
  </si>
  <si>
    <r>
      <rPr>
        <sz val="10"/>
        <color theme="1"/>
        <rFont val="Times New Roman"/>
      </rPr>
      <t>Комплектация:  кейс с крышкой - 1 шт , лоток со вставкой - 1шт,  соль Лития (LiCl) 100 гр - 1 шт, соль Стронция (SrCl2)100 гр - 1 шт, соль Бария (BaCl2)100 гр - 1 шт, соль Калия (KCl)100 гр - 1 шт, тестовые петли из нихромовой проволоки - 4 шт, ручные спектроскопы - 4 шт, руководство для учителя - 1 шт , учебные пособия для студентов - 30 шт.</t>
    </r>
  </si>
  <si>
    <r>
      <rPr>
        <sz val="10"/>
        <color rgb="FF000000"/>
        <rFont val="Times New Roman"/>
      </rPr>
      <t xml:space="preserve">521-301-4104-0002 - Набор для
</t>
    </r>
    <r>
      <rPr>
        <sz val="10"/>
        <color rgb="FF000000"/>
        <rFont val="Times New Roman"/>
      </rPr>
      <t>лабораторных экспериментов по спектральному анализу и анализу окраски пламени типа Wards Science 47058</t>
    </r>
  </si>
  <si>
    <t>Набор для
лабораторных экспериментов по спектральному анализу и анализу окраски пламени типа Wards Science 47058</t>
  </si>
  <si>
    <r>
      <rPr>
        <sz val="10"/>
        <color theme="1"/>
        <rFont val="Times New Roman"/>
      </rPr>
      <t>Набор содержит • 4 соли: содиум хлорид, кальциум хлорид, стронциум хлорид, потассум хлорид, • 4 петли проволочные, • 6 спектроскопов, • пособие</t>
    </r>
  </si>
  <si>
    <r>
      <rPr>
        <sz val="10"/>
        <color rgb="FF000000"/>
        <rFont val="Times New Roman"/>
      </rPr>
      <t xml:space="preserve">521-301-4105-0001 -
</t>
    </r>
    <r>
      <rPr>
        <sz val="10"/>
        <color rgb="FF000000"/>
        <rFont val="Times New Roman"/>
      </rPr>
      <t xml:space="preserve">Экспериментальный набор в чемодане для школьных опытов по нанотехнологиям типа Experia
</t>
    </r>
    <r>
      <rPr>
        <sz val="10"/>
        <color rgb="FF000000"/>
        <rFont val="Times New Roman"/>
      </rPr>
      <t>BN-59</t>
    </r>
  </si>
  <si>
    <t>521-301-4105-0001 -
Экспериментальный набор в чемодане для школьных опытов по нанотехнологиям типа Experia
BN-59</t>
  </si>
  <si>
    <r>
      <rPr>
        <sz val="10"/>
        <color rgb="FF000000"/>
        <rFont val="Times New Roman"/>
      </rPr>
      <t xml:space="preserve">Комплектация:  Кейс с крышкой - 1 шт; Лоток со вставкой - 1шт; Аэрозоль
</t>
    </r>
    <r>
      <rPr>
        <sz val="10"/>
        <color rgb="FF000000"/>
        <rFont val="Times New Roman"/>
      </rPr>
      <t xml:space="preserve">«Покрытие для дерева/камня» – 1 шт; Аэрозоль «Покрытие для ткани» – 1 шт; Аэрозоль «Защита от огня» – 1 шт; Флакон «Цитратный раствор» – 1 шт; Флакон «Невидимые чернила» – 1шт; Флакон «Раствор ПАВ» (моющее средство) – 1 шт; Флакон «Раствор хлорида золота» – 1 шт; Флакон
</t>
    </r>
    <r>
      <rPr>
        <sz val="10"/>
        <color rgb="FF000000"/>
        <rFont val="Times New Roman"/>
      </rPr>
      <t xml:space="preserve">«Магнитная жидкость» – 1 шт; Губка абразивная – 1 шт; Образцы МДФ панелей 10х10см – 2 шт; Пластина стеклянная – 1 шт; Пластина стеклянная обработанная – 1 шт; Тест на беременность – 1 шт; Споры ликоподия, в пробирке – 1 шт; Пинцет, пластик – 1 шт; Пипетка Пастера, 3мл, пластик – 8 шт; Пробирка с крышкой, 50 мл - 2 шт; Кремниевая пластина – 1 шт; Кварцевый песок – 1 шт; Кристалл горный хрусталь – 1 шт; Светодиод – 1 шт; Чашка Петри, односекционная, диаметр 35мм – 2 шт; Провода с зажимами «крокодил», 50 см – 3 шт; Магнит – 1 шт; Элемент питания 4,5 В – 1 шт; Очки защитные лабораторные – 1 шт; Кисточка художественная – 1
</t>
    </r>
    <r>
      <rPr>
        <sz val="10"/>
        <color rgb="FF000000"/>
        <rFont val="Times New Roman"/>
      </rPr>
      <t>шт; Свеча в жестяной гильзе – 1 шт; Перчатки лабораторные – 2 пары.</t>
    </r>
  </si>
  <si>
    <r>
      <rPr>
        <sz val="10"/>
        <color rgb="FF000000"/>
        <rFont val="Times New Roman"/>
      </rPr>
      <t xml:space="preserve">521-301-4105-0002 -
</t>
    </r>
    <r>
      <rPr>
        <sz val="10"/>
        <color rgb="FF000000"/>
        <rFont val="Times New Roman"/>
      </rPr>
      <t>Экспериментальный набор в чемодане для школьных опытов по нанотехнологиям типа Wards Science 47052</t>
    </r>
  </si>
  <si>
    <t>521-301-4105-0002 -
Экспериментальный набор в чемодане для школьных опытов по нанотехнологиям типа Wards Science 47052</t>
  </si>
  <si>
    <r>
      <rPr>
        <sz val="10"/>
        <color theme="1"/>
        <rFont val="Times New Roman"/>
      </rPr>
      <t>Набор состоит из более 50 различных комплектующих: споры ликоподиума, противо туманное вещество, жидкость стебля лотуса, активированный уголь, лазерная указка, коллоидное золото, трансферные пипетки, чаши петри, мерные стаканчики, карта с данными и пр.</t>
    </r>
  </si>
  <si>
    <r>
      <rPr>
        <sz val="10"/>
        <color rgb="FF000000"/>
        <rFont val="Times New Roman"/>
      </rPr>
      <t xml:space="preserve">521-301-4106-0001 - Набор
</t>
    </r>
    <r>
      <rPr>
        <sz val="10"/>
        <color rgb="FF000000"/>
        <rFont val="Times New Roman"/>
      </rPr>
      <t>"Нанотехнологии" для экспериментов базового уровня типа Experia BN-60</t>
    </r>
  </si>
  <si>
    <t>Набор
"Нанотехнологии" для экспериментов базового уровня типа Experia BN-60</t>
  </si>
  <si>
    <r>
      <rPr>
        <sz val="10"/>
        <color theme="1"/>
        <rFont val="Times New Roman"/>
      </rPr>
      <t>Комплектация:   Кейс с крышкой - 1 шт , Лоток со вставкой - 1шт, Хлорид железа (FeCl3) 50 гр - 1 шт, Хлорид железа (FeCl3) 150 гр, - 1 шт  Соляная кислота (HCl) 150 мл - 12 шт, Гидроксид аммония (NH4OH) 150 мл - 1 шт, Гидроксид тетраметиламмония (TMAOH) - 150 мл - 1 шт, Пипетки - 35 шт, Чашки Петри - 1 шт , Стеклянный стакан 250 мл - 5 шт, Фильтрующая бумага - 1 пачка.</t>
    </r>
  </si>
  <si>
    <r>
      <rPr>
        <sz val="10"/>
        <color rgb="FF000000"/>
        <rFont val="Times New Roman"/>
      </rPr>
      <t xml:space="preserve">521-301-4106-0002 - Набор
</t>
    </r>
    <r>
      <rPr>
        <sz val="10"/>
        <color rgb="FF000000"/>
        <rFont val="Times New Roman"/>
      </rPr>
      <t>"Нанотехнологии" для экспериментов базового уровня типа Wards Science 47059</t>
    </r>
  </si>
  <si>
    <t>Набор
"Нанотехнологии" для экспериментов базового уровня типа Wards Science 47059</t>
  </si>
  <si>
    <r>
      <rPr>
        <sz val="10"/>
        <color rgb="FF000000"/>
        <rFont val="Times New Roman"/>
      </rPr>
      <t xml:space="preserve">В набор входит: 1  хлорид  (ferrous chloride) 1  хлорида железа (ferric chloride) 1 соляной кислоты, 10 н. 2 гидроксида аммония 1  гидроксида
</t>
    </r>
    <r>
      <rPr>
        <sz val="10"/>
        <color rgb="FF000000"/>
        <rFont val="Times New Roman"/>
      </rPr>
      <t>тетраметиламмония 15 пипеток 15 чашек Петри</t>
    </r>
  </si>
  <si>
    <r>
      <rPr>
        <sz val="10"/>
        <color rgb="FF000000"/>
        <rFont val="Times New Roman"/>
      </rPr>
      <t xml:space="preserve">521-301-4107 - Набор
</t>
    </r>
    <r>
      <rPr>
        <sz val="10"/>
        <color rgb="FF000000"/>
        <rFont val="Times New Roman"/>
      </rPr>
      <t>экспериментальный в чемодане для школьных опытов по нанотехнологиям (15 экспериментов)</t>
    </r>
  </si>
  <si>
    <t>Набор
экспериментальный в чемодане для школьных опытов по нанотехнологиям (15 экспериментов)</t>
  </si>
  <si>
    <r>
      <rPr>
        <sz val="10"/>
        <color theme="1"/>
        <rFont val="Times New Roman"/>
      </rPr>
      <t>Набор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Оборудование укомплектовано в пластиковый контейнер</t>
    </r>
  </si>
  <si>
    <r>
      <rPr>
        <sz val="10"/>
        <color theme="1"/>
        <rFont val="Times New Roman"/>
      </rPr>
      <t>521-301-4108-0001 - Спектроскоп учебный типа Wards Science 47056</t>
    </r>
  </si>
  <si>
    <t>Спектроскоп учебный типа Wards Science 47056</t>
  </si>
  <si>
    <r>
      <rPr>
        <sz val="10"/>
        <color theme="1"/>
        <rFont val="Times New Roman"/>
      </rPr>
      <t>Материал: пластик. Масштаб измерения: 37 мм. Диапазон длины волны: от 4 000 до 7 000 Åс точностью до ±50 Å.Альтернатива стационарного спектрофотометра. Инструкция по применению прилагается.</t>
    </r>
  </si>
  <si>
    <r>
      <rPr>
        <sz val="10"/>
        <color theme="1"/>
        <rFont val="Times New Roman"/>
      </rPr>
      <t>521-301-4201-0001 - Отстойник для глины типа PotteryMagic</t>
    </r>
  </si>
  <si>
    <r>
      <rPr>
        <sz val="10"/>
        <color theme="1"/>
        <rFont val="Times New Roman"/>
      </rPr>
      <t>Сеператор для глины. Специализированное оборудование для очистки глины от примесей и получения однородной массы. Материал корпуса и разделителей - влагоустойчивый пластик.</t>
    </r>
  </si>
  <si>
    <r>
      <rPr>
        <sz val="10"/>
        <color theme="1"/>
        <rFont val="Times New Roman"/>
      </rPr>
      <t>521-301-4201-0002 - Раскатчик мини для глиняных пластов типа PotteryMagic</t>
    </r>
  </si>
  <si>
    <r>
      <rPr>
        <sz val="10"/>
        <color theme="1"/>
        <rFont val="Times New Roman"/>
      </rPr>
      <t>Мини-раскатчик предназначен для работы с глиняными пластами. Он обладает компактным размером и предназначен для раскатывания глины в плоские пласти различной толщины. Корпус выполнен из прочного, влагоустойчивого металла.</t>
    </r>
  </si>
  <si>
    <r>
      <rPr>
        <sz val="10"/>
        <color theme="1"/>
        <rFont val="Times New Roman"/>
      </rPr>
      <t>521-301-4201-0003 - Экструдер для глины настенный механический типа PotteryMagic</t>
    </r>
  </si>
  <si>
    <r>
      <rPr>
        <sz val="10"/>
        <color rgb="FF000000"/>
        <rFont val="Times New Roman"/>
      </rPr>
      <t xml:space="preserve">ЕХ -115 Frеmа
</t>
    </r>
    <r>
      <rPr>
        <sz val="10"/>
        <color rgb="FF000000"/>
        <rFont val="Times New Roman"/>
      </rPr>
      <t>Экструдер для глины является ручным и механическим устройством, включающим в себя 12 фильер. Изготовлен из нержавеющей стали, цилиндр экструдера имеет диаметр 115 мм.</t>
    </r>
  </si>
  <si>
    <r>
      <rPr>
        <sz val="10"/>
        <color theme="1"/>
        <rFont val="Times New Roman"/>
      </rPr>
      <t>521-301-4201-0004 - Турнетка типа PotteryMagic</t>
    </r>
  </si>
  <si>
    <r>
      <rPr>
        <sz val="10"/>
        <color rgb="FF000000"/>
        <rFont val="Times New Roman"/>
      </rPr>
      <t xml:space="preserve">Материал: покрытый алюминий + пластиковая сталь. Основные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Диаметр: 300 мм. Это указывает на размер поворотного стола турнетки, который составляет 300 мм, высотой 50 мм.
</t>
    </r>
    <r>
      <rPr>
        <sz val="10"/>
        <color rgb="FF000000"/>
        <rFont val="Times New Roman"/>
      </rPr>
      <t>Поворотный стол: 360 градусов. Турнетка имеет возможность поворачивать стол на 360 градусов, что позволяет удобно и точно поворачивать предметы в любое положение.</t>
    </r>
  </si>
  <si>
    <r>
      <rPr>
        <sz val="10"/>
        <color rgb="FF000000"/>
        <rFont val="Times New Roman"/>
      </rPr>
      <t xml:space="preserve">521-301-4201-0005 - Гончарный
</t>
    </r>
    <r>
      <rPr>
        <sz val="10"/>
        <color rgb="FF000000"/>
        <rFont val="Times New Roman"/>
      </rPr>
      <t>круг настольный типа PotteryMagic</t>
    </r>
  </si>
  <si>
    <t>Гончарный
круг настольный типа PotteryMagic</t>
  </si>
  <si>
    <r>
      <rPr>
        <sz val="10"/>
        <color theme="1"/>
        <rFont val="Times New Roman"/>
      </rPr>
      <t>Гончарный круг с возможностью работы на напряжении 220 В и мощностью не менее 350 Вт. Мощность 350 Вт.  Гончарный круг работает на электрической энергии, что облегчает и ускоряет процесс работы с глиной. Он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t>
    </r>
  </si>
  <si>
    <r>
      <rPr>
        <sz val="10"/>
        <color rgb="FF000000"/>
        <rFont val="Times New Roman"/>
      </rPr>
      <t xml:space="preserve">521-301-4201-0006 - Печь для
</t>
    </r>
    <r>
      <rPr>
        <sz val="10"/>
        <color rgb="FF000000"/>
        <rFont val="Times New Roman"/>
      </rPr>
      <t>обжига с вертикальной загрузкой типа PotteryMagic</t>
    </r>
  </si>
  <si>
    <t>Печь для
обжига с вертикальной загрузкой типа PotteryMagic</t>
  </si>
  <si>
    <r>
      <rPr>
        <sz val="10"/>
        <color rgb="FF000000"/>
        <rFont val="Times New Roman"/>
      </rPr>
      <t xml:space="preserve">Печь для обжига с вертикальной загрузкой. Мощность: не менее 8 кВт.
</t>
    </r>
    <r>
      <rPr>
        <sz val="10"/>
        <color rgb="FF000000"/>
        <rFont val="Times New Roman"/>
      </rPr>
      <t xml:space="preserve">Объем: не более 60 литров.Материал: нержавеющая сталь. Печь изготовлена из нержавеющей стали, что обеспечивает прочность и устойчивость к высоким температурам. Режим управления: Микрокомпьютерный ПИД-регулятор температуры. ПИД-регулятор обеспечивает точное и стабильное поддержание заданной температуры во время обжига, что важно для качественного процесса обжига.
</t>
    </r>
    <r>
      <rPr>
        <sz val="10"/>
        <color rgb="FF000000"/>
        <rFont val="Times New Roman"/>
      </rPr>
      <t>Максимальная температура 1300 градусов.</t>
    </r>
  </si>
  <si>
    <r>
      <rPr>
        <sz val="10"/>
        <color rgb="FF000000"/>
        <rFont val="Times New Roman"/>
      </rPr>
      <t xml:space="preserve">521-301-4202-0001 - Стол для
</t>
    </r>
    <r>
      <rPr>
        <sz val="10"/>
        <color rgb="FF000000"/>
        <rFont val="Times New Roman"/>
      </rPr>
      <t>гончарного круга типа CraftLab</t>
    </r>
  </si>
  <si>
    <t>Стол для
гончарного круга типа CraftLab</t>
  </si>
  <si>
    <r>
      <rPr>
        <sz val="10"/>
        <color theme="1"/>
        <rFont val="Times New Roman"/>
      </rPr>
      <t>Столешница ЛДСП, толщиной 32 мм. Ножки из профильной трубы, сечением 30х30 мм, окрашенной в порошковую краску. На колесиках с функцией блокировки. Габариты: 500х500х350 мм</t>
    </r>
  </si>
  <si>
    <r>
      <rPr>
        <sz val="10"/>
        <color theme="1"/>
        <rFont val="Times New Roman"/>
      </rPr>
      <t>521-301-4202-0002 - Стеллаж для сушки и хранения готовых изделий 900 х 450 х 1900 мм типа (PotteryMagic)</t>
    </r>
  </si>
  <si>
    <r>
      <rPr>
        <sz val="10"/>
        <color rgb="FF000000"/>
        <rFont val="Times New Roman"/>
      </rPr>
      <t xml:space="preserve">Стеллаж изготовлен из металла и предназначен для хранения керамических изделий в гончарной мастерской. Он имеет прочную конструкцию с регулируемыми полками, а также колесики для легкого перемещения.
</t>
    </r>
    <r>
      <rPr>
        <sz val="10"/>
        <color rgb="FF000000"/>
        <rFont val="Times New Roman"/>
      </rPr>
      <t>Габариты 900 х 450 х 1900мм</t>
    </r>
  </si>
  <si>
    <r>
      <rPr>
        <sz val="10"/>
        <color rgb="FF000000"/>
        <rFont val="Times New Roman"/>
      </rPr>
      <t xml:space="preserve">521-301-4301-0001 - Набор
</t>
    </r>
    <r>
      <rPr>
        <sz val="10"/>
        <color rgb="FF000000"/>
        <rFont val="Times New Roman"/>
      </rPr>
      <t>ракетостроения для начального и среднего уровней, с прогнозируемой высотой не менее 150-300 м типа RocketRise Explorer Set</t>
    </r>
  </si>
  <si>
    <t>Набор
ракетостроения для начального и среднего уровней, с прогнозируемой высотой не менее 150-300 м типа RocketRise Explorer Set</t>
  </si>
  <si>
    <r>
      <rPr>
        <sz val="10"/>
        <color rgb="FF000000"/>
        <rFont val="Times New Roman"/>
      </rPr>
      <t xml:space="preserve">Набор ракетостроения для начального и среднего уровней представляет собой комплект, позволяющий достичь высоты до 150-300 метров. 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t>
    </r>
    <r>
      <rPr>
        <sz val="10"/>
        <color rgb="FF000000"/>
        <rFont val="Times New Roman"/>
      </rPr>
      <t xml:space="preserve">В наборе также присутствует система спасения ракеты с несколькими парашютами разного диаметра (от 60 до 100 см). Двигатели, входящие в комплект, имеют разные диаметры и высоты, зависимости от типа конструкции и мощности. В наборе  представлены только базовые двигатели для начальных запусков. Для каждого типа ракеты предусмотрены крепления, соответствующие различным двигателям. В наборе имеется следующие крепление для двигателей: B4-2, B6-2, C5-3,
</t>
    </r>
    <r>
      <rPr>
        <sz val="10"/>
        <color rgb="FF000000"/>
        <rFont val="Times New Roman"/>
      </rPr>
      <t>A8-3, B4-4, B6-4, C6-7.</t>
    </r>
  </si>
  <si>
    <r>
      <rPr>
        <sz val="10"/>
        <color rgb="FF000000"/>
        <rFont val="Times New Roman"/>
      </rPr>
      <t xml:space="preserve">521-301-4301-0002 - Набор
</t>
    </r>
    <r>
      <rPr>
        <sz val="10"/>
        <color rgb="FF000000"/>
        <rFont val="Times New Roman"/>
      </rPr>
      <t>ракетостроения с прогнозируемой высотой не менее 450 м типа RocketRise Explorer Set</t>
    </r>
  </si>
  <si>
    <t>Набор
ракетостроения с прогнозируемой высотой не менее 450 м типа RocketRise Explorer Set</t>
  </si>
  <si>
    <r>
      <rPr>
        <sz val="10"/>
        <color rgb="FF000000"/>
        <rFont val="Times New Roman"/>
      </rPr>
      <t xml:space="preserve">Набор ракетостроения "Летающая модель" 12 шт. Набор включает 12 моделей ракет, спроектированных для достижения высоты полета не менее 450 метров. Уровень масштаба: Средний. Каждая модель ракеты предоставляет опыт работы с более сложными конструкциями и позволяет развивать базовые навыки в создании и запуске ракет. Рекомендуемые двигатели: В комплект не входят рекомендуемые двигатели, включая A8-3, B4-4, B6-4, C6-5 и C6-7, предоставляя множество вариантов для разнообразных запусков. Проектируемая максимальная высота: С использованием двигателя C6-7, максимальная высота полета составляет 478 метров. Ориентировочное время сборки: Предполагается, что каждая модель ракеты может быть собрана за 1 час (время высыхания клея не включено). Система запуска: Комплект совместим со стартовой площадкой и электронно-лучевым пусковым контроллером, а также с любой системой запуска, поддерживающей пусковой стержень диаметром 1/8 дюйма.
</t>
    </r>
    <r>
      <rPr>
        <sz val="10"/>
        <color rgb="FF000000"/>
        <rFont val="Times New Roman"/>
      </rPr>
      <t xml:space="preserve">Возрастные ограничения: Рекомендуется для мальчиков и девочек старше
</t>
    </r>
    <r>
      <rPr>
        <sz val="10"/>
        <color rgb="FF000000"/>
        <rFont val="Times New Roman"/>
      </rPr>
      <t>10 лет под присмотром взрослых, а также для ракетчиков всех возрастов.</t>
    </r>
  </si>
  <si>
    <r>
      <rPr>
        <sz val="10"/>
        <color rgb="FF000000"/>
        <rFont val="Times New Roman"/>
      </rPr>
      <t xml:space="preserve">521-301-4301-0003 - Набор
</t>
    </r>
    <r>
      <rPr>
        <sz val="10"/>
        <color rgb="FF000000"/>
        <rFont val="Times New Roman"/>
      </rPr>
      <t>ракетостроения с прогнозируемой высотой не менее 150 м типа RocketRise Explorer Set</t>
    </r>
  </si>
  <si>
    <t>Набор
ракетостроения с прогнозируемой высотой не менее 150 м типа RocketRise Explorer Set</t>
  </si>
  <si>
    <r>
      <rPr>
        <sz val="10"/>
        <color rgb="FF000000"/>
        <rFont val="Times New Roman"/>
      </rPr>
      <t xml:space="preserve">Набор ракетостроения "3 бандита" для начинающих.
</t>
    </r>
    <r>
      <rPr>
        <sz val="10"/>
        <color rgb="FF000000"/>
        <rFont val="Times New Roman"/>
      </rPr>
      <t xml:space="preserve">В комплект входит 3 мини-ракеты, каждая с предварительно раскрашенными деталями, что делает сборку удивительно простой и увлекательной. Прогнозируемая высота полета не менее 150 метров обеспечивает захватывающие моменты на летном поле. Ориентировочное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Рекомендуемые двигатели включают  A3-4T, A10-3 T, предоставляя возможность выбора подходящего двигателя для различных результатов.
</t>
    </r>
    <r>
      <rPr>
        <sz val="10"/>
        <color rgb="FF000000"/>
        <rFont val="Times New Roman"/>
      </rPr>
      <t xml:space="preserve">Этот набор делает первые шаги в исследовании астрономии и ракетостроения легкими и увлекательными, предоставляя начинающим
</t>
    </r>
    <r>
      <rPr>
        <sz val="10"/>
        <color rgb="FF000000"/>
        <rFont val="Times New Roman"/>
      </rPr>
      <t>ракетчикам возможность погрузиться в науку и технику с восторгом.</t>
    </r>
  </si>
  <si>
    <r>
      <rPr>
        <sz val="10"/>
        <color rgb="FF000000"/>
        <rFont val="Times New Roman"/>
      </rPr>
      <t xml:space="preserve">521-301-4301-0004 - Набор для
</t>
    </r>
    <r>
      <rPr>
        <sz val="10"/>
        <color rgb="FF000000"/>
        <rFont val="Times New Roman"/>
      </rPr>
      <t>сборки летающей модели с высотой полета не менее 60м, не менее 10 парашютов типа RocketRise Explorer Set</t>
    </r>
  </si>
  <si>
    <t>Набор для
сборки летающей модели с высотой полета не менее 60м, не менее 10 парашютов типа RocketRise Explorer Set</t>
  </si>
  <si>
    <r>
      <rPr>
        <sz val="10"/>
        <color rgb="FF000000"/>
        <rFont val="Times New Roman"/>
      </rPr>
      <t xml:space="preserve">Набор для сборки летающей модели "Меркурий редстоун".
</t>
    </r>
    <r>
      <rPr>
        <sz val="10"/>
        <color rgb="FF000000"/>
        <rFont val="Times New Roman"/>
      </rPr>
      <t xml:space="preserve">Уникальная летающая модель: Этот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t>
    </r>
    <r>
      <rPr>
        <sz val="10"/>
        <color rgb="FF000000"/>
        <rFont val="Times New Roman"/>
      </rPr>
      <t xml:space="preserve">Рекомендуемые двигатели: Для оптимальных результатов рекомендуется использовать двигатели C6-4 или C5-5, обеспечивающие стабильность и высоту полета.
</t>
    </r>
    <r>
      <rPr>
        <sz val="10"/>
        <color rgb="FF000000"/>
        <rFont val="Times New Roman"/>
      </rPr>
      <t xml:space="preserve">Система восстановления: Система восстановления включает парашюты длиной 40 см, которые обеспечивают безопасное и надежное возвращение модели на землю.
</t>
    </r>
    <r>
      <rPr>
        <sz val="10"/>
        <color rgb="FF000000"/>
        <rFont val="Times New Roman"/>
      </rPr>
      <t>Прочные материалы: Ребра модели изготовлены из лазерно резанного бальзового дерева, что гарантирует прочность и стабильность в полете. Впечатляющий диаметр: Диаметр модели составляет 50 мм, делая ее визуально впечатляющей и привлекательной.</t>
    </r>
  </si>
  <si>
    <r>
      <rPr>
        <sz val="10"/>
        <color rgb="FF000000"/>
        <rFont val="Times New Roman"/>
      </rPr>
      <t xml:space="preserve">521-301-4301-0005 -
</t>
    </r>
    <r>
      <rPr>
        <sz val="10"/>
        <color rgb="FF000000"/>
        <rFont val="Times New Roman"/>
      </rPr>
      <t>Образовательный набор для сборки ракеты с содержанием более 90 элементов типа RocketRise Explorer Set</t>
    </r>
  </si>
  <si>
    <t>521-301-4301-0005 -
Образовательный набор для сборки ракеты с содержанием более 90 элементов типа RocketRise Explorer Set</t>
  </si>
  <si>
    <r>
      <rPr>
        <sz val="10"/>
        <color rgb="FF000000"/>
        <rFont val="Times New Roman"/>
      </rPr>
      <t xml:space="preserve">В набор входят:
</t>
    </r>
    <r>
      <rPr>
        <sz val="10"/>
        <color rgb="FF000000"/>
        <rFont val="Times New Roman"/>
      </rPr>
      <t xml:space="preserve">Различные трубки крепления двигателя.
</t>
    </r>
    <r>
      <rPr>
        <sz val="10"/>
        <color rgb="FF000000"/>
        <rFont val="Times New Roman"/>
      </rPr>
      <t xml:space="preserve">Ассортимент центрирующих колец с лазерной резкой.
</t>
    </r>
    <r>
      <rPr>
        <sz val="10"/>
        <color rgb="FF000000"/>
        <rFont val="Times New Roman"/>
      </rPr>
      <t xml:space="preserve">Ассортимент зеленых центрирующих колец.
</t>
    </r>
    <r>
      <rPr>
        <sz val="10"/>
        <color rgb="FF000000"/>
        <rFont val="Times New Roman"/>
      </rPr>
      <t xml:space="preserve">Соединители трубок для всех размеров трубок корпуса.
</t>
    </r>
    <r>
      <rPr>
        <sz val="10"/>
        <color rgb="FF000000"/>
        <rFont val="Times New Roman"/>
      </rPr>
      <t xml:space="preserve">Парашюты и стримеры Наконечники для запуска. Крючки для двигателей
</t>
    </r>
    <r>
      <rPr>
        <sz val="10"/>
        <color rgb="FF000000"/>
        <rFont val="Times New Roman"/>
      </rPr>
      <t xml:space="preserve">Кольца фиксатора крюка двигателя.
</t>
    </r>
    <r>
      <rPr>
        <sz val="10"/>
        <color rgb="FF000000"/>
        <rFont val="Times New Roman"/>
      </rPr>
      <t xml:space="preserve">Блоки двигателя Ударные шнуры 1/8 и 1/4
</t>
    </r>
    <r>
      <rPr>
        <sz val="10"/>
        <color rgb="FF000000"/>
        <rFont val="Times New Roman"/>
      </rPr>
      <t xml:space="preserve">Крепления для ударных шнуров.
</t>
    </r>
    <r>
      <rPr>
        <sz val="10"/>
        <color rgb="FF000000"/>
        <rFont val="Times New Roman"/>
      </rPr>
      <t xml:space="preserve">Деревянные листы для изготовления плавников.
</t>
    </r>
    <r>
      <rPr>
        <sz val="10"/>
        <color rgb="FF000000"/>
        <rFont val="Times New Roman"/>
      </rPr>
      <t xml:space="preserve">Шаблоны плавников. Переходы для трубок. Пласт.носовые конусы.
</t>
    </r>
    <r>
      <rPr>
        <sz val="10"/>
        <color rgb="FF000000"/>
        <rFont val="Times New Roman"/>
      </rPr>
      <t xml:space="preserve">Вставки для носовых конусов. Глина для массы носового конуса. Чистая секция полезной нагрузки.
</t>
    </r>
    <r>
      <rPr>
        <sz val="10"/>
        <color rgb="FF000000"/>
        <rFont val="Times New Roman"/>
      </rPr>
      <t>Технич. руководство по ракетам (основы ракетной техники)</t>
    </r>
  </si>
  <si>
    <r>
      <rPr>
        <sz val="10"/>
        <color theme="1"/>
        <rFont val="Times New Roman"/>
      </rPr>
      <t>521-301-4301-0006 - Наполнение ракеты для спасательной системы типа RocketRise Explorer Set</t>
    </r>
  </si>
  <si>
    <r>
      <rPr>
        <sz val="10"/>
        <color rgb="FF000000"/>
        <rFont val="Times New Roman"/>
      </rPr>
      <t xml:space="preserve">Система параплана для медленного и безопасного спуска ракеты после запуска
</t>
    </r>
    <r>
      <rPr>
        <sz val="10"/>
        <color rgb="FF000000"/>
        <rFont val="Times New Roman"/>
      </rPr>
      <t xml:space="preserve">Электроника для активации спасательной системы в нужный момент Подробное руководство по установке и активации спасательной системы Тип наполнения: Специальные элементы и материалы, предназначенные для создания эффективной спасательной системы в ракете.
</t>
    </r>
    <r>
      <rPr>
        <sz val="10"/>
        <color rgb="FF000000"/>
        <rFont val="Times New Roman"/>
      </rPr>
      <t xml:space="preserve">Материалы: Высококачественные и огнеустойчивые материалы, обеспечивающие надежность и безопасность системы.
</t>
    </r>
    <r>
      <rPr>
        <sz val="10"/>
        <color rgb="FF000000"/>
        <rFont val="Times New Roman"/>
      </rPr>
      <t>Вместимость: Рассчитано на оптимальное количество материалов, необходимых для функционирования спасательной системы.</t>
    </r>
  </si>
  <si>
    <r>
      <rPr>
        <sz val="10"/>
        <color rgb="FF000000"/>
        <rFont val="Times New Roman"/>
      </rPr>
      <t xml:space="preserve">521-301-4302-0001 - Набор
</t>
    </r>
    <r>
      <rPr>
        <sz val="10"/>
        <color rgb="FF000000"/>
        <rFont val="Times New Roman"/>
      </rPr>
      <t>твердотопливных двигателей типа RocketRise Explorer Set</t>
    </r>
  </si>
  <si>
    <t>Набор
твердотопливных двигателей типа RocketRise Explorer Set</t>
  </si>
  <si>
    <r>
      <rPr>
        <sz val="10"/>
        <color rgb="FF000000"/>
        <rFont val="Times New Roman"/>
      </rPr>
      <t xml:space="preserve">Разнообразные твердотопливные двигатели (включая 50N, 100N и 200N) Зажигательные системы для активации двигателей
</t>
    </r>
    <r>
      <rPr>
        <sz val="10"/>
        <color rgb="FF000000"/>
        <rFont val="Times New Roman"/>
      </rPr>
      <t xml:space="preserve">Разъемные стойки и крепежные элементы для сборки ракетных конструкций
</t>
    </r>
    <r>
      <rPr>
        <sz val="10"/>
        <color rgb="FF000000"/>
        <rFont val="Times New Roman"/>
      </rPr>
      <t xml:space="preserve">Подробное руководство по сборке, запуску и безопасности Комплект защитных средств для безопасного использования Набор запасных запчастей и необходимых инструментов
</t>
    </r>
    <r>
      <rPr>
        <sz val="10"/>
        <color rgb="FF000000"/>
        <rFont val="Times New Roman"/>
      </rPr>
      <t xml:space="preserve">Максимальная мощность твердотопливных двигателей: Варьируется от 50N до 200N тяги
</t>
    </r>
    <r>
      <rPr>
        <sz val="10"/>
        <color rgb="FF000000"/>
        <rFont val="Times New Roman"/>
      </rPr>
      <t>Диаметр корпуса двигателей: Различные диаметры от 18 мм до 29 мм Продолжительность работы двигателей: От 2 до 5 секунд, в зависимости от модели</t>
    </r>
  </si>
  <si>
    <r>
      <rPr>
        <sz val="10"/>
        <color rgb="FF000000"/>
        <rFont val="Times New Roman"/>
      </rPr>
      <t xml:space="preserve">521-301-4302-0002 - Набор
</t>
    </r>
    <r>
      <rPr>
        <sz val="10"/>
        <color rgb="FF000000"/>
        <rFont val="Times New Roman"/>
      </rPr>
      <t>креплений твердотопливных двигателей типа RocketRise Explorer Set</t>
    </r>
  </si>
  <si>
    <t>Набор
креплений твердотопливных двигателей типа RocketRise Explorer Set</t>
  </si>
  <si>
    <r>
      <rPr>
        <sz val="10"/>
        <color rgb="FF000000"/>
        <rFont val="Times New Roman"/>
      </rPr>
      <t xml:space="preserve">Крепления для твердотопливных двигателей различных размеров Вариативные стойки и подставки для настройки угла наклона Разнообразные соединительные элементы и фиксаторы Дополнительные элементы для крепления стабилизаторов и аэродинамических деталей
</t>
    </r>
    <r>
      <rPr>
        <sz val="10"/>
        <color rgb="FF000000"/>
        <rFont val="Times New Roman"/>
      </rPr>
      <t xml:space="preserve">Инструменты для монтажа и настройки креплений Подробное руководство по сборке и настройке креплений
</t>
    </r>
    <r>
      <rPr>
        <sz val="10"/>
        <color rgb="FF000000"/>
        <rFont val="Times New Roman"/>
      </rPr>
      <t xml:space="preserve">Информация о безопасном использовании и эксплуатацииТип креплений: Разнообразные крепления для твердотопливных двигателей Максимальная нагрузка: Рассчитано на удержание двигателей с тягой до 200N
</t>
    </r>
    <r>
      <rPr>
        <sz val="10"/>
        <color rgb="FF000000"/>
        <rFont val="Times New Roman"/>
      </rPr>
      <t xml:space="preserve">Материал: Прочные и огнеустойчивые материалы для безопасной работы Максимальная нагрузка: Рассчитано на удержание двигателей с тягой до
</t>
    </r>
    <r>
      <rPr>
        <sz val="10"/>
        <color rgb="FF000000"/>
        <rFont val="Times New Roman"/>
      </rPr>
      <t>200N</t>
    </r>
  </si>
  <si>
    <r>
      <rPr>
        <sz val="10"/>
        <color theme="1"/>
        <rFont val="Times New Roman"/>
      </rPr>
      <t>521-301-4303-0001 - Модель ракеты сборочная для учеников среднего класса Тип 1 RocketRise Explorer Set</t>
    </r>
  </si>
  <si>
    <r>
      <rPr>
        <sz val="10"/>
        <color rgb="FF000000"/>
        <rFont val="Times New Roman"/>
      </rPr>
      <t xml:space="preserve">1/2A6-2, A8-3, A8-5, B4-4, B6-6, C6-5, C6-7
</t>
    </r>
    <r>
      <rPr>
        <sz val="10"/>
        <color rgb="FF000000"/>
        <rFont val="Times New Roman"/>
      </rPr>
      <t xml:space="preserve">Прогнозируемая максимальная высота 1600 футов (488 м). Система
</t>
    </r>
    <r>
      <rPr>
        <sz val="10"/>
        <color rgb="FF000000"/>
        <rFont val="Times New Roman"/>
      </rPr>
      <t xml:space="preserve">восстановления
</t>
    </r>
    <r>
      <rPr>
        <sz val="10"/>
        <color rgb="FF000000"/>
        <rFont val="Times New Roman"/>
      </rPr>
      <t xml:space="preserve">Серебристый майларовый стример диаметром 24 дюйма (61 см) Длина 16,8 дюйма (42,7 см) Диаметр 0,74 дюйма (19 мм).
</t>
    </r>
    <r>
      <rPr>
        <sz val="10"/>
        <color rgb="FF000000"/>
        <rFont val="Times New Roman"/>
      </rPr>
      <t xml:space="preserve">Расчетное время сборки 1 час (время покраски и высыхания клея не включено)
</t>
    </r>
    <r>
      <rPr>
        <sz val="10"/>
        <color rgb="FF000000"/>
        <rFont val="Times New Roman"/>
      </rPr>
      <t xml:space="preserve">Материалы для плавника картон. Тип декали самоклеящаяся Система запуска Porta-Pad II и электронно-лучевой пусковой контроллер
</t>
    </r>
    <r>
      <rPr>
        <sz val="10"/>
        <color rgb="FF000000"/>
        <rFont val="Times New Roman"/>
      </rPr>
      <t>Размер пусковой штанги 1/8 дюйм</t>
    </r>
  </si>
  <si>
    <r>
      <rPr>
        <sz val="10"/>
        <color theme="1"/>
        <rFont val="Times New Roman"/>
      </rPr>
      <t>521-301-4303-0002 - Модель ракеты сборочная для учеников среднего класса Тип 2 RocketRise Explorer Set</t>
    </r>
  </si>
  <si>
    <r>
      <rPr>
        <sz val="10"/>
        <color rgb="FF000000"/>
        <rFont val="Times New Roman"/>
      </rPr>
      <t xml:space="preserve">1/2A6-2, A8-3, A8-5, B4-4, B6-6, C6-5, C6-7
</t>
    </r>
    <r>
      <rPr>
        <sz val="10"/>
        <color rgb="FF000000"/>
        <rFont val="Times New Roman"/>
      </rPr>
      <t xml:space="preserve">Прогнозируемая максимальная высота-1600 футов (488 м)
</t>
    </r>
    <r>
      <rPr>
        <sz val="10"/>
        <color rgb="FF000000"/>
        <rFont val="Times New Roman"/>
      </rPr>
      <t xml:space="preserve">Система восстановления-Серебристый майларовый стример диаметром 24 дюйма (61 см)
</t>
    </r>
    <r>
      <rPr>
        <sz val="10"/>
        <color rgb="FF000000"/>
        <rFont val="Times New Roman"/>
      </rPr>
      <t xml:space="preserve">Длина-16,8 дюйма (42,7 см) Диаметр-0,74 дюйма (19 мм)
</t>
    </r>
    <r>
      <rPr>
        <sz val="10"/>
        <color rgb="FF000000"/>
        <rFont val="Times New Roman"/>
      </rPr>
      <t xml:space="preserve">Расчетное время сборки-1 час (время покраски и высыхания клея не включено)
</t>
    </r>
    <r>
      <rPr>
        <sz val="10"/>
        <color rgb="FF000000"/>
        <rFont val="Times New Roman"/>
      </rPr>
      <t xml:space="preserve">Материалы для плавника-Картон Тип декали-Самоклеящаяся
</t>
    </r>
    <r>
      <rPr>
        <sz val="10"/>
        <color rgb="FF000000"/>
        <rFont val="Times New Roman"/>
      </rPr>
      <t>Система запуска-Porta-Pad II и электронно-лучевой пусковой контроллер Размер пусковой штанги-1/8 дюйм</t>
    </r>
  </si>
  <si>
    <r>
      <rPr>
        <sz val="10"/>
        <color theme="1"/>
        <rFont val="Times New Roman"/>
      </rPr>
      <t>521-301-4303-0003 - Модель ракеты сборочная для учеников среднего класса Тип 3 RocketRise Explorer Set</t>
    </r>
  </si>
  <si>
    <r>
      <rPr>
        <sz val="10"/>
        <color rgb="FF000000"/>
        <rFont val="Times New Roman"/>
      </rPr>
      <t xml:space="preserve">1/2A6-2, A8-3
</t>
    </r>
    <r>
      <rPr>
        <sz val="10"/>
        <color rgb="FF000000"/>
        <rFont val="Times New Roman"/>
      </rPr>
      <t xml:space="preserve">Прогнозируемая максимальная высота
</t>
    </r>
    <r>
      <rPr>
        <sz val="10"/>
        <color rgb="FF000000"/>
        <rFont val="Times New Roman"/>
      </rPr>
      <t xml:space="preserve">500 футов (152 м)
</t>
    </r>
    <r>
      <rPr>
        <sz val="10"/>
        <color rgb="FF000000"/>
        <rFont val="Times New Roman"/>
      </rPr>
      <t xml:space="preserve">Система восстановления-Featherweight Длина-5,9 дюйма (15 см)
</t>
    </r>
    <r>
      <rPr>
        <sz val="10"/>
        <color rgb="FF000000"/>
        <rFont val="Times New Roman"/>
      </rPr>
      <t xml:space="preserve">Диаметр-0,74 дюйма (19 мм)
</t>
    </r>
    <r>
      <rPr>
        <sz val="10"/>
        <color rgb="FF000000"/>
        <rFont val="Times New Roman"/>
      </rPr>
      <t xml:space="preserve">Расчетное время сборки-1 час (время покраски и высыхания клея не включено)
</t>
    </r>
    <r>
      <rPr>
        <sz val="10"/>
        <color rgb="FF000000"/>
        <rFont val="Times New Roman"/>
      </rPr>
      <t xml:space="preserve">Материалы плавника-Лазерная резка дерева Тип деколи-Водорастворимая
</t>
    </r>
    <r>
      <rPr>
        <sz val="10"/>
        <color rgb="FF000000"/>
        <rFont val="Times New Roman"/>
      </rPr>
      <t xml:space="preserve">Система запуска-Стартовая площадка Porta-Pad II и электронно-лучевой пусковой контроллер
</t>
    </r>
    <r>
      <rPr>
        <sz val="10"/>
        <color rgb="FF000000"/>
        <rFont val="Times New Roman"/>
      </rPr>
      <t>Размер пусковой штанги-1/8 дюйм</t>
    </r>
  </si>
  <si>
    <r>
      <rPr>
        <sz val="10"/>
        <color theme="1"/>
        <rFont val="Times New Roman"/>
      </rPr>
      <t>521-301-4303-0004 - Модель ракеты сборочная для учеников среднего класса Тип 4 RocketRise Explorer Set</t>
    </r>
  </si>
  <si>
    <r>
      <rPr>
        <sz val="10"/>
        <color rgb="FF000000"/>
        <rFont val="Times New Roman"/>
      </rPr>
      <t xml:space="preserve">D12-5, E12-6
</t>
    </r>
    <r>
      <rPr>
        <sz val="10"/>
        <color rgb="FF000000"/>
        <rFont val="Times New Roman"/>
      </rPr>
      <t xml:space="preserve">Прогнозируемая максимальная высота-900 футов (274 м) Система восстановления
</t>
    </r>
    <r>
      <rPr>
        <sz val="10"/>
        <color rgb="FF000000"/>
        <rFont val="Times New Roman"/>
      </rPr>
      <t xml:space="preserve">Парашют длиной 18 дюймов (45,7 см) Длина-45,2 дюйма (114,8 см) Диаметр-1,64 дюйма (42 мм)
</t>
    </r>
    <r>
      <rPr>
        <sz val="10"/>
        <color rgb="FF000000"/>
        <rFont val="Times New Roman"/>
      </rPr>
      <t xml:space="preserve">Расчетное время сборки-2-3 часа (время покраски и высыхания клея не включено)
</t>
    </r>
    <r>
      <rPr>
        <sz val="10"/>
        <color rgb="FF000000"/>
        <rFont val="Times New Roman"/>
      </rPr>
      <t xml:space="preserve">Материалы плавника-Лазерная резка дерева Тип деколи-Водорастворимая
</t>
    </r>
    <r>
      <rPr>
        <sz val="10"/>
        <color rgb="FF000000"/>
        <rFont val="Times New Roman"/>
      </rPr>
      <t>Система запуска Контроллер запуска Porta-Pad E и E Размер пусковой штанги-3/16 дюйм</t>
    </r>
  </si>
  <si>
    <r>
      <rPr>
        <sz val="10"/>
        <color theme="1"/>
        <rFont val="Times New Roman"/>
      </rPr>
      <t>521-301-4303-0005 - Модель ракеты сборочная для учеников среднего класса Тип 5 RocketRise Explorer Set</t>
    </r>
  </si>
  <si>
    <r>
      <rPr>
        <sz val="10"/>
        <color rgb="FF000000"/>
        <rFont val="Times New Roman"/>
      </rPr>
      <t xml:space="preserve">1/2A6-2, A8-3, A8-5, B4-4, B6-4, B6-6, C6-5, C6-7
</t>
    </r>
    <r>
      <rPr>
        <sz val="10"/>
        <color rgb="FF000000"/>
        <rFont val="Times New Roman"/>
      </rPr>
      <t xml:space="preserve">с адаптером двигателя (продается отдельно) - A10-3T Проектируемая максимальная высота-1600 футов (488 м) Система восстановления-18 дюймов (45,7 см) Стример Длина-12 дюймов (30,5 см)
</t>
    </r>
    <r>
      <rPr>
        <sz val="10"/>
        <color rgb="FF000000"/>
        <rFont val="Times New Roman"/>
      </rPr>
      <t xml:space="preserve">Диаметр-0,74 дюйма (19 мм)
</t>
    </r>
    <r>
      <rPr>
        <sz val="10"/>
        <color rgb="FF000000"/>
        <rFont val="Times New Roman"/>
      </rPr>
      <t xml:space="preserve">Расчетное время сборки-1 час (время покраски и высыхания клея не включено)
</t>
    </r>
    <r>
      <rPr>
        <sz val="10"/>
        <color rgb="FF000000"/>
        <rFont val="Times New Roman"/>
      </rPr>
      <t xml:space="preserve">Материалы плавника-Лазерная резка дерева Тип декали-Самоклеящаяся
</t>
    </r>
    <r>
      <rPr>
        <sz val="10"/>
        <color rgb="FF000000"/>
        <rFont val="Times New Roman"/>
      </rPr>
      <t>Система запуска-Porta-Pad II и электронно-лучевой пусковой контроллер Размер пусковой штанги-1/8 дюйм</t>
    </r>
  </si>
  <si>
    <r>
      <rPr>
        <sz val="10"/>
        <color theme="1"/>
        <rFont val="Times New Roman"/>
      </rPr>
      <t>521-301-4303-0006 - Модель ракеты сборочная для учеников среднего класса Тип 6 RocketRise Explorer Set</t>
    </r>
  </si>
  <si>
    <r>
      <rPr>
        <sz val="10"/>
        <color rgb="FF000000"/>
        <rFont val="Times New Roman"/>
      </rPr>
      <t xml:space="preserve">B4-2, B6-4
</t>
    </r>
    <r>
      <rPr>
        <sz val="10"/>
        <color rgb="FF000000"/>
        <rFont val="Times New Roman"/>
      </rPr>
      <t xml:space="preserve">Прогнозируемая максимальная высота
</t>
    </r>
    <r>
      <rPr>
        <sz val="10"/>
        <color rgb="FF000000"/>
        <rFont val="Times New Roman"/>
      </rPr>
      <t xml:space="preserve">700 футов (213 м) Система восстановления
</t>
    </r>
    <r>
      <rPr>
        <sz val="10"/>
        <color rgb="FF000000"/>
        <rFont val="Times New Roman"/>
      </rPr>
      <t xml:space="preserve">2x 36 дюймов (91,4 см) майларовых стримеров Длина-21,1 дюйма (53,6 см)
</t>
    </r>
    <r>
      <rPr>
        <sz val="10"/>
        <color rgb="FF000000"/>
        <rFont val="Times New Roman"/>
      </rPr>
      <t xml:space="preserve">Диаметр-1,8 дюйма (46 мм)
</t>
    </r>
    <r>
      <rPr>
        <sz val="10"/>
        <color rgb="FF000000"/>
        <rFont val="Times New Roman"/>
      </rPr>
      <t xml:space="preserve">Расчетное время сборки-3 часа (время на покраску и сушку клея не включено)
</t>
    </r>
    <r>
      <rPr>
        <sz val="10"/>
        <color rgb="FF000000"/>
        <rFont val="Times New Roman"/>
      </rPr>
      <t xml:space="preserve">Материалы плавника Лазерная резка дерева
</t>
    </r>
    <r>
      <rPr>
        <sz val="10"/>
        <color rgb="FF000000"/>
        <rFont val="Times New Roman"/>
      </rPr>
      <t xml:space="preserve">Тип деколи-Водорастворимая
</t>
    </r>
    <r>
      <rPr>
        <sz val="10"/>
        <color rgb="FF000000"/>
        <rFont val="Times New Roman"/>
      </rPr>
      <t xml:space="preserve">Система запуска-Пусковая площадка Porta-Pad II и пусковой контроллер Pro Series II
</t>
    </r>
    <r>
      <rPr>
        <sz val="10"/>
        <color rgb="FF000000"/>
        <rFont val="Times New Roman"/>
      </rPr>
      <t>Размер пусковой штанги-1/8 дюйм</t>
    </r>
  </si>
  <si>
    <r>
      <rPr>
        <sz val="10"/>
        <color theme="1"/>
        <rFont val="Times New Roman"/>
      </rPr>
      <t>521-301-4303-0007 - Модель ракеты сборочная для учеников среднего класса Тип 7 RocketRise Explorer Set</t>
    </r>
  </si>
  <si>
    <r>
      <rPr>
        <sz val="10"/>
        <color rgb="FF000000"/>
        <rFont val="Times New Roman"/>
      </rPr>
      <t xml:space="preserve">B6-4, B6-6, C6-5, C6-7
</t>
    </r>
    <r>
      <rPr>
        <sz val="10"/>
        <color rgb="FF000000"/>
        <rFont val="Times New Roman"/>
      </rPr>
      <t xml:space="preserve">Две ступени: Ракета: B6-4, B6-6, C6-5, C6-7 Бустер: B6-0, C6-0
</t>
    </r>
    <r>
      <rPr>
        <sz val="10"/>
        <color rgb="FF000000"/>
        <rFont val="Times New Roman"/>
      </rPr>
      <t xml:space="preserve">Прогнозируемая максимальная высота
</t>
    </r>
    <r>
      <rPr>
        <sz val="10"/>
        <color rgb="FF000000"/>
        <rFont val="Times New Roman"/>
      </rPr>
      <t xml:space="preserve">1200 футов (366 м) Система восстановления
</t>
    </r>
    <r>
      <rPr>
        <sz val="10"/>
        <color rgb="FF000000"/>
        <rFont val="Times New Roman"/>
      </rPr>
      <t xml:space="preserve">Парашют 12 дюймов (30,5 см); скольжение; кувыркание Длина-25 дюймов (63,5 см)
</t>
    </r>
    <r>
      <rPr>
        <sz val="10"/>
        <color rgb="FF000000"/>
        <rFont val="Times New Roman"/>
      </rPr>
      <t xml:space="preserve">Диаметр-0,98 дюйма (25 мм)
</t>
    </r>
    <r>
      <rPr>
        <sz val="10"/>
        <color rgb="FF000000"/>
        <rFont val="Times New Roman"/>
      </rPr>
      <t xml:space="preserve">Расчетное время сборки-4 часа (время на сушку клея и покраску не включено)
</t>
    </r>
    <r>
      <rPr>
        <sz val="10"/>
        <color rgb="FF000000"/>
        <rFont val="Times New Roman"/>
      </rPr>
      <t xml:space="preserve">Материалы плавника-Лазерная резка дерева Тип деколи-Водорастворимая
</t>
    </r>
    <r>
      <rPr>
        <sz val="10"/>
        <color rgb="FF000000"/>
        <rFont val="Times New Roman"/>
      </rPr>
      <t>Система запуска-Porta Pad II и электронно-лучевой пусковой контроллер Размер пусковой штанги-1/8 дюйм</t>
    </r>
  </si>
  <si>
    <r>
      <rPr>
        <sz val="10"/>
        <color theme="1"/>
        <rFont val="Times New Roman"/>
      </rPr>
      <t>521-301-4303-0008 - Модель ракеты сборочная для учеников среднего класса Тип 8 RocketRise Explorer Set</t>
    </r>
  </si>
  <si>
    <r>
      <rPr>
        <sz val="10"/>
        <color rgb="FF000000"/>
        <rFont val="Times New Roman"/>
      </rPr>
      <t xml:space="preserve">C11-3, D12-3, E12-4, E12-6
</t>
    </r>
    <r>
      <rPr>
        <sz val="10"/>
        <color rgb="FF000000"/>
        <rFont val="Times New Roman"/>
      </rPr>
      <t xml:space="preserve">Прогнозируемая максимальная высота-1000 футов (305 м) Система восстановления-1x 15 дюймов (38,1 см) парашют 1x 18 дюймов (45,7 см) парашют
</t>
    </r>
    <r>
      <rPr>
        <sz val="10"/>
        <color rgb="FF000000"/>
        <rFont val="Times New Roman"/>
      </rPr>
      <t xml:space="preserve">Длина-26,8 дюйма (68,1 см) Диаметр-2,62 дюйма (67 мм)
</t>
    </r>
    <r>
      <rPr>
        <sz val="10"/>
        <color rgb="FF000000"/>
        <rFont val="Times New Roman"/>
      </rPr>
      <t xml:space="preserve">Расчетное время сборки-10 часов (время покраски и высыхания клея не включено)
</t>
    </r>
    <r>
      <rPr>
        <sz val="10"/>
        <color rgb="FF000000"/>
        <rFont val="Times New Roman"/>
      </rPr>
      <t xml:space="preserve">Материалы плавника-Пластик, отлитый под давлением Тип декали-Водорастворимая
</t>
    </r>
    <r>
      <rPr>
        <sz val="10"/>
        <color rgb="FF000000"/>
        <rFont val="Times New Roman"/>
      </rPr>
      <t>Система запуска-E Launch Pad и контроллер запуска Pro Series II Размер пусковой штанги-3/16" Maxi Rod (продается отдельно)</t>
    </r>
  </si>
  <si>
    <r>
      <rPr>
        <sz val="10"/>
        <color theme="1"/>
        <rFont val="Times New Roman"/>
      </rPr>
      <t>521-301-4303-0009 - Модель ракеты сборочная для учеников среднего класса Тип 9 RocketRise Explorer Set</t>
    </r>
  </si>
  <si>
    <r>
      <rPr>
        <sz val="10"/>
        <color rgb="FF000000"/>
        <rFont val="Times New Roman"/>
      </rPr>
      <t xml:space="preserve">Две ступени: Ракета: D12-5, D12-7, E12-8
</t>
    </r>
    <r>
      <rPr>
        <sz val="10"/>
        <color rgb="FF000000"/>
        <rFont val="Times New Roman"/>
      </rPr>
      <t xml:space="preserve">Бустер: D12-0, E12-0
</t>
    </r>
    <r>
      <rPr>
        <sz val="10"/>
        <color rgb="FF000000"/>
        <rFont val="Times New Roman"/>
      </rPr>
      <t xml:space="preserve">Прогнозируемая максимальная высота
</t>
    </r>
    <r>
      <rPr>
        <sz val="10"/>
        <color rgb="FF000000"/>
        <rFont val="Times New Roman"/>
      </rPr>
      <t xml:space="preserve">2300 футов (701 м) Система восстановления Парашют 18 дюймов (45,7 см)
</t>
    </r>
    <r>
      <rPr>
        <sz val="10"/>
        <color rgb="FF000000"/>
        <rFont val="Times New Roman"/>
      </rPr>
      <t xml:space="preserve">Длина-31,5 дюйма (80 см) Диаметр-1,64 дюйма (42 мм)
</t>
    </r>
    <r>
      <rPr>
        <sz val="10"/>
        <color rgb="FF000000"/>
        <rFont val="Times New Roman"/>
      </rPr>
      <t xml:space="preserve">Расчетное время сборки-6 часов (время на покраску и сушку клея не включено)
</t>
    </r>
    <r>
      <rPr>
        <sz val="10"/>
        <color rgb="FF000000"/>
        <rFont val="Times New Roman"/>
      </rPr>
      <t xml:space="preserve">Материалы плавника-Лазерная резка дерева Тип деколи-Водорастворимая
</t>
    </r>
    <r>
      <rPr>
        <sz val="10"/>
        <color rgb="FF000000"/>
        <rFont val="Times New Roman"/>
      </rPr>
      <t>Система запуска-Контроллер запуска Porta-Pad II или Porta-Pad E и E Размер пусковой штанги-3/16" Maxi Rod (продается отдельно)</t>
    </r>
  </si>
  <si>
    <r>
      <rPr>
        <sz val="10"/>
        <color rgb="FF000000"/>
        <rFont val="Times New Roman"/>
      </rPr>
      <t xml:space="preserve">521-301-4304-0001 - Стартер
</t>
    </r>
    <r>
      <rPr>
        <sz val="10"/>
        <color rgb="FF000000"/>
        <rFont val="Times New Roman"/>
      </rPr>
      <t>зажигания двигателя сборочной ракеты типа RocketRise Explorer Set</t>
    </r>
  </si>
  <si>
    <t>Стартер
зажигания двигателя сборочной ракеты типа RocketRise Explorer Set</t>
  </si>
  <si>
    <r>
      <rPr>
        <sz val="10"/>
        <color rgb="FF000000"/>
        <rFont val="Times New Roman"/>
      </rPr>
      <t xml:space="preserve">Набор нихромовых стартеров различных сопротивлений Дополнительные провода для соединения стартеров с источником питания
</t>
    </r>
    <r>
      <rPr>
        <sz val="10"/>
        <color rgb="FF000000"/>
        <rFont val="Times New Roman"/>
      </rPr>
      <t xml:space="preserve">Подробное руководство по использованию и безопасности.
</t>
    </r>
    <r>
      <rPr>
        <sz val="10"/>
        <color rgb="FF000000"/>
        <rFont val="Times New Roman"/>
      </rPr>
      <t xml:space="preserve">Тип стартера: Нихромовые стартеры, специально разработанные для активации двигателей сборочных ракет.
</t>
    </r>
    <r>
      <rPr>
        <sz val="10"/>
        <color rgb="FF000000"/>
        <rFont val="Times New Roman"/>
      </rPr>
      <t xml:space="preserve">Материал: Нихромовая проволока, известная своей высокой температурной стойкостью и способностью к созданию надежных зажигательных искр.
</t>
    </r>
    <r>
      <rPr>
        <sz val="10"/>
        <color rgb="FF000000"/>
        <rFont val="Times New Roman"/>
      </rPr>
      <t>Сопротивление: Разнообразные нихромовые стартеры с разным сопротивлением для подбора оптимальных характеристик зажигания. Подключение: Каждый стартер оснащен удобными клеммами или проводами для простого подключения.</t>
    </r>
  </si>
  <si>
    <r>
      <rPr>
        <sz val="10"/>
        <color rgb="FF000000"/>
        <rFont val="Times New Roman"/>
      </rPr>
      <t xml:space="preserve">521-301-4304-0002 - Крепление
</t>
    </r>
    <r>
      <rPr>
        <sz val="10"/>
        <color rgb="FF000000"/>
        <rFont val="Times New Roman"/>
      </rPr>
      <t>стартера типа RocketRise Explorer Set</t>
    </r>
  </si>
  <si>
    <t>Крепление
стартера типа RocketRise Explorer Set</t>
  </si>
  <si>
    <r>
      <rPr>
        <sz val="10"/>
        <color rgb="FF000000"/>
        <rFont val="Times New Roman"/>
      </rPr>
      <t xml:space="preserve">Набор креплений для фиксации стартеров зажигания Подробное руководство по применению и безопасности
</t>
    </r>
    <r>
      <rPr>
        <sz val="10"/>
        <color rgb="FF000000"/>
        <rFont val="Times New Roman"/>
      </rPr>
      <t xml:space="preserve">Тип крепления: Специальные крепления, предназначенные для удержания и фиксации стартеров зажигания.
</t>
    </r>
    <r>
      <rPr>
        <sz val="10"/>
        <color rgb="FF000000"/>
        <rFont val="Times New Roman"/>
      </rPr>
      <t>Материал: Прочный и огнеустойчивый материал, обеспечивающий надежную поддержку и безопасность.</t>
    </r>
  </si>
  <si>
    <r>
      <rPr>
        <sz val="10"/>
        <color rgb="FF000000"/>
        <rFont val="Times New Roman"/>
      </rPr>
      <t xml:space="preserve">521-301-4305-0001 - Парашют 24
</t>
    </r>
    <r>
      <rPr>
        <sz val="10"/>
        <color rgb="FF000000"/>
        <rFont val="Times New Roman"/>
      </rPr>
      <t>дюйма типа RocketRise Explorer Set</t>
    </r>
  </si>
  <si>
    <t>Парашют 24
дюйма типа RocketRise Explorer Set</t>
  </si>
  <si>
    <r>
      <rPr>
        <sz val="10"/>
        <color rgb="FF000000"/>
        <rFont val="Times New Roman"/>
      </rPr>
      <t xml:space="preserve">Размер парашюта: 24 дюйма (приблизительно 61 см)
</t>
    </r>
    <r>
      <rPr>
        <sz val="10"/>
        <color rgb="FF000000"/>
        <rFont val="Times New Roman"/>
      </rPr>
      <t xml:space="preserve">Специальные крепежные элементы для надежной фиксации парашюта к ракете
</t>
    </r>
    <r>
      <rPr>
        <sz val="10"/>
        <color rgb="FF000000"/>
        <rFont val="Times New Roman"/>
      </rPr>
      <t xml:space="preserve">Подробное руководство по установке и использованию парашюта Материал: Легкий и прочный материал, обеспечивающий надежное и плавное развертывание парашюта.
</t>
    </r>
    <r>
      <rPr>
        <sz val="10"/>
        <color rgb="FF000000"/>
        <rFont val="Times New Roman"/>
      </rPr>
      <t xml:space="preserve">Назначение: Используется для обеспечения медленного и контролируемого спуска ракеты после достижения максимальной высоты полета.
</t>
    </r>
    <r>
      <rPr>
        <sz val="10"/>
        <color rgb="FF000000"/>
        <rFont val="Times New Roman"/>
      </rPr>
      <t>Вес ракеты: Рассчитан на спасательное использование для ракет определенного веса и размера.</t>
    </r>
  </si>
  <si>
    <r>
      <rPr>
        <sz val="10"/>
        <color rgb="FF000000"/>
        <rFont val="Times New Roman"/>
      </rPr>
      <t xml:space="preserve">521-301-4305-0002 - Парашют 16
</t>
    </r>
    <r>
      <rPr>
        <sz val="10"/>
        <color rgb="FF000000"/>
        <rFont val="Times New Roman"/>
      </rPr>
      <t>дюйма типа RocketRise Explorer Set</t>
    </r>
  </si>
  <si>
    <t>Парашют 16
дюйма типа RocketRise Explorer Set</t>
  </si>
  <si>
    <r>
      <rPr>
        <sz val="10"/>
        <color rgb="FF000000"/>
        <rFont val="Times New Roman"/>
      </rPr>
      <t xml:space="preserve">Размер парашюта: 16 дюймов (приблизительно 41 см).
</t>
    </r>
    <r>
      <rPr>
        <sz val="10"/>
        <color rgb="FF000000"/>
        <rFont val="Times New Roman"/>
      </rPr>
      <t xml:space="preserve">Специальные карабины и нити для надежной фиксации парашюта к ракете Инструкция по установке и активации парашюта
</t>
    </r>
    <r>
      <rPr>
        <sz val="10"/>
        <color rgb="FF000000"/>
        <rFont val="Times New Roman"/>
      </rPr>
      <t xml:space="preserve">Материал: Высокопрочный нейлон, обеспечивающий надежное развертывание и долговечность парашюта.
</t>
    </r>
    <r>
      <rPr>
        <sz val="10"/>
        <color rgb="FF000000"/>
        <rFont val="Times New Roman"/>
      </rPr>
      <t xml:space="preserve">Нагрузочная способность: Рассчитан на снижение скорости спуска ракеты массой до 500 грамм.
</t>
    </r>
    <r>
      <rPr>
        <sz val="10"/>
        <color rgb="FF000000"/>
        <rFont val="Times New Roman"/>
      </rPr>
      <t xml:space="preserve">Способ развертывания: Двойное кольцо для надежного и плавного развертывания при достижении определенной высоты.
</t>
    </r>
    <r>
      <rPr>
        <sz val="10"/>
        <color rgb="FF000000"/>
        <rFont val="Times New Roman"/>
      </rPr>
      <t>Вес парашюта: Легкий вес парашюта, что позволяет максимизировать эффективность и безопасность спуска.</t>
    </r>
  </si>
  <si>
    <r>
      <rPr>
        <sz val="10"/>
        <color rgb="FF000000"/>
        <rFont val="Times New Roman"/>
      </rPr>
      <t xml:space="preserve">521-301-4305-0003 - Парашют 6
</t>
    </r>
    <r>
      <rPr>
        <sz val="10"/>
        <color rgb="FF000000"/>
        <rFont val="Times New Roman"/>
      </rPr>
      <t>дюйма типа RocketRise Explorer Set</t>
    </r>
  </si>
  <si>
    <t>Парашют 6
дюйма типа RocketRise Explorer Set</t>
  </si>
  <si>
    <r>
      <rPr>
        <sz val="10"/>
        <color rgb="FF000000"/>
        <rFont val="Times New Roman"/>
      </rPr>
      <t xml:space="preserve">Размер парашюта: 6 дюймов (приблизительно 15 см).
</t>
    </r>
    <r>
      <rPr>
        <sz val="10"/>
        <color rgb="FF000000"/>
        <rFont val="Times New Roman"/>
      </rPr>
      <t xml:space="preserve">Мелкие карабины и нити для надежной фиксации парашюта к ракете Инструкция по установке и активации парашюта
</t>
    </r>
    <r>
      <rPr>
        <sz val="10"/>
        <color rgb="FF000000"/>
        <rFont val="Times New Roman"/>
      </rPr>
      <t xml:space="preserve">Материал: Легкий и прочный нейлон, специально подобранный для обеспечения надежного развертывания парашюта при небольших размерах. Нагрузочная способность: Рассчитан на снижение скорости спуска ракеты массой до 250 грамм.
</t>
    </r>
    <r>
      <rPr>
        <sz val="10"/>
        <color rgb="FF000000"/>
        <rFont val="Times New Roman"/>
      </rPr>
      <t xml:space="preserve">Способ развертывания: Одиночное кольцо для быстрого и эффективного развертывания.
</t>
    </r>
    <r>
      <rPr>
        <sz val="10"/>
        <color rgb="FF000000"/>
        <rFont val="Times New Roman"/>
      </rPr>
      <t>Вес парашюта: Минимальный вес парашюта, что позволяет использовать его с небольшими ракетами и сохранять стабильность полета.</t>
    </r>
  </si>
  <si>
    <r>
      <rPr>
        <sz val="10"/>
        <color rgb="FF000000"/>
        <rFont val="Times New Roman"/>
      </rPr>
      <t xml:space="preserve">521-301-4306-0001 - Станция
</t>
    </r>
    <r>
      <rPr>
        <sz val="10"/>
        <color rgb="FF000000"/>
        <rFont val="Times New Roman"/>
      </rPr>
      <t>запуска для средних моделей ракет типа RocketRise Explorer Set</t>
    </r>
  </si>
  <si>
    <t>Станция
запуска для средних моделей ракет типа RocketRise Explorer Set</t>
  </si>
  <si>
    <r>
      <rPr>
        <sz val="10"/>
        <color rgb="FF000000"/>
        <rFont val="Times New Roman"/>
      </rPr>
      <t xml:space="preserve">Портативная станция сборки и запуска Система удержания для надежной фиксации ракеты
</t>
    </r>
    <r>
      <rPr>
        <sz val="10"/>
        <color rgb="FF000000"/>
        <rFont val="Times New Roman"/>
      </rPr>
      <t xml:space="preserve">Дополнительные элементы для безопасной и стабильной работы станции Подробное руководство по сборке, настройке и использованию станции Тип станции: Портативная станция, предназначенная для запуска средних моделей ракет.
</t>
    </r>
    <r>
      <rPr>
        <sz val="10"/>
        <color rgb="FF000000"/>
        <rFont val="Times New Roman"/>
      </rPr>
      <t xml:space="preserve">Материал: Прочный и устойчивый к воздействию погодных условий материал.
</t>
    </r>
    <r>
      <rPr>
        <sz val="10"/>
        <color rgb="FF000000"/>
        <rFont val="Times New Roman"/>
      </rPr>
      <t xml:space="preserve">Размер: Оптимальный размер, обеспечивающий устойчивость и безопасность при запуске.
</t>
    </r>
    <r>
      <rPr>
        <sz val="10"/>
        <color rgb="FF000000"/>
        <rFont val="Times New Roman"/>
      </rPr>
      <t xml:space="preserve">Максимальная высота запуска: Рассчитана на запуск ракет на высоту до 500 метров.
</t>
    </r>
    <r>
      <rPr>
        <sz val="10"/>
        <color rgb="FF000000"/>
        <rFont val="Times New Roman"/>
      </rPr>
      <t xml:space="preserve">Регулируемая наклонная площадка: Позволяет настраивать угол наклона ракеты для оптимальных полетных характеристик.
</t>
    </r>
    <r>
      <rPr>
        <sz val="10"/>
        <color rgb="FF000000"/>
        <rFont val="Times New Roman"/>
      </rPr>
      <t xml:space="preserve">Система удержания: Оборудована надежными устройствами для фиксации ракеты во время запуска.
</t>
    </r>
    <r>
      <rPr>
        <sz val="10"/>
        <color rgb="FF000000"/>
        <rFont val="Times New Roman"/>
      </rPr>
      <t>Максимальная высота: До 1,5 метра Максимальный диаметр ракеты: До 10 см Максимальный угол наклона: До 45 градусов Время сборки: Около 15 минут</t>
    </r>
  </si>
  <si>
    <r>
      <rPr>
        <sz val="10"/>
        <color rgb="FF000000"/>
        <rFont val="Times New Roman"/>
      </rPr>
      <t xml:space="preserve">521-301-4306-0002 - Станция
</t>
    </r>
    <r>
      <rPr>
        <sz val="10"/>
        <color rgb="FF000000"/>
        <rFont val="Times New Roman"/>
      </rPr>
      <t>запуска для высоких моделей ракет типа RocketRise Explorer Set</t>
    </r>
  </si>
  <si>
    <t>Станция
запуска для высоких моделей ракет типа RocketRise Explorer Set</t>
  </si>
  <si>
    <r>
      <rPr>
        <sz val="10"/>
        <color rgb="FF000000"/>
        <rFont val="Times New Roman"/>
      </rPr>
      <t xml:space="preserve">Профессиональная станция сборки и запуска высоких моделей ракет Регулируемая наклонная площадка с точной системой настройки угла наклона
</t>
    </r>
    <r>
      <rPr>
        <sz val="10"/>
        <color rgb="FF000000"/>
        <rFont val="Times New Roman"/>
      </rPr>
      <t xml:space="preserve">Продвинутая система удержания для безопасной и стабильной работы станции
</t>
    </r>
    <r>
      <rPr>
        <sz val="10"/>
        <color rgb="FF000000"/>
        <rFont val="Times New Roman"/>
      </rPr>
      <t xml:space="preserve">Дополнительные элементы для максимальной эффективности запуска Подробное руководство по сборке, настройке и использованию станции Тип станции: Профессиональная станция, разработанная для запуска высоких моделей ракет.
</t>
    </r>
    <r>
      <rPr>
        <sz val="10"/>
        <color rgb="FF000000"/>
        <rFont val="Times New Roman"/>
      </rPr>
      <t xml:space="preserve">Материал: Высокопрочный и устойчивый к воздействию экстремальных условий материал.
</t>
    </r>
    <r>
      <rPr>
        <sz val="10"/>
        <color rgb="FF000000"/>
        <rFont val="Times New Roman"/>
      </rPr>
      <t xml:space="preserve">Размер: Большие размеры, обеспечивающие стабильность и надежность во время запусков.
</t>
    </r>
    <r>
      <rPr>
        <sz val="10"/>
        <color rgb="FF000000"/>
        <rFont val="Times New Roman"/>
      </rPr>
      <t xml:space="preserve">Максимальная высота запуска: Рассчитана на запуск ракет на высоту до 1000 метров и выше.
</t>
    </r>
    <r>
      <rPr>
        <sz val="10"/>
        <color rgb="FF000000"/>
        <rFont val="Times New Roman"/>
      </rPr>
      <t xml:space="preserve">Регулируемая наклонная площадка: Позволяет точно настроить угол наклона ракеты для оптимальных результатов.
</t>
    </r>
    <r>
      <rPr>
        <sz val="10"/>
        <color rgb="FF000000"/>
        <rFont val="Times New Roman"/>
      </rPr>
      <t xml:space="preserve">Профессиональная система удержания: Оснащена продвинутыми механизмами для надежной фиксации ракеты во время запуска.
</t>
    </r>
    <r>
      <rPr>
        <sz val="10"/>
        <color rgb="FF000000"/>
        <rFont val="Times New Roman"/>
      </rPr>
      <t>Максимальная высота: До 3 метров Максимальный диаметр ракеты: До 20 см Максимальный угол наклона: До 60 градусов Время сборки: Около 30 минут</t>
    </r>
  </si>
  <si>
    <r>
      <rPr>
        <sz val="10"/>
        <color theme="1"/>
        <rFont val="Times New Roman"/>
      </rPr>
      <t>521-301-4306-0003 - Контроллер запуска двигателя ракеты для средних моделей ракет типа RocketRise Explorer Set</t>
    </r>
  </si>
  <si>
    <r>
      <rPr>
        <sz val="10"/>
        <color rgb="FF000000"/>
        <rFont val="Times New Roman"/>
      </rPr>
      <t xml:space="preserve">Электронный контроллер для запуска двигателя ракеты Интерфейсный кабель для подключения к источнику питания Подробное руководство по настройке и использованию контроллера
</t>
    </r>
    <r>
      <rPr>
        <sz val="10"/>
        <color rgb="FF000000"/>
        <rFont val="Times New Roman"/>
      </rPr>
      <t xml:space="preserve">Тип контроллера: Электронный контроллер, разработанный специально для управления запуском двигателя средних моделей ракет.
</t>
    </r>
    <r>
      <rPr>
        <sz val="10"/>
        <color rgb="FF000000"/>
        <rFont val="Times New Roman"/>
      </rPr>
      <t xml:space="preserve">Интерфейс: Простой и интуитивный интерфейс для удобной настройки параметров и активации запуска.
</t>
    </r>
    <r>
      <rPr>
        <sz val="10"/>
        <color rgb="FF000000"/>
        <rFont val="Times New Roman"/>
      </rPr>
      <t xml:space="preserve">Напряжение питания: 12 В постоянного тока, обеспечивает стабильное и надежное питание контроллера.
</t>
    </r>
    <r>
      <rPr>
        <sz val="10"/>
        <color rgb="FF000000"/>
        <rFont val="Times New Roman"/>
      </rPr>
      <t xml:space="preserve">Защита: Встроенные механизмы защиты от неправильной активации и короткого замыкания.
</t>
    </r>
    <r>
      <rPr>
        <sz val="10"/>
        <color rgb="FF000000"/>
        <rFont val="Times New Roman"/>
      </rPr>
      <t xml:space="preserve">Возможности программирования: Позволяет настраивать задержку перед активацией двигателя и другие параметры. Максимальная нагрузка: До 5 А Задержка перед запуском: От 0 до 10 секунд (настраиваемо)
</t>
    </r>
    <r>
      <rPr>
        <sz val="10"/>
        <color rgb="FF000000"/>
        <rFont val="Times New Roman"/>
      </rPr>
      <t>Входное напряжение: 12 В постоянного тока</t>
    </r>
  </si>
  <si>
    <r>
      <rPr>
        <sz val="10"/>
        <color theme="1"/>
        <rFont val="Times New Roman"/>
      </rPr>
      <t>521-301-4306-0004 - Контроллер запуска двигателя ракеты для высоких моделей ракет типа RocketRise Explorer Set</t>
    </r>
  </si>
  <si>
    <r>
      <rPr>
        <sz val="10"/>
        <color rgb="FF000000"/>
        <rFont val="Times New Roman"/>
      </rPr>
      <t xml:space="preserve">Профессиональный электронный контроллер для запуска двигателя ракеты Интерфейсный кабель и разъемы для подключения к источнику питания и двигателю
</t>
    </r>
    <r>
      <rPr>
        <sz val="10"/>
        <color rgb="FF000000"/>
        <rFont val="Times New Roman"/>
      </rPr>
      <t xml:space="preserve">Подробное руководство по настройке, программированию и использованию контроллера
</t>
    </r>
    <r>
      <rPr>
        <sz val="10"/>
        <color rgb="FF000000"/>
        <rFont val="Times New Roman"/>
      </rPr>
      <t xml:space="preserve">Тип контроллера: Профессиональный электронный контроллер, специально разработанный для управления запуском двигателя высоких моделей ракет. Интерфейс: Продвинутый интерфейс с возможностью программирования и настройки различных параметров запуска.
</t>
    </r>
    <r>
      <rPr>
        <sz val="10"/>
        <color rgb="FF000000"/>
        <rFont val="Times New Roman"/>
      </rPr>
      <t xml:space="preserve">Напряжение питания: 24 В постоянного тока, обеспечивает стабильное и надежное питание контроллера.
</t>
    </r>
    <r>
      <rPr>
        <sz val="10"/>
        <color rgb="FF000000"/>
        <rFont val="Times New Roman"/>
      </rPr>
      <t xml:space="preserve">Защита: Встроенные механизмы защиты от перегрузки, короткого замыкания и неправильной активации.
</t>
    </r>
    <r>
      <rPr>
        <sz val="10"/>
        <color rgb="FF000000"/>
        <rFont val="Times New Roman"/>
      </rPr>
      <t xml:space="preserve">Программируемые параметры: Возможность установки задержки перед активацией, контроля температуры и других параметров.
</t>
    </r>
    <r>
      <rPr>
        <sz val="10"/>
        <color rgb="FF000000"/>
        <rFont val="Times New Roman"/>
      </rPr>
      <t xml:space="preserve">Максимальная нагрузка: До 10 А
</t>
    </r>
    <r>
      <rPr>
        <sz val="10"/>
        <color rgb="FF000000"/>
        <rFont val="Times New Roman"/>
      </rPr>
      <t>Задержка перед запуском: От 0 до 30 секунд (программируемо) Входное напряжение: 24 В постоянного тока</t>
    </r>
  </si>
  <si>
    <r>
      <rPr>
        <sz val="10"/>
        <color theme="1"/>
        <rFont val="Times New Roman"/>
      </rPr>
      <t>521-301-4307 - Устройство отслеживания высоты</t>
    </r>
  </si>
  <si>
    <r>
      <rPr>
        <sz val="10"/>
        <color rgb="FF000000"/>
        <rFont val="Times New Roman"/>
      </rPr>
      <t xml:space="preserve">Датчик высоты: Устройство с интегрированными сенсорами для измерения высоты полета. Дисплей или индикатор: Возможность отображения текущей высоты в реальном времени. Запись данных: Встроенная память или возможность подключения для записи данных о высоте. Сенсоры: Интегрированные сенсоры для измерения атмосферного давления и других параметров. Интеграция: Возможность интеграции с другими компонентами RocketRise Explorer Set для полноценного отслеживания полета ракеты. Тип устройства: Устройство отслеживания высоты Измеряемые параметры: Высота полета, ускорение, температура и др.
</t>
    </r>
    <r>
      <rPr>
        <sz val="10"/>
        <color rgb="FF000000"/>
        <rFont val="Times New Roman"/>
      </rPr>
      <t xml:space="preserve">Диапазон измерений: Например, высота: от 0 до 5000 метров, ускорение: от
</t>
    </r>
    <r>
      <rPr>
        <sz val="10"/>
        <color rgb="FF000000"/>
        <rFont val="Times New Roman"/>
      </rPr>
      <t xml:space="preserve">-10g до +10g Точность измерений: Например, высота: ±1 метр, ускорение:
</t>
    </r>
    <r>
      <rPr>
        <sz val="10"/>
        <color rgb="FF000000"/>
        <rFont val="Times New Roman"/>
      </rPr>
      <t>±0.1g Частота обновления данных: Например, 1 измерение в секунду Система передачи данных: Беспроводная телеметрия Источник питания: Встроенный аккумулятор или батареи Интерфейс связи: USB, Bluetooth, Wi-Fi, или другой Размеры и вес: Например, 10 x 5 x 2 см, 100 грамм Совместимость с платформами: Windows, iOS, Android и т.д.</t>
    </r>
  </si>
  <si>
    <r>
      <rPr>
        <sz val="10"/>
        <color theme="1"/>
        <rFont val="Times New Roman"/>
      </rPr>
      <t>521-301-4308 - Форма для приклеивания ребер к корпусу ракеты</t>
    </r>
  </si>
  <si>
    <r>
      <rPr>
        <sz val="10"/>
        <color theme="1"/>
        <rFont val="Times New Roman"/>
      </rPr>
      <t>Специализированная форма для приклеивания ребер к корпусу ракеты Дополнительные элементы для обеспечения стабильности и точности при сборке Подробное руководство по использованию формы Тип формы: Специализированная форма, разработанная для точного и удобного приклеивания ребер к корпусу ракеты. Материал: Прочный и гибкий материал, обеспечивающий прочное приклеивание и легкость извлечения ребер после склеивания. Конструкция: Оптимальная конструкция с удерживающими элементами для стабильной фиксации ребер. Количество отверстий: Рассчитана на приклеивание нескольких ребер одновременно, что ускоряет процесс сборки. Маркировка: Индикаторы для точного позиционирования ребер и обеспечения одинакового расстояния между ними. Вместимость: До 4 ребер одновременно Размер формы: Приблизительно 20x20 см Количество отверстий: 8 отверстий для ребер</t>
    </r>
  </si>
  <si>
    <r>
      <rPr>
        <sz val="10"/>
        <color theme="1"/>
        <rFont val="Times New Roman"/>
      </rPr>
      <t>521-301-4309 - Инструмент для разметки линии ребер</t>
    </r>
  </si>
  <si>
    <r>
      <rPr>
        <sz val="10"/>
        <color theme="1"/>
        <rFont val="Times New Roman"/>
      </rPr>
      <t>Специализированный инструмент для разметки линии ребер на корпусе ракеты Дополнительные маркеры для более точной разметки Подробное руководство по использованию инструмента Тип инструмента: Специальный инструмент, разработанный для точной разметки линии ребер на корпусе ракеты. Материал: Прочный и негибкий материал, обеспечивающий точность и устойчивость инструмента. Конструкция: Удобная и эргономичная конструкция для комфортной работы и точной разметки. Маркировка: Система маркировки на инструменте для определения точной позиции ребер. Длина инструмента: Приблизительно 15 см Толщина инструмента: Приблизительно 1 см</t>
    </r>
  </si>
  <si>
    <r>
      <rPr>
        <sz val="10"/>
        <color theme="1"/>
        <rFont val="Times New Roman"/>
      </rPr>
      <t>521-301-4310 - Подставка для моделей ракет</t>
    </r>
  </si>
  <si>
    <r>
      <rPr>
        <sz val="10"/>
        <color theme="1"/>
        <rFont val="Times New Roman"/>
      </rPr>
      <t>Специализированная подставка для моделей ракет Дополнительные элементы для стабильного и надежного размещения ракеты Подробное руководство по использованию подставки  Тип подставки: Специальная подставка, предназначенная для удобного и стабильного размещения моделей ракет. Материал: Прочный и устойчивый к воздействию внешних факторов материал, обеспечивающий надежную поддержку ракеты. Размер: Оптимальные размеры, обеспечивающие устойчивость и визуальное привлекательность подставки. Дизайн: Эргономичный и стильный дизайн, подчеркивающий важность и значимость модели ракеты. Масштаб: Размер подставки соответствует масштабу модели ракеты. Размер подставки: Приблизительно 20x20 см</t>
    </r>
  </si>
  <si>
    <r>
      <rPr>
        <sz val="10"/>
        <color rgb="FF000000"/>
        <rFont val="Times New Roman"/>
      </rPr>
      <t xml:space="preserve">521-301-4401-0001 - Набор
</t>
    </r>
    <r>
      <rPr>
        <sz val="10"/>
        <color rgb="FF000000"/>
        <rFont val="Times New Roman"/>
      </rPr>
      <t>радиотехнический для участия в международных соревнованиях типа ARDFinder Kit</t>
    </r>
  </si>
  <si>
    <t>Набор
радиотехнический для участия в международных соревнованиях типа ARDFinder Kit</t>
  </si>
  <si>
    <r>
      <rPr>
        <sz val="10"/>
        <color rgb="FF000000"/>
        <rFont val="Times New Roman"/>
      </rPr>
      <t xml:space="preserve">Комплектация:
</t>
    </r>
    <r>
      <rPr>
        <sz val="10"/>
        <color rgb="FF000000"/>
        <rFont val="Times New Roman"/>
      </rPr>
      <t xml:space="preserve">Радиочастотный передатчик с возможностью регулировки частоты Высокочастотный приемник
</t>
    </r>
    <r>
      <rPr>
        <sz val="10"/>
        <color rgb="FF000000"/>
        <rFont val="Times New Roman"/>
      </rPr>
      <t xml:space="preserve">Наушники
</t>
    </r>
    <r>
      <rPr>
        <sz val="10"/>
        <color rgb="FF000000"/>
        <rFont val="Times New Roman"/>
      </rPr>
      <t>Антенны для приема и передачи</t>
    </r>
  </si>
  <si>
    <r>
      <rPr>
        <sz val="10"/>
        <color theme="1"/>
        <rFont val="Times New Roman"/>
      </rPr>
      <t>521-301-4402 - Конструктор малых космических апаратов</t>
    </r>
  </si>
  <si>
    <r>
      <rPr>
        <sz val="10"/>
        <color theme="1"/>
        <rFont val="Times New Roman"/>
      </rPr>
      <t>Модули для сборки структуры аппарата с соответствующими размерами Солнечные панели для энергоснабжения. Антенны для связи и обмена данными. Энергетические батареи и системы управления энергопотреблением. Управляющие системы и сенсоры для ориентации и навигации. Подробные учебные материалы по сборке, программированию и тестированию аппарата.</t>
    </r>
  </si>
  <si>
    <r>
      <rPr>
        <sz val="10"/>
        <color rgb="FF000000"/>
        <rFont val="Times New Roman"/>
      </rPr>
      <t xml:space="preserve">521-301-4403 - Модуль
</t>
    </r>
    <r>
      <rPr>
        <sz val="10"/>
        <color rgb="FF000000"/>
        <rFont val="Times New Roman"/>
      </rPr>
      <t>беспроводной NRF приемников и передатчиков</t>
    </r>
  </si>
  <si>
    <t>Модуль
беспроводной NRF приемников и передатчиков</t>
  </si>
  <si>
    <r>
      <rPr>
        <sz val="10"/>
        <color theme="1"/>
        <rFont val="Times New Roman"/>
      </rPr>
      <t>Контроллер Arduino (например, Arduino Uno или подобный). Беспроводные модули NRF приемников и передатчиков. Разнообразные датчики (например, температурные, световые, движения и другие). Сервоприводы для управления механизмами. Дополнительные компоненты (резисторы, LED, кнопки и т. д.). Учебные материалы с примерами проектов и инструкциями.</t>
    </r>
  </si>
  <si>
    <r>
      <rPr>
        <sz val="10"/>
        <color theme="1"/>
        <rFont val="Times New Roman"/>
      </rPr>
      <t>521-301-4404 - Комплект базовый цифрового лабораторного оборудования (мультиметры, генератор, осциллограф, анализатор)</t>
    </r>
  </si>
  <si>
    <r>
      <rPr>
        <sz val="10"/>
        <color theme="1"/>
        <rFont val="Times New Roman"/>
      </rPr>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Размеры  295 x 154 × 30 мм3  Встроенные измерительные приборы  Два цифровых мультиметра: Напряжение: DC/AC - 2 V | 20 V Ток: DC/AC - 20 мА | 200 мА | 2 A Сопротивление: 2 кΩ | 20 кΩ | 200 кΩ | 2 MΩ Автоматическое изменение для всех диапазонов измерений Цифровой функциональный генератор: цифровая генерация синусоидальных, треугольных, квадратных волн, а также сигналов постоянного тока Диапазон частот: 0,5 Гц - 100 кГц, также постоянный ток Выход SYNC: TTL тактовая частота 0,5 Гц - 100 кГц Выходное напряжение: макс. ±10 В, (0 - 20 В) Выходной ток: макс. ±250 мА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Триггер CH1 - CH4 и EXT (с привязкой к земле), с шагом 4095, нарастающий/спадающий фронт Цифровой анализатор: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Напряжение питания: 15 В/3 А USB-C Интерфейсы: WLAN Ethernet 100 МБит RJ45 USB Расширения: Слот расширения Интерфейс USB (тип A) NFC  Световая полоса и светодиоды для отображения состояния Замок безопасности для крепления экспериментальных плат Защита от кражи (порт для замка Kensington)</t>
    </r>
  </si>
  <si>
    <r>
      <rPr>
        <sz val="10"/>
        <color rgb="FF000000"/>
        <rFont val="Times New Roman"/>
      </rPr>
      <t xml:space="preserve">521-301-4405-0001 - COM3LAB
</t>
    </r>
    <r>
      <rPr>
        <sz val="10"/>
        <color rgb="FF000000"/>
        <rFont val="Times New Roman"/>
      </rPr>
      <t>курс: Технология передачи TX433 LD DIDACTIC</t>
    </r>
  </si>
  <si>
    <t>COM3LAB
курс: Технология передачи TX433 LD DIDACTIC</t>
  </si>
  <si>
    <r>
      <rPr>
        <sz val="10"/>
        <color theme="1"/>
        <rFont val="Times New Roman"/>
      </rPr>
      <t>Курс COM3LAB: Технология передачи данных TX433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В данном курсе рассматриваются принципы и законы работы цифровой техники. Содержание курса, инструкции по проведению экспериментов и задачи преподаются с помощью программного обеспечения, предназначенного для данного курса."</t>
    </r>
  </si>
  <si>
    <r>
      <rPr>
        <sz val="10"/>
        <color rgb="FF000000"/>
        <rFont val="Times New Roman"/>
      </rPr>
      <t xml:space="preserve">521-301-4405-0003 - COM3LAB
</t>
    </r>
    <r>
      <rPr>
        <sz val="10"/>
        <color rgb="FF000000"/>
        <rFont val="Times New Roman"/>
      </rPr>
      <t>курс: Телекоммуникационные линии типа LD DIDACTIC</t>
    </r>
  </si>
  <si>
    <t>COM3LAB
курс: Телекоммуникационные линии типа LD DIDACTIC</t>
  </si>
  <si>
    <r>
      <rPr>
        <sz val="10"/>
        <color rgb="FF000000"/>
        <rFont val="Times New Roman"/>
      </rPr>
      <t xml:space="preserve">Имеет виртуальные лабораторные оборудования: Осциллограф Функциональный генератор Мультиметр (x2) Цифровой анализатор БПФ-анализатор спектра Счетчик частоты Боде-модуль Дополнительные функции
</t>
    </r>
    <r>
      <rPr>
        <sz val="10"/>
        <color rgb="FF000000"/>
        <rFont val="Times New Roman"/>
      </rPr>
      <t xml:space="preserve">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Эксперименты подключаются с помощью 2 мм защитных кабелей. Содержание курса, инструкции к экспериментам и задачи преподаются с помощью программного обеспечения для конкретного курса.
</t>
    </r>
    <r>
      <rPr>
        <sz val="10"/>
        <color rgb="FF000000"/>
        <rFont val="Times New Roman"/>
      </rPr>
      <t xml:space="preserve">Охват учебной программы
</t>
    </r>
    <r>
      <rPr>
        <sz val="10"/>
        <color rgb="FF000000"/>
        <rFont val="Times New Roman"/>
      </rPr>
      <t xml:space="preserve">Частотные характеристики двухпроводных линий Определение характеристического волнового сопротивления Измерение перекрестных помех на ближнем и дальнем концах Импульсное поведение коаксиальных линий
</t>
    </r>
    <r>
      <rPr>
        <sz val="10"/>
        <color rgb="FF000000"/>
        <rFont val="Times New Roman"/>
      </rPr>
      <t xml:space="preserve">Рассогласование Гибридные и фантомные цепи
</t>
    </r>
    <r>
      <rPr>
        <sz val="10"/>
        <color rgb="FF000000"/>
        <rFont val="Times New Roman"/>
      </rPr>
      <t xml:space="preserve">Дуплексная передача и дистанционное питание Характеристические кривые светодиодов в оптической технике связи
</t>
    </r>
    <r>
      <rPr>
        <sz val="10"/>
        <color rgb="FF000000"/>
        <rFont val="Times New Roman"/>
      </rPr>
      <t xml:space="preserve">Затухание в волоконно-оптических линиях Измерение оптической мощности
</t>
    </r>
    <r>
      <rPr>
        <sz val="10"/>
        <color rgb="FF000000"/>
        <rFont val="Times New Roman"/>
      </rPr>
      <t xml:space="preserve">Потери в муфте Потери на изгиб
</t>
    </r>
    <r>
      <rPr>
        <sz val="10"/>
        <color rgb="FF000000"/>
        <rFont val="Times New Roman"/>
      </rPr>
      <t xml:space="preserve">Виртуальная лаборатория Осциллограф Функциональный генератор Мультиметр (x2)
</t>
    </r>
    <r>
      <rPr>
        <sz val="10"/>
        <color rgb="FF000000"/>
        <rFont val="Times New Roman"/>
      </rPr>
      <t xml:space="preserve">Цифровой анализатор БПФ-анализатор спектра Счетчик частоты
</t>
    </r>
    <r>
      <rPr>
        <sz val="10"/>
        <color rgb="FF000000"/>
        <rFont val="Times New Roman"/>
      </rPr>
      <t>Боде-модуль Дополнительные функции</t>
    </r>
  </si>
  <si>
    <r>
      <rPr>
        <sz val="10"/>
        <color rgb="FF000000"/>
        <rFont val="Times New Roman"/>
      </rPr>
      <t xml:space="preserve">521-301-4405-0004 - COM3LAB
</t>
    </r>
    <r>
      <rPr>
        <sz val="10"/>
        <color rgb="FF000000"/>
        <rFont val="Times New Roman"/>
      </rPr>
      <t>курс: Цифровые коммуникационные технологии типа LD DIDACTIC</t>
    </r>
  </si>
  <si>
    <t>COM3LAB
курс: Цифровые коммуникационные технологии типа LD DIDACTIC</t>
  </si>
  <si>
    <r>
      <rPr>
        <sz val="10"/>
        <color rgb="FF000000"/>
        <rFont val="Times New Roman"/>
      </rPr>
      <t xml:space="preserve">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t>
    </r>
    <r>
      <rPr>
        <sz val="10"/>
        <color rgb="FF000000"/>
        <rFont val="Times New Roman"/>
      </rPr>
      <t xml:space="preserve">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 Передискретизация / недодискретизация Сглаживание Теорема Шеннона Импульсно-кодовая модуляция (PCM) Квантование линейное и нелинейное Сжатие / расширение Кодовые ошибки Мультиплексирование с временным разделением каналов (TDM) Синхронизация Шум квантования Разностная импульсно-кодовая модуляция (DPCM) Передача оптических сигналов Передача сигнала по проводам (коаксиальная линия - двухпроводная линия) Симплексная / дуплексная связь
</t>
    </r>
    <r>
      <rPr>
        <sz val="10"/>
        <color rgb="FF000000"/>
        <rFont val="Times New Roman"/>
      </rPr>
      <t xml:space="preserve">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t>
    </r>
    <r>
      <rPr>
        <sz val="10"/>
        <color rgb="FF000000"/>
        <rFont val="Times New Roman"/>
      </rPr>
      <t xml:space="preserve">CD-плееров. Содержание курса, инструкции по проведению экспериментов и задачи преподаются с помощью специального программного обеспечения.
</t>
    </r>
    <r>
      <rPr>
        <sz val="10"/>
        <color rgb="FF000000"/>
        <rFont val="Times New Roman"/>
      </rPr>
      <t xml:space="preserve">Охват учебной программы Характеристики импульсных носителей Генерация ПАМ
</t>
    </r>
    <r>
      <rPr>
        <sz val="10"/>
        <color rgb="FF000000"/>
        <rFont val="Times New Roman"/>
      </rPr>
      <t xml:space="preserve">ПАМ (естественный) ПАМ (S&amp;H)
</t>
    </r>
    <r>
      <rPr>
        <sz val="10"/>
        <color rgb="FF000000"/>
        <rFont val="Times New Roman"/>
      </rPr>
      <t>Спектр ПАМ</t>
    </r>
  </si>
  <si>
    <r>
      <rPr>
        <sz val="9"/>
        <color rgb="FF000000"/>
        <rFont val="Times New Roman"/>
      </rPr>
      <t xml:space="preserve">Передискретизация / недодискретизация Сглаживание
</t>
    </r>
    <r>
      <rPr>
        <sz val="9"/>
        <color rgb="FF000000"/>
        <rFont val="Times New Roman"/>
      </rPr>
      <t xml:space="preserve">Теорема Шеннона Импульсно-кодовая модуляция (PCM) Квантование линейное и нелинейное
</t>
    </r>
    <r>
      <rPr>
        <sz val="9"/>
        <color rgb="FF000000"/>
        <rFont val="Times New Roman"/>
      </rPr>
      <t xml:space="preserve">Сжатие / расширение Кодовые ошибки
</t>
    </r>
    <r>
      <rPr>
        <sz val="9"/>
        <color rgb="FF000000"/>
        <rFont val="Times New Roman"/>
      </rPr>
      <t xml:space="preserve">Мультиплексирование с временным разделением каналов (TDM) Синхронизация
</t>
    </r>
    <r>
      <rPr>
        <sz val="9"/>
        <color rgb="FF000000"/>
        <rFont val="Times New Roman"/>
      </rPr>
      <t xml:space="preserve">Шум квантования
</t>
    </r>
    <r>
      <rPr>
        <sz val="9"/>
        <color rgb="FF000000"/>
        <rFont val="Times New Roman"/>
      </rPr>
      <t xml:space="preserve">Разностная импульсно-кодовая модуляция (DPCM) Передача оптических сигналов
</t>
    </r>
    <r>
      <rPr>
        <sz val="9"/>
        <color rgb="FF000000"/>
        <rFont val="Times New Roman"/>
      </rPr>
      <t>Передача сигнала по проводам (коаксиальная линия - двухпроводная линия) Симплексная / дуплексная связь</t>
    </r>
  </si>
  <si>
    <r>
      <rPr>
        <sz val="10"/>
        <color rgb="FF000000"/>
        <rFont val="Times New Roman"/>
      </rPr>
      <t xml:space="preserve">521-301-4405-0005 - COM3LAB:
</t>
    </r>
    <r>
      <rPr>
        <sz val="10"/>
        <color rgb="FF000000"/>
        <rFont val="Times New Roman"/>
      </rPr>
      <t>Принадлежности для телекоммуникационных линий типа LD DIDACTIC</t>
    </r>
  </si>
  <si>
    <t>COM3LAB:
Принадлежности для телекоммуникационных линий типа LD DIDACTIC</t>
  </si>
  <si>
    <r>
      <rPr>
        <sz val="10"/>
        <color rgb="FF000000"/>
        <rFont val="Times New Roman"/>
      </rPr>
      <t xml:space="preserve">Набор включает следующие принадлежности для обучения курса "телекоммуникационных линий":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 для оптических кабелей. Коммутаторы и маршрутизаторы: Эти устройства играют важнейшую роль в направлении и управлении трафиком данных в телекоммуникационных сетях. Модемы: Модемы необходимы для подключения к Интернету и могут быть частью телекоммуникационной системы. Антенны: В беспроводных телекоммуникациях антенны играют важную роль в передаче и приеме сигналов. 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Оборудование для тестирования и мониторинга: Различные инструменты и оборудование используются для тестирования и мониторинга работы телекоммуникационных линий. Монтажное оборудование: К ним относятся кронштейны, стойки и шкафы, используемые для крепления и организации оборудования. 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t>
    </r>
    <r>
      <rPr>
        <sz val="10"/>
        <color rgb="FF000000"/>
        <rFont val="Times New Roman"/>
      </rPr>
      <t xml:space="preserve">Программное обеспечение и микропрограммы: Аксессуары для
</t>
    </r>
    <r>
      <rPr>
        <sz val="10"/>
        <color rgb="FF000000"/>
        <rFont val="Times New Roman"/>
      </rPr>
      <t xml:space="preserve">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t>
    </r>
    <r>
      <rPr>
        <sz val="10"/>
        <color rgb="FF000000"/>
        <rFont val="Times New Roman"/>
      </rPr>
      <t xml:space="preserve">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t>
    </r>
    <r>
      <rPr>
        <sz val="10"/>
        <color rgb="FF000000"/>
        <rFont val="Times New Roman"/>
      </rPr>
      <t>Разъемы: Дополнительное оборудование может включать разъемы типа RJ-45 для кабелей Ethernet или различные волоконно-оптические разъемы</t>
    </r>
  </si>
  <si>
    <r>
      <rPr>
        <sz val="9"/>
        <color rgb="FF000000"/>
        <rFont val="Times New Roman"/>
      </rPr>
      <t xml:space="preserve">для оптических кабелей.
</t>
    </r>
    <r>
      <rPr>
        <sz val="9"/>
        <color rgb="FF000000"/>
        <rFont val="Times New Roman"/>
      </rPr>
      <t xml:space="preserve">Коммутаторы и маршрутизаторы: Эти устройства играют важнейшую роль в направлении и управлении трафиком данных в телекоммуникационных сетях.
</t>
    </r>
    <r>
      <rPr>
        <sz val="9"/>
        <color rgb="FF000000"/>
        <rFont val="Times New Roman"/>
      </rPr>
      <t xml:space="preserve">Модемы: Модемы необходимы для подключения к Интернету и могут быть частью телекоммуникационной системы.
</t>
    </r>
    <r>
      <rPr>
        <sz val="9"/>
        <color rgb="FF000000"/>
        <rFont val="Times New Roman"/>
      </rPr>
      <t xml:space="preserve">Антенны: В беспроводных телекоммуникациях антенны играют важную роль в передаче и приеме сигналов.
</t>
    </r>
    <r>
      <rPr>
        <sz val="9"/>
        <color rgb="FF000000"/>
        <rFont val="Times New Roman"/>
      </rPr>
      <t xml:space="preserve">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t>
    </r>
    <r>
      <rPr>
        <sz val="9"/>
        <color rgb="FF000000"/>
        <rFont val="Times New Roman"/>
      </rPr>
      <t xml:space="preserve">Оборудование для тестирования и мониторинга: Различные инструменты и
</t>
    </r>
    <r>
      <rPr>
        <sz val="9"/>
        <color rgb="FF000000"/>
        <rFont val="Times New Roman"/>
      </rPr>
      <t xml:space="preserve">оборудование используются для тестирования и мониторинга работы телекоммуникационных линий.
</t>
    </r>
    <r>
      <rPr>
        <sz val="9"/>
        <color rgb="FF000000"/>
        <rFont val="Times New Roman"/>
      </rPr>
      <t xml:space="preserve">Монтажное оборудование: К ним относятся кронштейны, стойки и шкафы, используемые для крепления и организации оборудования.
</t>
    </r>
    <r>
      <rPr>
        <sz val="9"/>
        <color rgb="FF000000"/>
        <rFont val="Times New Roman"/>
      </rPr>
      <t xml:space="preserve">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t>
    </r>
    <r>
      <rPr>
        <sz val="9"/>
        <color rgb="FF000000"/>
        <rFont val="Times New Roman"/>
      </rPr>
      <t xml:space="preserve">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t>
    </r>
    <r>
      <rPr>
        <sz val="9"/>
        <color rgb="FF000000"/>
        <rFont val="Times New Roman"/>
      </rPr>
      <t>Программное обеспечение и микропрограммы: Аксессуары для телекоммуникационного оборудования могут также включать обновление программного обеспечения и микропрограмм</t>
    </r>
  </si>
  <si>
    <r>
      <rPr>
        <sz val="10"/>
        <color rgb="FF000000"/>
        <rFont val="Times New Roman"/>
      </rPr>
      <t xml:space="preserve">521-301-4405-0006 - COM3LAB
</t>
    </r>
    <r>
      <rPr>
        <sz val="10"/>
        <color rgb="FF000000"/>
        <rFont val="Times New Roman"/>
      </rPr>
      <t>курс: Технология модема типа LD DIDACTIC</t>
    </r>
  </si>
  <si>
    <t>COM3LAB
курс: Технология модема типа LD DIDACTIC</t>
  </si>
  <si>
    <r>
      <rPr>
        <sz val="10"/>
        <color rgb="FF000000"/>
        <rFont val="Times New Roman"/>
      </rPr>
      <t xml:space="preserve">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 Оценка полосы пропускания Скорость модуляции / скорость передачи данных SNR и полоса пропускания Аппаратные средства модуляторов Аппаратные средства демодуляторов Восстановление несущей и синхронизация демодуляторов Коррекция ошибок Обнаружение ошибок Режимы работы, симплекс, полудуплекс, полный дуплекс Линейный код NRZ Моделирование неисправностей
</t>
    </r>
    <r>
      <rPr>
        <sz val="10"/>
        <color rgb="FF000000"/>
        <rFont val="Times New Roman"/>
      </rPr>
      <t xml:space="preserve">Состоит из экспериментальной платы, размещенной в держателе платы и
</t>
    </r>
    <r>
      <rPr>
        <sz val="10"/>
        <color rgb="FF000000"/>
        <rFont val="Times New Roman"/>
      </rPr>
      <t xml:space="preserve">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t>
    </r>
    <r>
      <rPr>
        <sz val="10"/>
        <color rgb="FF000000"/>
        <rFont val="Times New Roman"/>
      </rPr>
      <t xml:space="preserve">Охват учебной программы Введение
</t>
    </r>
    <r>
      <rPr>
        <sz val="10"/>
        <color rgb="FF000000"/>
        <rFont val="Times New Roman"/>
      </rPr>
      <t xml:space="preserve">Амплитудная манипуляция со сдвигом (ASK) Частотная манипуляция со сдвигом (FSK)
</t>
    </r>
    <r>
      <rPr>
        <sz val="10"/>
        <color rgb="FF000000"/>
        <rFont val="Times New Roman"/>
      </rPr>
      <t xml:space="preserve">2-фазный сдвиг ключа (2PSK) Четырехфазная сдвиговая кодировка (4PSK) Разностное фазовое кодирование
</t>
    </r>
    <r>
      <rPr>
        <sz val="10"/>
        <color rgb="FF000000"/>
        <rFont val="Times New Roman"/>
      </rPr>
      <t>Сигналы со сдвиговым ключом во временной области Сигналы со сдвиговым ключом в частотной области</t>
    </r>
  </si>
  <si>
    <r>
      <rPr>
        <sz val="9"/>
        <color rgb="FF000000"/>
        <rFont val="Times New Roman"/>
      </rPr>
      <t xml:space="preserve">Оценка полосы пропускания
</t>
    </r>
    <r>
      <rPr>
        <sz val="9"/>
        <color rgb="FF000000"/>
        <rFont val="Times New Roman"/>
      </rPr>
      <t xml:space="preserve">Скорость модуляции / скорость передачи данных SNR и полоса пропускания
</t>
    </r>
    <r>
      <rPr>
        <sz val="9"/>
        <color rgb="FF000000"/>
        <rFont val="Times New Roman"/>
      </rPr>
      <t xml:space="preserve">Аппаратные средства модуляторов Аппаратные средства демодуляторов
</t>
    </r>
    <r>
      <rPr>
        <sz val="9"/>
        <color rgb="FF000000"/>
        <rFont val="Times New Roman"/>
      </rPr>
      <t xml:space="preserve">Восстановление несущей и синхронизация демодуляторов Коррекция ошибок
</t>
    </r>
    <r>
      <rPr>
        <sz val="9"/>
        <color rgb="FF000000"/>
        <rFont val="Times New Roman"/>
      </rPr>
      <t xml:space="preserve">Обнаружение ошибок
</t>
    </r>
    <r>
      <rPr>
        <sz val="9"/>
        <color rgb="FF000000"/>
        <rFont val="Times New Roman"/>
      </rPr>
      <t xml:space="preserve">Режимы работы, симплекс, полудуплекс, полный дуплекс Линейный код NRZ
</t>
    </r>
    <r>
      <rPr>
        <sz val="9"/>
        <color rgb="FF000000"/>
        <rFont val="Times New Roman"/>
      </rPr>
      <t>Моделирование неисправностей</t>
    </r>
  </si>
  <si>
    <r>
      <rPr>
        <sz val="10"/>
        <color rgb="FF000000"/>
        <rFont val="Times New Roman"/>
      </rPr>
      <t xml:space="preserve">521-301-4405-0007 - Система
</t>
    </r>
    <r>
      <rPr>
        <sz val="10"/>
        <color rgb="FF000000"/>
        <rFont val="Times New Roman"/>
      </rPr>
      <t>обучения RFID типа LD DIDACTIC</t>
    </r>
  </si>
  <si>
    <t>Система
обучения RFID типа LD DIDACTIC</t>
  </si>
  <si>
    <r>
      <rPr>
        <sz val="10"/>
        <color rgb="FF000000"/>
        <rFont val="Times New Roman"/>
      </rPr>
      <t xml:space="preserve">Контроллер Arduino (например, Arduino Uno или подобный).
</t>
    </r>
    <r>
      <rPr>
        <sz val="10"/>
        <color rgb="FF000000"/>
        <rFont val="Times New Roman"/>
      </rPr>
      <t xml:space="preserve">RFID модули и метки разных типов и частот.
</t>
    </r>
    <r>
      <rPr>
        <sz val="10"/>
        <color rgb="FF000000"/>
        <rFont val="Times New Roman"/>
      </rPr>
      <t xml:space="preserve">Разнообразные дополнительные компоненты для создания проектов (резисторы, LED, кнопки и т. д.).
</t>
    </r>
    <r>
      <rPr>
        <sz val="10"/>
        <color rgb="FF000000"/>
        <rFont val="Times New Roman"/>
      </rPr>
      <t xml:space="preserve">Учебные материалы, включая инструкции по подключению, программированию и примеры проектов.
</t>
    </r>
    <r>
      <rPr>
        <sz val="10"/>
        <color rgb="FF000000"/>
        <rFont val="Times New Roman"/>
      </rPr>
      <t>Программное обеспечение для программирования и тестирования RFID.</t>
    </r>
  </si>
  <si>
    <r>
      <rPr>
        <sz val="10"/>
        <color rgb="FF000000"/>
        <rFont val="Times New Roman"/>
      </rPr>
      <t xml:space="preserve">521-301-4405-0008 - Система
</t>
    </r>
    <r>
      <rPr>
        <sz val="10"/>
        <color rgb="FF000000"/>
        <rFont val="Times New Roman"/>
      </rPr>
      <t>обучения Телекоммуникационное оборудование типа LD DIDACTIC</t>
    </r>
  </si>
  <si>
    <t>Система
обучения Телекоммуникационное оборудование типа LD DIDACTIC</t>
  </si>
  <si>
    <r>
      <rPr>
        <sz val="10"/>
        <color rgb="FF000000"/>
        <rFont val="Times New Roman"/>
      </rPr>
      <t xml:space="preserve">Радио передатчики и приемники разных типов и частот. Антенны и устройства для настройки и анализа сигналов.
</t>
    </r>
    <r>
      <rPr>
        <sz val="10"/>
        <color rgb="FF000000"/>
        <rFont val="Times New Roman"/>
      </rPr>
      <t>Учебные материалы, включая теоретические основы и практические задачи. Программное обеспечение для моделирования и анализа радиосигналов.</t>
    </r>
  </si>
  <si>
    <r>
      <rPr>
        <sz val="10"/>
        <color theme="1"/>
        <rFont val="Times New Roman"/>
      </rPr>
      <t>521-301-4405-0009 - Наладочная станция подогреватель печатных плат типа Crafttronics Lab</t>
    </r>
  </si>
  <si>
    <r>
      <rPr>
        <sz val="10"/>
        <color theme="1"/>
        <rFont val="Times New Roman"/>
      </rPr>
      <t>Электронная станция с подогревателем для печатных плат Различные насадки и держатели для размещения и фиксации платы Подробное руководство по использованию станции</t>
    </r>
  </si>
  <si>
    <r>
      <rPr>
        <sz val="10"/>
        <color rgb="FF000000"/>
        <rFont val="Times New Roman"/>
      </rPr>
      <t xml:space="preserve">521-301-4405-0010 - Набор  pcb
</t>
    </r>
    <r>
      <rPr>
        <sz val="10"/>
        <color rgb="FF000000"/>
        <rFont val="Times New Roman"/>
      </rPr>
      <t>электронных компонентов типа Crafttronics Lab</t>
    </r>
  </si>
  <si>
    <t>Набор  pcb
электронных компонентов типа Crafttronics Lab</t>
  </si>
  <si>
    <r>
      <rPr>
        <sz val="10"/>
        <color rgb="FF000000"/>
        <rFont val="Times New Roman"/>
      </rPr>
      <t xml:space="preserve">Разнообразные электронные компоненты, включая резисторы, конденсаторы, диоды, транзисторы и многое другое.
</t>
    </r>
    <r>
      <rPr>
        <sz val="10"/>
        <color rgb="FF000000"/>
        <rFont val="Times New Roman"/>
      </rPr>
      <t xml:space="preserve">Печатные платы (PCB) разных размеров и типов для создания собственных проектов.
</t>
    </r>
    <r>
      <rPr>
        <sz val="10"/>
        <color rgb="FF000000"/>
        <rFont val="Times New Roman"/>
      </rPr>
      <t>Подробное руководство по использованию компонентов, созданию электронных схем и монтажу на PCB.</t>
    </r>
  </si>
  <si>
    <r>
      <rPr>
        <sz val="10"/>
        <color rgb="FF000000"/>
        <rFont val="Times New Roman"/>
      </rPr>
      <t xml:space="preserve">521-301-4501-0001 - Набор
</t>
    </r>
    <r>
      <rPr>
        <sz val="10"/>
        <color rgb="FF000000"/>
        <rFont val="Times New Roman"/>
      </rPr>
      <t>авиамодели для быстрой сборки тип 1 типа AviaCraft Explore Kit</t>
    </r>
  </si>
  <si>
    <t>Набор
авиамодели для быстрой сборки тип 1 типа AviaCraft Explore Kit</t>
  </si>
  <si>
    <r>
      <rPr>
        <sz val="10"/>
        <color rgb="FF000000"/>
        <rFont val="Times New Roman"/>
      </rPr>
      <t xml:space="preserve">Ручной планер с электрическим приводом.
</t>
    </r>
    <r>
      <rPr>
        <sz val="10"/>
        <color rgb="FF000000"/>
        <rFont val="Times New Roman"/>
      </rPr>
      <t xml:space="preserve">Длина: 420 мм Размах крыльев: 500 мм.
</t>
    </r>
    <r>
      <rPr>
        <sz val="10"/>
        <color rgb="FF000000"/>
        <rFont val="Times New Roman"/>
      </rPr>
      <t>В комплект входят: Быстрый электродвигатель, перезаряжаемая батарея, зарядное устройство постоянного тока. В комплект входят 4 батарейки типа C Cell.</t>
    </r>
  </si>
  <si>
    <r>
      <rPr>
        <sz val="10"/>
        <color rgb="FF000000"/>
        <rFont val="Times New Roman"/>
      </rPr>
      <t xml:space="preserve">521-301-4501-0002 - Набор
</t>
    </r>
    <r>
      <rPr>
        <sz val="10"/>
        <color rgb="FF000000"/>
        <rFont val="Times New Roman"/>
      </rPr>
      <t>авиамодели для быстрой сборки тип 2 типа AviaCraft Explore Kit</t>
    </r>
  </si>
  <si>
    <t>Набор
авиамодели для быстрой сборки тип 2 типа AviaCraft Explore Kit</t>
  </si>
  <si>
    <r>
      <rPr>
        <sz val="10"/>
        <color rgb="FF000000"/>
        <rFont val="Times New Roman"/>
      </rPr>
      <t xml:space="preserve">Размах крыла: 550 мм
</t>
    </r>
    <r>
      <rPr>
        <sz val="10"/>
        <color rgb="FF000000"/>
        <rFont val="Times New Roman"/>
      </rPr>
      <t>В комплект входят: Зарядное устройство постоянного тока (требуются батареи), быстрый электродвигатель и перезаряжаемая батарея</t>
    </r>
  </si>
  <si>
    <r>
      <rPr>
        <sz val="10"/>
        <color rgb="FF000000"/>
        <rFont val="Times New Roman"/>
      </rPr>
      <t xml:space="preserve">521-301-4501-0003 - Набор
</t>
    </r>
    <r>
      <rPr>
        <sz val="10"/>
        <color rgb="FF000000"/>
        <rFont val="Times New Roman"/>
      </rPr>
      <t>авиамодели для быстрой сборки тип 3 типа AviaCraft Explore Kit</t>
    </r>
  </si>
  <si>
    <t>Набор
авиамодели для быстрой сборки тип 3 типа AviaCraft Explore Kit</t>
  </si>
  <si>
    <r>
      <rPr>
        <sz val="10"/>
        <color rgb="FF000000"/>
        <rFont val="Times New Roman"/>
      </rPr>
      <t xml:space="preserve">Аэроплан с электрическим приводом.
</t>
    </r>
    <r>
      <rPr>
        <sz val="10"/>
        <color rgb="FF000000"/>
        <rFont val="Times New Roman"/>
      </rPr>
      <t xml:space="preserve">Длина: 460 мм Размах крыльев: 530 мм.
</t>
    </r>
    <r>
      <rPr>
        <sz val="10"/>
        <color rgb="FF000000"/>
        <rFont val="Times New Roman"/>
      </rPr>
      <t>В комплект входят: быстрый электродвигатель, перезаряжаемая батарея, зарядное устройство постоянного тока, 4 батарейки типа C Cell.</t>
    </r>
  </si>
  <si>
    <r>
      <rPr>
        <sz val="10"/>
        <color rgb="FF000000"/>
        <rFont val="Times New Roman"/>
      </rPr>
      <t xml:space="preserve">521-301-4502-0001 - Сборочная
</t>
    </r>
    <r>
      <rPr>
        <sz val="10"/>
        <color rgb="FF000000"/>
        <rFont val="Times New Roman"/>
      </rPr>
      <t>модель самолета из бальзового дерева типа AviaCraft Explore Kit</t>
    </r>
  </si>
  <si>
    <t>Сборочная
модель самолета из бальзового дерева типа AviaCraft Explore Kit</t>
  </si>
  <si>
    <r>
      <rPr>
        <sz val="10"/>
        <color rgb="FF000000"/>
        <rFont val="Times New Roman"/>
      </rPr>
      <t xml:space="preserve">Размах крыла: 1800 мм (70 дюйм)
</t>
    </r>
    <r>
      <rPr>
        <sz val="10"/>
        <color rgb="FF000000"/>
        <rFont val="Times New Roman"/>
      </rPr>
      <t xml:space="preserve">Длина фюзеляжа: 1150 мм (45 дюйм)
</t>
    </r>
    <r>
      <rPr>
        <sz val="10"/>
        <color rgb="FF000000"/>
        <rFont val="Times New Roman"/>
      </rPr>
      <t xml:space="preserve">Полетный вес: 2,8 кг приблизительно (зависит от выбранного силового агрегата)
</t>
    </r>
    <r>
      <rPr>
        <sz val="10"/>
        <color rgb="FF000000"/>
        <rFont val="Times New Roman"/>
      </rPr>
      <t xml:space="preserve">Двигатель: 3520~4250 (500-600 ватт) бесщеточный внешний двигатель или газовый/нитро эквивалент
</t>
    </r>
    <r>
      <rPr>
        <sz val="10"/>
        <color rgb="FF000000"/>
        <rFont val="Times New Roman"/>
      </rPr>
      <t xml:space="preserve">ЭСК: 60~80A подходит для батареи 6S Lipo
</t>
    </r>
    <r>
      <rPr>
        <sz val="10"/>
        <color rgb="FF000000"/>
        <rFont val="Times New Roman"/>
      </rPr>
      <t xml:space="preserve">Пропеллер: 11дюйм или больше в зависимости от выбранного силового агрегата
</t>
    </r>
    <r>
      <rPr>
        <sz val="10"/>
        <color rgb="FF000000"/>
        <rFont val="Times New Roman"/>
      </rPr>
      <t>Аккумулятор: 3000~6000mah 4~6S Lipo аккумулятор</t>
    </r>
  </si>
  <si>
    <r>
      <rPr>
        <sz val="10"/>
        <color theme="1"/>
        <rFont val="Times New Roman"/>
      </rPr>
      <t>521-301-4502-0002 - Летательное крыло типа AviaCraft Explore Kit</t>
    </r>
  </si>
  <si>
    <r>
      <rPr>
        <sz val="10"/>
        <color rgb="FF000000"/>
        <rFont val="Times New Roman"/>
      </rPr>
      <t xml:space="preserve">Размах крыльев: 990 мм Длина: 730 мм
</t>
    </r>
    <r>
      <rPr>
        <sz val="10"/>
        <color rgb="FF000000"/>
        <rFont val="Times New Roman"/>
      </rPr>
      <t xml:space="preserve">Вес: 160 г
</t>
    </r>
    <r>
      <rPr>
        <sz val="10"/>
        <color rgb="FF000000"/>
        <rFont val="Times New Roman"/>
      </rPr>
      <t>Площадь крыла: 11.17dm2 (sq.dm) Нагрузка на крыло: 14.3 г/дм2 (5.4 унции/кв.фут)</t>
    </r>
  </si>
  <si>
    <r>
      <rPr>
        <sz val="10"/>
        <color rgb="FF000000"/>
        <rFont val="Times New Roman"/>
      </rPr>
      <t xml:space="preserve">521-301-4502-0003 - Сборочная
</t>
    </r>
    <r>
      <rPr>
        <sz val="10"/>
        <color rgb="FF000000"/>
        <rFont val="Times New Roman"/>
      </rPr>
      <t>модель самолета из сверхпрочной пены EPO типа AviaCraft Explore Kit</t>
    </r>
  </si>
  <si>
    <t>Сборочная
модель самолета из сверхпрочной пены EPO типа AviaCraft Explore Kit</t>
  </si>
  <si>
    <r>
      <rPr>
        <sz val="10"/>
        <color rgb="FF000000"/>
        <rFont val="Times New Roman"/>
      </rPr>
      <t xml:space="preserve">Размах крыльев: 1550 мм Длина: 948 мм Полетный вес: 890 г
</t>
    </r>
    <r>
      <rPr>
        <sz val="10"/>
        <color rgb="FF000000"/>
        <rFont val="Times New Roman"/>
      </rPr>
      <t xml:space="preserve">Динамическая раскраска и полосы на днище для легкой ориентации.
</t>
    </r>
    <r>
      <rPr>
        <sz val="10"/>
        <color rgb="FF000000"/>
        <rFont val="Times New Roman"/>
      </rPr>
      <t xml:space="preserve">- Дополнительное шасси с клипсами.
</t>
    </r>
    <r>
      <rPr>
        <sz val="10"/>
        <color rgb="FF000000"/>
        <rFont val="Times New Roman"/>
      </rPr>
      <t xml:space="preserve">- Безопасные толкающие пропеллеры
</t>
    </r>
    <r>
      <rPr>
        <sz val="10"/>
        <color rgb="FF000000"/>
        <rFont val="Times New Roman"/>
      </rPr>
      <t xml:space="preserve">- Угловые конические поверхности крыла и хвоста.
</t>
    </r>
    <r>
      <rPr>
        <sz val="10"/>
        <color rgb="FF000000"/>
        <rFont val="Times New Roman"/>
      </rPr>
      <t xml:space="preserve">- Опции FPV в носу и козырьке самолета
</t>
    </r>
    <r>
      <rPr>
        <sz val="10"/>
        <color rgb="FF000000"/>
        <rFont val="Times New Roman"/>
      </rPr>
      <t>- Крыло из двух частей для быстрой сборки и хранения.</t>
    </r>
  </si>
  <si>
    <r>
      <rPr>
        <sz val="10"/>
        <color rgb="FF000000"/>
        <rFont val="Times New Roman"/>
      </rPr>
      <t xml:space="preserve">521-301-4502-0004 - Винтажная
</t>
    </r>
    <r>
      <rPr>
        <sz val="10"/>
        <color rgb="FF000000"/>
        <rFont val="Times New Roman"/>
      </rPr>
      <t>модель самолета типа AviaCraft Explore Kit</t>
    </r>
  </si>
  <si>
    <t>Винтажная
модель самолета типа AviaCraft Explore Kit</t>
  </si>
  <si>
    <r>
      <rPr>
        <sz val="10"/>
        <color rgb="FF000000"/>
        <rFont val="Times New Roman"/>
      </rPr>
      <t xml:space="preserve">Размах крыльев: 1000 мм Длина: 700 мм
</t>
    </r>
    <r>
      <rPr>
        <sz val="10"/>
        <color rgb="FF000000"/>
        <rFont val="Times New Roman"/>
      </rPr>
      <t>Вес всей конструкции:  Приблизительно 650 г в зависимости от установки Конструкция:  Бальза, карбон, пластик</t>
    </r>
  </si>
  <si>
    <r>
      <rPr>
        <sz val="10"/>
        <color theme="1"/>
        <rFont val="Times New Roman"/>
      </rPr>
      <t>521-301-4502-0005 - Миниатюрный летательный аппарат типа AviaCraft Explore Kit</t>
    </r>
  </si>
  <si>
    <r>
      <rPr>
        <sz val="10"/>
        <color rgb="FF000000"/>
        <rFont val="Times New Roman"/>
      </rPr>
      <t xml:space="preserve">Размах крыльев: 1400 мм Длина: 1036 мм
</t>
    </r>
    <r>
      <rPr>
        <sz val="10"/>
        <color rgb="FF000000"/>
        <rFont val="Times New Roman"/>
      </rPr>
      <t xml:space="preserve">Площадь крыла: 22.30дм2 Двигатель: 2212 Brushless Outrunner 1350кв
</t>
    </r>
    <r>
      <rPr>
        <sz val="10"/>
        <color rgb="FF000000"/>
        <rFont val="Times New Roman"/>
      </rPr>
      <t xml:space="preserve">Пропеллер: 9 x 5 дюйм складного типа ESC: 20A w/BEC
</t>
    </r>
    <r>
      <rPr>
        <sz val="10"/>
        <color rgb="FF000000"/>
        <rFont val="Times New Roman"/>
      </rPr>
      <t>Сервопривод: 9г x 6</t>
    </r>
  </si>
  <si>
    <r>
      <rPr>
        <sz val="10"/>
        <color rgb="FF000000"/>
        <rFont val="Times New Roman"/>
      </rPr>
      <t xml:space="preserve">521-301-4502-0006 - Военный
</t>
    </r>
    <r>
      <rPr>
        <sz val="10"/>
        <color rgb="FF000000"/>
        <rFont val="Times New Roman"/>
      </rPr>
      <t>самолет сборочного типа AviaCraft Explore Kit</t>
    </r>
  </si>
  <si>
    <t>Военный
самолет сборочного типа AviaCraft Explore Kit</t>
  </si>
  <si>
    <r>
      <rPr>
        <sz val="10"/>
        <color rgb="FF000000"/>
        <rFont val="Times New Roman"/>
      </rPr>
      <t xml:space="preserve">Размах крыла: 750 мм (30 дюйм)
</t>
    </r>
    <r>
      <rPr>
        <sz val="10"/>
        <color rgb="FF000000"/>
        <rFont val="Times New Roman"/>
      </rPr>
      <t xml:space="preserve">Длина: 648 мм (25,5 дюйм) Соотношение мощности и веса: 1:1 Мотор: 2408-1200KV бесщеточный ESC: 20A бесщеточный
</t>
    </r>
    <r>
      <rPr>
        <sz val="10"/>
        <color rgb="FF000000"/>
        <rFont val="Times New Roman"/>
      </rPr>
      <t xml:space="preserve">Гироскоп: интеллектуальный 6-осевой с 2 режимами полета (новичок-эксперт)
</t>
    </r>
    <r>
      <rPr>
        <sz val="10"/>
        <color rgb="FF000000"/>
        <rFont val="Times New Roman"/>
      </rPr>
      <t>Сервоприводы: 9г x 4 Пропеллер: 8x6 4 лопасти</t>
    </r>
  </si>
  <si>
    <r>
      <rPr>
        <sz val="10"/>
        <color theme="1"/>
        <rFont val="Times New Roman"/>
      </rPr>
      <t>521-301-4502-0007 - Тренажерный летательный аппарат типа AviaCraft Explore Kit</t>
    </r>
  </si>
  <si>
    <r>
      <rPr>
        <sz val="10"/>
        <color rgb="FF000000"/>
        <rFont val="Times New Roman"/>
      </rPr>
      <t xml:space="preserve">Тип питания Электрический Размах крыла 24,3 дюйм (617 мм) Цвета схемы обшивки Синий Уровень мастерства 1 Сервоприводы в комплекте
</t>
    </r>
    <r>
      <rPr>
        <sz val="10"/>
        <color rgb="FF000000"/>
        <rFont val="Times New Roman"/>
      </rPr>
      <t xml:space="preserve">Шасси фиксированное основное с управляемым хвостовым колесом Регулятор скорости в комплекте
</t>
    </r>
    <r>
      <rPr>
        <sz val="10"/>
        <color rgb="FF000000"/>
        <rFont val="Times New Roman"/>
      </rPr>
      <t xml:space="preserve">Батарея в комплекте
</t>
    </r>
    <r>
      <rPr>
        <sz val="10"/>
        <color rgb="FF000000"/>
        <rFont val="Times New Roman"/>
      </rPr>
      <t xml:space="preserve">Тип разъема PH 1.5 (Ultra Micro) Длина изделия 16,3 дюйма (414,5 мм)
</t>
    </r>
    <r>
      <rPr>
        <sz val="10"/>
        <color rgb="FF000000"/>
        <rFont val="Times New Roman"/>
      </rPr>
      <t xml:space="preserve">Необходимый минимум Радио 6-канальное Радио продается отдельно Технологии AS3X и SAFE
</t>
    </r>
    <r>
      <rPr>
        <sz val="10"/>
        <color rgb="FF000000"/>
        <rFont val="Times New Roman"/>
      </rPr>
      <t xml:space="preserve">Приемник в комплекте Зарядное устройство продается отдельно
</t>
    </r>
    <r>
      <rPr>
        <sz val="10"/>
        <color rgb="FF000000"/>
        <rFont val="Times New Roman"/>
      </rPr>
      <t>Приблизительное время сборки Сборка не требуется Материал EPO</t>
    </r>
  </si>
  <si>
    <r>
      <rPr>
        <sz val="10"/>
        <color theme="1"/>
        <rFont val="Times New Roman"/>
      </rPr>
      <t>521-301-4502-0008 - Манометр типа AviaCraft Explore Kit</t>
    </r>
  </si>
  <si>
    <r>
      <rPr>
        <sz val="10"/>
        <color rgb="FF000000"/>
        <rFont val="Times New Roman"/>
      </rPr>
      <t xml:space="preserve">Манометр PreciPressure для контроля поверхности
</t>
    </r>
    <r>
      <rPr>
        <sz val="10"/>
        <color rgb="FF000000"/>
        <rFont val="Times New Roman"/>
      </rPr>
      <t>Диапазон измерения угла отклонения: +/- 55 мм (или, приблизительно, +/-27.5 градусов) для точной настройки. Простой зажим с мягкой подкладкой, обеспечивающий надежное крепление инструмента к управляющей поверхности модели. Металлический показатель с подшипниками, обеспечивающий точные измерения, и контрвес для стабильности при измерениях. Подходит для настройки угла отклонения управляющих поверхностей на средних и больших моделях, обеспечивая точные и надежные измерения.</t>
    </r>
  </si>
  <si>
    <r>
      <rPr>
        <sz val="10"/>
        <color rgb="FF000000"/>
        <rFont val="Times New Roman"/>
      </rPr>
      <t xml:space="preserve">521-302-0420-0001 - Жилетка
</t>
    </r>
    <r>
      <rPr>
        <sz val="10"/>
        <color rgb="FF000000"/>
        <rFont val="Times New Roman"/>
      </rPr>
      <t>игровая с номером TGV-010</t>
    </r>
  </si>
  <si>
    <t>Жилетка
игровая с номером TGV-010</t>
  </si>
  <si>
    <r>
      <rPr>
        <sz val="10"/>
        <color rgb="FF000000"/>
        <rFont val="Times New Roman"/>
      </rPr>
      <t xml:space="preserve">Жилетка игровая с номером (манишки) TGV-010. Материал манишки сетка.
</t>
    </r>
    <r>
      <rPr>
        <sz val="10"/>
        <color rgb="FF000000"/>
        <rFont val="Times New Roman"/>
      </rPr>
      <t>Ткань 100% полиэстер. Без окантовки</t>
    </r>
  </si>
  <si>
    <r>
      <rPr>
        <sz val="10"/>
        <color rgb="FF000000"/>
        <rFont val="Times New Roman"/>
      </rPr>
      <t xml:space="preserve">521-302-0423-0001 - Часы
</t>
    </r>
    <r>
      <rPr>
        <sz val="10"/>
        <color rgb="FF000000"/>
        <rFont val="Times New Roman"/>
      </rPr>
      <t>шахматные механические</t>
    </r>
  </si>
  <si>
    <t>Часы
шахматные механические</t>
  </si>
  <si>
    <r>
      <rPr>
        <sz val="10"/>
        <color theme="1"/>
        <rFont val="Times New Roman"/>
      </rPr>
      <t>Часы шахматные механические.</t>
    </r>
  </si>
  <si>
    <r>
      <rPr>
        <sz val="10"/>
        <color theme="1"/>
        <rFont val="Times New Roman"/>
      </rPr>
      <t>521-305-0112 - Комплект тренировочных полей для занятий робототехникой (Competition fields FIRST Lego League Challenge).</t>
    </r>
  </si>
  <si>
    <r>
      <rPr>
        <sz val="10"/>
        <color rgb="FF000000"/>
        <rFont val="Times New Roman"/>
      </rPr>
      <t xml:space="preserve">Поле для подготовки к международным соревнованиям для участия на соревнованиях среди средних классов (FIRST Lego League Challenge) имеет
</t>
    </r>
    <r>
      <rPr>
        <sz val="10"/>
        <color rgb="FF000000"/>
        <rFont val="Times New Roman"/>
      </rPr>
      <t xml:space="preserve">следующие компоненты: 1000+ Деталей
</t>
    </r>
    <r>
      <rPr>
        <sz val="10"/>
        <color rgb="FF000000"/>
        <rFont val="Times New Roman"/>
      </rPr>
      <t>15х Игровых компонентов (Миссии)</t>
    </r>
  </si>
  <si>
    <r>
      <rPr>
        <sz val="10"/>
        <color rgb="FF000000"/>
        <rFont val="Times New Roman"/>
      </rPr>
      <t xml:space="preserve">521-305-0113 - Набор
</t>
    </r>
    <r>
      <rPr>
        <sz val="10"/>
        <color rgb="FF000000"/>
        <rFont val="Times New Roman"/>
      </rPr>
      <t>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r>
  </si>
  <si>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</si>
  <si>
    <r>
      <rPr>
        <sz val="10"/>
        <color rgb="FF000000"/>
        <rFont val="Times New Roman"/>
      </rPr>
      <t xml:space="preserve">Набор включает следующие компоненты:
</t>
    </r>
    <r>
      <rPr>
        <sz val="10"/>
        <color rgb="FF000000"/>
        <rFont val="Times New Roman"/>
      </rPr>
      <t xml:space="preserve">1) Набор по робототехнике для начальных классов Lego Education Spike Essential 1 комплект
</t>
    </r>
    <r>
      <rPr>
        <sz val="10"/>
        <color rgb="FF000000"/>
        <rFont val="Times New Roman"/>
      </rPr>
      <t xml:space="preserve">2) Соревновательный набор по робототехнике для начальных классов 1 комплект
</t>
    </r>
    <r>
      <rPr>
        <sz val="10"/>
        <color rgb="FF000000"/>
        <rFont val="Times New Roman"/>
      </rPr>
      <t xml:space="preserve">3) Инженерный  блокнот x 1
</t>
    </r>
    <r>
      <rPr>
        <sz val="10"/>
        <color rgb="FF000000"/>
        <rFont val="Times New Roman"/>
      </rPr>
      <t xml:space="preserve">4) Руководство по работе с командой x 1
</t>
    </r>
    <r>
      <rPr>
        <sz val="10"/>
        <color rgb="FF000000"/>
        <rFont val="Times New Roman"/>
      </rPr>
      <t xml:space="preserve">5) Игровое поле x 1
</t>
    </r>
    <r>
      <rPr>
        <sz val="10"/>
        <color rgb="FF000000"/>
        <rFont val="Times New Roman"/>
      </rPr>
      <t>6) Игровые элементы по теме сезона  международной программы FIRST (700+ деталей)</t>
    </r>
  </si>
  <si>
    <r>
      <rPr>
        <sz val="10"/>
        <color theme="1"/>
        <rFont val="Times New Roman"/>
      </rPr>
      <t>521-305-0114 - Комплект тренировочных полей для занятий робототехникой и подготовки к международным соревнованиям среди старших классов (Competition fields FIRST Tech Challenge Championship).</t>
    </r>
  </si>
  <si>
    <r>
      <rPr>
        <sz val="10"/>
        <color rgb="FF000000"/>
        <rFont val="Times New Roman"/>
      </rPr>
      <t xml:space="preserve">Поле для подготовки к международным соревнованиям для участия на соревнованиях среди старших классов (Competition fields for FIRST Tech
</t>
    </r>
    <r>
      <rPr>
        <sz val="10"/>
        <color rgb="FF000000"/>
        <rFont val="Times New Roman"/>
      </rPr>
      <t xml:space="preserve">Challenge Championship) имеет следующие компоненты: 36 штук антистатичных плит
</t>
    </r>
    <r>
      <rPr>
        <sz val="10"/>
        <color rgb="FF000000"/>
        <rFont val="Times New Roman"/>
      </rPr>
      <t xml:space="preserve">12 штук специализированных бортов 12 штук щитов для борта
</t>
    </r>
    <r>
      <rPr>
        <sz val="10"/>
        <color rgb="FF000000"/>
        <rFont val="Times New Roman"/>
      </rPr>
      <t>8 штук соединительных профилей 8 штук угловых профилей</t>
    </r>
  </si>
  <si>
    <r>
      <rPr>
        <sz val="10"/>
        <color rgb="FF000000"/>
        <rFont val="Times New Roman"/>
      </rPr>
      <t xml:space="preserve">521-305-0115-0001 - Набор
</t>
    </r>
    <r>
      <rPr>
        <sz val="10"/>
        <color rgb="FF000000"/>
        <rFont val="Times New Roman"/>
      </rPr>
      <t>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r>
  </si>
  <si>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</si>
  <si>
    <r>
      <rPr>
        <sz val="10"/>
        <color rgb="FF000000"/>
        <rFont val="Times New Roman"/>
      </rPr>
      <t xml:space="preserve">Комплект включает следующие компоненты:
</t>
    </r>
    <r>
      <rPr>
        <sz val="10"/>
        <color rgb="FF000000"/>
        <rFont val="Times New Roman"/>
      </rPr>
      <t xml:space="preserve">1) Набор по робототехнике для средних классов Lego Education Spike Prime 1 комплект
</t>
    </r>
    <r>
      <rPr>
        <sz val="10"/>
        <color rgb="FF000000"/>
        <rFont val="Times New Roman"/>
      </rPr>
      <t xml:space="preserve">2) Ресурсный набор по робототехнике для средних классов Lego Education Spike Prime Expansion set 1 комплект
</t>
    </r>
    <r>
      <rPr>
        <sz val="10"/>
        <color rgb="FF000000"/>
        <rFont val="Times New Roman"/>
      </rPr>
      <t xml:space="preserve">3) Инженерная тетрадь 1 шт.
</t>
    </r>
    <r>
      <rPr>
        <sz val="10"/>
        <color rgb="FF000000"/>
        <rFont val="Times New Roman"/>
      </rPr>
      <t xml:space="preserve">4) Руководство по работе с командой 1 шт.
</t>
    </r>
    <r>
      <rPr>
        <sz val="10"/>
        <color rgb="FF000000"/>
        <rFont val="Times New Roman"/>
      </rPr>
      <t xml:space="preserve">5) Руководство по подготовке команды
</t>
    </r>
    <r>
      <rPr>
        <sz val="10"/>
        <color rgb="FF000000"/>
        <rFont val="Times New Roman"/>
      </rPr>
      <t xml:space="preserve">6) Игровое поле x 1
</t>
    </r>
    <r>
      <rPr>
        <sz val="10"/>
        <color rgb="FF000000"/>
        <rFont val="Times New Roman"/>
      </rPr>
      <t>7) Игровые элементы по теме сезона FIRST (1000+ деталей)</t>
    </r>
  </si>
  <si>
    <r>
      <rPr>
        <sz val="10"/>
        <color rgb="FF000000"/>
        <rFont val="Times New Roman"/>
      </rPr>
      <t xml:space="preserve">521-305-0115-0002 - Набор
</t>
    </r>
    <r>
      <rPr>
        <sz val="10"/>
        <color rgb="FF000000"/>
        <rFont val="Times New Roman"/>
      </rPr>
      <t>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r>
  </si>
  <si>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</si>
  <si>
    <r>
      <rPr>
        <sz val="10"/>
        <color rgb="FF000000"/>
        <rFont val="Times New Roman"/>
      </rPr>
      <t xml:space="preserve">Комплектация: Программируемый блок EV3 Кейс с крышкой - 1 шт Лоток со вставкой - 1шт
</t>
    </r>
    <r>
      <rPr>
        <sz val="10"/>
        <color rgb="FF000000"/>
        <rFont val="Times New Roman"/>
      </rPr>
      <t xml:space="preserve">2 больших двигателя Средний двигатель
</t>
    </r>
    <r>
      <rPr>
        <sz val="10"/>
        <color rgb="FF000000"/>
        <rFont val="Times New Roman"/>
      </rPr>
      <t xml:space="preserve">2 шт датчика касания 1 шт Датчик цвета
</t>
    </r>
    <r>
      <rPr>
        <sz val="10"/>
        <color rgb="FF000000"/>
        <rFont val="Times New Roman"/>
      </rPr>
      <t xml:space="preserve">1 шт Ультразвуковой датчик 1 шт Гироскопический датчик 7 шт соединительных кабелей
</t>
    </r>
    <r>
      <rPr>
        <sz val="10"/>
        <color rgb="FF000000"/>
        <rFont val="Times New Roman"/>
      </rPr>
      <t xml:space="preserve">1 шт Кабель USB для программирования 1 шт Аккумулятор для блока
</t>
    </r>
    <r>
      <rPr>
        <sz val="10"/>
        <color rgb="FF000000"/>
        <rFont val="Times New Roman"/>
      </rPr>
      <t>528 шт строительных элементов .</t>
    </r>
  </si>
  <si>
    <r>
      <rPr>
        <sz val="10"/>
        <color rgb="FF000000"/>
        <rFont val="Times New Roman"/>
      </rPr>
      <t xml:space="preserve">521-305-0115-0004 - Набор
</t>
    </r>
    <r>
      <rPr>
        <sz val="10"/>
        <color rgb="FF000000"/>
        <rFont val="Times New Roman"/>
      </rPr>
      <t>роботехнический базовый типа Fischertechnik Robotics TXT 4.0, 559888</t>
    </r>
  </si>
  <si>
    <t>Набор
роботехнический базовый типа Fischertechnik Robotics TXT 4.0, 559888</t>
  </si>
  <si>
    <r>
      <rPr>
        <sz val="10"/>
        <color theme="1"/>
        <rFont val="Times New Roman"/>
      </rPr>
      <t>В набор входят: Контроллер TXT 4.0 Два мотора с энкодерами USB-камера Ультразвуковой дальномер ИК датчик маршрута Два кнопочных переключателя Три светодиода Фототранзистор Термистор Аккумулятор и зарядное устройство Детали для сборки конструкции Стандартный пластиковый лоток Gratnells F2 ДхШхВ: 427х312х150 мм</t>
    </r>
  </si>
  <si>
    <r>
      <rPr>
        <sz val="10"/>
        <color theme="1"/>
        <rFont val="Times New Roman"/>
      </rPr>
      <t>521-305-0115-0005 - Блок питания типа Fischertechnik, 505287, напряжение на выходе: 0-9 В, максимальный Ток: 2,5 А.</t>
    </r>
  </si>
  <si>
    <r>
      <rPr>
        <sz val="10"/>
        <color theme="1"/>
        <rFont val="Times New Roman"/>
      </rPr>
      <t>Предназначен для конструкторских наборов. Оснащен встроенным регулятором напряжения и разъемами для подключения моделей в комплекте.</t>
    </r>
  </si>
  <si>
    <r>
      <rPr>
        <sz val="10"/>
        <color rgb="FF000000"/>
        <rFont val="Times New Roman"/>
      </rPr>
      <t xml:space="preserve">521-305-0115-0006 - Набор
</t>
    </r>
    <r>
      <rPr>
        <sz val="10"/>
        <color rgb="FF000000"/>
        <rFont val="Times New Roman"/>
      </rPr>
      <t>"Автономное движение" типа Fischertechnik 559896</t>
    </r>
  </si>
  <si>
    <t>Набор
"Автономное движение" типа Fischertechnik 559896</t>
  </si>
  <si>
    <r>
      <rPr>
        <sz val="10"/>
        <color rgb="FF000000"/>
        <rFont val="Times New Roman"/>
      </rPr>
      <t xml:space="preserve">В состав набора входят: Шасси (дифференциал, колеса)
</t>
    </r>
    <r>
      <rPr>
        <sz val="10"/>
        <color rgb="FF000000"/>
        <rFont val="Times New Roman"/>
      </rPr>
      <t xml:space="preserve">Сервопривод светодиоды Рулевое управление
</t>
    </r>
    <r>
      <rPr>
        <sz val="10"/>
        <color rgb="FF000000"/>
        <rFont val="Times New Roman"/>
      </rPr>
      <t>Детали для конструирования моделей</t>
    </r>
  </si>
  <si>
    <r>
      <rPr>
        <sz val="10"/>
        <color rgb="FF000000"/>
        <rFont val="Times New Roman"/>
      </rPr>
      <t xml:space="preserve">521-305-0115-0007 - Набор
</t>
    </r>
    <r>
      <rPr>
        <sz val="10"/>
        <color rgb="FF000000"/>
        <rFont val="Times New Roman"/>
      </rPr>
      <t>ресурсный "Омниколеса" типа Fischertechnik 559898</t>
    </r>
  </si>
  <si>
    <t>Набор
ресурсный "Омниколеса" типа Fischertechnik 559898</t>
  </si>
  <si>
    <r>
      <rPr>
        <sz val="10"/>
        <color rgb="FF000000"/>
        <rFont val="Times New Roman"/>
      </rPr>
      <t xml:space="preserve">В набор входит:
</t>
    </r>
    <r>
      <rPr>
        <sz val="10"/>
        <color rgb="FF000000"/>
        <rFont val="Times New Roman"/>
      </rPr>
      <t xml:space="preserve">2 мотора с энкодерами; сервомашинка;
</t>
    </r>
    <r>
      <rPr>
        <sz val="10"/>
        <color rgb="FF000000"/>
        <rFont val="Times New Roman"/>
      </rPr>
      <t>другие детали, необходимые для сборки колес; инструкция на нескольких языках.</t>
    </r>
  </si>
  <si>
    <r>
      <rPr>
        <sz val="10"/>
        <color rgb="FF000000"/>
        <rFont val="Times New Roman"/>
      </rPr>
      <t xml:space="preserve">521-305-0115-0008 - Набор
</t>
    </r>
    <r>
      <rPr>
        <sz val="10"/>
        <color rgb="FF000000"/>
        <rFont val="Times New Roman"/>
      </rPr>
      <t>ресурсный "Соревнования" типа Fischertechnik 560842</t>
    </r>
  </si>
  <si>
    <t>Набор
ресурсный "Соревнования" типа Fischertechnik 560842</t>
  </si>
  <si>
    <r>
      <rPr>
        <sz val="10"/>
        <color rgb="FF000000"/>
        <rFont val="Times New Roman"/>
      </rPr>
      <t xml:space="preserve">В набор входят: датчик RGB – 1 штука;
</t>
    </r>
    <r>
      <rPr>
        <sz val="10"/>
        <color rgb="FF000000"/>
        <rFont val="Times New Roman"/>
      </rPr>
      <t xml:space="preserve">датчик с функцией компаса, акселерометра, гироскопа – 1 штука; дальномер ультразвуковой – 1 штука;
</t>
    </r>
    <r>
      <rPr>
        <sz val="10"/>
        <color rgb="FF000000"/>
        <rFont val="Times New Roman"/>
      </rPr>
      <t xml:space="preserve">двигатели – 2 штуки; звенья гусеничной цепи;
</t>
    </r>
    <r>
      <rPr>
        <sz val="10"/>
        <color rgb="FF000000"/>
        <rFont val="Times New Roman"/>
      </rPr>
      <t>шлейфы и другие детали, всего в количестве 200 штук.</t>
    </r>
  </si>
  <si>
    <r>
      <rPr>
        <sz val="10"/>
        <color rgb="FF000000"/>
        <rFont val="Times New Roman"/>
      </rPr>
      <t xml:space="preserve">521-305-0116-0001 - Набор для
</t>
    </r>
    <r>
      <rPr>
        <sz val="10"/>
        <color rgb="FF000000"/>
        <rFont val="Times New Roman"/>
      </rPr>
      <t>подготовки к соревнованиям по робототехнике типа лиги Game Elements FIRST Tech Challenge Championship</t>
    </r>
  </si>
  <si>
    <t>Набор для
подготовки к соревнованиям по робототехнике типа лиги Game Elements FIRST Tech Challenge Championship</t>
  </si>
  <si>
    <r>
      <rPr>
        <sz val="10"/>
        <color theme="1"/>
        <rFont val="Times New Roman"/>
      </rPr>
      <t>Наборы должны включать в себе игровые элементы для соревновании по робототехнике лиги FIRST Tech Challenge, состав которого должен соответствовать сезона соревнования.</t>
    </r>
  </si>
  <si>
    <r>
      <rPr>
        <sz val="10"/>
        <color theme="1"/>
        <rFont val="Times New Roman"/>
      </rPr>
      <t>Комплектация:</t>
    </r>
  </si>
  <si>
    <r>
      <rPr>
        <sz val="10"/>
        <color theme="1"/>
        <rFont val="Times New Roman"/>
      </rPr>
      <t>Порты:</t>
    </r>
  </si>
  <si>
    <r>
      <rPr>
        <sz val="10"/>
        <color theme="1"/>
        <rFont val="Times New Roman"/>
      </rPr>
      <t>1 -кейс с крышкой,</t>
    </r>
  </si>
  <si>
    <r>
      <rPr>
        <sz val="10"/>
        <color theme="1"/>
        <rFont val="Times New Roman"/>
      </rPr>
      <t>1 - шт лоток со вставкой,</t>
    </r>
  </si>
  <si>
    <r>
      <rPr>
        <sz val="10"/>
        <color theme="1"/>
        <rFont val="Times New Roman"/>
      </rPr>
      <t>1 порт MCU</t>
    </r>
  </si>
  <si>
    <r>
      <rPr>
        <sz val="10"/>
        <color theme="1"/>
        <rFont val="Times New Roman"/>
      </rPr>
      <t>4 x RJ11 (подключение к датчику и модулям RJ11)</t>
    </r>
  </si>
  <si>
    <r>
      <rPr>
        <sz val="10"/>
        <color theme="1"/>
        <rFont val="Times New Roman"/>
      </rPr>
      <t>2 порта двигателя постоянного тока</t>
    </r>
  </si>
  <si>
    <r>
      <rPr>
        <sz val="10"/>
        <color theme="1"/>
        <rFont val="Times New Roman"/>
      </rPr>
      <t>6-контактный порт преобразования (4 из которых могут быть портами для</t>
    </r>
  </si>
  <si>
    <r>
      <rPr>
        <sz val="10"/>
        <color theme="1"/>
        <rFont val="Times New Roman"/>
      </rPr>
      <t>шагового двигателя / энкодера / двигателя постоянного тока)</t>
    </r>
  </si>
  <si>
    <r>
      <rPr>
        <sz val="10"/>
        <color theme="1"/>
        <rFont val="Times New Roman"/>
      </rPr>
      <t>1 порт USB</t>
    </r>
  </si>
  <si>
    <r>
      <rPr>
        <sz val="10"/>
        <color theme="1"/>
        <rFont val="Times New Roman"/>
      </rPr>
      <t>1 порт связи (Bluetooth 2,4 г)</t>
    </r>
  </si>
  <si>
    <r>
      <rPr>
        <sz val="10"/>
        <color theme="1"/>
        <rFont val="Times New Roman"/>
      </rPr>
      <t>Электроника:</t>
    </r>
  </si>
  <si>
    <r>
      <rPr>
        <sz val="10"/>
        <color theme="1"/>
        <rFont val="Times New Roman"/>
      </rPr>
      <t>1 шт. Зуммер</t>
    </r>
  </si>
  <si>
    <r>
      <rPr>
        <sz val="10"/>
        <color theme="1"/>
        <rFont val="Times New Roman"/>
      </rPr>
      <t>1 шт. Бортовая кнопка</t>
    </r>
  </si>
  <si>
    <r>
      <rPr>
        <sz val="10"/>
        <color theme="1"/>
        <rFont val="Times New Roman"/>
      </rPr>
      <t>521-305-0116-0002 - Набор для</t>
    </r>
  </si>
  <si>
    <t>Набор для</t>
  </si>
  <si>
    <r>
      <rPr>
        <sz val="10"/>
        <color theme="1"/>
        <rFont val="Times New Roman"/>
      </rPr>
      <t>1 шт. Встроенный светодиод RGB</t>
    </r>
  </si>
  <si>
    <r>
      <rPr>
        <sz val="10"/>
        <color theme="1"/>
        <rFont val="Times New Roman"/>
      </rPr>
      <t>подготовки к соревнованиям типа</t>
    </r>
  </si>
  <si>
    <t>подготовки к соревнованиям типа</t>
  </si>
  <si>
    <r>
      <rPr>
        <sz val="10"/>
        <color theme="1"/>
        <rFont val="Times New Roman"/>
      </rPr>
      <t>Датчики и двигатели:</t>
    </r>
  </si>
  <si>
    <r>
      <rPr>
        <sz val="10"/>
        <color theme="1"/>
        <rFont val="Times New Roman"/>
      </rPr>
      <t>Experia ST-09</t>
    </r>
  </si>
  <si>
    <t>Experia ST-09</t>
  </si>
  <si>
    <r>
      <rPr>
        <sz val="10"/>
        <color theme="1"/>
        <rFont val="Times New Roman"/>
      </rPr>
      <t>1 шт. Ультразвуковой датчик RGB V1.0</t>
    </r>
  </si>
  <si>
    <r>
      <rPr>
        <sz val="10"/>
        <color theme="1"/>
        <rFont val="Times New Roman"/>
      </rPr>
      <t>1 шт. Двусторонний датчик отслеживания линии V1.0</t>
    </r>
  </si>
  <si>
    <r>
      <rPr>
        <sz val="10"/>
        <color theme="1"/>
        <rFont val="Times New Roman"/>
      </rPr>
      <t>1 шт. Датчик гироскопа</t>
    </r>
  </si>
  <si>
    <r>
      <rPr>
        <sz val="10"/>
        <color theme="1"/>
        <rFont val="Times New Roman"/>
      </rPr>
      <t>1 шт. Модуль концевого выключателя</t>
    </r>
  </si>
  <si>
    <r>
      <rPr>
        <sz val="10"/>
        <color theme="1"/>
        <rFont val="Times New Roman"/>
      </rPr>
      <t>1 шт. Датчик освещенности</t>
    </r>
  </si>
  <si>
    <r>
      <rPr>
        <sz val="10"/>
        <color theme="1"/>
        <rFont val="Times New Roman"/>
      </rPr>
      <t>1 шт. Звуковой датчик</t>
    </r>
  </si>
  <si>
    <r>
      <rPr>
        <sz val="10"/>
        <color theme="1"/>
        <rFont val="Times New Roman"/>
      </rPr>
      <t>1 шт. ИК-приемник</t>
    </r>
  </si>
  <si>
    <r>
      <rPr>
        <sz val="10"/>
        <color theme="1"/>
        <rFont val="Times New Roman"/>
      </rPr>
      <t>1 шт. RGB LED -8 (контакты)</t>
    </r>
  </si>
  <si>
    <r>
      <rPr>
        <sz val="10"/>
        <color theme="1"/>
        <rFont val="Times New Roman"/>
      </rPr>
      <t>2 шт. Энкодер / драйвер двигателя постоянного тока</t>
    </r>
  </si>
  <si>
    <r>
      <rPr>
        <sz val="10"/>
        <color theme="1"/>
        <rFont val="Times New Roman"/>
      </rPr>
      <t>1 шт. ИК-пульт дистанционного управления</t>
    </r>
  </si>
  <si>
    <r>
      <rPr>
        <sz val="10"/>
        <color theme="1"/>
        <rFont val="Times New Roman"/>
      </rPr>
      <t>1 шт. Модуль Bluetooth 4.1</t>
    </r>
  </si>
  <si>
    <r>
      <rPr>
        <sz val="10"/>
        <color theme="1"/>
        <rFont val="Times New Roman"/>
      </rPr>
      <t>1 шт. Модуль Bluetooth Dongle</t>
    </r>
  </si>
  <si>
    <r>
      <rPr>
        <sz val="10"/>
        <color theme="1"/>
        <rFont val="Times New Roman"/>
      </rPr>
      <t>2 шт. Энкодер двигателя постоянного тока-25 9V188RPM</t>
    </r>
  </si>
  <si>
    <r>
      <rPr>
        <sz val="10"/>
        <color theme="1"/>
        <rFont val="Times New Roman"/>
      </rPr>
      <t>1 шт. Двигатель постоянного тока-25 (50 об / мин)</t>
    </r>
  </si>
  <si>
    <r>
      <rPr>
        <sz val="10"/>
        <color theme="1"/>
        <rFont val="Times New Roman"/>
      </rPr>
      <t>1 шт. Двигатель постоянного тока N20 (в захвате робота)</t>
    </r>
  </si>
  <si>
    <r>
      <rPr>
        <sz val="10"/>
        <color rgb="FF000000"/>
        <rFont val="Times New Roman"/>
      </rPr>
      <t xml:space="preserve">521-305-0117 - Набор
</t>
    </r>
    <r>
      <rPr>
        <sz val="10"/>
        <color rgb="FF000000"/>
        <rFont val="Times New Roman"/>
      </rPr>
      <t>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r>
  </si>
  <si>
    <t>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</si>
  <si>
    <r>
      <rPr>
        <sz val="10"/>
        <color rgb="FF000000"/>
        <rFont val="Times New Roman"/>
      </rPr>
      <t xml:space="preserve">В набор входят следующие компоненты:
</t>
    </r>
    <r>
      <rPr>
        <sz val="10"/>
        <color rgb="FF000000"/>
        <rFont val="Times New Roman"/>
      </rPr>
      <t xml:space="preserve">1) Набор по робототехнике для средних и старших классов First Tech Challenge / Global kit 1 комплект
</t>
    </r>
    <r>
      <rPr>
        <sz val="10"/>
        <color rgb="FF000000"/>
        <rFont val="Times New Roman"/>
      </rPr>
      <t xml:space="preserve">2) Модуль ручного и автономного управления устроиства
</t>
    </r>
    <r>
      <rPr>
        <sz val="10"/>
        <color rgb="FF000000"/>
        <rFont val="Times New Roman"/>
      </rPr>
      <t>3) Модуль электроники, компьютерного зрения и искусственного интеллекта</t>
    </r>
  </si>
  <si>
    <r>
      <rPr>
        <sz val="10"/>
        <color rgb="FF000000"/>
        <rFont val="Times New Roman"/>
      </rPr>
      <t xml:space="preserve">521-305-0118 - Робототехнический набор на датчиках «Planet X».
</t>
    </r>
    <r>
      <rPr>
        <sz val="10"/>
        <color rgb="FF000000"/>
        <rFont val="Times New Roman"/>
      </rPr>
      <t>ELECFREAKS micro:bit Nezha 48 IN 1 Inventors Kit (With micro:bit Board)</t>
    </r>
  </si>
  <si>
    <t>Робототехнический набор на датчиках «Planet X».
ELECFREAKS micro:bit Nezha 48 IN 1 Inventors Kit (With micro:bit Board)</t>
  </si>
  <si>
    <r>
      <rPr>
        <sz val="10"/>
        <color theme="1"/>
        <rFont val="Times New Roman"/>
      </rPr>
      <t>Набор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Модуль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r>
  </si>
  <si>
    <r>
      <rPr>
        <sz val="10"/>
        <color rgb="FF000000"/>
        <rFont val="Times New Roman"/>
      </rPr>
      <t xml:space="preserve">521-305-0119-0001 - Набор
</t>
    </r>
    <r>
      <rPr>
        <sz val="10"/>
        <color rgb="FF000000"/>
        <rFont val="Times New Roman"/>
      </rPr>
      <t>робототехнический типа Makeblock mBot V1.2-Bluetooth Version-Blue-9 Languages</t>
    </r>
  </si>
  <si>
    <t>Набор
робототехнический типа Makeblock mBot V1.2-Bluetooth Version-Blue-9 Languages</t>
  </si>
  <si>
    <r>
      <rPr>
        <sz val="10"/>
        <color theme="1"/>
        <rFont val="Times New Roman"/>
      </rPr>
      <t>Набор содержит: Механический материал: Алюминиевый сплав. Основной контроль mCore. Тактовая частота процесса 16 МГц. Бортовой датчик Зуммер, датчик освещенности. Другие датчики. Ультразвуковой датчик, ИК-излучатель, датчик следования линии/датчик цвета. Язык кодирования Блочный, Ардуино. Скорость вращения 200 об/мин ± 10%. Максимальное количество внешних электронных модулей. 2 порта для двигателей и сервоприводов. 4 порта для датчиков. Режим связи USB, Bluetooth, 2,4G. Совместимость Более 500 электронных и механических деталей из сборных блоков, кубики LEGO, Raspberry Pi</t>
    </r>
  </si>
  <si>
    <r>
      <rPr>
        <sz val="10"/>
        <color rgb="FF000000"/>
        <rFont val="Times New Roman"/>
      </rPr>
      <t xml:space="preserve">521-305-0119-0002 - Набор
</t>
    </r>
    <r>
      <rPr>
        <sz val="10"/>
        <color rgb="FF000000"/>
        <rFont val="Times New Roman"/>
      </rPr>
      <t>робототехнический программируемый  типа Experia ST-13</t>
    </r>
  </si>
  <si>
    <t>Набор
робототехнический программируемый  типа Experia ST-13</t>
  </si>
  <si>
    <r>
      <rPr>
        <sz val="10"/>
        <color rgb="FF000000"/>
        <rFont val="Times New Roman"/>
      </rPr>
      <t xml:space="preserve">Комплектация: кейс с крышкой - 1 шт , лоток со вставкой - 1шт,
</t>
    </r>
    <r>
      <rPr>
        <sz val="10"/>
        <color rgb="FF000000"/>
        <rFont val="Times New Roman"/>
      </rPr>
      <t xml:space="preserve">Порты:
</t>
    </r>
    <r>
      <rPr>
        <sz val="10"/>
        <color rgb="FF000000"/>
        <rFont val="Times New Roman"/>
      </rPr>
      <t xml:space="preserve">1 порт MCU
</t>
    </r>
    <r>
      <rPr>
        <sz val="10"/>
        <color rgb="FF000000"/>
        <rFont val="Times New Roman"/>
      </rPr>
      <t xml:space="preserve">4 x порта RJ11 (подключение к датчику и модулям RJ11) 2 порта для двигателей постоянного тока
</t>
    </r>
    <r>
      <rPr>
        <sz val="10"/>
        <color rgb="FF000000"/>
        <rFont val="Times New Roman"/>
      </rPr>
      <t xml:space="preserve">6-контактный порт преобразования (4 из которых могут быть портами для шагового двигателя / энкодера / двигателя постоянного тока)
</t>
    </r>
    <r>
      <rPr>
        <sz val="10"/>
        <color rgb="FF000000"/>
        <rFont val="Times New Roman"/>
      </rPr>
      <t xml:space="preserve">1 порт USB
</t>
    </r>
    <r>
      <rPr>
        <sz val="10"/>
        <color rgb="FF000000"/>
        <rFont val="Times New Roman"/>
      </rPr>
      <t xml:space="preserve">1 порт связи (Bluetooth 2,4 г) Электроника:
</t>
    </r>
    <r>
      <rPr>
        <sz val="10"/>
        <color rgb="FF000000"/>
        <rFont val="Times New Roman"/>
      </rPr>
      <t xml:space="preserve">1 светодиод RGB
</t>
    </r>
    <r>
      <rPr>
        <sz val="10"/>
        <color rgb="FF000000"/>
        <rFont val="Times New Roman"/>
      </rPr>
      <t xml:space="preserve">1 х зуммер
</t>
    </r>
    <r>
      <rPr>
        <sz val="10"/>
        <color rgb="FF000000"/>
        <rFont val="Times New Roman"/>
      </rPr>
      <t>1 х кнопка Датчики и двигатели:</t>
    </r>
  </si>
  <si>
    <r>
      <rPr>
        <sz val="10"/>
        <color rgb="FF000000"/>
        <rFont val="Times New Roman"/>
      </rPr>
      <t xml:space="preserve">1 x ультразвуковой датчик RGB V1.0
</t>
    </r>
    <r>
      <rPr>
        <sz val="10"/>
        <color rgb="FF000000"/>
        <rFont val="Times New Roman"/>
      </rPr>
      <t xml:space="preserve">1 x двусторонний датчик отслеживания линии V1.0
</t>
    </r>
    <r>
      <rPr>
        <sz val="10"/>
        <color rgb="FF000000"/>
        <rFont val="Times New Roman"/>
      </rPr>
      <t xml:space="preserve">2 x двигателя постоянного тока-25 1 х датчик освещенности
</t>
    </r>
    <r>
      <rPr>
        <sz val="10"/>
        <color rgb="FF000000"/>
        <rFont val="Times New Roman"/>
      </rPr>
      <t xml:space="preserve">1 х звуковой датчик 1 х ИК-приемник
</t>
    </r>
    <r>
      <rPr>
        <sz val="10"/>
        <color rgb="FF000000"/>
        <rFont val="Times New Roman"/>
      </rPr>
      <t xml:space="preserve">1 х ИК-пульт дистанционного управления 1 модуль Bluetooth 4.1
</t>
    </r>
    <r>
      <rPr>
        <sz val="10"/>
        <color rgb="FF000000"/>
        <rFont val="Times New Roman"/>
      </rPr>
      <t>Рабочее напряжение: 6-12 В Связь: Bluetooth, ИК</t>
    </r>
  </si>
  <si>
    <r>
      <rPr>
        <sz val="10"/>
        <color theme="1"/>
        <rFont val="Times New Roman"/>
      </rPr>
      <t>521-305-0119-0003 - Конструктор робототехнический типа R:ED X EDU</t>
    </r>
  </si>
  <si>
    <r>
      <rPr>
        <sz val="10"/>
        <color rgb="FF000000"/>
        <rFont val="Times New Roman"/>
      </rPr>
      <t xml:space="preserve">Комплектация: Контроллер R:ED X - 1шт. Мотор R:ED X - 2 шт.
</t>
    </r>
    <r>
      <rPr>
        <sz val="10"/>
        <color rgb="FF000000"/>
        <rFont val="Times New Roman"/>
      </rPr>
      <t xml:space="preserve">Сервомотор R:ED X - 2шт. RGB Светодиод - 1шт. Пассивный зуммер - 1шт. Ультразвуковой датчик - 1шт. Датчик нажатия - 2шт. Инфракрасный датчик
</t>
    </r>
    <r>
      <rPr>
        <sz val="10"/>
        <color rgb="FF000000"/>
        <rFont val="Times New Roman"/>
      </rPr>
      <t xml:space="preserve">(D) - 2 шт. Инфракрасный датчик (A) - 2 шт. Датчик цвета - 1 шт. Кабель TYPE C - 1 шт. Провод 3 pin, F-F, XH-XH, 30см - 5 шт. Провод 3 pin, F-F,
</t>
    </r>
    <r>
      <rPr>
        <sz val="10"/>
        <color rgb="FF000000"/>
        <rFont val="Times New Roman"/>
      </rPr>
      <t>XH-Dupont, 30см - 2шт. Провод 1 pin, F-F, Dupont, 30см - 25шт. Элементы и блоки для крепления - 777шт. Контейнер - 1шт. Wi-Fi/Bluetooth модуль - 1шт. Акселерометр - 1шт. Дополнительная плата расширения - 1шт.</t>
    </r>
  </si>
  <si>
    <r>
      <rPr>
        <sz val="10"/>
        <color theme="1"/>
        <rFont val="Times New Roman"/>
      </rPr>
      <t>521-305-0119-0004 - Конструктор робототехнический типа R:ED X MAX</t>
    </r>
  </si>
  <si>
    <r>
      <rPr>
        <sz val="10"/>
        <color rgb="FF000000"/>
        <rFont val="Times New Roman"/>
      </rPr>
      <t xml:space="preserve">Комплектация: Контроллер R:ED X - 1шт. Мотор R:ED X - 2 шт.
</t>
    </r>
    <r>
      <rPr>
        <sz val="10"/>
        <color rgb="FF000000"/>
        <rFont val="Times New Roman"/>
      </rPr>
      <t xml:space="preserve">Сервомотор R:ED X - 2шт. RGB Светодиод - 1шт. Пассивный зуммер - 1шт. Ультразвуковой датчик - 1шт. Датчик нажатия - 2шт. Инфракрасный датчик
</t>
    </r>
    <r>
      <rPr>
        <sz val="10"/>
        <color rgb="FF000000"/>
        <rFont val="Times New Roman"/>
      </rPr>
      <t xml:space="preserve">(D) - 2 шт. Инфракрасный датчик (A) - 2 шт. Датчик цвета - 1 шт. Кабель TYPE C - 1 шт. Провод 3 pin, F-F, XH-XH, 30см - 5 шт. Провод 3 pin, F-F,
</t>
    </r>
    <r>
      <rPr>
        <sz val="10"/>
        <color rgb="FF000000"/>
        <rFont val="Times New Roman"/>
      </rPr>
      <t>XH-Dupont, 30см - 2шт. Провод 1 pin, F-F, Dupont, 30см - 25шт. Элементы и блоки для крепления - 457шт. Контейнер - 1шт. Дополнительная плата расширения - 1шт.</t>
    </r>
  </si>
  <si>
    <r>
      <rPr>
        <sz val="10"/>
        <color rgb="FF000000"/>
        <rFont val="Times New Roman"/>
      </rPr>
      <t xml:space="preserve">521-305-0119-0005 - Набор
</t>
    </r>
    <r>
      <rPr>
        <sz val="10"/>
        <color rgb="FF000000"/>
        <rFont val="Times New Roman"/>
      </rPr>
      <t>робототехнический типа UBITECH Ukit Entry 1-го уровня</t>
    </r>
  </si>
  <si>
    <t>Набор
робототехнический типа UBITECH Ukit Entry 1-го уровня</t>
  </si>
  <si>
    <r>
      <rPr>
        <sz val="10"/>
        <color theme="1"/>
        <rFont val="Times New Roman"/>
      </rPr>
      <t>В набор входят: 309 шт. пластиковых деталей, 3D динамичное строительство, 4 цифровых высоко роботизированных сервопривода, знание механической физики. Способность к умению. Воспроизведение</t>
    </r>
  </si>
  <si>
    <r>
      <rPr>
        <sz val="10"/>
        <color rgb="FF000000"/>
        <rFont val="Times New Roman"/>
      </rPr>
      <t xml:space="preserve">521-305-0119-0006 - Набор
</t>
    </r>
    <r>
      <rPr>
        <sz val="10"/>
        <color rgb="FF000000"/>
        <rFont val="Times New Roman"/>
      </rPr>
      <t>робототехнический типа UBITECH Ukit Advanced 2-го уровня</t>
    </r>
  </si>
  <si>
    <t>Набор
робототехнический типа UBITECH Ukit Advanced 2-го уровня</t>
  </si>
  <si>
    <r>
      <rPr>
        <sz val="10"/>
        <color theme="1"/>
        <rFont val="Times New Roman"/>
      </rPr>
      <t>В набор входят: 479 шт. пластиковых деталий, 3D динамичное строительство, 4 цифровых высоко роботизированных сервопривода, смарт модуль. Инфракрасный сенсор, сенсорный датчик, светодиодные фонари, Bluetooth динамик, Blockly графическое программирование, 3 официальных персонажа, 3 сервопривода, 1 ИК-датчик</t>
    </r>
  </si>
  <si>
    <r>
      <rPr>
        <sz val="10"/>
        <color rgb="FF000000"/>
        <rFont val="Times New Roman"/>
      </rPr>
      <t xml:space="preserve">521-305-0119-0007 - Набор
</t>
    </r>
    <r>
      <rPr>
        <sz val="10"/>
        <color rgb="FF000000"/>
        <rFont val="Times New Roman"/>
      </rPr>
      <t>робототехнический типа UBITECH Ukit Explore 3-го уровня</t>
    </r>
  </si>
  <si>
    <t>Набор
робототехнический типа UBITECH Ukit Explore 3-го уровня</t>
  </si>
  <si>
    <r>
      <rPr>
        <sz val="10"/>
        <color rgb="FF000000"/>
        <rFont val="Times New Roman"/>
      </rPr>
      <t xml:space="preserve">В набор входят: 600 шт., 16 сервоприводов, 4 датчика, Bluetooth динамик, светодиодный фонарь. Трансформация робота-гуманоида. Платформа с открытым исходным кодом (Arduino). Текстовое программирование (C / C
</t>
    </r>
    <r>
      <rPr>
        <sz val="10"/>
        <color rgb="FF000000"/>
        <rFont val="Times New Roman"/>
      </rPr>
      <t>++). 18 проектов (предлагается 24-36 уроков)</t>
    </r>
  </si>
  <si>
    <r>
      <rPr>
        <sz val="10"/>
        <color rgb="FF000000"/>
        <rFont val="Times New Roman"/>
      </rPr>
      <t xml:space="preserve">521-305-0119-0008 - Набор
</t>
    </r>
    <r>
      <rPr>
        <sz val="10"/>
        <color rgb="FF000000"/>
        <rFont val="Times New Roman"/>
      </rPr>
      <t>робототехнический типа UBITECH Ukit Explore Extention, дополнение к набору 3-го уровня</t>
    </r>
  </si>
  <si>
    <t>Набор
робототехнический типа UBITECH Ukit Explore Extention, дополнение к набору 3-го уровня</t>
  </si>
  <si>
    <r>
      <rPr>
        <sz val="10"/>
        <color theme="1"/>
        <rFont val="Times New Roman"/>
      </rPr>
      <t>дополнение к набору 3-го уровня, дополнительно 300 шт., 6 сервоприводов, 10 датчиков, Bluetooth динамик, светодиодный фонарь</t>
    </r>
  </si>
  <si>
    <r>
      <rPr>
        <sz val="10"/>
        <color theme="1"/>
        <rFont val="Times New Roman"/>
      </rPr>
      <t>521-305-0120 - Робототехнический набор Makeblock Ultimate Robot Kit V2.0</t>
    </r>
  </si>
  <si>
    <r>
      <rPr>
        <sz val="10"/>
        <color rgb="FF000000"/>
        <rFont val="Times New Roman"/>
      </rPr>
      <t xml:space="preserve">Набор содержит: Основной контроль MegaPi. Ядро процессора ATMEGA2560-16AU. Тактовая частота процесса        16 МГц. Датчики: Ультразвуковой датчик, датчик следования линии, гироскоп, модуль шторки. Язык кодирования. На основе блоков, Arduino, Python (требуется дополнительный Raspberry Pi). Скорость вращения 185 об/мин.
</t>
    </r>
    <r>
      <rPr>
        <sz val="10"/>
        <color rgb="FF000000"/>
        <rFont val="Times New Roman"/>
      </rPr>
      <t xml:space="preserve">Максимальное количество внешних электронных модулей: 11 портов для двигателей и сервоприводов, 5 портов для датчиков. Режим связи USB, Bluetooth, 2,4G. Совместимость более 500 электронных и механических
</t>
    </r>
    <r>
      <rPr>
        <sz val="10"/>
        <color rgb="FF000000"/>
        <rFont val="Times New Roman"/>
      </rPr>
      <t>деталей из сборных блоков, датчики Arduino, кубики LEGO, Raspberry Pi</t>
    </r>
  </si>
  <si>
    <r>
      <rPr>
        <sz val="9"/>
        <color rgb="FF000000"/>
        <rFont val="Times New Roman"/>
      </rPr>
      <t>521-305-0121 - Робототехнический набор Makeblock mBot Ranger Robot Kit</t>
    </r>
    <r>
      <rPr>
        <sz val="10"/>
        <color rgb="FF000000"/>
        <rFont val="MS UI Gothic"/>
      </rPr>
      <t>（</t>
    </r>
    <r>
      <rPr>
        <sz val="9"/>
        <color rgb="FF000000"/>
        <rFont val="Times New Roman"/>
      </rPr>
      <t>Bluetooth Version</t>
    </r>
    <r>
      <rPr>
        <sz val="10"/>
        <color rgb="FF000000"/>
        <rFont val="MS UI Gothic"/>
      </rPr>
      <t>）</t>
    </r>
  </si>
  <si>
    <r>
      <rPr>
        <sz val="10"/>
        <color rgb="FF000000"/>
        <rFont val="Times New Roman"/>
      </rPr>
      <t xml:space="preserve">Набор содержит: Механический материал: Алюминиевый сплав. Основной контроль Me Auriga. Ядро процессора ATmega2560. Тактовая частота процесса 16 МГц. Бортовые датчики: Датчик температуры, гироскоп, звуковой датчик, зуммер, Датчик освещенности, ультразвуковой датчик, датчик следования по линии. Язык кодирования Блочный, Ардуино.
</t>
    </r>
    <r>
      <rPr>
        <sz val="10"/>
        <color rgb="FF000000"/>
        <rFont val="Times New Roman"/>
      </rPr>
      <t xml:space="preserve">Скорость вращения 350 об/мин ± 5%. Максимальное количество внешних электронных модулей. 2 порта для двигателей и сервоприводов, 10 портов для датчиков. Режим связи USB, Bluetooth. Совместимость более 500
</t>
    </r>
    <r>
      <rPr>
        <sz val="10"/>
        <color rgb="FF000000"/>
        <rFont val="Times New Roman"/>
      </rPr>
      <t>электронных и механических деталей, кубики LEGO.</t>
    </r>
  </si>
  <si>
    <r>
      <rPr>
        <sz val="10"/>
        <color theme="1"/>
        <rFont val="Times New Roman"/>
      </rPr>
      <t>521-305-0122 - Роботехнический набор Qbit "Исследователь 4.0"</t>
    </r>
  </si>
  <si>
    <r>
      <rPr>
        <sz val="10"/>
        <color theme="1"/>
        <rFont val="Times New Roman"/>
      </rPr>
      <t>Набор содержит: Набор для обучения программированию. Базовый модуль, Micro:bit, USB-кабель, Бит светодиода, Бит температуры и влажности, Бит кнопки, Бит потенциометра, Бит мотора, Бит сервопривода, Бит Колесо</t>
    </r>
  </si>
  <si>
    <r>
      <rPr>
        <sz val="10"/>
        <color rgb="FF000000"/>
        <rFont val="Times New Roman"/>
      </rPr>
      <t xml:space="preserve">521-305-0123 - Набор
</t>
    </r>
    <r>
      <rPr>
        <sz val="10"/>
        <color rgb="FF000000"/>
        <rFont val="Times New Roman"/>
      </rPr>
      <t>робототехнический для симуляции индустриальных процессов (SimuBot)</t>
    </r>
  </si>
  <si>
    <t>Набор
робототехнический для симуляции индустриальных процессов (SimuBot)</t>
  </si>
  <si>
    <r>
      <rPr>
        <sz val="10"/>
        <color theme="1"/>
        <rFont val="Times New Roman"/>
      </rPr>
      <t>В состав набора входит: Механический робот-манипулятор, контроллер для управления роботом-манипулятором, инструкция по установке и использованию, дополнительные аксессуары (инструменты для крепления, конвеер)</t>
    </r>
  </si>
  <si>
    <r>
      <rPr>
        <sz val="10"/>
        <color rgb="FF000000"/>
        <rFont val="Times New Roman"/>
      </rPr>
      <t xml:space="preserve">521-305-0124-0001 - Набор
</t>
    </r>
    <r>
      <rPr>
        <sz val="10"/>
        <color rgb="FF000000"/>
        <rFont val="Times New Roman"/>
      </rPr>
      <t>образовательный для изучения RaspberryPi и Интернет вещей типа PiConnect Edu Kit</t>
    </r>
  </si>
  <si>
    <t>Набор
образовательный для изучения RaspberryPi и Интернет вещей типа PiConnect Edu Kit</t>
  </si>
  <si>
    <r>
      <rPr>
        <sz val="10"/>
        <color theme="1"/>
        <rFont val="Times New Roman"/>
      </rPr>
      <t>В состав набора входит: разъемы и провода для подключения датчиков, источник питания, распределительные платы и платы расширения GPIO, разъемы для монтажа Raspberry Pi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пин-распиновке и схемам подключения.</t>
    </r>
  </si>
  <si>
    <r>
      <rPr>
        <sz val="10"/>
        <color rgb="FF000000"/>
        <rFont val="Times New Roman"/>
      </rPr>
      <t xml:space="preserve">521-305-0124-0002 - Набор для
</t>
    </r>
    <r>
      <rPr>
        <sz val="10"/>
        <color rgb="FF000000"/>
        <rFont val="Times New Roman"/>
      </rPr>
      <t>изучения робототехники на базе Raspberry Pi и Интернета вещей типа Experia ST-08</t>
    </r>
  </si>
  <si>
    <t>Набор для
изучения робототехники на базе Raspberry Pi и Интернета вещей типа Experia ST-08</t>
  </si>
  <si>
    <r>
      <rPr>
        <sz val="10"/>
        <color rgb="FF000000"/>
        <rFont val="Times New Roman"/>
      </rPr>
      <t xml:space="preserve">Комплектация:
</t>
    </r>
    <r>
      <rPr>
        <sz val="10"/>
        <color rgb="FF000000"/>
        <rFont val="Times New Roman"/>
      </rPr>
      <t xml:space="preserve">Кейс с крышкой - 1 шт , лоток со вставкой - 1шт,  Отладочная плата,Светодиоды,Перемычки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Микрокомпьютер(Миниатюрный одноплатный компьютер— это полноценная замена ПК или ноутбука. Платформа подойдёт не только для веб-сёрфинга мировой паутины и общения в соцсетях, но и станет «мозгом» для робота или умного дома.Однокристальная система  Broadcom BCM2711, Центральный процессор  64-битный ARM Cortex A72 (4 ядра по 1,5 ГГц), Графический процессор  VideoCore VI GPU (2 ядра по 500 МГц), Оперативная память  4 ГБ, Цифровой видеовыход  2× micro-HDMI, Стандарт Wi-Fi  802.11 b/g/n/ac (2,4 / 5 ГГц), Стандарт Bluetooth  Bluetooth 5.0, Порты для периферии  2× USB 2.0 и 2× USB 3.0.Контроллер поддерживает аппаратное декодирование H.265/HEVC (до 4Kp60) и H.264 (до 1080p60). Это разгружает CPU при работе с потоковым видео в интернете и просмотре «тяжёлых» видеофайлов в режиме медиацентра.
</t>
    </r>
    <r>
      <rPr>
        <sz val="10"/>
        <color rgb="FF000000"/>
        <rFont val="Times New Roman"/>
      </rPr>
      <t xml:space="preserve">Источник питания с выходным напряжением 5 вольт и током 3 ампера.),
</t>
    </r>
    <r>
      <rPr>
        <sz val="10"/>
        <color rgb="FF000000"/>
        <rFont val="Times New Roman"/>
      </rPr>
      <t>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ЖК дисплей, Карта памяти с адаптером, Web – камера, USB – накопитель.</t>
    </r>
  </si>
  <si>
    <r>
      <rPr>
        <sz val="10"/>
        <color rgb="FF000000"/>
        <rFont val="Times New Roman"/>
      </rPr>
      <t xml:space="preserve">521-305-0124-0003 - Набор
</t>
    </r>
    <r>
      <rPr>
        <sz val="10"/>
        <color rgb="FF000000"/>
        <rFont val="Times New Roman"/>
      </rPr>
      <t>образовательный и интернет вещей типа Experia ST-02</t>
    </r>
  </si>
  <si>
    <t>Набор
образовательный и интернет вещей типа Experia ST-02</t>
  </si>
  <si>
    <r>
      <rPr>
        <sz val="10"/>
        <color theme="1"/>
        <rFont val="Times New Roman"/>
      </rPr>
      <t>Комплектация:  кейс с крышкой - 1 шт , лоток со вставкой - 1шт,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 камера для микрокомпьютера; usb web – камера; usb – накопитель; картиридер; microsd  16 гб.</t>
    </r>
  </si>
  <si>
    <r>
      <rPr>
        <sz val="10"/>
        <color rgb="FF000000"/>
        <rFont val="Times New Roman"/>
      </rPr>
      <t xml:space="preserve">521-305-0124-0004 - Набор
</t>
    </r>
    <r>
      <rPr>
        <sz val="10"/>
        <color rgb="FF000000"/>
        <rFont val="Times New Roman"/>
      </rPr>
      <t>продвинутый для интернета вещей Gravity с Raspberry Pi типа Zhiwei Robotics KIT0104</t>
    </r>
  </si>
  <si>
    <t>Набор
продвинутый для интернета вещей Gravity с Raspberry Pi типа Zhiwei Robotics KIT0104</t>
  </si>
  <si>
    <r>
      <rPr>
        <sz val="10"/>
        <color rgb="FF000000"/>
        <rFont val="Times New Roman"/>
      </rPr>
      <t xml:space="preserve">Состав набора: -Одноплатный компьютер Raspberry Pi 2 модель B 1 шт.
</t>
    </r>
    <r>
      <rPr>
        <sz val="10"/>
        <color rgb="FF000000"/>
        <rFont val="Times New Roman"/>
      </rPr>
      <t xml:space="preserve">-Кабель Ethernet 1 шт. -Карта памяти MicroSD 1 шт. -Адаптер переменного / постоянного тока 1 шт. -Плата расширения Arduino для Raspberry Pi B 1 шт.
</t>
    </r>
    <r>
      <rPr>
        <sz val="10"/>
        <color rgb="FF000000"/>
        <rFont val="Times New Roman"/>
      </rPr>
      <t xml:space="preserve">-Самоклеящийся медный радиатор для Raspberry Pi 1 шт. -Кабель HDMI 1 шт. -Цифровая кнопка 2 шт. -Аналоговый кнопочный модуль 1 шт.
</t>
    </r>
    <r>
      <rPr>
        <sz val="10"/>
        <color rgb="FF000000"/>
        <rFont val="Times New Roman"/>
      </rPr>
      <t xml:space="preserve">-Цифровой зеленый светодиодный модуль 1 шт. -Цифровой красный светодиодный модуль 1 шт. -Цифровой синий светодиодный модуль 1 шт.
</t>
    </r>
    <r>
      <rPr>
        <sz val="10"/>
        <color rgb="FF000000"/>
        <rFont val="Times New Roman"/>
      </rPr>
      <t xml:space="preserve">-Аналоговый линейный датчик температуры 1 шт. -Аналоговый датчик вращения V2 1 шт. -Аналоговый датчик освещенности 1 шт. -Аналоговый звуковой датчик 1 шт. -Датчик расстояния 1 шт. -Модуль реле 1 шт.
</t>
    </r>
    <r>
      <rPr>
        <sz val="10"/>
        <color rgb="FF000000"/>
        <rFont val="Times New Roman"/>
      </rPr>
      <t xml:space="preserve">-Модуль цифрового зуммера 1 шт. -Микросервомотор 1 шт.
</t>
    </r>
    <r>
      <rPr>
        <sz val="10"/>
        <color rgb="FF000000"/>
        <rFont val="Times New Roman"/>
      </rPr>
      <t>-Пироэлектрический датчик движения 1 шт. -Трехосевой акселерометр 1 шт. -Датчик влажности почвы 1 шт. -Модуль джойстика 1 шт.</t>
    </r>
  </si>
  <si>
    <r>
      <rPr>
        <sz val="10"/>
        <color rgb="FF000000"/>
        <rFont val="Times New Roman"/>
      </rPr>
      <t xml:space="preserve">521-305-0124-0005 - Набор
</t>
    </r>
    <r>
      <rPr>
        <sz val="10"/>
        <color rgb="FF000000"/>
        <rFont val="Times New Roman"/>
      </rPr>
      <t>ресурсный "Интернет вещей" типа Fischertechnik 559897</t>
    </r>
  </si>
  <si>
    <t>Набор
ресурсный "Интернет вещей" типа Fischertechnik 559897</t>
  </si>
  <si>
    <r>
      <rPr>
        <sz val="10"/>
        <color theme="1"/>
        <rFont val="Times New Roman"/>
      </rPr>
      <t>В состав набора входят: детали для сборки, комбинированный датчик параметров окружающей среды и датчик освещённости (фоторезистор).</t>
    </r>
  </si>
  <si>
    <r>
      <rPr>
        <sz val="10"/>
        <color rgb="FF000000"/>
        <rFont val="Times New Roman"/>
      </rPr>
      <t xml:space="preserve">521-305-0125-0001 - Набор для
</t>
    </r>
    <r>
      <rPr>
        <sz val="10"/>
        <color rgb="FF000000"/>
        <rFont val="Times New Roman"/>
      </rPr>
      <t>изучения нейротехнологий типа MindLab Kit</t>
    </r>
  </si>
  <si>
    <t>Набор для
изучения нейротехнологий типа MindLab Kit</t>
  </si>
  <si>
    <r>
      <rPr>
        <sz val="10"/>
        <color theme="1"/>
        <rFont val="Times New Roman"/>
      </rPr>
      <t>В состав набора входит: модуль мышечной активности (ЭМГ/ЭКГ); модуль мозговой активности (ЭЭГ); оптический плетизмограф (Пульс); модуль сопротивления кожи (КГР) платформа Arduino Uno/Leonardo; провода для подключения модулей; соединительные провода, электроды, светодиоды, резисторы, макетная плата, элемент питанияс соединительным кабелем.</t>
    </r>
  </si>
  <si>
    <r>
      <rPr>
        <sz val="10"/>
        <color rgb="FF000000"/>
        <rFont val="Times New Roman"/>
      </rPr>
      <t xml:space="preserve">521-305-0125-0002 - Набор для
</t>
    </r>
    <r>
      <rPr>
        <sz val="10"/>
        <color rgb="FF000000"/>
        <rFont val="Times New Roman"/>
      </rPr>
      <t>изучения нейротехнологий типа Experia ST-03</t>
    </r>
  </si>
  <si>
    <t>Набор для
изучения нейротехнологий типа Experia ST-03</t>
  </si>
  <si>
    <r>
      <rPr>
        <sz val="10"/>
        <color theme="1"/>
        <rFont val="Times New Roman"/>
      </rPr>
      <t>комплектация: кейс с крышкой - 1 шт , лоток со вставкой - 1шт, на базе ардуино в корпусе,  модуль ээг (одноканальный) —  1 шт. ободок ээг —  1 шт. зарядное устройство для аккумулятора —  1 шт. одноразовые электроды эмг/экг —  20 шт. дополнительные электронные компоненты -  1 шт. Конструктивные детали робота- 1 комплект флешка c по и метод. материалами  1 шт.</t>
    </r>
  </si>
  <si>
    <r>
      <rPr>
        <sz val="10"/>
        <color rgb="FF000000"/>
        <rFont val="Times New Roman"/>
      </rPr>
      <t xml:space="preserve">521-305-0126-0001 - Набор для
</t>
    </r>
    <r>
      <rPr>
        <sz val="10"/>
        <color rgb="FF000000"/>
        <rFont val="Times New Roman"/>
      </rPr>
      <t>исследований альтернативной энергетики с методическими материалами типа GreenLab Research Kit</t>
    </r>
  </si>
  <si>
    <t>Набор для
исследований альтернативной энергетики с методическими материалами типа GreenLab Research Kit</t>
  </si>
  <si>
    <r>
      <rPr>
        <sz val="10"/>
        <color theme="1"/>
        <rFont val="Times New Roman"/>
      </rPr>
      <t>В состав набора входит: двигатель (выходная мощность 10-50W, коммутация: щетка, непрерывный ток 6-12A); турбины (материал: пластик, количество лопастей - 5шт); осветительные приборы для студенческих экспериментов (размер: 5-25мм, тип: Led, инструменты для сборки - мультиметр, болты, кусачки, шнуры, магниты)</t>
    </r>
  </si>
  <si>
    <r>
      <rPr>
        <sz val="10"/>
        <color rgb="FF000000"/>
        <rFont val="Times New Roman"/>
      </rPr>
      <t xml:space="preserve">521-305-0126-0002 - Набор для
</t>
    </r>
    <r>
      <rPr>
        <sz val="10"/>
        <color rgb="FF000000"/>
        <rFont val="Times New Roman"/>
      </rPr>
      <t>исследований альтернативной энергетики типа Experia ST-05</t>
    </r>
  </si>
  <si>
    <t>Набор для
исследований альтернативной энергетики типа Experia ST-05</t>
  </si>
  <si>
    <r>
      <rPr>
        <sz val="10"/>
        <color rgb="FF000000"/>
        <rFont val="Times New Roman"/>
      </rPr>
      <t xml:space="preserve">Комплектация:
</t>
    </r>
    <r>
      <rPr>
        <sz val="10"/>
        <color rgb="FF000000"/>
        <rFont val="Times New Roman"/>
      </rPr>
      <t xml:space="preserve">Кейс с крышкой - 1 шт , Лоток со вставкой - 1шт, Проращивающие пластинки - 1 шт.
</t>
    </r>
    <r>
      <rPr>
        <sz val="10"/>
        <color rgb="FF000000"/>
        <rFont val="Times New Roman"/>
      </rPr>
      <t xml:space="preserve">Солнечные батареи - 6 шт.
</t>
    </r>
    <r>
      <rPr>
        <sz val="10"/>
        <color rgb="FF000000"/>
        <rFont val="Times New Roman"/>
      </rPr>
      <t xml:space="preserve">Электродвигатель с пропеллером в корпусе - 1 шт.
</t>
    </r>
    <r>
      <rPr>
        <sz val="10"/>
        <color rgb="FF000000"/>
        <rFont val="Times New Roman"/>
      </rPr>
      <t xml:space="preserve">Светодиод - 1 шт.
</t>
    </r>
    <r>
      <rPr>
        <sz val="10"/>
        <color rgb="FF000000"/>
        <rFont val="Times New Roman"/>
      </rPr>
      <t>Бутылка с хлоридом натрия - 1 шт.</t>
    </r>
  </si>
  <si>
    <r>
      <rPr>
        <sz val="10"/>
        <color rgb="FF000000"/>
        <rFont val="Times New Roman"/>
      </rPr>
      <t xml:space="preserve">521-305-0128-0001 - Набор
</t>
    </r>
    <r>
      <rPr>
        <sz val="10"/>
        <color rgb="FF000000"/>
        <rFont val="Times New Roman"/>
      </rPr>
      <t>образовательный с квадрокоптером типа CodyFly Edu Kit</t>
    </r>
  </si>
  <si>
    <t>Набор
образовательный с квадрокоптером типа CodyFly Edu Kit</t>
  </si>
  <si>
    <r>
      <rPr>
        <sz val="10"/>
        <color theme="1"/>
        <rFont val="Times New Roman"/>
      </rPr>
      <t>В состав набора входит: FPV дрон 5 дюймовый - 1 шт., шлем для FPV режима 2,4Гц -1 шт., пульт управления-1 шт.,  аккумулятор -1 шт., квадрокоптер малых размеров -1 шт.</t>
    </r>
  </si>
  <si>
    <r>
      <rPr>
        <sz val="10"/>
        <color rgb="FF000000"/>
        <rFont val="Times New Roman"/>
      </rPr>
      <t xml:space="preserve">521-305-0128-0002 - Набор
</t>
    </r>
    <r>
      <rPr>
        <sz val="10"/>
        <color rgb="FF000000"/>
        <rFont val="Times New Roman"/>
      </rPr>
      <t>образовательный с квадрокоптером типа Experia ST-10</t>
    </r>
  </si>
  <si>
    <t>Набор
образовательный с квадрокоптером типа Experia ST-10</t>
  </si>
  <si>
    <r>
      <rPr>
        <sz val="10"/>
        <color rgb="FF000000"/>
        <rFont val="Times New Roman"/>
      </rPr>
      <t xml:space="preserve">Комплектация:
</t>
    </r>
    <r>
      <rPr>
        <sz val="10"/>
        <color rgb="FF000000"/>
        <rFont val="Times New Roman"/>
      </rPr>
      <t xml:space="preserve">Кейс с крышкой - 1 шт; Лоток со вставкой - 1шт; Детали конструктора-квадракоптера: Основание рамы; Мотор правого вращения - 2 шт; Мотор левого вращения - 2 шт; Винт - 8 шт.демпферы – 4 шт; винты M
</t>
    </r>
    <r>
      <rPr>
        <sz val="10"/>
        <color rgb="FF000000"/>
        <rFont val="Times New Roman"/>
      </rPr>
      <t xml:space="preserve">- 20 шт.Cтойки длинные 4 - шт; Cтойки короткие 4 - шт;Шасси-верх; Шасси-низ; Стойки металлические короткие - 4 шт.Пропеллеры левого вращения(5030) - 2 шт; Пропеллеры правого вращения(5030R) - 2
</t>
    </r>
    <r>
      <rPr>
        <sz val="10"/>
        <color rgb="FF000000"/>
        <rFont val="Times New Roman"/>
      </rPr>
      <t>шт.10-контактный шлейф - 1 шт; 12-контактный шлейф - 1 шт.Приёмник FS-A8S - 1 шт; Фиксирующая трубка- 1 шт. Основания защиты - 4 шт., винты M2x6 - 8 шт. Дуга защиты - 16 шт., перемычка защиты - 16 шт., винты M3x10 - 16 шт., стойки длинные- 16 шт. Приемник, пульт управления.</t>
    </r>
  </si>
  <si>
    <r>
      <rPr>
        <sz val="10"/>
        <color rgb="FF000000"/>
        <rFont val="Times New Roman"/>
      </rPr>
      <t xml:space="preserve">521-305-0129-0001 - Робот
</t>
    </r>
    <r>
      <rPr>
        <sz val="10"/>
        <color rgb="FF000000"/>
        <rFont val="Times New Roman"/>
      </rPr>
      <t>антропоморфный типа RoboMate</t>
    </r>
  </si>
  <si>
    <t>Робот
антропоморфный типа RoboMate</t>
  </si>
  <si>
    <r>
      <rPr>
        <sz val="10"/>
        <color rgb="FF000000"/>
        <rFont val="Times New Roman"/>
      </rPr>
      <t xml:space="preserve">Робот гуманоид, с 16 приводами, с функцией беспроводного управления (Bluetooth), материал корпуса пластик, детали из алюминиевых сплавов.
</t>
    </r>
    <r>
      <rPr>
        <sz val="10"/>
        <color rgb="FF000000"/>
        <rFont val="Times New Roman"/>
      </rPr>
      <t>Инструкция сборки прилагается.</t>
    </r>
  </si>
  <si>
    <r>
      <rPr>
        <sz val="10"/>
        <color rgb="FF000000"/>
        <rFont val="Times New Roman"/>
      </rPr>
      <t xml:space="preserve">521-305-0129-0002 - Робот
</t>
    </r>
    <r>
      <rPr>
        <sz val="10"/>
        <color rgb="FF000000"/>
        <rFont val="Times New Roman"/>
      </rPr>
      <t>антропоморфный типа Experia ST-11</t>
    </r>
  </si>
  <si>
    <t>Робот
антропоморфный типа Experia ST-11</t>
  </si>
  <si>
    <r>
      <rPr>
        <sz val="10"/>
        <color rgb="FF000000"/>
        <rFont val="Times New Roman"/>
      </rPr>
      <t xml:space="preserve">Комплектация:
</t>
    </r>
    <r>
      <rPr>
        <sz val="10"/>
        <color rgb="FF000000"/>
        <rFont val="Times New Roman"/>
      </rPr>
      <t>Кейс с крышкой - 1 шт; Лоток со вставкой - 1шт; Робот антропоморфный состоит из: Контроллер: 1 шт, Bluetooth— модуль: 1 шт, Батарея: 2 шт, Сервопривод: 16 шт, Комплект проводов, Инструкция, Наклейки, Корпусные детали.</t>
    </r>
  </si>
  <si>
    <r>
      <rPr>
        <sz val="10"/>
        <color rgb="FF000000"/>
        <rFont val="Times New Roman"/>
      </rPr>
      <t xml:space="preserve">521-305-0129-0003 - Робот
</t>
    </r>
    <r>
      <rPr>
        <sz val="10"/>
        <color rgb="FF000000"/>
        <rFont val="Times New Roman"/>
      </rPr>
      <t>антропоморфный типа Alpha MINI</t>
    </r>
  </si>
  <si>
    <t>Робот
антропоморфный типа Alpha MINI</t>
  </si>
  <si>
    <r>
      <rPr>
        <sz val="10"/>
        <color rgb="FF000000"/>
        <rFont val="Times New Roman"/>
      </rPr>
      <t xml:space="preserve">Революционная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Arduin.         Особенности робототехнического комплекса: - Блочное и строчное программирование в собственной и внешних средах разработки. Возрастная группа 15+, беспроводное взаимодействие с применением модулей Bluetooth, WiFi, сотовых сетей.
</t>
    </r>
    <r>
      <rPr>
        <sz val="10"/>
        <color rgb="FF000000"/>
        <rFont val="Times New Roman"/>
      </rPr>
      <t xml:space="preserve">Интернет вещей и изучение взаимодействия элементов умного дома. Полноценное компьютерное зрение, включая опознавание жестов.
</t>
    </r>
    <r>
      <rPr>
        <sz val="10"/>
        <color rgb="FF000000"/>
        <rFont val="Times New Roman"/>
      </rPr>
      <t>Машинное обучение. Возможность отправлять, получать и обрабатывать запросы в облачные базы данных</t>
    </r>
  </si>
  <si>
    <r>
      <rPr>
        <sz val="10"/>
        <color rgb="FF000000"/>
        <rFont val="Times New Roman"/>
      </rPr>
      <t xml:space="preserve">521-305-0129-0004 - Робот
</t>
    </r>
    <r>
      <rPr>
        <sz val="10"/>
        <color rgb="FF000000"/>
        <rFont val="Times New Roman"/>
      </rPr>
      <t>конструктор типа Jimu Mocol</t>
    </r>
  </si>
  <si>
    <t>Робот
конструктор типа Jimu Mocol</t>
  </si>
  <si>
    <r>
      <rPr>
        <sz val="10"/>
        <color theme="1"/>
        <rFont val="Times New Roman"/>
      </rPr>
      <t>Совместимое бесплатное ПО на Android и iOS, управление по Bluetooth. Комплект деталей: документация, датчик управления, мотор-монстр, мотор постоянного тока, световой модуль, пульт дистанционного управления</t>
    </r>
  </si>
  <si>
    <r>
      <rPr>
        <sz val="10"/>
        <color rgb="FF000000"/>
        <rFont val="Times New Roman"/>
      </rPr>
      <t xml:space="preserve">521-305-0129-0005 - Робот
</t>
    </r>
    <r>
      <rPr>
        <sz val="10"/>
        <color rgb="FF000000"/>
        <rFont val="Times New Roman"/>
      </rPr>
      <t>конструктор типа Jimu Super Carrier</t>
    </r>
  </si>
  <si>
    <t>Робот
конструктор типа Jimu Super Carrier</t>
  </si>
  <si>
    <r>
      <rPr>
        <sz val="10"/>
        <color theme="1"/>
        <rFont val="Times New Roman"/>
      </rPr>
      <t>Количество деталей 630 шт., робот-конструктор UBTech Super Carrier JRKL213. Комплект деталей: датчик управления, двигатель постоянного тока 2шт., световой модуль, пульт дистанционного управления, инструкция по эксплуатации</t>
    </r>
  </si>
  <si>
    <r>
      <rPr>
        <sz val="10"/>
        <color rgb="FF000000"/>
        <rFont val="Times New Roman"/>
      </rPr>
      <t xml:space="preserve">521-305-0129-0006 - Робот
</t>
    </r>
    <r>
      <rPr>
        <sz val="10"/>
        <color rgb="FF000000"/>
        <rFont val="Times New Roman"/>
      </rPr>
      <t>конструктор типа Jimu Fire Blazer</t>
    </r>
  </si>
  <si>
    <t>Робот
конструктор типа Jimu Fire Blazer</t>
  </si>
  <si>
    <r>
      <rPr>
        <sz val="10"/>
        <color theme="1"/>
        <rFont val="Times New Roman"/>
      </rPr>
      <t>Количество деталий 950 шт.+J35, документаци, комплект деталий, пульт дистанционого управления, датчик управления, двигатель постоянного тока 2шт, световой модуль</t>
    </r>
  </si>
  <si>
    <r>
      <rPr>
        <sz val="10"/>
        <color rgb="FF000000"/>
        <rFont val="Times New Roman"/>
      </rPr>
      <t xml:space="preserve">521-305-0130-0001 - Набор
</t>
    </r>
    <r>
      <rPr>
        <sz val="10"/>
        <color rgb="FF000000"/>
        <rFont val="Times New Roman"/>
      </rPr>
      <t>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r>
  </si>
  <si>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</si>
  <si>
    <r>
      <rPr>
        <sz val="10"/>
        <color theme="1"/>
        <rFont val="Times New Roman"/>
      </rPr>
      <t>В состав набора входит: Микроконтроллер ATmega328P; Источник питания (напряжение: 5В, Сила тока: 2А);  Датчик газа (увствительность: 300-10000 ppm, питание: 5 Вольт, влажность воздуха: не более 95%, интерфейс: аналоговый и цифровой); Датчик освещенности (размер: 5мм, диапозон сопротивление: 12-100кОм); Датчик движения (Диапазон угла слежения – 110°,  Рабочий ток – до 0.05 мА, Регулируемое время задержки от 0.3 до 18 с); Дисплей (тип матрицы: жидкокристаллический, количество пикселов: 16х2, тип подключение: I2C)</t>
    </r>
  </si>
  <si>
    <r>
      <rPr>
        <sz val="10"/>
        <color rgb="FF000000"/>
        <rFont val="Times New Roman"/>
      </rPr>
      <t xml:space="preserve">521-305-0130-0002 - Набор
</t>
    </r>
    <r>
      <rPr>
        <sz val="10"/>
        <color rgb="FF000000"/>
        <rFont val="Times New Roman"/>
      </rPr>
      <t>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r>
  </si>
  <si>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</si>
  <si>
    <r>
      <rPr>
        <sz val="10"/>
        <color rgb="FF000000"/>
        <rFont val="Times New Roman"/>
      </rPr>
      <t xml:space="preserve">Комплектация:   Кейс с крышкой - 1 шт , Лоток со вставкой - 1шт, Гайки и соединительные элементы – 57 шт. Валы и сопутствующие элементы – 59 шт. Винты – 40 шт. Структурные компоненты – 9 шт. Колеса – 2 шт.
</t>
    </r>
    <r>
      <rPr>
        <sz val="10"/>
        <color rgb="FF000000"/>
        <rFont val="Times New Roman"/>
      </rPr>
      <t xml:space="preserve">Диаметр колеса 4 дюйма. Колеса всенаправленного движения – 2 шт.
</t>
    </r>
    <r>
      <rPr>
        <sz val="10"/>
        <color rgb="FF000000"/>
        <rFont val="Times New Roman"/>
      </rPr>
      <t xml:space="preserve">Диаметр колеса 4 дюйма. Высокопрочные шестерни и вставки для них – 13 шт. Схват робота (без привода) 1 компл. Контроллер управления роботом – 1 шт. Контроллер управления роботом включает в себя: поддержка программирования на уровне Modkit Natural, C++, JavaScript, Python, размеры в сборе 101х139х13 мм., максимальная тактовая частота процессора 667 МГц, количество ядер процессора – 2 шт., периферийный процессор, тактовая частота перифирийского процессора 32 МГц, оперативная память DDR2/mobile 128 Мб, встроенная FLASH-память 32 Мб, интерфейс USB 2.0, интерфейс BlueTooth 4.2, встроенный цветной сенсорный ЖК-дисплей- количество цветов дисплея – 65000 шт., размер ЖК-дисплея по диагонали 4,25 дюйма - разрешение ЖК-дисплея 480х272 пиксель, порты для установки моторов и/или датчиков – 21 шт., порты для установки трехпроводных моторов и/или датчиков – 8 шт., лот для настраиваемой памяти, тип настраиваемой памяти microSD, максимальный объем настраиваемой памяти до 16 ГБ, тип файловой системы FAT32, напряжение питания 12,8 В, русскоязычный интерфейс. Пульт управления роботом – 1 шт., Пульт управления включает в себя: джойстики – 2 шт. кнопки – 12 шт. LCD экран – 1 шт. размеры экрана 128х64 пикселя, беспроводная связь по каналу Bluetooth 4.2. Радиомодуль для создания соединений между контроллером и пультом управления – 1 шт.
</t>
    </r>
    <r>
      <rPr>
        <sz val="10"/>
        <color rgb="FF000000"/>
        <rFont val="Times New Roman"/>
      </rPr>
      <t xml:space="preserve">Аккумуляторная батарея – 1 шт. (емкость аккумуляторной батареи 1100
</t>
    </r>
    <r>
      <rPr>
        <sz val="10"/>
        <color rgb="FF000000"/>
        <rFont val="Times New Roman"/>
      </rPr>
      <t xml:space="preserve">мАч, включает индикатор уровня заряда); Комплект соединительных подключений 1 компл. Приводы постоянного тока – 4 шт. - пиковая мощность 11 В, - крутящий момент 2,1 Нм, - обратная связь по току, температуре, мощности, встроенный энкодер, максимальное разрешение энкодера 1800 тиков/обратка. Датчики касания типа бампера – 2 шт.
</t>
    </r>
    <r>
      <rPr>
        <sz val="10"/>
        <color rgb="FF000000"/>
        <rFont val="Times New Roman"/>
      </rPr>
      <t xml:space="preserve">Комплект инструментов 1 компл. Крепления для аккумуляторной батареи –
</t>
    </r>
    <r>
      <rPr>
        <sz val="10"/>
        <color rgb="FF000000"/>
        <rFont val="Times New Roman"/>
      </rPr>
      <t>2 шт. Руководство пользователя – 1 шт.</t>
    </r>
  </si>
  <si>
    <r>
      <rPr>
        <sz val="10"/>
        <color theme="1"/>
        <rFont val="Times New Roman"/>
      </rPr>
      <t>521-305-0131 - Программируемый дрон (CodyFly)</t>
    </r>
  </si>
  <si>
    <r>
      <rPr>
        <sz val="10"/>
        <color rgb="FF000000"/>
        <rFont val="Times New Roman"/>
      </rPr>
      <t xml:space="preserve">В состав набора входит:  Аппаратура управления -1шт. Приемник- 1шт. Полетный контроллер -1шт. датчик GPS -1шт. Бесколлекторные двигатели
</t>
    </r>
    <r>
      <rPr>
        <sz val="10"/>
        <color rgb="FF000000"/>
        <rFont val="Times New Roman"/>
      </rPr>
      <t>-4шт. ESC регуляторы -4шт. Аккумулятор -1шт. Пропеллеры -4шт.</t>
    </r>
  </si>
  <si>
    <r>
      <rPr>
        <sz val="10"/>
        <color rgb="FF000000"/>
        <rFont val="Times New Roman"/>
      </rPr>
      <t xml:space="preserve">521-305-0132-0001 - Набор
</t>
    </r>
    <r>
      <rPr>
        <sz val="10"/>
        <color rgb="FF000000"/>
        <rFont val="Times New Roman"/>
      </rPr>
      <t>образовательный на базе Ардуино с научными датчиками типа Uscience Kit</t>
    </r>
  </si>
  <si>
    <t>Набор
образовательный на базе Ардуино с научными датчиками типа Uscience Kit</t>
  </si>
  <si>
    <r>
      <rPr>
        <sz val="10"/>
        <color theme="1"/>
        <rFont val="Times New Roman"/>
      </rPr>
      <t>В набор входит:  микропроцессор, датчик температуры и влажности 1 шт., датчик света-1 шт., датчик движения-1 шт., датчик звука-1 шт., датчик расстояния- 1 шт., датчик газа -1 шт., датчик вибрации-1 шт., датчик цвета-1 шт.</t>
    </r>
  </si>
  <si>
    <r>
      <rPr>
        <sz val="10"/>
        <color theme="1"/>
        <rFont val="Times New Roman"/>
      </rPr>
      <t>521-305-0132-0002 - Комплект по микроэлектронике Gravity: Arduino Zero to Hero</t>
    </r>
  </si>
  <si>
    <r>
      <rPr>
        <sz val="10"/>
        <color rgb="FF000000"/>
        <rFont val="Times New Roman"/>
      </rPr>
      <t xml:space="preserve">В состав комплекта входит: Микроконтроллер на базе ATmega328; USB-кабель A-B; Соединительные кабели– не менее 40 шт. Резистор 220
</t>
    </r>
    <r>
      <rPr>
        <sz val="10"/>
        <color rgb="FF000000"/>
        <rFont val="Times New Roman"/>
      </rPr>
      <t>Ом –  не менее 10 шт. Резистор 4.7 КОм – не менее 20 шт. Резистор 10 КОм – не менее 20 шт. Резистор 1 КОм – не менее 20 шт. 5 мм светодиод – не менее 10 шт. ИК-приемник Диод Мини-кнопка  Датчик освещенности –  не менее 2 шт. Транзистор NPN  Датчик наклона  8-сегментный светодиод Датчик температуры  Зуммер  10K потенциометр  Мини-контроллер (с батареей внутри)  Макетная плата без пайки с 400 точками соединения Акриловый держатель макетной платы  Плата расширения  для микроконтроллера  Аналоговый датчик звука  Цифровой модуль динамика Цифровой датчик движения (PIR)  Датчик 6 степеней свободы</t>
    </r>
  </si>
  <si>
    <r>
      <rPr>
        <sz val="10"/>
        <color theme="1"/>
        <rFont val="Times New Roman"/>
      </rPr>
      <t>521-305-0133 - Набор для изучения Ардуино Arduino UScience Pro Kit</t>
    </r>
  </si>
  <si>
    <r>
      <rPr>
        <sz val="10"/>
        <color theme="1"/>
        <rFont val="Times New Roman"/>
      </rPr>
      <t>В набор входит: микроконтроллер ATmega328P, который обеспечивает вычислительную мощность и управление входами и выходами (рабочее напряжение: не менее 5 В); лампы разных цветов с проводами - 50 шт.</t>
    </r>
  </si>
  <si>
    <r>
      <rPr>
        <sz val="10"/>
        <color rgb="FF000000"/>
        <rFont val="Times New Roman"/>
      </rPr>
      <t xml:space="preserve">521-305-0134 - Принтер 3D
</t>
    </r>
    <r>
      <rPr>
        <sz val="10"/>
        <color rgb="FF000000"/>
        <rFont val="Times New Roman"/>
      </rPr>
      <t>UniMaker Kit</t>
    </r>
  </si>
  <si>
    <t>Принтер 3D
UniMaker Kit</t>
  </si>
  <si>
    <r>
      <rPr>
        <sz val="10"/>
        <color theme="1"/>
        <rFont val="Times New Roman"/>
      </rPr>
      <t>Технология печати: Fused Deposition Modeling (FDM) Область печати: не менее 200 мм x 200 мм x 230 мм  Скорость печати: не менее 150 мм/с (может изменяться в зависимости от настроек)</t>
    </r>
  </si>
  <si>
    <r>
      <rPr>
        <sz val="10"/>
        <color theme="1"/>
        <rFont val="Times New Roman"/>
      </rPr>
      <t>521-305-0136 - Станок модульный для создания 3D моделей  UniShape</t>
    </r>
  </si>
  <si>
    <t>Станок модульный для создания 3D моделей  UniShape</t>
  </si>
  <si>
    <r>
      <rPr>
        <sz val="10"/>
        <color theme="1"/>
        <rFont val="Times New Roman"/>
      </rPr>
      <t>Размер 500х280х420мм, мощность -1300 Вт, тип пластика: PE, PP, PVC, PET, ABS, Hips</t>
    </r>
  </si>
  <si>
    <r>
      <rPr>
        <sz val="10"/>
        <color rgb="FF000000"/>
        <rFont val="Times New Roman"/>
      </rPr>
      <t xml:space="preserve">521-305-0137 - Тумба для 3D-принтера (CraftLab), размер
</t>
    </r>
    <r>
      <rPr>
        <sz val="10"/>
        <color rgb="FF000000"/>
        <rFont val="Times New Roman"/>
      </rPr>
      <t>600мм х 550мм х 1300мм</t>
    </r>
  </si>
  <si>
    <t>Тумба для 3D-принтера (CraftLab), размер
600мм х 550мм х 1300мм</t>
  </si>
  <si>
    <r>
      <rPr>
        <sz val="10"/>
        <color theme="1"/>
        <rFont val="Times New Roman"/>
      </rPr>
      <t>Корпус тумбы выполнен из ЛДСП: толщиной 16 мм, кромка ПВХ. Состоит из 2х частей, нижняя-тумба с 3-мя выдвижными ящиками, верхняя-рабочее пространство для 3D принтера.</t>
    </r>
  </si>
  <si>
    <r>
      <rPr>
        <sz val="10"/>
        <color theme="1"/>
        <rFont val="Times New Roman"/>
      </rPr>
      <t>521-305-0138-0001 - Стол для полей (2430мм х1200мм) с бортиками и 4 выкатными тумбочками (CraftLab)</t>
    </r>
  </si>
  <si>
    <r>
      <rPr>
        <sz val="10"/>
        <color theme="1"/>
        <rFont val="Times New Roman"/>
      </rPr>
      <t>Основа выполнена из ЛДСП, толщиной 16 мм, борты из клееного деревянного бруса, с защитным слоем из бесцветного лака. Стол-поле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Габариты тумбы: длина 1400мм х 540мм х 840мм</t>
    </r>
  </si>
  <si>
    <r>
      <rPr>
        <sz val="10"/>
        <color rgb="FF000000"/>
        <rFont val="Times New Roman"/>
      </rPr>
      <t xml:space="preserve">521-305-0138-0002 - Стол для
</t>
    </r>
    <r>
      <rPr>
        <sz val="10"/>
        <color rgb="FF000000"/>
        <rFont val="Times New Roman"/>
      </rPr>
      <t xml:space="preserve">робототехники 1200х750х1020мм.
</t>
    </r>
    <r>
      <rPr>
        <sz val="10"/>
        <color rgb="FF000000"/>
        <rFont val="Times New Roman"/>
      </rPr>
      <t>Столешница ЛДСП 22мм, надстройка, каркас из профильной трубы 40х40мм</t>
    </r>
  </si>
  <si>
    <t>Стол для
робототехники 1200х750х1020мм.
Столешница ЛДСП 22мм, надстройка, каркас из профильной трубы 40х40мм</t>
  </si>
  <si>
    <r>
      <rPr>
        <sz val="10"/>
        <color rgb="FF000000"/>
        <rFont val="Times New Roman"/>
      </rPr>
      <t xml:space="preserve">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надстройка размером 1198х220х270мм.
</t>
    </r>
    <r>
      <rPr>
        <sz val="10"/>
        <color rgb="FF000000"/>
        <rFont val="Times New Roman"/>
      </rPr>
      <t>Каркас стола изготовлен из профильной трубы 40х40мм. покрытие полимернопорошковое.</t>
    </r>
  </si>
  <si>
    <r>
      <rPr>
        <sz val="10"/>
        <color rgb="FF000000"/>
        <rFont val="Times New Roman"/>
      </rPr>
      <t xml:space="preserve">521-305-0138-0003 - Стол для
</t>
    </r>
    <r>
      <rPr>
        <sz val="10"/>
        <color rgb="FF000000"/>
        <rFont val="Times New Roman"/>
      </rPr>
      <t>робототехники 1500х1500х750/850мм. Столешница ЛДСП 22мм, бортик высотой 100мм, две мобильные тумбы, каркас из профильной трубы 40х20мм</t>
    </r>
  </si>
  <si>
    <t>Стол для
робототехники 1500х1500х750/850мм. Столешница ЛДСП 22мм, бортик высотой 100мм, две мобильные тумбы, каркас из профильной трубы 40х20мм</t>
  </si>
  <si>
    <r>
      <rPr>
        <sz val="10"/>
        <color theme="1"/>
        <rFont val="Times New Roman"/>
      </rPr>
      <t>Стол на 4-х боковых О-образных опорах, соединенных между собой траверсами, крышкой, создающей эффект легкости и динамичности конструкции.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1мм. В комплекте идет 2 тумбы мобильная размером 880х300х620мм. Топ тумбы из ЛДСП толщ 22мм, остальные детали из 16 толщ. Задняя стенка ЛДСП. На столешнице  имеется бортик высотой 100мм.  Каркас стола изготовлен из профильной трубы 40х20мм. покрытие полимернопорошковое.</t>
    </r>
  </si>
  <si>
    <r>
      <rPr>
        <sz val="10"/>
        <color rgb="FF000000"/>
        <rFont val="Times New Roman"/>
      </rPr>
      <t xml:space="preserve">521-305-0138-0004 - Стол для
</t>
    </r>
    <r>
      <rPr>
        <sz val="10"/>
        <color rgb="FF000000"/>
        <rFont val="Times New Roman"/>
      </rPr>
      <t>робототехники 1200х1200мм, с тумбой и бортиками, ЛДСП 16 мм</t>
    </r>
  </si>
  <si>
    <t>Стол для
робототехники 1200х1200мм, с тумбой и бортиками, ЛДСП 16 мм</t>
  </si>
  <si>
    <r>
      <rPr>
        <sz val="10"/>
        <color theme="1"/>
        <rFont val="Times New Roman"/>
      </rPr>
      <t>Стол для робототехники 1200х1200мм, с тумбой 900х900х760мм. Бортики, основание ЛДСП 16 мм. Тумба перемещается на колесиках со стопорами. Внутрь тумбы на специальные направляющие можно поместить до 10 стандартных коробок LEGO. Также имеется полка для размещения соревновательных элементов</t>
    </r>
  </si>
  <si>
    <r>
      <rPr>
        <sz val="10"/>
        <color rgb="FF000000"/>
        <rFont val="Times New Roman"/>
      </rPr>
      <t xml:space="preserve">521-305-0138-0005 - Стол для
</t>
    </r>
    <r>
      <rPr>
        <sz val="10"/>
        <color rgb="FF000000"/>
        <rFont val="Times New Roman"/>
      </rPr>
      <t>робототехники 1200х1200х600мм с бортиками и тумбой мобильной</t>
    </r>
  </si>
  <si>
    <t>Стол для
робототехники 1200х1200х600мм с бортиками и тумбой мобильной</t>
  </si>
  <si>
    <r>
      <rPr>
        <sz val="10"/>
        <color rgb="FF000000"/>
        <rFont val="Times New Roman"/>
      </rPr>
      <t xml:space="preserve">Стол для занятий с роботами с бортиками 1200х1200х600мм с бортом 50мм. Верхняя часть представляет собой поле для занятий по робототехнике с бортами. Выполнена из ЛДСП, толщиной 16 мм, кромка ПВХ, борты выполнены из деревянного бруса, покрашенного в бесцветный лак. Размеры поля 1200х1200х50мм. Тумба выполнена из ЛДСП, толщиной 16мм. На тумбе присутствуют 2 дверцы. Внутри установлена полка.
</t>
    </r>
    <r>
      <rPr>
        <sz val="10"/>
        <color rgb="FF000000"/>
        <rFont val="Times New Roman"/>
      </rPr>
      <t>Габариты тумбы 700х700х600мм. Тумба установлена на колесах, диаметром 45мм, толщиной 30мм, с функцией блокировки.</t>
    </r>
  </si>
  <si>
    <r>
      <rPr>
        <sz val="10"/>
        <color rgb="FF000000"/>
        <rFont val="Times New Roman"/>
      </rPr>
      <t xml:space="preserve">521-305-0138-0006 - Стол
</t>
    </r>
    <r>
      <rPr>
        <sz val="10"/>
        <color rgb="FF000000"/>
        <rFont val="Times New Roman"/>
      </rPr>
      <t>1800х400х1100мм. Столешница из ЛДСП 16мм с бортиком высотой 150мм, основание металлокаркас</t>
    </r>
  </si>
  <si>
    <t>Стол
1800х400х1100мм. Столешница из ЛДСП 16мм с бортиком высотой 150мм, основание металлокаркас</t>
  </si>
  <si>
    <r>
      <rPr>
        <sz val="10"/>
        <color theme="1"/>
        <rFont val="Times New Roman"/>
      </rPr>
      <t>Стол Д1800*Ш400*В1100мм. Столешница выполнен из жёсткого ЛДСП 16 мм, кромка ПВХ с исполькозованием высокотемпературного клея. Бортик у стола высотой 150мм ЛДСП 16 мм, панель во всю длину и высоту стола, металлические части стола изготовлены из профилей 40x60x2мм и 50x25x1,5мм.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r>
  </si>
  <si>
    <r>
      <rPr>
        <sz val="10"/>
        <color theme="1"/>
        <rFont val="Times New Roman"/>
      </rPr>
      <t>521-305-0138-0009 - Стол для полей большой не регулируемый, размеры 2407х1207х800 мм, столешница из ЛДСП 16мм, с бортиком высотой 50мм</t>
    </r>
  </si>
  <si>
    <r>
      <rPr>
        <sz val="10"/>
        <color theme="1"/>
        <rFont val="Times New Roman"/>
      </rPr>
      <t>Столешница выполнена из ЛДСП 16 мм, бортик высотой 50 мм закреплен к столешнице через конфирмат 6,3х50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Так же имеются 2 усилителя из профильной трубы 50х25мм. толщиной не менее 1,2мм, между опорами 2095мм, в основании тубы установлена пластиковая пробка с резьбой М8, усилители крепиться к опорам 4 вина М6х40мм. И 4х винтов М8х80мм. В основании конструкции установлены регулируемые опоры.</t>
    </r>
  </si>
  <si>
    <r>
      <rPr>
        <sz val="10"/>
        <color rgb="FF000000"/>
        <rFont val="Times New Roman"/>
      </rPr>
      <t xml:space="preserve">521-305-0138-0010 - Стол для полей с поворотной столешницей, размеры 2430х1200 мм. Материал столешницы ЛДСП 16 мм, кромка ПВХ. По периметру столешницы бортики из ЛДСП, высотой 80 мм.
</t>
    </r>
    <r>
      <rPr>
        <sz val="10"/>
        <color rgb="FF000000"/>
        <rFont val="Times New Roman"/>
      </rPr>
      <t>Металлический каркас из профильной трубы, поворотные колесные опоры</t>
    </r>
  </si>
  <si>
    <t>Стол для полей с поворотной столешницей, размеры 2430х1200 мм. Материал столешницы ЛДСП 16 мм, кромка ПВХ. По периметру столешницы бортики из ЛДСП, высотой 80 мм.
Металлический каркас из профильной трубы, поворотные колесные опоры</t>
  </si>
  <si>
    <r>
      <rPr>
        <sz val="10"/>
        <color theme="1"/>
        <rFont val="Times New Roman"/>
      </rPr>
      <t>Высота верхнего края столешницы над полом должна быть не менее 860 мм. Столешница должна быть поворотная. По периметру столешницы должны быть бортики из ЛДСП, высотой 80 мм. Материал столешницы должен быть ЛДСП толщиной не менее 16 мм,  с кромкой ПВХ не менее 2 мм. Металлический каркас должен быть изготовлен из профильной трубы 40х40 мм, толщиной стенки не менее 1,2 мм. Поворотный элемент изготовлены по технологии лазерной резки и гибка на листогибе из листового металла толщиной не менее 2 мм. Также на каркасе имеется две поворотные опоры для удержания столешницы в горизонтальном состоянии. В основаниях каркаса должны быть поворотные колесные опоры, на двух из которых имеется тормоз. Металлический каркас окрашен эпоксидно-полиэфирной порошковой краской. Цвет по согласованию с заказчиком по каталогу RAL.</t>
    </r>
  </si>
  <si>
    <r>
      <rPr>
        <sz val="10"/>
        <color theme="1"/>
        <rFont val="Times New Roman"/>
      </rPr>
      <t>521-305-0139 - Набор для изучения робототехники на базе Ардуино</t>
    </r>
  </si>
  <si>
    <r>
      <rPr>
        <sz val="10"/>
        <color theme="1"/>
        <rFont val="Times New Roman"/>
      </rPr>
      <t>Комплектация:  Кейс с крышкой - 1 шт , Лоток со вставкой - 1шт,  Arduino UNO R3 – 1 шт. Монтажная плата 830 контактов – 1 шт. Светодиод 5мм с цветной линзой - Испускаемый цвет: Зеленый – 5 шт. Светодиод 5мм с цветной линзой - Испускаемый цвет: Красный – 5 шт. Светодиод 5мм с цветной линзой - Испускаемый цвет: Желтый – 5 шт. Резисторы - Сопротивление: 220 Ом; 1 кОм; 10кОм по – 10 шт. Провода мама-папа – 10 шт. Комплект проводов 30 шт. папа-папа – 1 шт.</t>
    </r>
  </si>
  <si>
    <r>
      <rPr>
        <sz val="10"/>
        <color rgb="FF000000"/>
        <rFont val="Times New Roman"/>
      </rPr>
      <t xml:space="preserve">521-305-0140-0001 - Комплект
</t>
    </r>
    <r>
      <rPr>
        <sz val="10"/>
        <color rgb="FF000000"/>
        <rFont val="Times New Roman"/>
      </rPr>
      <t>тренировочных полей для занятий робототехникой типа Инт парк</t>
    </r>
  </si>
  <si>
    <t>Комплект
тренировочных полей для занятий робототехникой типа Инт парк</t>
  </si>
  <si>
    <r>
      <rPr>
        <sz val="10"/>
        <color rgb="FF000000"/>
        <rFont val="Times New Roman"/>
      </rPr>
      <t xml:space="preserve">Комплектация: не менее 2 полей и 1 тубус для хранения и транспортировки полей. Тубус изготовлен из пластика, диаметр 90мм, длина 1100мм. Длина одного поля 2000мм, ширина 1000мм, на поле нанесены 2 черные линии.
</t>
    </r>
    <r>
      <rPr>
        <sz val="10"/>
        <color rgb="FF000000"/>
        <rFont val="Times New Roman"/>
      </rPr>
      <t>Второе поле квадратной формы, длина стороны поля 1000мм, на поле нанесен рисунок. Поля изготовлены из баннерной ткани и скатываются в рулон.</t>
    </r>
  </si>
  <si>
    <r>
      <rPr>
        <sz val="10"/>
        <color rgb="FF000000"/>
        <rFont val="Times New Roman"/>
      </rPr>
      <t xml:space="preserve">521-305-0141 - Машина
</t>
    </r>
    <r>
      <rPr>
        <sz val="10"/>
        <color rgb="FF000000"/>
        <rFont val="Times New Roman"/>
      </rPr>
      <t>универсальная для мойки и высушивания</t>
    </r>
  </si>
  <si>
    <t>Машина
универсальная для мойки и высушивания</t>
  </si>
  <si>
    <r>
      <rPr>
        <sz val="10"/>
        <color rgb="FF000000"/>
        <rFont val="Times New Roman"/>
      </rPr>
      <t xml:space="preserve">Специализированные корзины и поддоны для размещения моющихся предметов Инструкция по использованию с подробными рекомендациями и советами Комплект дополнительных аксессуаров и насадок для разнообразных задач мойки и высушивания Электронная панель управления с сенсорным экраном для удобного выбора программ Кабели и разъемы для подключения и питания Мощность мойки: До 1200 Вт Мощность высушивания: До 1000 Вт Программы мойки: Деликатная, стандартная, интенсивная мойка и другие опции. Программы высушивания: Деликатное, стандартное, быстрое высушивание и другие режимы.
</t>
    </r>
    <r>
      <rPr>
        <sz val="10"/>
        <color rgb="FF000000"/>
        <rFont val="Times New Roman"/>
      </rPr>
      <t xml:space="preserve">Интеллектуальный контроль: Оборудована сенсорами и автоматическими
</t>
    </r>
    <r>
      <rPr>
        <sz val="10"/>
        <color rgb="FF000000"/>
        <rFont val="Times New Roman"/>
      </rPr>
      <t>режимами для оптимальных результатов.</t>
    </r>
  </si>
  <si>
    <r>
      <rPr>
        <sz val="10"/>
        <color theme="1"/>
        <rFont val="Times New Roman"/>
      </rPr>
      <t>521-401-0103-0002 - Сухой бассейн, шаров-1600шт размер: не менее 1500х1500х500мм</t>
    </r>
  </si>
  <si>
    <r>
      <rPr>
        <sz val="10"/>
        <color theme="1"/>
        <rFont val="Times New Roman"/>
      </rPr>
      <t>Сухой бассейн с пластмассовыми полупрозрачными шарикам. В комплекте не менее 1600 шаров, размер не менее 1500х1500х500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r>
  </si>
  <si>
    <r>
      <rPr>
        <sz val="10"/>
        <color rgb="FF000000"/>
        <rFont val="Times New Roman"/>
      </rPr>
      <t xml:space="preserve">521-402-0101-0001 - Весы
</t>
    </r>
    <r>
      <rPr>
        <sz val="10"/>
        <color rgb="FF000000"/>
        <rFont val="Times New Roman"/>
      </rPr>
      <t>электронные Seca 354. Цифровые детские, предельная нагрузка: 20 кг/44 фунта. Единицы измерения: кг, фунты</t>
    </r>
  </si>
  <si>
    <t>Весы
электронные Seca 354. Цифровые детские, предельная нагрузка: 20 кг/44 фунта. Единицы измерения: кг, фунты</t>
  </si>
  <si>
    <r>
      <rPr>
        <sz val="10"/>
        <color rgb="FF000000"/>
        <rFont val="Times New Roman"/>
      </rPr>
      <t xml:space="preserve">Весы для новорожденных. Чувствительность: 10 г &lt; 10 кг &gt; 20 г, 0,5 унции
</t>
    </r>
    <r>
      <rPr>
        <sz val="10"/>
        <color rgb="FF000000"/>
        <rFont val="Times New Roman"/>
      </rPr>
      <t>&lt; 22 фунта &gt; 1 унция. Лоток: съемный, подходит для детей от 0 до 1 года. Источник питания: батарейки. Функции тарирования: тарирование, BMIF, автоматическое удержание, переключение между кг/фунтами, автоматическое отключение. Характеристики: • Функция забора грудного молока. • Мобильность и надежность для транспортировки. • Детские и напольные весы в одном устройстве. • Размеры (Ш x В x Г): 552 x 156 x 332 мм / 21,7 x 6,1 x 13,1 дюйма • Размеры/поддон (Ш x В x Г): 525 x 80 x 250 мм / 20,7 x 3,1 x 9,8 дюйма • Размеры/платформа (Ш x В x Г): 280 x 65 x 235 мм / 11 x 2,6 x 9,3 дюйма • Вес: 2,3 кг / 5 фунтов • Питание: батарейки • Комплектующие блоки • Включает 4 батарейки типа AA</t>
    </r>
  </si>
  <si>
    <r>
      <rPr>
        <sz val="10"/>
        <color rgb="FF000000"/>
        <rFont val="Times New Roman"/>
      </rPr>
      <t xml:space="preserve">521-402-0101-0002 - Весы
</t>
    </r>
    <r>
      <rPr>
        <sz val="10"/>
        <color rgb="FF000000"/>
        <rFont val="Times New Roman"/>
      </rPr>
      <t xml:space="preserve">электронные, с ростомером. Тип: взрослые, детские, с функцией измерения роста. Точность первой калибровки: +-0,15% / +-100 г.
</t>
    </r>
    <r>
      <rPr>
        <sz val="10"/>
        <color rgb="FF000000"/>
        <rFont val="Times New Roman"/>
      </rPr>
      <t>Нагрузка: 200 кг. Единицы измерения: кг/фунты и см/дюймы</t>
    </r>
  </si>
  <si>
    <t>Весы
электронные, с ростомером. Тип: взрослые, детские, с функцией измерения роста. Точность первой калибровки: +-0,15% / +-100 г.
Нагрузка: 200 кг. Единицы измерения: кг/фунты и см/дюймы</t>
  </si>
  <si>
    <r>
      <rPr>
        <sz val="10"/>
        <color rgb="FF000000"/>
        <rFont val="Times New Roman"/>
      </rPr>
      <t xml:space="preserve">Платформа: с противоскользящим покрытием. Функции и свойства: тара, удержание, автоматическое отключение, переключение единиц измерения: фунты/кг, переключение единиц измерения: фунты/кг/ст, блокировка переключения единиц измерения: фунты/кг, ИМТ. Цена деления: 100 г.
</t>
    </r>
    <r>
      <rPr>
        <sz val="10"/>
        <color rgb="FF000000"/>
        <rFont val="Times New Roman"/>
      </rPr>
      <t>Питание: батарейки. Количество и тип батареек: 6 x AA</t>
    </r>
  </si>
  <si>
    <r>
      <rPr>
        <sz val="10"/>
        <color rgb="FF000000"/>
        <rFont val="Times New Roman"/>
      </rPr>
      <t xml:space="preserve">521-402-0102-0001 - Лента
</t>
    </r>
    <r>
      <rPr>
        <sz val="10"/>
        <color rgb="FF000000"/>
        <rFont val="Times New Roman"/>
      </rPr>
      <t>измерительная, длина 1000 мм, ПВХ с армированным нейлоном</t>
    </r>
  </si>
  <si>
    <t>Лента
измерительная, длина 1000 мм, ПВХ с армированным нейлоном</t>
  </si>
  <si>
    <r>
      <rPr>
        <sz val="10"/>
        <color theme="1"/>
        <rFont val="Times New Roman"/>
      </rPr>
      <t>Сделан из ПВХ с армированным нейлоном. Длина ленты 1000мм, шкала с ценой деления 100мм.</t>
    </r>
  </si>
  <si>
    <r>
      <rPr>
        <sz val="10"/>
        <color rgb="FF000000"/>
        <rFont val="Times New Roman"/>
      </rPr>
      <t xml:space="preserve">521-402-0102-0002 - Лента
</t>
    </r>
    <r>
      <rPr>
        <sz val="10"/>
        <color rgb="FF000000"/>
        <rFont val="Times New Roman"/>
      </rPr>
      <t>измерительная, длина 1500 мм, гибкая с нанесенными делениями</t>
    </r>
  </si>
  <si>
    <t>Лента
измерительная, длина 1500 мм, гибкая с нанесенными делениями</t>
  </si>
  <si>
    <r>
      <rPr>
        <sz val="10"/>
        <color theme="1"/>
        <rFont val="Times New Roman"/>
      </rPr>
      <t>Лента измерительная двухсторонняя сантиметровая, гибкая с нанесенными делениями.</t>
    </r>
  </si>
  <si>
    <r>
      <rPr>
        <sz val="10"/>
        <color theme="1"/>
        <rFont val="Times New Roman"/>
      </rPr>
      <t>521-402-0118 - Туннель каркасный</t>
    </r>
  </si>
  <si>
    <r>
      <rPr>
        <sz val="10"/>
        <color rgb="FF000000"/>
        <rFont val="Times New Roman"/>
      </rPr>
      <t xml:space="preserve">Туннель каркасный. Конструкция выполнена в виде складывающейся трубы. Туннель можно установить как в небольшой комнате, так и на свежем воздухе. Его легко передвигать по помещению и удобно брать с собой — конструкция компактно складывается. Размеры: 1800 х 460 х 460
</t>
    </r>
    <r>
      <rPr>
        <sz val="10"/>
        <color rgb="FF000000"/>
        <rFont val="Times New Roman"/>
      </rPr>
      <t>мм.</t>
    </r>
  </si>
  <si>
    <r>
      <rPr>
        <sz val="10"/>
        <color rgb="FF000000"/>
        <rFont val="Times New Roman"/>
      </rPr>
      <t xml:space="preserve">522-101-0224 -
</t>
    </r>
    <r>
      <rPr>
        <sz val="10"/>
        <color rgb="FF000000"/>
        <rFont val="Times New Roman"/>
      </rPr>
      <t>Микрофонно-телефонная гарнитура</t>
    </r>
  </si>
  <si>
    <t>522-101-0224 -
Микрофонно-телефонная гарнитура</t>
  </si>
  <si>
    <r>
      <rPr>
        <sz val="10"/>
        <color rgb="FF000000"/>
        <rFont val="Times New Roman"/>
      </rPr>
      <t xml:space="preserve">Тип крепления гарнитуры - дуговое. Длина кабеля не менее 1,8 м. Мягкие накладки-амбушюры, регулятор громкости, специальный разъем для подключения к компьютеру, аудиовыход комбинированный не менее 3.5
</t>
    </r>
    <r>
      <rPr>
        <sz val="10"/>
        <color rgb="FF000000"/>
        <rFont val="Times New Roman"/>
      </rPr>
      <t>мм</t>
    </r>
  </si>
  <si>
    <r>
      <rPr>
        <sz val="10"/>
        <color theme="1"/>
        <rFont val="Times New Roman"/>
      </rPr>
      <t>522-101-0233 - Синтезатор</t>
    </r>
  </si>
  <si>
    <r>
      <rPr>
        <sz val="10"/>
        <color theme="1"/>
        <rFont val="Times New Roman"/>
      </rPr>
      <t>Цифровой синтезатор, цифровое пианино.</t>
    </r>
  </si>
  <si>
    <r>
      <rPr>
        <sz val="10"/>
        <color theme="1"/>
        <rFont val="Times New Roman"/>
      </rPr>
      <t>522-101-0253-0002 - Интерактивный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</si>
  <si>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t>
    </r>
  </si>
  <si>
    <r>
      <rPr>
        <sz val="10"/>
        <color theme="1"/>
        <rFont val="Times New Roman"/>
      </rPr>
      <t>522-101-0253-0003 - Интерактивный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</si>
  <si>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t>
    </r>
  </si>
  <si>
    <r>
      <rPr>
        <sz val="10"/>
        <color theme="1"/>
        <rFont val="Times New Roman"/>
      </rPr>
      <t>522-101-0253-0004 - Интерактивный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</si>
  <si>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Цифровые лаборатории нового поколения Sensedisc (набор датчиков, реагентов и ПО): датчик атмосферного давления, датчик электропроводимости, датчик света, датчик уровня PH, датчик растворенного кислорода с ПО позволяющим фиксировать результаты опытов и лабораторных работ, выполнять задания следуя инструкциям</t>
    </r>
  </si>
  <si>
    <r>
      <rPr>
        <sz val="10"/>
        <color theme="1"/>
        <rFont val="Times New Roman"/>
      </rPr>
      <t>522-101-0253-0005 - 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r>
  </si>
  <si>
    <t>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</si>
  <si>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r>
  </si>
  <si>
    <r>
      <rPr>
        <sz val="10"/>
        <color theme="1"/>
        <rFont val="Times New Roman"/>
      </rPr>
      <t>522-101-0253-0006 - Интерактивный сенсорный стол двухместный типа iDC для уроков по шахматам со встроенным компьютером, большим сенсорным монитором 32 дюйма, и набором фигур для игр (шахматы, шашки, нарды, тогыз кумалак)</t>
    </r>
  </si>
  <si>
    <r>
      <rPr>
        <sz val="10"/>
        <color rgb="FF000000"/>
        <rFont val="Times New Roman"/>
      </rPr>
      <t xml:space="preserve">1) Столешница из ЛДСП толщиной 32мм на металлическом корпусе двухместная (Размер парты 1200х800х750мм), встроены ящики для
</t>
    </r>
    <r>
      <rPr>
        <sz val="10"/>
        <color rgb="FF000000"/>
        <rFont val="Times New Roman"/>
      </rPr>
      <t>шахматных фигур по 500х600х150мм 2шт.  2) Встроенный компьютер (CPU Intel Core i3 9100 Оперативная память 8GB DDR4 Твердотельный накопитель 128GB SSD,  3) Сенсорный монитор 32 дюйма 10 касаний, 1920:1080. 60Гц)  4) Корпус системный блок внешними портами USB, mini Jack, кнопка запуска, дополнительное охлаждение, OS Windows 10Pro.  5) Набор фигур для игр в шахматы, шашки, нарды, тогыз кумалак. ПО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r>
  </si>
  <si>
    <r>
      <rPr>
        <sz val="10"/>
        <color theme="1"/>
        <rFont val="Times New Roman"/>
      </rPr>
      <t>522-101-0253-0007 - 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</si>
  <si>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 xml:space="preserve">Встроенный компьютер (CPU Intel Core i3 9100 Оперативная память 8GB DDR4 Твердотельный накопитель 128GB SSD,    3) Сенсорный
</t>
    </r>
    <r>
      <rPr>
        <sz val="10"/>
        <color rgb="FF000000"/>
        <rFont val="Times New Roman"/>
      </rPr>
      <t xml:space="preserve">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t>
    </r>
    <r>
      <rPr>
        <sz val="10"/>
        <color rgb="FF000000"/>
        <rFont val="Times New Roman"/>
      </rPr>
      <t xml:space="preserve">микроскопа, выполнять задания и контрольные работы.
</t>
    </r>
    <r>
      <rPr>
        <sz val="10"/>
        <color rgb="FF000000"/>
        <rFont val="Times New Roman"/>
      </rPr>
      <t xml:space="preserve">7) Программное обеспечение: программая оболочка для работы с датчиками, фиксация показаний и выполнение заданий
</t>
    </r>
    <r>
      <rPr>
        <sz val="10"/>
        <color rgb="FF000000"/>
        <rFont val="Times New Roman"/>
      </rPr>
      <t xml:space="preserve">8) книга с экспериментами в цифровой лаборатории (бумажная и цифровая копии)
</t>
    </r>
    <r>
      <rPr>
        <sz val="10"/>
        <color rgb="FF000000"/>
        <rFont val="Times New Roman"/>
      </rPr>
      <t xml:space="preserve">Встроенные датчики:   9) датчик измерений качества воды (pH) диапазон: 0~14pH Погрешность: ±0.2pH
</t>
    </r>
    <r>
      <rPr>
        <sz val="10"/>
        <color rgb="FF000000"/>
        <rFont val="Times New Roman"/>
      </rPr>
      <t xml:space="preserve">10) датчик температуры (сенсор датчика встроен в парту и подключен к ПК парты, данные выводятся на общий экран) Диапазон: -40℃~+135℃
</t>
    </r>
    <r>
      <rPr>
        <sz val="10"/>
        <color rgb="FF000000"/>
        <rFont val="Times New Roman"/>
      </rPr>
      <t xml:space="preserve">Погрешность: ±0.5℃.                                    11) датчик давления газа (сенсор датчика встроен в парту и подключен к ПК парты, данные выводятся на
</t>
    </r>
    <r>
      <rPr>
        <sz val="10"/>
        <color rgb="FF000000"/>
        <rFont val="Times New Roman"/>
      </rPr>
      <t xml:space="preserve">общий экран) Диапазон: 0 - 300кПа Погрешность: ±10 кПа
</t>
    </r>
    <r>
      <rPr>
        <sz val="10"/>
        <color rgb="FF000000"/>
        <rFont val="Times New Roman"/>
      </rPr>
      <t xml:space="preserve">12) датчик проводимости (сенсор датчика встроен в парту и подключен к ПК парты, данные выводятся на общий экран) Диапазон 0 ~ 20000мкСм/см Точность ±4% Дискретность 6мкСм/см   13) датчик пульса
</t>
    </r>
    <r>
      <rPr>
        <sz val="10"/>
        <color rgb="FF000000"/>
        <rFont val="Times New Roman"/>
      </rPr>
      <t xml:space="preserve">Диапазон: 0~200 у/м Погрешность: ±1                    14) датчик уровня кислорода (сенсор датчика встроен в парту и подключен к ПК парты, данные выводятся на общий экран) Диапазон: 0~20 мг/л Погрешность: ±0.1 мг/л                                         15) датчик уровня углекислого газа (сенсор датчика встроен в парту и подключен к ПК парты, данные выводятся на общий экран) Диапазон 0 ~ 20мг/л 0-100% Точность ±0.5мг/л ±4% Дискретность 0.1мг/л 0.1%                     16) датчик сердцебьения человека (электрокардиограмма)  (сенсор датчика встроен в парту и подключен к ПК парты, данные выводятся на общий экран) В комплекте с датчиком: провода и пластыри фиксации электродов  Диапазон -1мВ ~ +5мВ
</t>
    </r>
    <r>
      <rPr>
        <sz val="10"/>
        <color rgb="FF000000"/>
        <rFont val="Times New Roman"/>
      </rPr>
      <t>Дискретность 0.0025мВ                                                                              17</t>
    </r>
    <r>
      <rPr>
        <b/>
        <vertAlign val="superscript"/>
        <sz val="9"/>
        <color rgb="FF000000"/>
        <rFont val="Times New Roman"/>
      </rPr>
      <t>6</t>
    </r>
    <r>
      <rPr>
        <sz val="10"/>
        <color rgb="FF000000"/>
        <rFont val="Times New Roman"/>
      </rPr>
      <t>)</t>
    </r>
    <r>
      <rPr>
        <b/>
        <vertAlign val="superscript"/>
        <sz val="9"/>
        <color rgb="FF000000"/>
        <rFont val="Times New Roman"/>
      </rPr>
      <t xml:space="preserve">41
</t>
    </r>
    <r>
      <rPr>
        <sz val="10"/>
        <color rgb="FF000000"/>
        <rFont val="Times New Roman"/>
      </rPr>
      <t>датчик света (колориметр) (сенсор датчика встроен в парту и подключен к ПК парты, данные выводятся на общий экран)Диапазон: 0~55000 люкс Погрешность: ±5%</t>
    </r>
  </si>
  <si>
    <r>
      <rPr>
        <sz val="10"/>
        <color theme="1"/>
        <rFont val="Times New Roman"/>
      </rPr>
      <t>522-101-0253-0008 - Интерактивный сенсорный стол двухместный (лабораторный) типа iDC для уроков по физике со встроенным компьютером, сенсорным монитором 22 дюйма, лабораторным оборудованием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</si>
  <si>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t>
    </r>
    <r>
      <rPr>
        <sz val="10"/>
        <color rgb="FF000000"/>
        <rFont val="Times New Roman"/>
      </rPr>
      <t xml:space="preserve">2) Встроенный компьютер (CPU Intel Core i3 9100 Оперативная память 8GB DDR4 Твердотельный накопитель 128GB SSD,
</t>
    </r>
    <r>
      <rPr>
        <sz val="10"/>
        <color rgb="FF000000"/>
        <rFont val="Times New Roman"/>
      </rPr>
      <t xml:space="preserve">3) Сенсорный монитор 21,5 дюйма 10 касаний, 1920:1080. 60Гц)
</t>
    </r>
    <r>
      <rPr>
        <sz val="10"/>
        <color rgb="FF000000"/>
        <rFont val="Times New Roman"/>
      </rPr>
      <t xml:space="preserve">4) Корпус системный блок внешними портами USB, mini Jack, кнопка запуска, дополнительное охлаждение, OS Windows 10Pro,
</t>
    </r>
    <r>
      <rPr>
        <sz val="10"/>
        <color rgb="FF000000"/>
        <rFont val="Times New Roman"/>
      </rPr>
      <t xml:space="preserve">5) Розетки 2 по 220В и 2 USB встроены в стол,
</t>
    </r>
    <r>
      <rPr>
        <sz val="10"/>
        <color rgb="FF000000"/>
        <rFont val="Times New Roman"/>
      </rPr>
      <t xml:space="preserve">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t>
    </r>
    <r>
      <rPr>
        <sz val="10"/>
        <color rgb="FF000000"/>
        <rFont val="Times New Roman"/>
      </rPr>
      <t xml:space="preserve">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t>
    </r>
    <r>
      <rPr>
        <sz val="10"/>
        <color rgb="FF000000"/>
        <rFont val="Times New Roman"/>
      </rPr>
      <t xml:space="preserve">видео инструкциям.
</t>
    </r>
    <r>
      <rPr>
        <sz val="10"/>
        <color rgb="FF000000"/>
        <rFont val="Times New Roman"/>
      </rPr>
      <t xml:space="preserve">7) Программное обеспечение: програмная оболочка для работы с датчиками, фиксация показаний и выполнение заданий
</t>
    </r>
    <r>
      <rPr>
        <sz val="10"/>
        <color rgb="FF000000"/>
        <rFont val="Times New Roman"/>
      </rPr>
      <t xml:space="preserve">8) книга с экспериментами в цифровой лаборатории (бумажная и цифровая копии)
</t>
    </r>
    <r>
      <rPr>
        <sz val="10"/>
        <color rgb="FF000000"/>
        <rFont val="Times New Roman"/>
      </rPr>
      <t xml:space="preserve">Встроенные датчики:
</t>
    </r>
    <r>
      <rPr>
        <sz val="10"/>
        <color rgb="FF000000"/>
        <rFont val="Times New Roman"/>
      </rPr>
      <t xml:space="preserve">9)  акселерометр 3 оси
</t>
    </r>
    <r>
      <rPr>
        <sz val="10"/>
        <color rgb="FF000000"/>
        <rFont val="Times New Roman"/>
      </rPr>
      <t>10) GPS датчик стандартный  (встроен в парту и подключен к ПК парты, данные выводятся на общий экран),</t>
    </r>
  </si>
  <si>
    <r>
      <rPr>
        <sz val="9"/>
        <color rgb="FF000000"/>
        <rFont val="Times New Roman"/>
      </rPr>
      <t xml:space="preserve">11) датчик температуры (сенсор датчика встроен в парту и подключен к ПК парты, данные выводятся на общий экран) Диапазон: -40℃~+135℃
</t>
    </r>
    <r>
      <rPr>
        <sz val="9"/>
        <color rgb="FF000000"/>
        <rFont val="Times New Roman"/>
      </rPr>
      <t xml:space="preserve">Погрешность: ±0.5℃.
</t>
    </r>
    <r>
      <rPr>
        <sz val="9"/>
        <color rgb="FF000000"/>
        <rFont val="Times New Roman"/>
      </rPr>
      <t xml:space="preserve">12) датчик гальванометрический (сенсор датчика встроен в парту и подключен к ПК парты, данные выводятся на общий экран) диапазон: DC
</t>
    </r>
    <r>
      <rPr>
        <sz val="9"/>
        <color rgb="FF000000"/>
        <rFont val="Times New Roman"/>
      </rPr>
      <t xml:space="preserve">±12.5mA, ±1.25mA, ±0.125mA.
</t>
    </r>
    <r>
      <rPr>
        <sz val="9"/>
        <color rgb="FF000000"/>
        <rFont val="Times New Roman"/>
      </rPr>
      <t xml:space="preserve">13) датчик силы и ускорения (сенсор датчика встроен в парту и подключен к ПК парты, данные выводятся на общий экран)  Упругий растягиваемый
</t>
    </r>
    <r>
      <rPr>
        <sz val="9"/>
        <color rgb="FF000000"/>
        <rFont val="Times New Roman"/>
      </rPr>
      <t xml:space="preserve">элемент в составе датчика конвертируетс силу в импульс напряжения, который усиливается в цепи и обрабатывается для получения значения показателя
</t>
    </r>
    <r>
      <rPr>
        <sz val="9"/>
        <color rgb="FF000000"/>
        <rFont val="Times New Roman"/>
      </rPr>
      <t xml:space="preserve">14)  датчик света (сенсор датчика встроен в парту и подключен к ПК парты, данные выводятся на общий экран) Диапазон 0 ~ 55000Люкс Точность ±5%
</t>
    </r>
    <r>
      <rPr>
        <sz val="9"/>
        <color rgb="FF000000"/>
        <rFont val="Times New Roman"/>
      </rPr>
      <t xml:space="preserve">Дискретность 15Люкс
</t>
    </r>
    <r>
      <rPr>
        <sz val="9"/>
        <color rgb="FF000000"/>
        <rFont val="Times New Roman"/>
      </rPr>
      <t xml:space="preserve">15) датчик звука (сенсор датчика встроен в парту и подключен к ПК парты, данные выводятся на общий экран) Диапазон 40дБ ~ 92дБ Точность ±4дБ
</t>
    </r>
    <r>
      <rPr>
        <sz val="9"/>
        <color rgb="FF000000"/>
        <rFont val="Times New Roman"/>
      </rPr>
      <t xml:space="preserve">Дискретность 0.1дБ
</t>
    </r>
    <r>
      <rPr>
        <sz val="9"/>
        <color rgb="FF000000"/>
        <rFont val="Times New Roman"/>
      </rPr>
      <t xml:space="preserve">16) датчик напряжения (сенсор датчика встроен в парту и подключен к ПК парты, данные выводятся на общий экран),
</t>
    </r>
    <r>
      <rPr>
        <sz val="9"/>
        <color rgb="FF000000"/>
        <rFont val="Times New Roman"/>
      </rPr>
      <t xml:space="preserve">17) датчик движения (сенсор датчика встроен в парту и подключен к ПК парты, данные выводятся на общий экран) Диапазон — 30В ~ +30В
</t>
    </r>
    <r>
      <rPr>
        <sz val="9"/>
        <color rgb="FF000000"/>
        <rFont val="Times New Roman"/>
      </rPr>
      <t xml:space="preserve">Точность ±1% Дискретность 0.02В
</t>
    </r>
    <r>
      <rPr>
        <sz val="9"/>
        <color rgb="FF000000"/>
        <rFont val="Times New Roman"/>
      </rPr>
      <t xml:space="preserve">18)  датчик магнитного поля (сенсор датчика встроен в парту и подключен к ПК парты, данные выводятся на общий экран), Диапазон -64мТл ~ +64мТл
</t>
    </r>
    <r>
      <rPr>
        <sz val="9"/>
        <color rgb="FF000000"/>
        <rFont val="Times New Roman"/>
      </rPr>
      <t xml:space="preserve">Точность ±3% Дискретность 0.04мТ
</t>
    </r>
    <r>
      <rPr>
        <sz val="9"/>
        <color rgb="FF000000"/>
        <rFont val="Times New Roman"/>
      </rPr>
      <t xml:space="preserve">19) датчик фотозатвор (сенсор датчика встроен в парту и подключен к ПК парты, данные выводятся на общий экран) Диапазон: 0~∞ мс
</t>
    </r>
    <r>
      <rPr>
        <sz val="9"/>
        <color rgb="FF000000"/>
        <rFont val="Times New Roman"/>
      </rPr>
      <t>Погрешность: 0.01 мс</t>
    </r>
  </si>
  <si>
    <r>
      <rPr>
        <sz val="10"/>
        <color theme="1"/>
        <rFont val="Times New Roman"/>
      </rPr>
      <t>522-101-0253-0009 - Интерактивный сенсорный стол двухместный (лабораторный) типа iDC для уроков по химии со встроенным компьютером, сенсорным монитором 22 дюйма, лабораторным оборудованием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</si>
  <si>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t>
    </r>
    <r>
      <rPr>
        <sz val="10"/>
        <color rgb="FF000000"/>
        <rFont val="Times New Roman"/>
      </rPr>
      <t xml:space="preserve">Встроенный компьютер (CPU Intel Core i3 9100 Оперативная память 8GB DDR4 Твердотельный накопитель 128GB SSD,    3) Сенсорный
</t>
    </r>
    <r>
      <rPr>
        <sz val="10"/>
        <color rgb="FF000000"/>
        <rFont val="Times New Roman"/>
      </rPr>
      <t xml:space="preserve">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Программное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Встроенные датчики:   8) датчик измерений качества воды (pH) диапазон: 0~14pH Погрешность: ±0.2pH     9) датчик температуры (сенсор датчика встроен в парту и подключен к ПК парты, данные выводятся на общий экран) Диапазон: -40℃~+135℃ Погрешность: ±0.5℃.    10) датчик давления газа (сенсор датчика встроен в парту и подключен к ПК парты, данные выводятся на общий экран) Диапазон: 0 - 300кПа Погрешность: ±10 кПа  ,   11) датчик проводимости Диапазон 0 ~ 20000мкСм/см Точность
</t>
    </r>
    <r>
      <rPr>
        <sz val="10"/>
        <color rgb="FF000000"/>
        <rFont val="Times New Roman"/>
      </rPr>
      <t xml:space="preserve">±4% Дискретность 6мкСм/см,    12) датчик напряжения Диапазон — 30В ~
</t>
    </r>
    <r>
      <rPr>
        <sz val="10"/>
        <color rgb="FF000000"/>
        <rFont val="Times New Roman"/>
      </rPr>
      <t>+30В Точность ±1% Дискретность 0.02В    13) датчик света (колориметр) Диапазон 0 ~ 55000Люкс Точность ±5% Дискретность 15Люкс</t>
    </r>
  </si>
  <si>
    <r>
      <rPr>
        <sz val="10"/>
        <color theme="1"/>
        <rFont val="Times New Roman"/>
      </rPr>
      <t>522-101-0253-0010 - Интерактивный сенсорный стол двухместный типа iDC для уроков по информатике с 2 встроенными компьютерами, сенсорными мониторами 21,5 дюйма, периферией и специализированным программным обеспечением</t>
    </r>
  </si>
  <si>
    <r>
      <rPr>
        <sz val="10"/>
        <color rgb="FF000000"/>
        <rFont val="Times New Roman"/>
      </rPr>
      <t xml:space="preserve">1) Столешница из ЛДСП толщиной 32 мм на металлическом корпусе двухместная (Размер парты 1500х700х750мм). Края радиальные.   2) Встроенный компьютер (CPU Intel Core i5-9600KF(3.7GHz), 9M, 1151
</t>
    </r>
    <r>
      <rPr>
        <sz val="10"/>
        <color rgb="FF000000"/>
        <rFont val="Times New Roman"/>
      </rPr>
      <t xml:space="preserve">Оперативная память 8GB DDR4 Твердотельный накопитель 256GB SSD - 2шт  3) Сенсорный монитор 21,5 дюйма 10 касаний, 1920:1080. 60Гц) - 2щт
</t>
    </r>
    <r>
      <rPr>
        <sz val="10"/>
        <color rgb="FF000000"/>
        <rFont val="Times New Roman"/>
      </rPr>
      <t xml:space="preserve">4) Корпус системный блок внешними портами USB, mini Jack, кнопка запуска, дополнительное охлаждение, OS Windows 10Pro, - 2шт  5) Розетки
</t>
    </r>
    <r>
      <rPr>
        <sz val="10"/>
        <color rgb="FF000000"/>
        <rFont val="Times New Roman"/>
      </rPr>
      <t>2 по 220В и 2 USB встроены в стол, - 2шт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контент.-2комплекта</t>
    </r>
  </si>
  <si>
    <r>
      <rPr>
        <sz val="10"/>
        <color theme="1"/>
        <rFont val="Times New Roman"/>
      </rPr>
      <t>522-101-0253-0011 - Интерактивный сенсорный стол двухместный типа iDC для уроков по изучению языков со встроенным компьютером, сенсорным монитором 21,5 дюйма, и двумя парами гарнитур</t>
    </r>
  </si>
  <si>
    <r>
      <rPr>
        <sz val="10"/>
        <color rgb="FF000000"/>
        <rFont val="Times New Roman"/>
      </rPr>
      <t xml:space="preserve">1) Столешница из ЛДСП толщиной 32мм (двойной лист ЛДСП) на металлическом корпусе двухместная (Размер парты 1200х800х750мм),    2) Встроенный компьютер (CPU CPU Intel Core i5-9600KF(3.7GHz), 9M, 1151 Оперативная память 8GB DDR4 Твердотельный накопитель 128GB SSD,
</t>
    </r>
    <r>
      <rPr>
        <sz val="10"/>
        <color rgb="FF000000"/>
        <rFont val="Times New Roman"/>
      </rPr>
      <t xml:space="preserve">3) Сенсорный монитор 21,5 дюйма 10 касаний, 1920:1080. 60Гц)        4) 2 пары гарнитур наушников с микрофонами LOGITECH   5) Корпус
</t>
    </r>
    <r>
      <rPr>
        <sz val="10"/>
        <color rgb="FF000000"/>
        <rFont val="Times New Roman"/>
      </rPr>
      <t>системный блок внешними портами USB, 2 порта mini Jack, кнопка запуска, дополнительное охлаждение, OS Windows 10Pro.     6) Розетки 2 по 220В и 2 USB встроены в стол,</t>
    </r>
  </si>
  <si>
    <r>
      <rPr>
        <sz val="10"/>
        <color theme="1"/>
        <rFont val="Times New Roman"/>
      </rPr>
      <t>522-101-0253-0012 - Интерактивный сенсорный стол двухместный типа iDC для уроков по истории, праву и географии со встроенным компьютером и сенсорным монитором 21,5 дюйма</t>
    </r>
  </si>
  <si>
    <r>
      <rPr>
        <sz val="10"/>
        <color rgb="FF000000"/>
        <rFont val="Times New Roman"/>
      </rPr>
      <t xml:space="preserve">1) Столешница из ЛДСП толщиной 32мм на металлическом корпусе двухместная (Размер парты 1200х800х750мм),   2) Встроенный компьютер
</t>
    </r>
    <r>
      <rPr>
        <sz val="10"/>
        <color rgb="FF000000"/>
        <rFont val="Times New Roman"/>
      </rPr>
      <t>CPU Intel Core i3 9100 Оперативная память 8GB DDR4 Твердотельный накопитель 128GB SSD  3) Сенсорный монитор 21,5 дюйма 10 касаний, 1920:1080. 60Гц          4) Розетки 2 по 220В и 2 USB встроены в стол,  5) Корпус системный блок внешними портами USB, 2 порта mini Jack, кнопка запуска, дополнительное охлаждение, OS Windows 10Pro.</t>
    </r>
  </si>
  <si>
    <r>
      <rPr>
        <sz val="10"/>
        <color theme="1"/>
        <rFont val="Times New Roman"/>
      </rPr>
      <t>522-101-0253-0013 - Интерактивный сенсорный стол одноместный типа iDC для уроков по графическому дизайну со встроенным компьютером, монитором 23,6 дюймов и дополнительным сенсорным планшетным экраном</t>
    </r>
  </si>
  <si>
    <r>
      <rPr>
        <sz val="10"/>
        <color rgb="FF000000"/>
        <rFont val="Times New Roman"/>
      </rPr>
      <t xml:space="preserve">1) Столешница из ЛДСП толщиной 32мм на металлическом корпусе одноместная (Размер парты 1200х800х750мм),   2) Встроенный  компьютер:
</t>
    </r>
    <r>
      <rPr>
        <sz val="10"/>
        <color rgb="FF000000"/>
        <rFont val="Times New Roman"/>
      </rPr>
      <t>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r>
  </si>
  <si>
    <r>
      <rPr>
        <sz val="10"/>
        <color theme="1"/>
        <rFont val="Times New Roman"/>
      </rPr>
      <t>522-101-0253-0014 - Интерактивный сенсорный стол одноместный типа iDC для преподавателя для уроков по графическому дизайну со встроенным компьютером, монитором 23,6 дюймов и дополнительным сенсорным планшетным экраном</t>
    </r>
  </si>
  <si>
    <r>
      <rPr>
        <sz val="10"/>
        <color rgb="FF000000"/>
        <rFont val="Times New Roman"/>
      </rPr>
      <t xml:space="preserve">1) Столешница из ЛДСП толщиной 32мм на металлическом корпусе одноместная (Размер парты 1500х800х750мм с боковой тумбой для
</t>
    </r>
    <r>
      <rPr>
        <sz val="10"/>
        <color rgb="FF000000"/>
        <rFont val="Times New Roman"/>
      </rPr>
      <t>документов и МФУ 1000х500х500),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r>
  </si>
  <si>
    <r>
      <rPr>
        <sz val="10"/>
        <color theme="1"/>
        <rFont val="Times New Roman"/>
      </rPr>
      <t>522-101-0253-0015 - 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r>
  </si>
  <si>
    <t>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</si>
  <si>
    <r>
      <rPr>
        <sz val="10"/>
        <color rgb="FF000000"/>
        <rFont val="Times New Roman"/>
      </rPr>
      <t xml:space="preserve">1) Столешница из ЛДСП толщиной 32 мм на металлическом корпусе одноместная (Размер парты 900х650х750мм). Края радиальные.   2)
</t>
    </r>
    <r>
      <rPr>
        <sz val="10"/>
        <color rgb="FF000000"/>
        <rFont val="Times New Roman"/>
      </rPr>
      <t>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r>
  </si>
  <si>
    <r>
      <rPr>
        <sz val="10"/>
        <color theme="1"/>
        <rFont val="Times New Roman"/>
      </rPr>
      <t>522-101-0253-0016 - Интерактивный стол типа iDC для преподавателя со встроенным компьютером и сенсорным монитором 23,8 дюймов, удлиненной тумбой</t>
    </r>
  </si>
  <si>
    <r>
      <rPr>
        <sz val="10"/>
        <color rgb="FF000000"/>
        <rFont val="Times New Roman"/>
      </rPr>
      <t xml:space="preserve">1) Столешница из ЛДСП толщиной 32 мм на металлическом корпусе (размер стола 1500х700х750мм). Края радиальные. Тумба является частью стола (размер тумбы 1200х600х500мм) 2) Встроенный компьютер (CPU Intel Core i5-10400 2,9GHz (4,3GHz) 12Mb 6/12 Core Comet Lake Intel® UHD
</t>
    </r>
    <r>
      <rPr>
        <sz val="10"/>
        <color rgb="FF000000"/>
        <rFont val="Times New Roman"/>
      </rPr>
      <t xml:space="preserve">630 65W FCLGA1200 Tray, Оперативная память 16GB GEIL 2666MHz DDR4 PC4-21300 19-19-19-43 GN416GB2666C19S Bulk Pack,
</t>
    </r>
    <r>
      <rPr>
        <sz val="10"/>
        <color rgb="FF000000"/>
        <rFont val="Times New Roman"/>
      </rPr>
      <t>Твердотельный накопитель 512GB SSD GEIL GZ25Z3-512GP ZENITH Z3 Series2.5” SATAIII R520MB/s W470MB/s 3) Сенсорный монитор 23,8 дюйма, 10 касаний, 1920:1080, 75Гц  4) Корпус-системный блок (являеся неотъемлемой частью стола) с внешними портами USB, mini Jack, кнопка запуска, дополнительное охлаждение, OS Windows 11 PRO 5) Розетки 2 по 220В и 2 USB встроены в стол 6) Периферия: клавиатура и мышь беспроводные USB, беспрводная гарнитура (наушники с микрофоном), веб-камера (1280x720 HD)</t>
    </r>
  </si>
  <si>
    <r>
      <rPr>
        <sz val="10"/>
        <color theme="1"/>
        <rFont val="Times New Roman"/>
      </rPr>
      <t>522-101-0253-0017 - Интерактивный одноместный стол типа iDC со встроенным компьютером, монитором 21,5 дюймов и проводной периферией (мышь, клавиатура, веб-камера, гарнитура)</t>
    </r>
  </si>
  <si>
    <r>
      <rPr>
        <sz val="10"/>
        <color rgb="FF000000"/>
        <rFont val="Times New Roman"/>
      </rPr>
      <t xml:space="preserve">1) Столешница из ЛДСП толщиной 32 мм на металлическом корпусе одноместная (Размер парты 650х600х750мм). Края радиальные.  2)
</t>
    </r>
    <r>
      <rPr>
        <sz val="10"/>
        <color rgb="FF000000"/>
        <rFont val="Times New Roman"/>
      </rPr>
      <t xml:space="preserve">Встроенный компьютер (CPU Intel Core i3-10100 3,6GHz (4,3GHz) 6Mb 4/8 Core Comet Lake Intel® UHD 630 65W FCLGA1200 BOX, Оперативная память 8GB DDR4 2666MHz GEIL PC4-21300 19-19-19-43
</t>
    </r>
    <r>
      <rPr>
        <sz val="10"/>
        <color rgb="FF000000"/>
        <rFont val="Times New Roman"/>
      </rPr>
      <t xml:space="preserve">GN48GB2666C19S Bulk Pack, Твердотельный накопитель 128GB SSD GEIL FD09DCDH ZENITH R3 2.5” SATA3 R550MB/s W490MB/s GZ25R3 3)
</t>
    </r>
    <r>
      <rPr>
        <sz val="10"/>
        <color rgb="FF000000"/>
        <rFont val="Times New Roman"/>
      </rPr>
      <t xml:space="preserve">Монитор 21,5 дюйма 1920:1080, 70Гц  4) Корпус-системный блок в царге (являеся неотъемлемой частью стола) с внешними портами USB, mini Jack, кнопка запуска, дополнительное охлаждение, OS Windows 11 PRO 5)
</t>
    </r>
    <r>
      <rPr>
        <sz val="10"/>
        <color rgb="FF000000"/>
        <rFont val="Times New Roman"/>
      </rPr>
      <t>Периферия: клавиатура и мышь проводные USB, проводная гарнитура (наушники с микрофоном), веб-камера (1280x720 HD)</t>
    </r>
  </si>
  <si>
    <r>
      <rPr>
        <sz val="10"/>
        <color theme="1"/>
        <rFont val="Times New Roman"/>
      </rPr>
      <t>522-101-0253-0018 - Интерактивный сенсорный стол типа iDC (комплект из 6 парт) для групповых уроков со встроенным компьютером, сенсорным встроенным монитором 21,5 дюймов</t>
    </r>
  </si>
  <si>
    <r>
      <rPr>
        <sz val="10"/>
        <color rgb="FF000000"/>
        <rFont val="Times New Roman"/>
      </rPr>
      <t xml:space="preserve">1) Столешница из МДФ толщиной 20мм на металлическом корпусе (Размер парты 1500х700х750мм). Края радиальные - 6шт. 2) Встроенный
</t>
    </r>
    <r>
      <rPr>
        <sz val="10"/>
        <color rgb="FF000000"/>
        <rFont val="Times New Roman"/>
      </rPr>
      <t xml:space="preserve">компьютер (CPU Intel Core i3-10100 3,6GHz (4,3GHz) 6Mb 4/8 Core Comet Lake Intel® UHD 630 65W FCLGA1200 BOX, Оперативная память 8GB DDR4 2666MHz GEIL PC4-21300 19-19-19-43 GN48GB2666C19S Bulk Pack,
</t>
    </r>
    <r>
      <rPr>
        <sz val="10"/>
        <color rgb="FF000000"/>
        <rFont val="Times New Roman"/>
      </rPr>
      <t>Твердотельный накопитель 128GB SSD GEIL FD09DCDH ZENITH R3 2.5” SATA3 R550MB/s W490MB/s GZ25R3 - 6шт. 3) Монитор 21,5 дюйма, сенсорное стекло 10 касаний, 1920:1080, 70Гц - 6 шт. 4) Корпус системный блок внешними портами USB, mini Jack, кнопка запуска, дополнительное охлаждение, OS Windows 11Pro - 6 шт. 5) Розетки 2 по 220В и 2 USB встроены в стол - 6 шт.</t>
    </r>
  </si>
  <si>
    <r>
      <rPr>
        <sz val="10"/>
        <color rgb="FF000000"/>
        <rFont val="Times New Roman"/>
      </rPr>
      <t xml:space="preserve">522-101-0253-0019 - Интерактивный одноместный стол типа iDC со встроенным компьютером, монитором 27 дюймов и проводной периферией (мышь, клавиатура,
</t>
    </r>
    <r>
      <rPr>
        <sz val="10"/>
        <color rgb="FF000000"/>
        <rFont val="Times New Roman"/>
      </rPr>
      <t>веб-камера, гарнитура)</t>
    </r>
  </si>
  <si>
    <t>Интерактивный одноместный стол типа iDC со встроенным компьютером, монитором 27 дюймов и проводной периферией (мышь, клавиатура,
веб-камера, гарнитура)</t>
  </si>
  <si>
    <r>
      <rPr>
        <sz val="10"/>
        <color rgb="FF000000"/>
        <rFont val="Times New Roman"/>
      </rPr>
      <t xml:space="preserve">1) Столешница из ЛДСП толщиной 32 мм на металлическом корпусе двухместная (Размер парты 650х600х750мм). Края радиальные.  2)
</t>
    </r>
    <r>
      <rPr>
        <sz val="10"/>
        <color rgb="FF000000"/>
        <rFont val="Times New Roman"/>
      </rPr>
      <t xml:space="preserve">Процессор: Количество ядер 10; Максимальное количество потоков 16; Объем кэша L3 20 МБ; Базовая частота процессора (МГц) 1,8 ГГц; Максимальная частота (МГц) 4,6 ГГц; встроенный графический процессора. Видеокарта: Встроенная с объемом видеопамяти 2 Гб; Операционная система: с наличием графического интерфейса на государственном языке. Оперативная память: DDR4 16 Гб, Тактовая частота: 3200 Мгц. Порты и системы беспроводной передачи данных:наличие 7 портов: 2 порта USB 3.0, 2 порта USB 2.0, 1 Type-C, 1 для аудио/микрофона или порты с иной раскладкой превосходящие текущие параметры; Устройство хранения данных: 512 Гб SSD. Материнская плата 1 разъема М.2,  PCI Express 3.0 x 4, 1 Ethernet-скорость – 1 Гбит/сек; Блок питание 300 Вт, Соответствие стандарту: 80 PLUS Gold.
</t>
    </r>
    <r>
      <rPr>
        <sz val="10"/>
        <color rgb="FF000000"/>
        <rFont val="Times New Roman"/>
      </rPr>
      <t xml:space="preserve">3) Разрешение экрана – 2560х1440. Диагональ -  27 дюймов. Порты - 2 порта HDMI, 1 порта Display Port. Разъем для наушников, аудиовход 3.5 мм MiniJack. Встроенные динамики 2х2Вт. Дополнительные режимы – Умное
</t>
    </r>
    <r>
      <rPr>
        <sz val="10"/>
        <color rgb="FF000000"/>
        <rFont val="Times New Roman"/>
      </rPr>
      <t xml:space="preserve">энергосбережение, Безопасный режим мерцания, Режим чтения, Динамическая синхронизация действий. Минимальная яркость экрана - 300 кд/кв.м. Матрица – VA или IPS. Максимальная частота обновления кадров 165 Гц. Мин. Время отклика пикселя 1 мс. Регулировка наклона/ Регулировка высоты 90 мм, поворот по часовой стрелке 90°/против часовой стрелки 90°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проводная языки: казахский(кириллица)/ русский/английский с заводским нанесением букв, длина провода 2 метра и мышь проводные USB,
</t>
    </r>
    <r>
      <rPr>
        <sz val="10"/>
        <color rgb="FF000000"/>
        <rFont val="Times New Roman"/>
      </rPr>
      <t xml:space="preserve">Микрофонно-телефонная гарнитура: тип крепления гарнитуры - дуговое. Частотный диапазон: нижняя граница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веб-камера (1280x720 HD) поддержка Full Hd,
</t>
    </r>
    <r>
      <rPr>
        <sz val="10"/>
        <color rgb="FF000000"/>
        <rFont val="Times New Roman"/>
      </rPr>
      <t>2 МП</t>
    </r>
  </si>
  <si>
    <r>
      <rPr>
        <sz val="10"/>
        <color theme="1"/>
        <rFont val="Times New Roman"/>
      </rPr>
      <t>522-101-0253-0020 - Интерактивный одноместный стол типа iDC регулируемый по высоте c электроподъемниками, встроенным компьютером и сенсорным монитором 21,5 дюймов</t>
    </r>
  </si>
  <si>
    <r>
      <rPr>
        <sz val="10"/>
        <color rgb="FF000000"/>
        <rFont val="Times New Roman"/>
      </rPr>
      <t xml:space="preserve">1) Столешница из ЛДСП толщиной 32 мм на металлическом корпусе одноместная (Размер парты 800х700х700-1200мм). Края радиальные.  2) Встроенный компьютер (CPU Intel Core i3-10100 3,6GHz (4,3GHz) 6Mb 4/8
</t>
    </r>
    <r>
      <rPr>
        <sz val="10"/>
        <color rgb="FF000000"/>
        <rFont val="Times New Roman"/>
      </rPr>
      <t xml:space="preserve">Core Comet Lake Intel® UHD 630 65W FCLGA1200 BOX, Оперативная память 8GB DDR4 2666MHz GEIL PC4-21300 19-19-19-43
</t>
    </r>
    <r>
      <rPr>
        <sz val="10"/>
        <color rgb="FF000000"/>
        <rFont val="Times New Roman"/>
      </rPr>
      <t xml:space="preserve">GN48GB2666C19S Bulk Pack, Твердотельный накопитель 128GB SSD GEIL FD09DCDH ZENITH R3 2.5” SATA3 R550MB/s W490MB/s GZ25R3 3)
</t>
    </r>
    <r>
      <rPr>
        <sz val="10"/>
        <color rgb="FF000000"/>
        <rFont val="Times New Roman"/>
      </rPr>
      <t>Сенсорный монитор 21,5 дюйма 10 касаний, 1920:1080, 70Гц 4) Корпус системный блок внешними портами USB, mini Jack, кнопка запуска, дополнительное охлаждение, OS Windows 11Pro,  5) Розетки 2 по 220В и 2 USB встроены в стол  6) Двухмоторная рама стола с электрической регулировкой высоты от 700 до 1200мм.           7) Периферия: клавиатура и мышь беспроводные</t>
    </r>
  </si>
  <si>
    <r>
      <rPr>
        <sz val="10"/>
        <color theme="1"/>
        <rFont val="Times New Roman"/>
      </rPr>
      <t>522-101-0255-0001 - Интерактивная панель Promethean ActivPanel 9 Premium 75 диагонали 4K UHD</t>
    </r>
  </si>
  <si>
    <r>
      <rPr>
        <sz val="10"/>
        <color rgb="FF000000"/>
        <rFont val="Times New Roman"/>
      </rPr>
      <t xml:space="preserve">-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t>
    </r>
    <r>
      <rPr>
        <sz val="10"/>
        <color rgb="FF000000"/>
        <rFont val="Times New Roman"/>
      </rPr>
      <t>Настенное крепление (1шт) и Крепежный винт VESA (M6) (4шт) - Пульт дистанционного управления (1шт) и аккумуляторы для пульта (2шт); -</t>
    </r>
    <r>
      <rPr>
        <b/>
        <vertAlign val="superscript"/>
        <sz val="9"/>
        <color rgb="FF000000"/>
        <rFont val="Times New Roman"/>
      </rPr>
      <t xml:space="preserve">651
</t>
    </r>
    <r>
      <rPr>
        <sz val="10"/>
        <color rgb="FF000000"/>
        <rFont val="Times New Roman"/>
      </rPr>
      <t>Кронштейн Mini PC с 2 винтами (1шт);</t>
    </r>
  </si>
  <si>
    <r>
      <rPr>
        <sz val="10"/>
        <color theme="1"/>
        <rFont val="Times New Roman"/>
      </rPr>
      <t>522-101-0255-0002 - Интерактивная панель Promethean ActivPanel 9 Premium 86 диагонали 4K UHD</t>
    </r>
  </si>
  <si>
    <r>
      <rPr>
        <sz val="10"/>
        <color theme="1"/>
        <rFont val="Times New Roman"/>
      </rPr>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 Кронштейн Mini PC с 2 винтами (1шт);</t>
    </r>
  </si>
  <si>
    <r>
      <rPr>
        <sz val="10"/>
        <color theme="1"/>
        <rFont val="Times New Roman"/>
      </rPr>
      <t>522-101-0255-0003 - Интерактивная панель Promethean ActivPanel 9 Premium 65 диагонали 4K UHD</t>
    </r>
  </si>
  <si>
    <r>
      <rPr>
        <sz val="10"/>
        <color rgb="FF000000"/>
        <rFont val="Times New Roman"/>
      </rPr>
      <t xml:space="preserve">-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t>
    </r>
    <r>
      <rPr>
        <sz val="10"/>
        <color rgb="FF000000"/>
        <rFont val="Times New Roman"/>
      </rPr>
      <t>Настенное крепление (1шт) и Крепежный винт VESA (M6) (4шт) - Пульт дистанционного управления (1шт) и аккумуляторы для пульта (2шт); -</t>
    </r>
    <r>
      <rPr>
        <b/>
        <vertAlign val="superscript"/>
        <sz val="9"/>
        <color rgb="FF000000"/>
        <rFont val="Times New Roman"/>
      </rPr>
      <t xml:space="preserve">653
</t>
    </r>
    <r>
      <rPr>
        <sz val="10"/>
        <color rgb="FF000000"/>
        <rFont val="Times New Roman"/>
      </rPr>
      <t>Кронштейн Mini PC с 2 винтами (1шт);</t>
    </r>
  </si>
  <si>
    <r>
      <rPr>
        <sz val="10"/>
        <color rgb="FF000000"/>
        <rFont val="Times New Roman"/>
      </rPr>
      <t xml:space="preserve">522-101-0255-0005 - Интерактивная система Smart SSP, 3D Education, комплекс включает интерактивную панель 75 дюйм, встроенный ПК Smart SSP  (i5-13400 / 16GB DDR4 /
</t>
    </r>
    <r>
      <rPr>
        <sz val="10"/>
        <color rgb="FF000000"/>
        <rFont val="Times New Roman"/>
      </rPr>
      <t xml:space="preserve">SSD 512GB), профессиональное ПО для создания 3D-контента, цельнометаллический корпус Smart SSP с фирменной перфорацией и мобильную стойку на колёсиках.
</t>
    </r>
    <r>
      <rPr>
        <sz val="10"/>
        <color rgb="FF000000"/>
        <rFont val="Times New Roman"/>
      </rPr>
      <t>Работает на Windows 11</t>
    </r>
  </si>
  <si>
    <t>Интерактивная система Smart SSP, 3D Education, комплекс включает интерактивную панель 75 дюйм,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</si>
  <si>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r>
      <rPr>
        <sz val="10"/>
        <color rgb="FF000000"/>
        <rFont val="Times New Roman"/>
      </rPr>
      <t xml:space="preserve">- Интерактивная панель:75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 Число касаний: 20 (Win, Mac); - Разъем HDMI 2.1 4K @ 60Hz with HDCP
</t>
    </r>
    <r>
      <rPr>
        <sz val="10"/>
        <color rgb="FF000000"/>
        <rFont val="Times New Roman"/>
      </rPr>
      <t xml:space="preserve">1.4 and HDCP 2.3 support – 4 шт. LAN-in (RJ-45)1 шт. LAN-out (RJ-45 1 шт. USB-A 3.0 USB 3.2 Type-A – 4 шт. USB-C USB Type-C 8K @ 30Hz Display Port 1.4a, HDCP 2.3 and HDCP 1.3, USB 3.2 Gen 1; 4.5 W power delivery – 1 шт. Wi-Fi (802.11ac) IEEE 802.11ax (Wi-Fi 6e) Bluetooth 5.0 Bluetooth 5.2
</t>
    </r>
    <r>
      <rPr>
        <sz val="10"/>
        <color rgb="FF000000"/>
        <rFont val="Times New Roman"/>
      </rPr>
      <t xml:space="preserve">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 - Настенное крепление в комплекте; - Мобильная стойка на колёсиках для интерактивной панели; - Компьютер Smart SSP (OPS): Корпус: цельнометаллический корпус с перфорацией Smart SSP ГОСТ 32126.1-2013  OPS i5 13400 1.80 / 2.50 GHz, 10 ядер / 16
</t>
    </r>
    <r>
      <rPr>
        <sz val="10"/>
        <color rgb="FF000000"/>
        <rFont val="Times New Roman"/>
      </rPr>
      <t xml:space="preserve">потоков / Кэш 20М / DDR4 8gb 3200Mhz / SSD 256Gb; - Программное обеспечение интегрированного в панель компьютера (OPS): Windows 11 /
</t>
    </r>
    <r>
      <rPr>
        <sz val="10"/>
        <color rgb="FF000000"/>
        <rFont val="Times New Roman"/>
      </rPr>
      <t>Office 2019 - Гарантия 3 года, обслуживание оборудование 5 лет</t>
    </r>
  </si>
  <si>
    <r>
      <rPr>
        <sz val="10"/>
        <color rgb="FF000000"/>
        <rFont val="Times New Roman"/>
      </rPr>
      <t xml:space="preserve">522-101-0255-0008 - Интерактивная панель Samsung Flip Pro LH75WMBWLGCXCI 75"
</t>
    </r>
    <r>
      <rPr>
        <sz val="10"/>
        <color rgb="FF000000"/>
        <rFont val="Times New Roman"/>
      </rPr>
      <t>диагонали (в комплекте с ПК-модулем)</t>
    </r>
  </si>
  <si>
    <t>Интерактивная панель Samsung Flip Pro LH75WMBWLGCXCI 75"
диагонали (в комплекте с ПК-модулем)</t>
  </si>
  <si>
    <r>
      <rPr>
        <sz val="10"/>
        <color theme="1"/>
        <rFont val="Times New Roman"/>
      </rPr>
      <t>- Интерактивная панель: диагональ 75 дюймов, разрешение 4K UHD, закалённое защитное стекло, антимикробное покрытие, защита от осколков, мульти язычный интерфейс (каз., рус., англ.)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Также ПО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ЕНТ, образовательный комплекс из фильмов, созданных на основе школьной программы по химии, физике, биологии, географии и естествознанию. - ПК-модуль - Встроенный адаптер Bluetooth и Wi-Fi - Встроенная система киберзащиты Knox Security; - Система беспроводного подключения и вывода экрана личных устройств (компьютера, планшета, смартфона) без установки доп. приложений и выхода в сеть Интернет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 - Гарантийное обслуживание на базе сети авторизованных сервисных центров Samsung на территории Республики Казахстан</t>
    </r>
  </si>
  <si>
    <r>
      <rPr>
        <sz val="10"/>
        <color rgb="FF000000"/>
        <rFont val="Times New Roman"/>
      </rPr>
      <t xml:space="preserve">522-101-0255-0022 - Интерактивная панель PROTOUCH PT65-0432С, 65
</t>
    </r>
    <r>
      <rPr>
        <sz val="10"/>
        <color rgb="FF000000"/>
        <rFont val="Times New Roman"/>
      </rPr>
      <t>дюймов</t>
    </r>
  </si>
  <si>
    <t>Интерактивная панель PROTOUCH PT65-0432С, 65
дюймов</t>
  </si>
  <si>
    <r>
      <rPr>
        <sz val="10"/>
        <color rgb="FF000000"/>
        <rFont val="Times New Roman"/>
      </rPr>
      <t xml:space="preserve">Интерактивная панель: 65 диагональ / Оперативная память 4/32Gb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</si>
  <si>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522-101-0255-0023 - Интерактивная панель PROTOUCH PT65-0864T, 65
</t>
    </r>
    <r>
      <rPr>
        <sz val="10"/>
        <color rgb="FF000000"/>
        <rFont val="Times New Roman"/>
      </rPr>
      <t>дюймов</t>
    </r>
  </si>
  <si>
    <t>Интерактивная панель PROTOUCH PT65-0864T, 65
дюймов</t>
  </si>
  <si>
    <r>
      <rPr>
        <sz val="10"/>
        <color rgb="FF000000"/>
        <rFont val="Times New Roman"/>
      </rPr>
      <t xml:space="preserve">Интерактивная панель: 65 диагональ / Оперативная память 8/64Gb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</si>
  <si>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522-101-0255-0024 - Интерактивная панель PROTOUCH PT75-0432С, 75
</t>
    </r>
    <r>
      <rPr>
        <sz val="10"/>
        <color rgb="FF000000"/>
        <rFont val="Times New Roman"/>
      </rPr>
      <t>дюймов</t>
    </r>
  </si>
  <si>
    <t>Интерактивная панель PROTOUCH PT75-0432С, 75
дюймов</t>
  </si>
  <si>
    <r>
      <rPr>
        <sz val="10"/>
        <color rgb="FF000000"/>
        <rFont val="Times New Roman"/>
      </rPr>
      <t xml:space="preserve">Интерактивная панель: 75 диагональ / Оперативная память 4/32Gb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</si>
  <si>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522-101-0255-0025 - Интерактивная панель PROTOUCH PT75-0864T, 75
</t>
    </r>
    <r>
      <rPr>
        <sz val="10"/>
        <color rgb="FF000000"/>
        <rFont val="Times New Roman"/>
      </rPr>
      <t>дюймов</t>
    </r>
  </si>
  <si>
    <t>Интерактивная панель PROTOUCH PT75-0864T, 75
дюймов</t>
  </si>
  <si>
    <r>
      <rPr>
        <sz val="10"/>
        <color rgb="FF000000"/>
        <rFont val="Times New Roman"/>
      </rPr>
      <t xml:space="preserve">Интерактивная панель: 75 диагональ / Оперативная память 8/64Gb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</si>
  <si>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522-101-0255-0026 - Интерактивная панель PROTOUCH PT86-0432С, 86
</t>
    </r>
    <r>
      <rPr>
        <sz val="10"/>
        <color rgb="FF000000"/>
        <rFont val="Times New Roman"/>
      </rPr>
      <t>дюймов</t>
    </r>
  </si>
  <si>
    <t>Интерактивная панель PROTOUCH PT86-0432С, 86
дюймов</t>
  </si>
  <si>
    <r>
      <rPr>
        <sz val="10"/>
        <color rgb="FF000000"/>
        <rFont val="Times New Roman"/>
      </rPr>
      <t xml:space="preserve">Интерактивная панель: 86 диагональ / Оперативная память 4/32Gb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</si>
  <si>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rgb="FF000000"/>
        <rFont val="Times New Roman"/>
      </rPr>
      <t xml:space="preserve">522-101-0255-0027 - Интерактивная панель PROTOUCH PT86-0864T, 86
</t>
    </r>
    <r>
      <rPr>
        <sz val="10"/>
        <color rgb="FF000000"/>
        <rFont val="Times New Roman"/>
      </rPr>
      <t>дюймов</t>
    </r>
  </si>
  <si>
    <t>Интерактивная панель PROTOUCH PT86-0864T, 86
дюймов</t>
  </si>
  <si>
    <r>
      <rPr>
        <sz val="10"/>
        <color rgb="FF000000"/>
        <rFont val="Times New Roman"/>
      </rPr>
      <t xml:space="preserve">Интерактивная панель: 86 диагональ / Оперативная память 8/64Gb
</t>
    </r>
    <r>
      <rPr>
        <sz val="10"/>
        <color rgb="FF000000"/>
        <rFont val="Times New Roman"/>
      </rPr>
      <t xml:space="preserve">-  Программное обеспечение (ПО) для создания и проведения уроков Bytello share, Bytello Class на 3-х языках
</t>
    </r>
    <r>
      <rPr>
        <sz val="10"/>
        <color rgb="FF000000"/>
        <rFont val="Times New Roman"/>
      </rPr>
      <t xml:space="preserve">(каз., рус., англ.);
</t>
    </r>
    <r>
      <rPr>
        <sz val="10"/>
        <color rgb="FF000000"/>
        <rFont val="Times New Roman"/>
      </rPr>
      <t xml:space="preserve">-  Программное обеспечение (ПО) для дистанционного управления через компьютер, планшет, телефон Bytello DMS, Bytello Class, Bytello Share;
</t>
    </r>
    <r>
      <rPr>
        <sz val="10"/>
        <color rgb="FF000000"/>
        <rFont val="Times New Roman"/>
      </rPr>
      <t xml:space="preserve">- Программное обеспечение (ПО) WPS Office для работы с документами и приложениями;
</t>
    </r>
    <r>
      <rPr>
        <sz val="10"/>
        <color rgb="FF000000"/>
        <rFont val="Times New Roman"/>
      </rPr>
      <t>-  Синхронизация данных через облачный диск;</t>
    </r>
  </si>
  <si>
    <r>
      <rPr>
        <sz val="10"/>
        <color theme="1"/>
        <rFont val="Times New Roman"/>
      </rPr>
      <t>522-101-0255-0028 - Интерактивная панель ROQED Ultra, 75 дюймов</t>
    </r>
  </si>
  <si>
    <r>
      <rPr>
        <sz val="10"/>
        <color rgb="FF000000"/>
        <rFont val="Times New Roman"/>
      </rPr>
      <t xml:space="preserve">Интерактивная панель: 75 диагональ
</t>
    </r>
    <r>
      <rPr>
        <sz val="10"/>
        <color rgb="FF000000"/>
        <rFont val="Times New Roman"/>
      </rPr>
      <t xml:space="preserve">-  Программное обеспечение (ПО) для беспроводной передачи с других устройств;
</t>
    </r>
    <r>
      <rPr>
        <sz val="10"/>
        <color rgb="FF000000"/>
        <rFont val="Times New Roman"/>
      </rPr>
      <t xml:space="preserve">-  Программное обеспечение (ПО) MDM для дистанционного управления панелями;                                                              -Программное обеспечения (ПО) E-share для беспроводной передачи с других устройств)
</t>
    </r>
    <r>
      <rPr>
        <sz val="10"/>
        <color rgb="FF000000"/>
        <rFont val="Times New Roman"/>
      </rPr>
      <t xml:space="preserve">- Встроенный сканер отпечатка пальца для авторизации
</t>
    </r>
    <r>
      <rPr>
        <sz val="10"/>
        <color rgb="FF000000"/>
        <rFont val="Times New Roman"/>
      </rPr>
      <t>преподавателя;</t>
    </r>
  </si>
  <si>
    <r>
      <rPr>
        <sz val="10"/>
        <color theme="1"/>
        <rFont val="Times New Roman"/>
      </rPr>
      <t>522-101-0255-0032 - Интерактивная панель Lumien 65EL, 65 дюймов</t>
    </r>
  </si>
  <si>
    <r>
      <rPr>
        <sz val="10"/>
        <color rgb="FF000000"/>
        <rFont val="Times New Roman"/>
      </rPr>
      <t xml:space="preserve">Интерактивная панель: 65 диагональ;
</t>
    </r>
    <r>
      <rPr>
        <sz val="10"/>
        <color rgb="FF000000"/>
        <rFont val="Times New Roman"/>
      </rPr>
      <t xml:space="preserve">- Приложение "Белая доска" (с поддержкой русского и английского языков) - для создания интерактивных уроков,
</t>
    </r>
    <r>
      <rPr>
        <sz val="10"/>
        <color rgb="FF000000"/>
        <rFont val="Times New Roman"/>
      </rPr>
      <t xml:space="preserve">- Редактор математических формул,
</t>
    </r>
    <r>
      <rPr>
        <sz val="10"/>
        <color rgb="FF000000"/>
        <rFont val="Times New Roman"/>
      </rPr>
      <t xml:space="preserve">- Виртуальная клавиатура "GBoard" с возможностью распознавания рукописного текста (с поддержкой более 70 языков);
</t>
    </r>
    <r>
      <rPr>
        <sz val="10"/>
        <color rgb="FF000000"/>
        <rFont val="Times New Roman"/>
      </rPr>
      <t>- Программное обеспечение (ПО) WPS Office для работы с документами и приложениями;</t>
    </r>
  </si>
  <si>
    <r>
      <rPr>
        <sz val="10"/>
        <color theme="1"/>
        <rFont val="Times New Roman"/>
      </rPr>
      <t>522-101-0255-0033 - Интерактивная панель Lumien 75EL, 75 дюймов</t>
    </r>
  </si>
  <si>
    <r>
      <rPr>
        <sz val="10"/>
        <color rgb="FF000000"/>
        <rFont val="Times New Roman"/>
      </rPr>
      <t xml:space="preserve">Интерактивная панель: 75 диагональ
</t>
    </r>
    <r>
      <rPr>
        <sz val="10"/>
        <color rgb="FF000000"/>
        <rFont val="Times New Roman"/>
      </rPr>
      <t xml:space="preserve">англ.);                                                                    - Приложение "Белая доска"
</t>
    </r>
    <r>
      <rPr>
        <sz val="10"/>
        <color rgb="FF000000"/>
        <rFont val="Times New Roman"/>
      </rPr>
      <t xml:space="preserve">(с поддержкой русского и английского языков) - для создания интерактивных уроков,
</t>
    </r>
    <r>
      <rPr>
        <sz val="10"/>
        <color rgb="FF000000"/>
        <rFont val="Times New Roman"/>
      </rPr>
      <t xml:space="preserve">- Редактор математических формул,
</t>
    </r>
    <r>
      <rPr>
        <sz val="10"/>
        <color rgb="FF000000"/>
        <rFont val="Times New Roman"/>
      </rPr>
      <t xml:space="preserve">- Виртуальная клавиатура "GBoard" с возможностью распознавания рукописного текста (с поддержкой более 70 языков);
</t>
    </r>
    <r>
      <rPr>
        <sz val="10"/>
        <color rgb="FF000000"/>
        <rFont val="Times New Roman"/>
      </rPr>
      <t>- Программное обеспечение (ПО) WPS Office для работы с документами и приложениями;</t>
    </r>
  </si>
  <si>
    <r>
      <rPr>
        <sz val="10"/>
        <color theme="1"/>
        <rFont val="Times New Roman"/>
      </rPr>
      <t>522-101-0255-0034 - Интерактивная панель Lumien 86EL, 86 дюймов</t>
    </r>
  </si>
  <si>
    <r>
      <rPr>
        <sz val="10"/>
        <color rgb="FF000000"/>
        <rFont val="Times New Roman"/>
      </rPr>
      <t xml:space="preserve">Интерактивная панель: 86 диагональ
</t>
    </r>
    <r>
      <rPr>
        <sz val="10"/>
        <color rgb="FF000000"/>
        <rFont val="Times New Roman"/>
      </rPr>
      <t xml:space="preserve">англ.);                                                                    - Приложение "Белая доска"
</t>
    </r>
    <r>
      <rPr>
        <sz val="10"/>
        <color rgb="FF000000"/>
        <rFont val="Times New Roman"/>
      </rPr>
      <t xml:space="preserve">(с поддержкой русского и английского языков) - для создания интерактивных уроков,
</t>
    </r>
    <r>
      <rPr>
        <sz val="10"/>
        <color rgb="FF000000"/>
        <rFont val="Times New Roman"/>
      </rPr>
      <t xml:space="preserve">- Редактор математических формул,
</t>
    </r>
    <r>
      <rPr>
        <sz val="10"/>
        <color rgb="FF000000"/>
        <rFont val="Times New Roman"/>
      </rPr>
      <t xml:space="preserve">- Виртуальная клавиатура "GBoard" с возможностью распознавания рукописного текста (с поддержкой более 70 языков);
</t>
    </r>
    <r>
      <rPr>
        <sz val="10"/>
        <color rgb="FF000000"/>
        <rFont val="Times New Roman"/>
      </rPr>
      <t>- Программное обеспечение (ПО) WPS Office для работы с документами и приложениями;</t>
    </r>
  </si>
  <si>
    <r>
      <rPr>
        <sz val="10"/>
        <color theme="1"/>
        <rFont val="Times New Roman"/>
      </rPr>
      <t>522-101-0255-0036 - Интерактивная панель HJ-TD65, 65 дюймов</t>
    </r>
  </si>
  <si>
    <r>
      <rPr>
        <sz val="10"/>
        <color theme="1"/>
        <rFont val="Times New Roman"/>
      </rPr>
      <t>- Интерактивная панель: 65 дюймов, 60 Hz, яркость 350 кд/м2, антибликовое закаленное стекло, скорость сканирование 6,7 мс; - Встроенный мини компьютер с предустановленной мобильной операционной системой, 8 ядерный процессор с тактовой частотой 1,5 Ghz/1 Gb DDR/8 Gb/1790x1095x114 мм, вес 46 кг;  - Настенное крепление VESA x 4; - Дистанционное управление;</t>
    </r>
  </si>
  <si>
    <r>
      <rPr>
        <sz val="10"/>
        <color theme="1"/>
        <rFont val="Times New Roman"/>
      </rPr>
      <t>522-101-0255-0037 - Интерактивная панель HJ-TD75, 75 дюймов</t>
    </r>
  </si>
  <si>
    <r>
      <rPr>
        <sz val="10"/>
        <color theme="1"/>
        <rFont val="Times New Roman"/>
      </rPr>
      <t>- Интерактивная панель: 75 дюймов, LED/1654 x 932 мм/16:09/3840*2160 (4K), 8 мс, потребляемая мощность: AC 100-240 В, 50/60 Гц;  - AG антибликовое стекло; -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r>
  </si>
  <si>
    <r>
      <rPr>
        <sz val="10"/>
        <color theme="1"/>
        <rFont val="Times New Roman"/>
      </rPr>
      <t>522-101-0255-0038 - Интерактивная панель HJ-TD86, 86 дюймов</t>
    </r>
  </si>
  <si>
    <r>
      <rPr>
        <sz val="10"/>
        <color theme="1"/>
        <rFont val="Times New Roman"/>
      </rPr>
      <t>- Интерактивная панель: 86 дюймов, LED/1654 x 932 мм/16:09/3840*2160 (4K)/8 мс, AC 100-240 В, 50/60 Гц; - AG антибликовое стекло;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r>
  </si>
  <si>
    <r>
      <rPr>
        <sz val="10"/>
        <color rgb="FF000000"/>
        <rFont val="Times New Roman"/>
      </rPr>
      <t xml:space="preserve">522-101-0255-0039 - Интерактивная
</t>
    </r>
    <r>
      <rPr>
        <sz val="10"/>
        <color rgb="FF000000"/>
        <rFont val="Times New Roman"/>
      </rPr>
      <t>панель Samsung Flip 3, 75" дюймов (в комплекте с ПК-модулем)</t>
    </r>
  </si>
  <si>
    <t>Интерактивная
панель Samsung Flip 3, 75" дюймов (в комплекте с ПК-модулем)</t>
  </si>
  <si>
    <r>
      <rPr>
        <sz val="10"/>
        <color theme="1"/>
        <rFont val="Times New Roman"/>
      </rPr>
      <t>- Интерактивная панель: диагональ 75 дюймов, 4K UHD, закалённое защитное стекло, антимикробное покрытие, защита от осколков, мульти язычный интерфейс;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 ПК-модуль; - Встроенная система киберзащиты Knox Security; - Система Smartview; - Система дистанционного мониторинга, управления и сбора данных с панелей Samsung MagicInfo; - Настенное металлическое VESA-крепление, совместимое с панелью;</t>
    </r>
  </si>
  <si>
    <r>
      <rPr>
        <sz val="10"/>
        <color rgb="FF000000"/>
        <rFont val="Times New Roman"/>
      </rPr>
      <t xml:space="preserve">522-101-0255-0040 - Интерактивная
</t>
    </r>
    <r>
      <rPr>
        <sz val="10"/>
        <color rgb="FF000000"/>
        <rFont val="Times New Roman"/>
      </rPr>
      <t>панель Samsung Flip 3, 75" дюймов</t>
    </r>
  </si>
  <si>
    <t>Интерактивная
панель Samsung Flip 3, 75" дюймов</t>
  </si>
  <si>
    <r>
      <rPr>
        <sz val="10"/>
        <color theme="1"/>
        <rFont val="Times New Roman"/>
      </rPr>
      <t>- Интерактивная панель: диагональ 75 дюймов, 4K UHD, закалённое защитное стекло, антимикробное покрытие, защита от осколков, мульти язычный интерфейс;  - Система беспроводного подключения и вывода экрана личных устройств;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t>
    </r>
  </si>
  <si>
    <r>
      <rPr>
        <sz val="10"/>
        <color theme="1"/>
        <rFont val="Times New Roman"/>
      </rPr>
      <t>522-101-0255-0041 - Интерактивная панель New Line Lyra, 65  дюймов</t>
    </r>
  </si>
  <si>
    <t>Интерактивная панель New Line Lyra, 65  дюймов</t>
  </si>
  <si>
    <r>
      <rPr>
        <sz val="10"/>
        <color rgb="FF000000"/>
        <rFont val="Times New Roman"/>
      </rPr>
      <t xml:space="preserve">- Интерактивная панель New Line Lyra 65 дюймов (США) 4K UHD, RAM-4GB,64GB Android™ 11, 8-ядерный процессор;                       - ПО
</t>
    </r>
    <r>
      <rPr>
        <sz val="10"/>
        <color rgb="FF000000"/>
        <rFont val="Times New Roman"/>
      </rPr>
      <t xml:space="preserve">Newline Cast для транслирования экрана мобильных устройств на дисплей;
</t>
    </r>
    <r>
      <rPr>
        <sz val="10"/>
        <color rgb="FF000000"/>
        <rFont val="Times New Roman"/>
      </rPr>
      <t xml:space="preserve">- ПО Newline Broadcast для
</t>
    </r>
    <r>
      <rPr>
        <sz val="10"/>
        <color rgb="FF000000"/>
        <rFont val="Times New Roman"/>
      </rPr>
      <t>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</si>
  <si>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theme="1"/>
        <rFont val="Times New Roman"/>
      </rPr>
      <t>522-101-0255-0042 - Интерактивная панель New Line Lyra, 75 дюймов</t>
    </r>
  </si>
  <si>
    <r>
      <rPr>
        <sz val="10"/>
        <color rgb="FF000000"/>
        <rFont val="Times New Roman"/>
      </rPr>
      <t xml:space="preserve">Интерактивная Панель New Line Lyra 75.  дюймов (США)  4K UHD, RAM-8GB,64GB Android™ 11, 8-ядерный процессор;                       - ПО
</t>
    </r>
    <r>
      <rPr>
        <sz val="10"/>
        <color rgb="FF000000"/>
        <rFont val="Times New Roman"/>
      </rPr>
      <t xml:space="preserve">Newline Cast для транслирования экрана мобильных устройств на дисплей;
</t>
    </r>
    <r>
      <rPr>
        <sz val="10"/>
        <color rgb="FF000000"/>
        <rFont val="Times New Roman"/>
      </rPr>
      <t xml:space="preserve">- ПО Newline Broadcast для
</t>
    </r>
    <r>
      <rPr>
        <sz val="10"/>
        <color rgb="FF000000"/>
        <rFont val="Times New Roman"/>
      </rPr>
      <t>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</si>
  <si>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theme="1"/>
        <rFont val="Times New Roman"/>
      </rPr>
      <t>522-101-0255-0043 - Интерактивная панель New Line Lyra, 86 дюймов</t>
    </r>
  </si>
  <si>
    <r>
      <rPr>
        <sz val="10"/>
        <color rgb="FF000000"/>
        <rFont val="Times New Roman"/>
      </rPr>
      <t xml:space="preserve">Интерактивная Панель New Line Lyra 86 дюймов (США) 4K UHD, RAM-8GB,64GB Android™ 11, 8-ядерный процессор;
</t>
    </r>
    <r>
      <rPr>
        <sz val="10"/>
        <color rgb="FF000000"/>
        <rFont val="Times New Roman"/>
      </rPr>
      <t xml:space="preserve">- ПО Newline Cast для транслирования экрана мобильных устройств на дисплей;                                                                          - ПО Newline Broadcast
</t>
    </r>
    <r>
      <rPr>
        <sz val="10"/>
        <color rgb="FF000000"/>
        <rFont val="Times New Roman"/>
      </rPr>
      <t>для 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</si>
  <si>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theme="1"/>
        <rFont val="Times New Roman"/>
      </rPr>
      <t>522-101-0255-0044 - Интерактивная панель New Line Elara, 65 дюймов</t>
    </r>
  </si>
  <si>
    <r>
      <rPr>
        <sz val="10"/>
        <color rgb="FF000000"/>
        <rFont val="Times New Roman"/>
      </rPr>
      <t xml:space="preserve">Интерактивная Панель New Line Elara 65  дюймов (США) 4K UHD, RAM-8GB,128GB Android™ 11, 8-ядерный процессор, Optical Bonding, NFC, Camera;                                                                        -
</t>
    </r>
    <r>
      <rPr>
        <sz val="10"/>
        <color rgb="FF000000"/>
        <rFont val="Times New Roman"/>
      </rPr>
      <t xml:space="preserve">Антибактериальное защитное стекло;
</t>
    </r>
    <r>
      <rPr>
        <sz val="10"/>
        <color rgb="FF000000"/>
        <rFont val="Times New Roman"/>
      </rPr>
      <t xml:space="preserve">- Датчик движения;                                                                   - Newline
</t>
    </r>
    <r>
      <rPr>
        <sz val="10"/>
        <color rgb="FF000000"/>
        <rFont val="Times New Roman"/>
      </rPr>
      <t xml:space="preserve">Classroom Tools для проведения уроков;
</t>
    </r>
    <r>
      <rPr>
        <sz val="10"/>
        <color rgb="FF000000"/>
        <rFont val="Times New Roman"/>
      </rPr>
      <t xml:space="preserve">- Newline Engage для создания и проведения интерактивных уроков;
</t>
    </r>
    <r>
      <rPr>
        <sz val="10"/>
        <color rgb="FF000000"/>
        <rFont val="Times New Roman"/>
      </rPr>
      <t xml:space="preserve">- ПО Newline Cast для транслирования экрана мобильных устройств на дисплей;
</t>
    </r>
    <r>
      <rPr>
        <sz val="10"/>
        <color rgb="FF000000"/>
        <rFont val="Times New Roman"/>
      </rPr>
      <t xml:space="preserve">- ПО Newline Broadcast для вывода дисплея на 200 удаленных устройств;
</t>
    </r>
    <r>
      <rPr>
        <sz val="10"/>
        <color rgb="FF000000"/>
        <rFont val="Times New Roman"/>
      </rPr>
      <t>- ПО Newline Display Management чтобы управлять и отслеживать состояние всех устройств с одного единственного ПК;</t>
    </r>
  </si>
  <si>
    <r>
      <rPr>
        <sz val="10"/>
        <color theme="1"/>
        <rFont val="Times New Roman"/>
      </rPr>
      <t>522-101-0255-0045 - Интерактивная панель New Line Elara, 75 дюймов</t>
    </r>
  </si>
  <si>
    <r>
      <rPr>
        <sz val="10"/>
        <color rgb="FF000000"/>
        <rFont val="Times New Roman"/>
      </rPr>
      <t xml:space="preserve">Интерактивная Панель New Line Elara 75.  дюймов (США)  4K UHD, RAM-8GB,128GB Android™ 11, 8-ядерный процессор, Optical Bonding,
</t>
    </r>
    <r>
      <rPr>
        <sz val="10"/>
        <color rgb="FF000000"/>
        <rFont val="Times New Roman"/>
      </rPr>
      <t xml:space="preserve">NFC, Camera;                                               - Антибактериальное защитное стекло;                                                                            - Датчик движения;
</t>
    </r>
    <r>
      <rPr>
        <sz val="10"/>
        <color rgb="FF000000"/>
        <rFont val="Times New Roman"/>
      </rPr>
      <t xml:space="preserve">- Newline Classroom Tools для проведения
</t>
    </r>
    <r>
      <rPr>
        <sz val="10"/>
        <color rgb="FF000000"/>
        <rFont val="Times New Roman"/>
      </rPr>
      <t xml:space="preserve">уроков;                                                                       - Newline Engage для
</t>
    </r>
    <r>
      <rPr>
        <sz val="10"/>
        <color rgb="FF000000"/>
        <rFont val="Times New Roman"/>
      </rPr>
      <t xml:space="preserve">создания и проведения интерактивных уроков;                                                 - ПО Newline Cast для транслирования экрана мобильных устройств на дисплей;                                                                          - ПО Newline Broadcast
</t>
    </r>
    <r>
      <rPr>
        <sz val="10"/>
        <color rgb="FF000000"/>
        <rFont val="Times New Roman"/>
      </rPr>
      <t>для 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</si>
  <si>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theme="1"/>
        <rFont val="Times New Roman"/>
      </rPr>
      <t>522-101-0255-0046 - Интерактивная панель New Line Elara, 86 дюймов</t>
    </r>
  </si>
  <si>
    <r>
      <rPr>
        <sz val="10"/>
        <color rgb="FF000000"/>
        <rFont val="Times New Roman"/>
      </rPr>
      <t xml:space="preserve">Интерактивная Панель New Line Elara 86 дюймов (США) 4K UHD, RAM-8GB,128GB Android™ 11, 8-ядерный процессор, Optical Bonding,
</t>
    </r>
    <r>
      <rPr>
        <sz val="10"/>
        <color rgb="FF000000"/>
        <rFont val="Times New Roman"/>
      </rPr>
      <t xml:space="preserve">NFC, Camera;                                               - Антибактериальное защитное стекло;                                                                            - Датчик движения;
</t>
    </r>
    <r>
      <rPr>
        <sz val="10"/>
        <color rgb="FF000000"/>
        <rFont val="Times New Roman"/>
      </rPr>
      <t xml:space="preserve">- Newline Classroom Tools для проведения
</t>
    </r>
    <r>
      <rPr>
        <sz val="10"/>
        <color rgb="FF000000"/>
        <rFont val="Times New Roman"/>
      </rPr>
      <t xml:space="preserve">уроков;                                                                       - Newline Engage для
</t>
    </r>
    <r>
      <rPr>
        <sz val="10"/>
        <color rgb="FF000000"/>
        <rFont val="Times New Roman"/>
      </rPr>
      <t xml:space="preserve">создания и проведения интерактивных уроков;                                                 - ПО Newline Cast для транслирования экрана мобильных устройств на дисплей;                                                                          - ПО Newline Broadcast
</t>
    </r>
    <r>
      <rPr>
        <sz val="10"/>
        <color rgb="FF000000"/>
        <rFont val="Times New Roman"/>
      </rPr>
      <t>для вывода дисплея на 200 удаленных устройств;                             - ПО Newline Display Management чтобы управлять и отслеживать состояние всех устройств с одного единственного ПК;</t>
    </r>
  </si>
  <si>
    <r>
      <rPr>
        <sz val="10"/>
        <color rgb="FF000000"/>
        <rFont val="Times New Roman"/>
      </rPr>
      <t xml:space="preserve">522-101-0255-0057 - Интерактивная панель SMART SBID-MX275. 75
</t>
    </r>
    <r>
      <rPr>
        <sz val="10"/>
        <color rgb="FF000000"/>
        <rFont val="Times New Roman"/>
      </rPr>
      <t>диагональ с профессиональным ПО для создания 3D-моделей и готовых интерактивных уроков</t>
    </r>
  </si>
  <si>
    <t>Интерактивная панель SMART SBID-MX275. 75
диагональ с профессиональным ПО для создания 3D-моделей и готовых интерактивных уроков</t>
  </si>
  <si>
    <r>
      <rPr>
        <sz val="10"/>
        <color rgb="FF000000"/>
        <rFont val="Times New Roman"/>
      </rPr>
      <t xml:space="preserve">- Интерактивная панель SMART SBID-MX275-V3N(A73),  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Число касаний: 20 (Win, Mac); - Разъем HDMI 2.1 4K @ 60Hz with HDCP 1.4 and HDCP 2.3 support – 4 шт.
</t>
    </r>
    <r>
      <rPr>
        <sz val="10"/>
        <color rgb="FF000000"/>
        <rFont val="Times New Roman"/>
      </rPr>
      <t xml:space="preserve">LAN-in (RJ-45)1 шт. LAN-out (RJ-45 1 шт USB-A 3.0USB 3.2 Type-A – 4 шт.
</t>
    </r>
    <r>
      <rPr>
        <sz val="10"/>
        <color rgb="FF000000"/>
        <rFont val="Times New Roman"/>
      </rPr>
      <t xml:space="preserve">USB-C USB Type-C 8K @ 30Hz Display Port 1.4a, HDCP 2.3 and HDCP 1.3, USB 3.2 Gen 1; 4.5 W power delivery – 1 шт. Wi-Fi (802.11ac)IEEE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астрономия;культура.
</t>
    </r>
    <r>
      <rPr>
        <sz val="10"/>
        <color rgb="FF000000"/>
        <rFont val="Times New Roman"/>
      </rPr>
      <t>- Настенное крепление в комплекте;</t>
    </r>
  </si>
  <si>
    <r>
      <rPr>
        <sz val="10"/>
        <color theme="1"/>
        <rFont val="Times New Roman"/>
      </rPr>
      <t>522-101-0255-0059 - Интерактивная панель Promethean ActivPanel 9, 4K UHD, 75 дюймов</t>
    </r>
  </si>
  <si>
    <r>
      <rPr>
        <sz val="10"/>
        <color theme="1"/>
        <rFont val="Times New Roman"/>
      </rPr>
      <t>- Интерактивная панель 75' диагонали с типом экрана TFT LCD, с закаленным и антибликовым стеклом, временем отклика менее 8 мс; - Технология сенсор Vellum, точки продолжительного касания - 20, время отклика &lt;10мс, точность сенсора 1 мм; - Технология уменьшения синего цвета для снижения нагрузки на зрение ребенка и педагога; - ОС ActivPanel OS (на базе Android), поддержка Windows (совместимость с Windows, Mac, Linux, Chrome); - ПО ActivInspire Professional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Двойные фронтальные динамики 2 х 15 Вт; - Модуль Wi-Fi и Bluetooth Promethean; - Настенное крепление;</t>
    </r>
  </si>
  <si>
    <r>
      <rPr>
        <sz val="10"/>
        <color theme="1"/>
        <rFont val="Times New Roman"/>
      </rPr>
      <t>522-101-0255-0060 - Интерактивная панель Promethean ActivPanel LX, 4K UHD, 75 дюймов</t>
    </r>
  </si>
  <si>
    <r>
      <rPr>
        <sz val="10"/>
        <color rgb="FF000000"/>
        <rFont val="Times New Roman"/>
      </rPr>
      <t xml:space="preserve">Интерактивная панель ActivPanel LX 75 диагонали с типом экрана TFT LCD (прямая светодиодная подсветка), с термозакаленным и антибликовым стеклом и прочностью стекла: 8Н (карандаш), 7 (по Моосу), временем отклика менее 8 мс; технология сенсор Vellum, точки продолжительного касания - 20, время отклика &lt;10мс, точность сенсора 1 мм, толщина стекла
</t>
    </r>
    <r>
      <rPr>
        <sz val="10"/>
        <color rgb="FF000000"/>
        <rFont val="Times New Roman"/>
      </rPr>
      <t xml:space="preserve">3.2мм;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ActivPanel OS (на базе Android) и Windows (совместимость с Windows, Mac, Linux, Chrome); программное обеспечение ActivInspire Professional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Promethean OPS-A, операционная система Android, Wi-Fi Bluetooth; двойные фронтальные динамики 2 х 15 Вт; безбатарейная ручка для интерактивной панели (2шт); пульт дистанционного управления (1шт) и аккумуляторы для пульта (2шт); настенное крепление (1шт); кабель HDMI длиной 3м (1шт); кабель USB (A-B) длиной 3м (1шт); кабель USB-C длиной 2м (1шт); адаптер USB-А 3,0 х 3; внешний микрофон х 1; региональный кабель для питания длиной 3м (1шт); соответствие
</t>
    </r>
    <r>
      <rPr>
        <sz val="10"/>
        <color rgb="FF000000"/>
        <rFont val="Times New Roman"/>
      </rPr>
      <t>международному стандарту энергоэффективности Energy Star.</t>
    </r>
  </si>
  <si>
    <r>
      <rPr>
        <sz val="10"/>
        <color theme="1"/>
        <rFont val="Times New Roman"/>
      </rPr>
      <t>522-101-0255-0061 - Интерактивная панель H12-65</t>
    </r>
  </si>
  <si>
    <r>
      <rPr>
        <sz val="10"/>
        <color rgb="FF000000"/>
        <rFont val="Times New Roman"/>
      </rPr>
      <t xml:space="preserve">Интерактивная панель 65 дюймов, Android 11/Amlogic T982/ ARM Cortex A73*2*1.9 MHzA53*2*1.8 MHz/ Mali G52 MP22*950 MHz/4 Gb DDR4/32
</t>
    </r>
    <r>
      <rPr>
        <sz val="10"/>
        <color rgb="FF000000"/>
        <rFont val="Times New Roman"/>
      </rPr>
      <t xml:space="preserve">Gb и стандартное разрешение 4K/Ultra HD (3840*2160)/слот OPS для установки дополнительного компьютера/интерфейсы (HDMI, USB 2.0, USB 3.0, USBTypeC, USBTouch, RJ45, VGA, VGAAUDIO, EARPHON, MIC,
</t>
    </r>
    <r>
      <rPr>
        <sz val="10"/>
        <color rgb="FF000000"/>
        <rFont val="Times New Roman"/>
      </rPr>
      <t>SPDIF, RS232)/ Bluetooth 5.0, WiFi 2.4-5 Ghz/антибликовое и антивандальное покрытие экрана (в комплекте 2 маркера, 1 указка, пульт, крепление Vesa - 1 шт)</t>
    </r>
  </si>
  <si>
    <r>
      <rPr>
        <sz val="10"/>
        <color theme="1"/>
        <rFont val="Times New Roman"/>
      </rPr>
      <t>522-101-0255-0062 - Интерактивная панель H12-75</t>
    </r>
  </si>
  <si>
    <r>
      <rPr>
        <sz val="10"/>
        <color rgb="FF000000"/>
        <rFont val="Times New Roman"/>
      </rPr>
      <t xml:space="preserve">Интерактивная панель 75 дюймов; Android 12/V100/ ARM Cortex A55*8*1.9 MHz / Mali G52 MP22*950 MHz/8 Gb DDR4/128 Gb и стандартное разрешение 4K/Ultra HD (3840*2160) /слот OPS для установки дополнительного компьютера / интерфейсы (HDMI, USB 2.0, USB 3.0, USBTypeC, USBTouch, RJ45, VGA, VGAAUDIO, EARPHON, MIC, SPDIF,
</t>
    </r>
    <r>
      <rPr>
        <sz val="10"/>
        <color rgb="FF000000"/>
        <rFont val="Times New Roman"/>
      </rPr>
      <t>RS232)/ Bluetooth 5.0, WiFi 2.4-5 Ghz/ антибликовое и антивандальное покрытие экрана (в комплекте 2 маркера, 1 указка, пульт, крепление Vesa - 1 шт)</t>
    </r>
  </si>
  <si>
    <r>
      <rPr>
        <sz val="10"/>
        <color theme="1"/>
        <rFont val="Times New Roman"/>
      </rPr>
      <t>522-101-0255-0063 - Интерактивная панель H12-86</t>
    </r>
  </si>
  <si>
    <r>
      <rPr>
        <sz val="10"/>
        <color rgb="FF000000"/>
        <rFont val="Times New Roman"/>
      </rPr>
      <t xml:space="preserve">Интерактивная панель 86 дюймов, Android 11/Amlogic A311d2/ ARM Cortex A73*2*1.9 MHzA53*2*1.8 MHz/ Mali G52 MP22*950 MHz/4 Gb DDR4/32
</t>
    </r>
    <r>
      <rPr>
        <sz val="10"/>
        <color rgb="FF000000"/>
        <rFont val="Times New Roman"/>
      </rPr>
      <t xml:space="preserve">Gb и стандартное разрешение 4K/Ultra HD (3840*2160)/слот OPS для установки дополнительного компьютера/интерфейсы (HDMI, USB 2.0, USB 3.0, USBTypeC, USBTouch, RJ45, VGA, VGAAUDIO, EARPHON, MIC,
</t>
    </r>
    <r>
      <rPr>
        <sz val="10"/>
        <color rgb="FF000000"/>
        <rFont val="Times New Roman"/>
      </rPr>
      <t>SPDIF, RS232)/ Bluetooth 5.0, WiFi 2.4-5 Ghz/антибликовое и антивандальное покрытие экрана (в комплекте 2 маркера, 1 указка, пульт, крепление Vesa - 1 шт)</t>
    </r>
  </si>
  <si>
    <r>
      <rPr>
        <sz val="10"/>
        <color theme="1"/>
        <rFont val="Times New Roman"/>
      </rPr>
      <t>522-101-0255-0064 - Интерактивная панель H12-98</t>
    </r>
  </si>
  <si>
    <r>
      <rPr>
        <sz val="10"/>
        <color rgb="FF000000"/>
        <rFont val="Times New Roman"/>
      </rPr>
      <t xml:space="preserve">Интерактивная панель 98 дюймов, Android 11/Amlogic A311d2/ ARM Cortex A73*2*1.9 MHzA53*2*1.8 MHz/ Mali G52 MP22*950 MHz/4 Gb DDR4/32
</t>
    </r>
    <r>
      <rPr>
        <sz val="10"/>
        <color rgb="FF000000"/>
        <rFont val="Times New Roman"/>
      </rPr>
      <t xml:space="preserve">Gb и стандартное разрешение 4K/Ultra HD (3840*2160)/слот OPS для установки дополнительного компьютера/интерфейсы (HDMI, USB 2.0, USB 3.0, USBTypeC, USBTouch, RJ45, VGA, VGAAUDIO, EARPHON, MIC,
</t>
    </r>
    <r>
      <rPr>
        <sz val="10"/>
        <color rgb="FF000000"/>
        <rFont val="Times New Roman"/>
      </rPr>
      <t>SPDIF, RS232)/ Bluetooth 5.0, WiFi 2.4-5 Ghz/антибликовое и антивандальное покрытие экрана (в комплекте 2 маркера, 1 указка, пульт, крепление Vesa - 1 шт)</t>
    </r>
  </si>
  <si>
    <r>
      <rPr>
        <sz val="10"/>
        <color rgb="FF000000"/>
        <rFont val="Times New Roman"/>
      </rPr>
      <t xml:space="preserve">522-101-0255-0065 - Интерактивная система Smart SSP-GX175.
</t>
    </r>
    <r>
      <rPr>
        <sz val="10"/>
        <color rgb="FF000000"/>
        <rFont val="Times New Roman"/>
      </rPr>
      <t xml:space="preserve">Комплекс включает встроенный ПК Smart SSP (i5-13400 / 16GB DDR4 /
</t>
    </r>
    <r>
      <rPr>
        <sz val="10"/>
        <color rgb="FF000000"/>
        <rFont val="Times New Roman"/>
      </rPr>
      <t xml:space="preserve">SSD 512GB), профессиональное ПО для создания 3D-контента, цельнометаллический корпус Smart SSP с фирменной перфорацией и мобильную стойку на колёсиках.
</t>
    </r>
    <r>
      <rPr>
        <sz val="10"/>
        <color rgb="FF000000"/>
        <rFont val="Times New Roman"/>
      </rPr>
      <t>Работает на Windows 11</t>
    </r>
  </si>
  <si>
    <t>Интерактивная система Smart SSP-GX175.
Комплекс включает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</si>
  <si>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r>
      <rPr>
        <sz val="10"/>
        <color theme="1"/>
        <rFont val="Times New Roman"/>
      </rPr>
      <t>Интерактивная панель 75 диагональ/4K UHD (3840 × 2160)/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программное обеспечение: SMART Notebook® Basic, SMART Ink® и SMART Product Drivers; мобильная стойка на колёсиках Smart SSP для интерактивной панели 75 диагональ; компьютер i3-12100/RAM 8Gb/SSD240Gb/400w/корпус цельнометаллический корпус с перфорацией Smart SSP  ГОСТ 32126.1-2013; программное обеспечение Windows 10 PRO; кабель питания - 2 шт; USB кабель - 1 шт; маркеры - 2 шт; внешние двухдиапазонные антенны 2,4 и 5 ГГц (2 Wi-Fi, 1 точка доступа) - 3шт; пульт дистанционного управления - 1шт; батарейки ААА - 2шт.</t>
    </r>
  </si>
  <si>
    <r>
      <rPr>
        <sz val="10"/>
        <color theme="1"/>
        <rFont val="Times New Roman"/>
      </rPr>
      <t>522-101-0255-0066 - Интерактивная панель Smart SBID-GX075-V3(ОС SBID-GX175-V3), 75 дюймов</t>
    </r>
  </si>
  <si>
    <t>Интерактивная панель Smart SBID-GX075-V3(ОС SBID-GX175-V3), 75 дюймов</t>
  </si>
  <si>
    <r>
      <rPr>
        <sz val="10"/>
        <color theme="1"/>
        <rFont val="Times New Roman"/>
      </rPr>
      <t>Интерактивная панель Smart SBID-GX075-V3(ОС SBID-GX175-V3)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Операционнвя система Android 13.0(включая государственный - казахский язык); функция распознавания нескольких касаний: 20 – Windows® и Mac,10 – Chrome OS™; RS-232; проводной RJ45 (×2) 100baseT; Wi-Fi IEEE 802.11a/b/g/n/ac с 2 × 2; MIMO (диапазоны 2,4 и 5 ГГц) с поддержкой протоколов аутентификации WEP, WPA, WPA2 PSK и 802.1X EAP; точка доступа Wi-Fi; Bluetooth 5:0; USB; HDMI;DP;VGA; кабель питания - 1 шт; USB кабель - 1 шт; маркеры - 2 шт(крепится на раму); внешние двухдиапазонные антенны 2,4 и 5 ГГц (2 Wi-Fi, 1 точка доступа) - 3шт; пульт дистанционного управления - 1шт; батарейки ААА - 2шт; иллюстрированные инструкции по монтажу +документ с важной информацией  - 1шт. Яркость 400кд/м. Контраст 5000:1. Статистическая контрастность 1200:1. Максимальное разрешение 4K UHD (3840*2160), угол обзора 178. Память 8Gb; хранение 64Gb; Процессор Quad Core A55 (x4); Динамик - 2 встроенных динамика с мощностью 20ВТ с высокой точностью воспроизведения звука. Наличие ПО Smart Notebook; + ПО с 3D обьектами. Это библиотека с 1500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t>
    </r>
  </si>
  <si>
    <r>
      <rPr>
        <sz val="10"/>
        <color theme="1"/>
        <rFont val="Times New Roman"/>
      </rPr>
      <t>522-101-0255-0067 - Интерактивная панель ARYSTAN, 65 дюймов</t>
    </r>
  </si>
  <si>
    <r>
      <rPr>
        <sz val="10"/>
        <color theme="1"/>
        <rFont val="Times New Roman"/>
      </rPr>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r>
  </si>
  <si>
    <r>
      <rPr>
        <sz val="10"/>
        <color rgb="FF000000"/>
        <rFont val="Times New Roman"/>
      </rPr>
      <t xml:space="preserve">522-101-0255-0068 - Интерактивная система ARYSTAN 65 с персональным компьютером Intel Core i5-12400 / RAM-8GB / 512SSD
</t>
    </r>
    <r>
      <rPr>
        <sz val="10"/>
        <color rgb="FF000000"/>
        <rFont val="Times New Roman"/>
      </rPr>
      <t>/ Windows 11 Pro</t>
    </r>
  </si>
  <si>
    <t>Интерактивная система ARYSTAN 65 с персональным компьютером Intel Core i5-12400 / RAM-8GB / 512SSD
/ Windows 11 Pro</t>
  </si>
  <si>
    <r>
      <rPr>
        <sz val="10"/>
        <color rgb="FF000000"/>
        <rFont val="Times New Roman"/>
      </rPr>
      <t xml:space="preserve">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t>
    </r>
    <r>
      <rPr>
        <sz val="10"/>
        <color rgb="FF000000"/>
        <rFont val="Times New Roman"/>
      </rPr>
      <t>i5-12400 / RAM-8GB / 512SSD / Windows 11 Pro.</t>
    </r>
  </si>
  <si>
    <r>
      <rPr>
        <sz val="10"/>
        <color theme="1"/>
        <rFont val="Times New Roman"/>
      </rPr>
      <t>522-101-0255-0069 - Интерактивная панель ARYSTAN, 75 дюймов</t>
    </r>
  </si>
  <si>
    <t>Интерактивная панель ARYSTAN, 75 дюймов</t>
  </si>
  <si>
    <r>
      <rPr>
        <sz val="10"/>
        <color theme="1"/>
        <rFont val="Times New Roman"/>
      </rPr>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r>
  </si>
  <si>
    <r>
      <rPr>
        <sz val="10"/>
        <color rgb="FF000000"/>
        <rFont val="Times New Roman"/>
      </rPr>
      <t xml:space="preserve">522-101-0255-0070 - Интерактивная система ARYSTAN 75 с персональным компьютером Intel Core i5-12400 / RAM-8GB / 512SSD
</t>
    </r>
    <r>
      <rPr>
        <sz val="10"/>
        <color rgb="FF000000"/>
        <rFont val="Times New Roman"/>
      </rPr>
      <t>/ Windows 11 Pro</t>
    </r>
  </si>
  <si>
    <t>Интерактивная система ARYSTAN 75 с персональным компьютером Intel Core i5-12400 / RAM-8GB / 512SSD
/ Windows 11 Pro</t>
  </si>
  <si>
    <r>
      <rPr>
        <sz val="10"/>
        <color rgb="FF000000"/>
        <rFont val="Times New Roman"/>
      </rPr>
      <t xml:space="preserve">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t>
    </r>
    <r>
      <rPr>
        <sz val="10"/>
        <color rgb="FF000000"/>
        <rFont val="Times New Roman"/>
      </rPr>
      <t>i5-12400 / RAM-8GB / 512SSD / Windows 11 Pro.</t>
    </r>
  </si>
  <si>
    <r>
      <rPr>
        <sz val="10"/>
        <color theme="1"/>
        <rFont val="Times New Roman"/>
      </rPr>
      <t>522-101-0255-0071 - Интерактивная панель ARYSTAN, 86 дюймов</t>
    </r>
  </si>
  <si>
    <r>
      <rPr>
        <sz val="10"/>
        <color theme="1"/>
        <rFont val="Times New Roman"/>
      </rPr>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r>
  </si>
  <si>
    <r>
      <rPr>
        <sz val="10"/>
        <color rgb="FF000000"/>
        <rFont val="Times New Roman"/>
      </rPr>
      <t xml:space="preserve">522-101-0255-0072 - Интерактивная система ARYSTAN 86 с персональным компьютером Intel Core i5-12400 / RAM-8GB / 512SSD
</t>
    </r>
    <r>
      <rPr>
        <sz val="10"/>
        <color rgb="FF000000"/>
        <rFont val="Times New Roman"/>
      </rPr>
      <t>/ Windows 11 Pro</t>
    </r>
  </si>
  <si>
    <t>Интерактивная система ARYSTAN 86 с персональным компьютером Intel Core i5-12400 / RAM-8GB / 512SSD
/ Windows 11 Pro</t>
  </si>
  <si>
    <r>
      <rPr>
        <sz val="10"/>
        <color rgb="FF000000"/>
        <rFont val="Times New Roman"/>
      </rPr>
      <t xml:space="preserve">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t>
    </r>
    <r>
      <rPr>
        <sz val="10"/>
        <color rgb="FF000000"/>
        <rFont val="Times New Roman"/>
      </rPr>
      <t>i5-12400 / RAM-8GB / 512SSD / Windows 11 Pro.</t>
    </r>
  </si>
  <si>
    <r>
      <rPr>
        <sz val="10"/>
        <color theme="1"/>
        <rFont val="Times New Roman"/>
      </rPr>
      <t>522-101-0255-0073 - Интерактивная панель Samsung LH75WADWLGCXCI 75" диагонали</t>
    </r>
  </si>
  <si>
    <r>
      <rPr>
        <sz val="10"/>
        <color rgb="FF000000"/>
        <rFont val="Times New Roman"/>
      </rPr>
      <t xml:space="preserve">Комплектность: формат соотношения сторон: 16:9, срок работы: 50000 час, тип экрана: LCD, яркость: 400, динамическая контрастность: 5000:1, Ссатическая контрастность: 1200:1, время отклика: 8. Аудио: встроенные динамики: 2. Интерактивность: количество касаний: 40, точность позиционирования касаний: 1. Встроенный компьютер: операционная система: Да, количество ядер процессора: 4, оперативная память: 8, память:
</t>
    </r>
    <r>
      <rPr>
        <sz val="10"/>
        <color rgb="FF000000"/>
        <rFont val="Times New Roman"/>
      </rPr>
      <t>64. В комлпекте с настенным креплением.</t>
    </r>
  </si>
  <si>
    <r>
      <rPr>
        <sz val="10"/>
        <color rgb="FF000000"/>
        <rFont val="Times New Roman"/>
      </rPr>
      <t xml:space="preserve">522-101-0255-0074 - Интерактивная панель MAXON SD-75AN11 75"
</t>
    </r>
    <r>
      <rPr>
        <sz val="10"/>
        <color rgb="FF000000"/>
        <rFont val="Times New Roman"/>
      </rPr>
      <t xml:space="preserve">диагонали, со встраиваемым компьютером для панелей OPS i5/1035G1/8Gb/256SSD, с
</t>
    </r>
    <r>
      <rPr>
        <sz val="10"/>
        <color rgb="FF000000"/>
        <rFont val="Times New Roman"/>
      </rPr>
      <t>мобильной стойкой ONKRON TS1881</t>
    </r>
  </si>
  <si>
    <t>Интерактивная панель MAXON SD-75AN11 75"
диагонали, со встраиваемым компьютером для панелей OPS i5/1035G1/8Gb/256SSD, с
мобильной стойкой ONKRON TS1881</t>
  </si>
  <si>
    <r>
      <rPr>
        <sz val="9"/>
        <color rgb="FF000000"/>
        <rFont val="Times New Roman"/>
      </rPr>
      <t xml:space="preserve">Комплектность: формат соотношения сторон: 16:9, активная область: 1649.66 х 927.93(V)мм, разрешение: 3840х2160 / 60Гц, время работы Touch:
</t>
    </r>
    <r>
      <rPr>
        <sz val="9"/>
        <color rgb="FF000000"/>
        <rFont val="Times New Roman"/>
      </rPr>
      <t>&gt;30000 час, срок службы дисплея: 50000 час, угол обзора: 178°, яркость: max 550 cd/</t>
    </r>
    <r>
      <rPr>
        <sz val="10"/>
        <color rgb="FF000000"/>
        <rFont val="MS UI Gothic"/>
      </rPr>
      <t>㎡</t>
    </r>
    <r>
      <rPr>
        <sz val="9"/>
        <color rgb="FF000000"/>
        <rFont val="Times New Roman"/>
      </rPr>
      <t xml:space="preserve">, динамическая контрастность: 10000:1, время отклика: 5 мс, поддержка максимально одновременных прикосновений: 20, встроенный
</t>
    </r>
    <r>
      <rPr>
        <sz val="9"/>
        <color rgb="FF000000"/>
        <rFont val="Times New Roman"/>
      </rPr>
      <t>Android версии 11.0, центральный процессор: Cortex-A55 1.9GHz (chip Amlogic T982), графический процессор: Quad-core MaliG52 MP2, оперативная память: 4 Gb, память накопителя: 32 Gb.</t>
    </r>
  </si>
  <si>
    <r>
      <rPr>
        <sz val="10"/>
        <color rgb="FF000000"/>
        <rFont val="Times New Roman"/>
      </rPr>
      <t xml:space="preserve">522-101-0255-0075 - Интерактивная панель Hikvision 75" диагонали
</t>
    </r>
    <r>
      <rPr>
        <sz val="10"/>
        <color rgb="FF000000"/>
        <rFont val="Times New Roman"/>
      </rPr>
      <t>DS-D5B75RB/ELK</t>
    </r>
  </si>
  <si>
    <t>Интерактивная панель Hikvision 75" диагонали
DS-D5B75RB/ELK</t>
  </si>
  <si>
    <r>
      <rPr>
        <sz val="10"/>
        <color rgb="FF000000"/>
        <rFont val="Times New Roman"/>
      </rPr>
      <t xml:space="preserve">Комплектность: разрешение: 3840 × 2160 @60 Hz, яркость: 400 нит, время отклика: 6 мс, срок службы: 50000 час, соотношение сторон: 16:9.
</t>
    </r>
    <r>
      <rPr>
        <sz val="10"/>
        <color rgb="FF000000"/>
        <rFont val="Times New Roman"/>
      </rPr>
      <t>Встроенный компьютер: операционная система: Android, внутренняя память: 4 GB, объем накопителя: 32GB, аудио: встроенные динамики 2 шт., мощность: 15W.</t>
    </r>
  </si>
  <si>
    <r>
      <rPr>
        <sz val="10"/>
        <color theme="1"/>
        <rFont val="Times New Roman"/>
      </rPr>
      <t>522-101-0255-0077 - Интерактивная панель DigiTouch TS-65, 65 дюймов</t>
    </r>
  </si>
  <si>
    <t>Интерактивная панель DigiTouch TS-65, 65 дюймов</t>
  </si>
  <si>
    <r>
      <rPr>
        <sz val="10"/>
        <color rgb="FF000000"/>
        <rFont val="Times New Roman"/>
      </rPr>
      <t xml:space="preserve">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t>
    </r>
    <r>
      <rPr>
        <sz val="10"/>
        <color rgb="FF000000"/>
        <rFont val="Times New Roman"/>
      </rPr>
      <t>область 1 440.48х816.02 мм.</t>
    </r>
  </si>
  <si>
    <r>
      <rPr>
        <sz val="10"/>
        <color theme="1"/>
        <rFont val="Times New Roman"/>
      </rPr>
      <t>522-101-0255-0078 - Интерактивная панель DigiTouch TS-75, 75 дюймов</t>
    </r>
  </si>
  <si>
    <t>Интерактивная панель DigiTouch TS-75, 75 дюймов</t>
  </si>
  <si>
    <r>
      <rPr>
        <sz val="10"/>
        <color theme="1"/>
        <rFont val="Times New Roman"/>
      </rPr>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1 650.24х928.26 мм</t>
    </r>
  </si>
  <si>
    <r>
      <rPr>
        <sz val="10"/>
        <color theme="1"/>
        <rFont val="Times New Roman"/>
      </rPr>
      <t>522-101-0255-0079 - Интерактивная панель DigiTouch TS-86, 86 дюймов</t>
    </r>
  </si>
  <si>
    <t>Интерактивная панель DigiTouch TS-86, 86 дюймов</t>
  </si>
  <si>
    <r>
      <rPr>
        <sz val="10"/>
        <color theme="1"/>
        <rFont val="Times New Roman"/>
      </rPr>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1895.04х1065.96 мм</t>
    </r>
  </si>
  <si>
    <r>
      <rPr>
        <sz val="10"/>
        <color theme="1"/>
        <rFont val="Times New Roman"/>
      </rPr>
      <t>522-101-0255-0080 - Интерактивная панель DigiTouch BB-86V2, 86 дюймов</t>
    </r>
  </si>
  <si>
    <t>Интерактивная панель DigiTouch BB-86V2, 86 дюймов</t>
  </si>
  <si>
    <r>
      <rPr>
        <sz val="10"/>
        <color rgb="FF000000"/>
        <rFont val="Times New Roman"/>
      </rPr>
      <t xml:space="preserve">Комплектность: разрешение 3840х2160, яркость 550 кд/м2, контрастность 10 000:1, память 8+128 Гб, Android 11.0, 20 касаний, процессор Quad-core ARM Cortex-A53, графический процессор Mali-G52 MP2(2EE), Встроенный
</t>
    </r>
    <r>
      <rPr>
        <sz val="10"/>
        <color rgb="FF000000"/>
        <rFont val="Times New Roman"/>
      </rPr>
      <t>OPS компьютер I7 + ssd 256Гб + 8 Гб ОЗУ</t>
    </r>
  </si>
  <si>
    <r>
      <rPr>
        <sz val="10"/>
        <color theme="1"/>
        <rFont val="Times New Roman"/>
      </rPr>
      <t>522-101-0255-0081 - Интерактивная сенсорная панель 86TR3DK, 86 дюймов типа LG</t>
    </r>
  </si>
  <si>
    <t>Интерактивная сенсорная панель 86TR3DK, 86 дюймов типа LG</t>
  </si>
  <si>
    <r>
      <rPr>
        <sz val="10"/>
        <color theme="1"/>
        <rFont val="Times New Roman"/>
      </rPr>
      <t>Базовая комплектация: шнур питания (3 м × 1), USB-кабель (тип A-Тип B) 5 М × 1, кабель HDMI (3 М × 1), ручка для письма × 2 шт, руководство пользователя, QSG, картонная коробка, пульт дистанционного управления, модуль Wi-Fi</t>
    </r>
  </si>
  <si>
    <r>
      <rPr>
        <sz val="10"/>
        <color theme="1"/>
        <rFont val="Times New Roman"/>
      </rPr>
      <t>522-101-0255-0085 - Интерактивная панель Tactus panel, 75 дюймов</t>
    </r>
  </si>
  <si>
    <t>Интерактивная панель Tactus panel, 75 дюймов</t>
  </si>
  <si>
    <r>
      <rPr>
        <sz val="10"/>
        <color rgb="FF000000"/>
        <rFont val="Times New Roman"/>
      </rPr>
      <t xml:space="preserve">Диагональ: 75 дюймов. Разрешение экрана: 3840х2160 пикселей.
</t>
    </r>
    <r>
      <rPr>
        <sz val="10"/>
        <color rgb="FF000000"/>
        <rFont val="Times New Roman"/>
      </rPr>
      <t>Контрастность: 5500:1. Яркость: 350 кд/м2. Угол обзора по вертикали и горизонтали: 178 град. Количество точек касания: 40. Встроенные динамики: 2х16Вт. Объем накопителя: 32Гб. Встроенная операционная система: Android 13.0.</t>
    </r>
  </si>
  <si>
    <r>
      <rPr>
        <sz val="10"/>
        <color theme="1"/>
        <rFont val="Times New Roman"/>
      </rPr>
      <t>522-101-0255-0087 - Интерактивная панель Indota IVM-75, 75 дюймов</t>
    </r>
  </si>
  <si>
    <t>Интерактивная панель Indota IVM-75, 75 дюймов</t>
  </si>
  <si>
    <r>
      <rPr>
        <sz val="10"/>
        <color rgb="FF000000"/>
        <rFont val="Times New Roman"/>
      </rPr>
      <t xml:space="preserve">С камерой, формат соотношения сторон 16:9, срок работы дисплея 50 000 часов. Яркость дисплея 400 кд/м2, динамическая контрастность: 5000:1. Статической контрастность: 1200:1. Время отклика дисплея 8 мс. Тип экрана DLED 3840 x 2160 (4K UHD). Термозакаленное и антибликовое стекло толщиной 4 мм и с прочностью стекла 7 по шкале Моосу.
</t>
    </r>
    <r>
      <rPr>
        <sz val="10"/>
        <color rgb="FF000000"/>
        <rFont val="Times New Roman"/>
      </rPr>
      <t xml:space="preserve">Количество касаний дисплея - 40 касаний одновременно, точность позиционирования касаний 1 мм. Есть возможность распознавания как стилуса, так и касание руки и возможность стирания ладонью руки.
</t>
    </r>
    <r>
      <rPr>
        <sz val="10"/>
        <color rgb="FF000000"/>
        <rFont val="Times New Roman"/>
      </rPr>
      <t xml:space="preserve">Имеется встроенные двойные динамики 2 х 16 Ватт и восьмиканальный микрофон. Также имеется встроенная камера на 48 Мп, 4K@30 fps для видео-конференц-связи и записи уроков. Операционная система – предустановленная операционная система с возможностью установки и запуска образовательных приложений – Android 14. Операционная система имеет такие прикладные программы как: Лекционная доска (Whiteboard), Режим аннотаций (Annotate), Таймер (Timer), Генератор случайного порядка (Spinner), Захват экрана (Screen capture), Общий доступ к экрану (Screen Share), Браузер (Browser), Программа для чтения PDF файлов (PDF Reader), Медиаплеер (Media Player). Имеет возможность беспроводного соединения с ПК, смартфоном, планшетом через AirGo. Процессор интерактивной панели – 8 ядер A55; Оперативная память 8 Гб. Флэш память – 32 Гб.; Видео процессор GPU: Quad-core MaliG52 600M. В комплекте кронштейн для настенного крепления. Электропитание - Э1ф, 220В, 0,132кВт. Для подключения к внешним устройствам доступны различные порты: VGA x 1, HDMI x 2; Wi-Fi (802.11ac); Bluetooth 5.0;
</t>
    </r>
    <r>
      <rPr>
        <sz val="10"/>
        <color rgb="FF000000"/>
        <rFont val="Times New Roman"/>
      </rPr>
      <t xml:space="preserve">USB-A 3.0 x 3; USB-C x 1; LAN-in (RJ-45) x 1; LAN-out (RJ-45) x 1; Minijack
</t>
    </r>
    <r>
      <rPr>
        <sz val="10"/>
        <color rgb="FF000000"/>
        <rFont val="Times New Roman"/>
      </rPr>
      <t>3.5 x1, TF Card x1</t>
    </r>
  </si>
  <si>
    <r>
      <rPr>
        <sz val="10"/>
        <color rgb="FF000000"/>
        <rFont val="Times New Roman"/>
      </rPr>
      <t xml:space="preserve">522-101-0255-0094 - Интерактивная панель типа AHA
</t>
    </r>
    <r>
      <rPr>
        <sz val="10"/>
        <color rgb="FF000000"/>
        <rFont val="Times New Roman"/>
      </rPr>
      <t>HYBRID-8500-LC-JKKZ, 75 дюймов</t>
    </r>
  </si>
  <si>
    <t>Интерактивная панель типа AHA
HYBRID-8500-LC-JKKZ, 75 дюймов</t>
  </si>
  <si>
    <r>
      <rPr>
        <sz val="10"/>
        <color rgb="FF000000"/>
        <rFont val="Times New Roman"/>
      </rPr>
      <t xml:space="preserve">Интерактивная панель АНА HYBRID-8500-LC-JK-KZ. 75", Пульт дистанционного управления, кабель HDMI2.0 (3 м), сенсорный USB-кабель (А-В, 3 м), шнур питания переменного тока (1,8 м), карта NFC (2 шт.), Сенсорное перо (2 шт.), Ластик, кронштейн для настенного крепления.
</t>
    </r>
    <r>
      <rPr>
        <sz val="10"/>
        <color rgb="FF000000"/>
        <rFont val="Times New Roman"/>
      </rPr>
      <t xml:space="preserve">Диагональ 75", Соотношение сторон 16:9, Разрешение 3840 х 2160 пикселей, Входы/выходы: Спереди: USB-B(2.0) х l_(For Touch), HDMI 2.0 х 1, USB-C(DP Alt Mode) x 1, USB-A(3.0) x 3, NFC(Card), Снизу: MIC IN(3.5mm) x 1, LINE OUT(3.5mm) x 1, S/PDIF x 1, RS232C(DSUB9) x 1, HDMI(2.1) OUT x 1 USB-C(DP Alt Mode) OUT x 1, LAN IN/OUT(lG) x 2,
</t>
    </r>
    <r>
      <rPr>
        <sz val="10"/>
        <color rgb="FF000000"/>
        <rFont val="Times New Roman"/>
      </rPr>
      <t xml:space="preserve">USB-A(3.0) x l (Only Android) AV IN x 1, AUDIO In x 1, VGA x 1, Сбоку: HDMI(1.4B) x 1, USB-B(3.0) x l(For Touch), HDMI(2.0) x 2, USB-C(DP Alt Mode) IN x 1 DP(1.2) x 1, USB-A(3.0) x 2, SD CARD x 1, Выходы
</t>
    </r>
    <r>
      <rPr>
        <sz val="10"/>
        <color rgb="FF000000"/>
        <rFont val="Times New Roman"/>
      </rPr>
      <t xml:space="preserve">(Динамики) 16 Вт x 2 (Sub-woofer 20 Вт). Поверхность экрана, Антибликовое LCD закаленное стекло Подсветка D-LED, Инструмент ввода палец или сенсорное перо, Время отклика 8 мс, WIFI, Встроенный Android 13.0, Положение встроенного динамика, Спереди Слот для ПК (OPS) Да / Совместимость с Windows 10/11/ linux /mac os 10.10-10.14, Комплектация Пульт дистанционного управления, кабель HDMI2.0 (3 м), сенсорный
</t>
    </r>
    <r>
      <rPr>
        <sz val="10"/>
        <color rgb="FF000000"/>
        <rFont val="Times New Roman"/>
      </rPr>
      <t xml:space="preserve">USB-кабель (А-В, 3 м), шнур питания переменного тока (1,8 м), карта NFC
</t>
    </r>
    <r>
      <rPr>
        <sz val="10"/>
        <color rgb="FF000000"/>
        <rFont val="Times New Roman"/>
      </rPr>
      <t>(2 шт.), Сенсорное перо (2 шт.), Ластик, крепление на стену.</t>
    </r>
  </si>
  <si>
    <r>
      <rPr>
        <sz val="10"/>
        <color rgb="FF000000"/>
        <rFont val="Times New Roman"/>
      </rPr>
      <t xml:space="preserve">522-101-0255-0095 - Интерактивная сенсорная панель типа F3, INCH Silver 75CAM A311D2 A13/8/128GB
</t>
    </r>
    <r>
      <rPr>
        <sz val="10"/>
        <color rgb="FF000000"/>
        <rFont val="Times New Roman"/>
      </rPr>
      <t>(К), 75 дюймов</t>
    </r>
  </si>
  <si>
    <r>
      <rPr>
        <sz val="10"/>
        <color rgb="FF000000"/>
        <rFont val="Times New Roman"/>
      </rPr>
      <t xml:space="preserve">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t>
    </r>
    <r>
      <rPr>
        <sz val="10"/>
        <color rgb="FF000000"/>
        <rFont val="Times New Roman"/>
      </rPr>
      <t xml:space="preserve">Магнитные крепления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8GB; Внутренняя память 128GB; Wi-Fi: частота 2.4ГГц/5ГГц; Bluetooth частота 2.4ГГц/5ГГц; Передние интерфейсы: 1 x
</t>
    </r>
    <r>
      <rPr>
        <sz val="10"/>
        <color rgb="FF000000"/>
        <rFont val="Times New Roman"/>
      </rPr>
      <t xml:space="preserve">USB Type – C; 2 х USB 3.0 type-A; Боковые интерфейсы: 2 x HDMI IN 2.0; 1 x DP IN; 1 x Type-C; 1 x USB 2.0; 2 x USB 3.0;    3 х TOUCH; 1х OPS
</t>
    </r>
    <r>
      <rPr>
        <sz val="10"/>
        <color rgb="FF000000"/>
        <rFont val="Times New Roman"/>
      </rPr>
      <t xml:space="preserve">слот; Задние интерфейс: 1 x SPDIF; 1 x AUDIO OUT; 1 x HDMI OUT; 1x MIC IN; 1 x RS232 IN; 2 x RJ45; 1 x VGA IN; 1 х AUDIO IN. Vesa 800 х
</t>
    </r>
    <r>
      <rPr>
        <sz val="10"/>
        <color rgb="FF000000"/>
        <rFont val="Times New Roman"/>
      </rPr>
      <t>400мм. ПО и руководство; IWB стилус (ручка) без чернил 2 шт; 1х ПДУ; Кабель HDMI 3 м; Кабель USB Type A-B 3м; Кабель питания 3 м.</t>
    </r>
  </si>
  <si>
    <r>
      <rPr>
        <sz val="10"/>
        <color rgb="FF000000"/>
        <rFont val="Times New Roman"/>
      </rPr>
      <t xml:space="preserve">522-101-0255-0096 - Интерактивная сенсорная панель типа F3, INCH Silver 86CAM A311D2
</t>
    </r>
    <r>
      <rPr>
        <sz val="10"/>
        <color rgb="FF000000"/>
        <rFont val="Times New Roman"/>
      </rPr>
      <t>A13/16/256GB (К), 86 дюймов</t>
    </r>
  </si>
  <si>
    <t>Интерактивная сенсорная панель типа F3, INCH Silver 86CAM A311D2
A13/16/256GB (К), 86 дюймов</t>
  </si>
  <si>
    <r>
      <rPr>
        <sz val="10"/>
        <color rgb="FF000000"/>
        <rFont val="Times New Roman"/>
      </rPr>
      <t xml:space="preserve">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t>
    </r>
    <r>
      <rPr>
        <sz val="10"/>
        <color rgb="FF000000"/>
        <rFont val="Times New Roman"/>
      </rPr>
      <t xml:space="preserve">Магнитные креплений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16GB; Внутренняя память 256GB; Wi-Fi: частота 2.4ГГц/5ГГц; Bluetooth частота 2.4ГГц/5ГГц; Передние интерфейсы: 1 x USB Type – C; 2 х USB 3.0 type-A; Боковые интерфейсы: 2 x HDMI IN 2.0; 1 x DP IN; 1 x Type-C; 1 x USB 2.0; 2 x USB 3.0;    3 х TOUCH; 1х OPS слот;
</t>
    </r>
    <r>
      <rPr>
        <sz val="10"/>
        <color rgb="FF000000"/>
        <rFont val="Times New Roman"/>
      </rPr>
      <t xml:space="preserve">Задние интерфейс: 1 x SPDIF; 1 x AUDIO OUT; 1 x HDMI OUT; 1x MIC IN; 1 x RS232 IN; 2 x RJ45; 1 x VGA IN; 1 х AUDIO IN. Vesa 800 х 400мм. ПО и
</t>
    </r>
    <r>
      <rPr>
        <sz val="10"/>
        <color rgb="FF000000"/>
        <rFont val="Times New Roman"/>
      </rPr>
      <t>руководство; IWB стилус (ручка) без чернил 2 шт; 1х ПДУ; Кабель HDMI 3 м; Кабель USB Type A-B 3м; Кабель питания 3 м.</t>
    </r>
  </si>
  <si>
    <r>
      <rPr>
        <sz val="10"/>
        <color rgb="FF000000"/>
        <rFont val="Times New Roman"/>
      </rPr>
      <t xml:space="preserve">522-101-0255-0097 - Интерактивная
</t>
    </r>
    <r>
      <rPr>
        <sz val="10"/>
        <color rgb="FF000000"/>
        <rFont val="Times New Roman"/>
      </rPr>
      <t xml:space="preserve">панель 65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50</t>
    </r>
  </si>
  <si>
    <t>Интерактивная
панель 65 диагонали, 4K UHD (3840
× 2160), ADS LCD с
DLED-подсветкой. Технология касания: Super Glass High Precision.
Количество одновременных касаний: до 50</t>
  </si>
  <si>
    <r>
      <rPr>
        <sz val="10"/>
        <color rgb="FF000000"/>
        <rFont val="Times New Roman"/>
      </rPr>
      <t xml:space="preserve">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t>
    </r>
    <r>
      <rPr>
        <sz val="10"/>
        <color rgb="FF000000"/>
        <rFont val="Times New Roman"/>
      </rPr>
      <t xml:space="preserve">10/100/1000 Mbps)  • Аудиоразъемы: 3,5 мм (вход/выход), SPDIF  • Wi-Fi:
</t>
    </r>
    <r>
      <rPr>
        <sz val="10"/>
        <color rgb="FF000000"/>
        <rFont val="Times New Roman"/>
      </rPr>
      <t>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 2 стилуса с разными наконечниками  • Пульт дистанционного управления  • Кабели (HDMI, USB, питание)  • Встроенный Wi-Fi модуль  • Руководство пользователя</t>
    </r>
  </si>
  <si>
    <r>
      <rPr>
        <sz val="10"/>
        <color rgb="FF000000"/>
        <rFont val="Times New Roman"/>
      </rPr>
      <t xml:space="preserve">522-101-0255-0098 - Интерактивная
</t>
    </r>
    <r>
      <rPr>
        <sz val="10"/>
        <color rgb="FF000000"/>
        <rFont val="Times New Roman"/>
      </rPr>
      <t xml:space="preserve">панель 75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50</t>
    </r>
  </si>
  <si>
    <t>Интерактивная
панель 75 диагонали, 4K UHD (3840
× 2160), ADS LCD с
DLED-подсветкой. Технология касания: Super Glass High Precision.
Количество одновременных касаний: до 50</t>
  </si>
  <si>
    <r>
      <rPr>
        <sz val="10"/>
        <color rgb="FF000000"/>
        <rFont val="Times New Roman"/>
      </rPr>
      <t xml:space="preserve">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t>
    </r>
    <r>
      <rPr>
        <sz val="10"/>
        <color rgb="FF000000"/>
        <rFont val="Times New Roman"/>
      </rPr>
      <t xml:space="preserve">10/100/1000 Mbps)  • Аудиоразъемы: 3,5 мм (вход/выход), SPDIF  • Wi-Fi:
</t>
    </r>
    <r>
      <rPr>
        <sz val="10"/>
        <color rgb="FF000000"/>
        <rFont val="Times New Roman"/>
      </rPr>
      <t>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Полный доступ к экосистеме Google: Google Play Store Google Drive, Docs, Sheets Google Meet, Classroom YouTube, Chrome и другие сервисы Нативную</t>
    </r>
  </si>
  <si>
    <r>
      <rPr>
        <sz val="9"/>
        <color rgb="FF000000"/>
        <rFont val="Times New Roman"/>
      </rPr>
      <t xml:space="preserve">работу приложений прямо на панели — без дополнительных устройств и
</t>
    </r>
    <r>
      <rPr>
        <sz val="9"/>
        <color rgb="FF000000"/>
        <rFont val="Times New Roman"/>
      </rPr>
      <t xml:space="preserve">«костылей»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t>
    </r>
    <r>
      <rPr>
        <sz val="9"/>
        <color rgb="FF000000"/>
        <rFont val="Times New Roman"/>
      </rPr>
      <t xml:space="preserve">IT-инфраструктурой и Google Workspace  Комплектация:  • 2 стилуса с
</t>
    </r>
    <r>
      <rPr>
        <sz val="9"/>
        <color rgb="FF000000"/>
        <rFont val="Times New Roman"/>
      </rPr>
      <t>разными наконечниками  • Пульт дистанционного управления  • Кабели (HDMI, USB, питание)  • Встроенный Wi-Fi модуль  • Руководство пользователя</t>
    </r>
  </si>
  <si>
    <r>
      <rPr>
        <sz val="10"/>
        <color rgb="FF000000"/>
        <rFont val="Times New Roman"/>
      </rPr>
      <t xml:space="preserve">522-101-0255-0099 - Интерактивная
</t>
    </r>
    <r>
      <rPr>
        <sz val="10"/>
        <color rgb="FF000000"/>
        <rFont val="Times New Roman"/>
      </rPr>
      <t xml:space="preserve">панель 86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50</t>
    </r>
  </si>
  <si>
    <t>Интерактивная
панель 86 диагонали, 4K UHD (3840
× 2160), ADS LCD с
DLED-подсветкой. Технология касания: Super Glass High Precision.
Количество одновременных касаний: до 50</t>
  </si>
  <si>
    <r>
      <rPr>
        <sz val="10"/>
        <color rgb="FF000000"/>
        <rFont val="Times New Roman"/>
      </rPr>
      <t xml:space="preserve">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t>
    </r>
    <r>
      <rPr>
        <sz val="10"/>
        <color rgb="FF000000"/>
        <rFont val="Times New Roman"/>
      </rPr>
      <t xml:space="preserve">10/100/1000 Mbps)  • Аудиоразъемы: 3,5 мм (вход/выход), SPDIF  • Wi-Fi:
</t>
    </r>
    <r>
      <rPr>
        <sz val="10"/>
        <color rgb="FF000000"/>
        <rFont val="Times New Roman"/>
      </rPr>
      <t xml:space="preserve">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t>
    </r>
    <r>
      <rPr>
        <sz val="10"/>
        <color rgb="FF000000"/>
        <rFont val="Times New Roman"/>
      </rPr>
      <t>IT-инфраструктурой и Google Workspace Комплектация:  • 2 стилуса с</t>
    </r>
    <r>
      <rPr>
        <b/>
        <vertAlign val="superscript"/>
        <sz val="9"/>
        <color rgb="FF000000"/>
        <rFont val="Times New Roman"/>
      </rPr>
      <t xml:space="preserve">681
</t>
    </r>
    <r>
      <rPr>
        <sz val="10"/>
        <color rgb="FF000000"/>
        <rFont val="Times New Roman"/>
      </rPr>
      <t>разными наконечниками  • Пульт дистанционного управления  • Кабели (HDMI, USB, питание)  • Встроенный Wi-Fi модуль  • Руководство пользователя</t>
    </r>
  </si>
  <si>
    <r>
      <rPr>
        <sz val="10"/>
        <color rgb="FF000000"/>
        <rFont val="Times New Roman"/>
      </rPr>
      <t xml:space="preserve">522-101-0255-0100 - Интерактивная
</t>
    </r>
    <r>
      <rPr>
        <sz val="10"/>
        <color rgb="FF000000"/>
        <rFont val="Times New Roman"/>
      </rPr>
      <t xml:space="preserve">панель 75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40</t>
    </r>
  </si>
  <si>
    <t>Интерактивная
панель 75 диагонали, 4K UHD (3840
× 2160), ADS LCD с
DLED-подсветкой. Технология касания: Super Glass High Precision.
Количество одновременных касаний: до 40</t>
  </si>
  <si>
    <r>
      <rPr>
        <sz val="10"/>
        <color rgb="FF000000"/>
        <rFont val="Times New Roman"/>
      </rPr>
      <t xml:space="preserve">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 connect, PiP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t>
    </r>
    <r>
      <rPr>
        <sz val="10"/>
        <color rgb="FF000000"/>
        <rFont val="Times New Roman"/>
      </rPr>
      <t xml:space="preserve">IN/OUT, 10/100/1000 Mbps) • Аудиоразъемы: 3,5 мм (вход/выход), SPDIF •
</t>
    </r>
    <r>
      <rPr>
        <sz val="10"/>
        <color rgb="FF000000"/>
        <rFont val="Times New Roman"/>
      </rPr>
      <t>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r>
  </si>
  <si>
    <r>
      <rPr>
        <sz val="10"/>
        <color rgb="FF000000"/>
        <rFont val="Times New Roman"/>
      </rPr>
      <t xml:space="preserve">522-101-0255-0101 - Интерактивная
</t>
    </r>
    <r>
      <rPr>
        <sz val="10"/>
        <color rgb="FF000000"/>
        <rFont val="Times New Roman"/>
      </rPr>
      <t xml:space="preserve">панель 86 диагонали, 4K UHD (3840
</t>
    </r>
    <r>
      <rPr>
        <sz val="10"/>
        <color rgb="FF000000"/>
        <rFont val="Times New Roman"/>
      </rPr>
      <t xml:space="preserve">× 2160), ADS LCD с
</t>
    </r>
    <r>
      <rPr>
        <sz val="10"/>
        <color rgb="FF000000"/>
        <rFont val="Times New Roman"/>
      </rPr>
      <t xml:space="preserve">DLED-подсветкой. Технология касания: Super Glass High Precision.
</t>
    </r>
    <r>
      <rPr>
        <sz val="10"/>
        <color rgb="FF000000"/>
        <rFont val="Times New Roman"/>
      </rPr>
      <t>Количество одновременных касаний: до 40</t>
    </r>
  </si>
  <si>
    <t>Интерактивная
панель 86 диагонали, 4K UHD (3840
× 2160), ADS LCD с
DLED-подсветкой. Технология касания: Super Glass High Precision.
Количество одновременных касаний: до 40</t>
  </si>
  <si>
    <r>
      <rPr>
        <sz val="10"/>
        <color rgb="FF000000"/>
        <rFont val="Times New Roman"/>
      </rPr>
      <t xml:space="preserve">Основные характеристики: Диагональ экрана: 86" (216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Speechi
</t>
    </r>
    <r>
      <rPr>
        <sz val="10"/>
        <color rgb="FF000000"/>
        <rFont val="Times New Roman"/>
      </rPr>
      <t xml:space="preserve">connect, PiP.
</t>
    </r>
    <r>
      <rPr>
        <sz val="10"/>
        <color rgb="FF000000"/>
        <rFont val="Times New Roman"/>
      </rPr>
      <t xml:space="preserve">•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t>
    </r>
    <r>
      <rPr>
        <sz val="10"/>
        <color rgb="FF000000"/>
        <rFont val="Times New Roman"/>
      </rPr>
      <t xml:space="preserve">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t>
    </r>
    <r>
      <rPr>
        <sz val="10"/>
        <color rgb="FF000000"/>
        <rFont val="Times New Roman"/>
      </rPr>
      <t>питание), встроенный Wi-Fi модуль, руководство пользователя.</t>
    </r>
  </si>
  <si>
    <r>
      <rPr>
        <sz val="10"/>
        <color rgb="FF000000"/>
        <rFont val="Times New Roman"/>
      </rPr>
      <t xml:space="preserve">522-101-0256-0011 - Дисплей
</t>
    </r>
    <r>
      <rPr>
        <sz val="10"/>
        <color rgb="FF000000"/>
        <rFont val="Times New Roman"/>
      </rPr>
      <t>профессиональный 98UH5J-H 98" диагонали, типа LG</t>
    </r>
  </si>
  <si>
    <t>Дисплей
профессиональный 98UH5J-H 98"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</si>
  <si>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t>
    </r>
  </si>
  <si>
    <r>
      <rPr>
        <sz val="10"/>
        <color rgb="FF000000"/>
        <rFont val="Times New Roman"/>
      </rPr>
      <t xml:space="preserve">522-101-0256-0012 - Дисплей
</t>
    </r>
    <r>
      <rPr>
        <sz val="10"/>
        <color rgb="FF000000"/>
        <rFont val="Times New Roman"/>
      </rPr>
      <t>профессиональный 86UH5J-H 86" диагонали, типа LG</t>
    </r>
  </si>
  <si>
    <t>Дисплей
профессиональный 86UH5J-H 86"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</si>
  <si>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r>
  </si>
  <si>
    <r>
      <rPr>
        <sz val="10"/>
        <color rgb="FF000000"/>
        <rFont val="Times New Roman"/>
      </rPr>
      <t xml:space="preserve">522-101-0256-0013 - Дисплей
</t>
    </r>
    <r>
      <rPr>
        <sz val="10"/>
        <color rgb="FF000000"/>
        <rFont val="Times New Roman"/>
      </rPr>
      <t>профессиональный 75UH5J-H 75" диагонали, типа LG</t>
    </r>
  </si>
  <si>
    <t>Дисплей
профессиональный 75UH5J-H 75"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</si>
  <si>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r>
  </si>
  <si>
    <r>
      <rPr>
        <sz val="10"/>
        <color rgb="FF000000"/>
        <rFont val="Times New Roman"/>
      </rPr>
      <t xml:space="preserve">522-101-0256-0014 - Дисплей
</t>
    </r>
    <r>
      <rPr>
        <sz val="10"/>
        <color rgb="FF000000"/>
        <rFont val="Times New Roman"/>
      </rPr>
      <t>профессиональный 65UH5N-E 65" диагонали, типа LG</t>
    </r>
  </si>
  <si>
    <t>Дисплей
профессиональный 65UH5N-E 65"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</si>
  <si>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r>
  </si>
  <si>
    <r>
      <rPr>
        <sz val="10"/>
        <color rgb="FF000000"/>
        <rFont val="Times New Roman"/>
      </rPr>
      <t xml:space="preserve">522-101-0256-0015 - Дисплей
</t>
    </r>
    <r>
      <rPr>
        <sz val="10"/>
        <color rgb="FF000000"/>
        <rFont val="Times New Roman"/>
      </rPr>
      <t>профессиональный 55UH5N-E 55" диагонали, типа LG</t>
    </r>
  </si>
  <si>
    <t>Дисплей
профессиональный 55UH5N-E 55"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</si>
  <si>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r>
  </si>
  <si>
    <r>
      <rPr>
        <sz val="10"/>
        <color rgb="FF000000"/>
        <rFont val="Times New Roman"/>
      </rPr>
      <t xml:space="preserve">522-101-0256-0016 - Дисплей
</t>
    </r>
    <r>
      <rPr>
        <sz val="10"/>
        <color rgb="FF000000"/>
        <rFont val="Times New Roman"/>
      </rPr>
      <t>профессиональный 49UH5N-E 49" диагонали, типа LG</t>
    </r>
  </si>
  <si>
    <t>Дисплей
профессиональный 49UH5N-E 49"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</si>
  <si>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r>
  </si>
  <si>
    <r>
      <rPr>
        <sz val="10"/>
        <color rgb="FF000000"/>
        <rFont val="Times New Roman"/>
      </rPr>
      <t xml:space="preserve">522-101-0256-0017 - Дисплей
</t>
    </r>
    <r>
      <rPr>
        <sz val="10"/>
        <color rgb="FF000000"/>
        <rFont val="Times New Roman"/>
      </rPr>
      <t>профессиональный 43UH5N-E 43" диагонали, типа LG</t>
    </r>
  </si>
  <si>
    <t>Дисплей
профессиональный 43UH5N-E 43" диагонали, типа LG</t>
  </si>
  <si>
    <r>
      <rPr>
        <sz val="10"/>
        <color theme="1"/>
        <rFont val="Times New Roman"/>
      </rPr>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r>
  </si>
  <si>
    <r>
      <rPr>
        <sz val="10"/>
        <color rgb="FF000000"/>
        <rFont val="Times New Roman"/>
      </rPr>
      <t xml:space="preserve">522-101-0256-0019 - Дисплей
</t>
    </r>
    <r>
      <rPr>
        <sz val="10"/>
        <color rgb="FF000000"/>
        <rFont val="Times New Roman"/>
      </rPr>
      <t>профессиональный 32SM5J-B 32" диагонали, типа LG</t>
    </r>
  </si>
  <si>
    <t>Дисплей
профессиональный 32SM5J-B 32" диагонали, типа LG</t>
  </si>
  <si>
    <r>
      <rPr>
        <sz val="10"/>
        <color theme="1"/>
        <rFont val="Times New Roman"/>
      </rPr>
      <t>Базовый пульт дистанционного управления, шнур питания, QSG, кабель HDMI, подключение телефона к RS-232C Дополнительно приобретаемая комплектация: (ST-322 T), настенный кронштейн (LSW230B), адаптер VESA (AM-B220S)</t>
    </r>
  </si>
  <si>
    <r>
      <rPr>
        <sz val="10"/>
        <color rgb="FF000000"/>
        <rFont val="Times New Roman"/>
      </rPr>
      <t xml:space="preserve">522-101-0256-0020 - Дисплей
</t>
    </r>
    <r>
      <rPr>
        <sz val="10"/>
        <color rgb="FF000000"/>
        <rFont val="Times New Roman"/>
      </rPr>
      <t>профессиональный 22SM3G 22" диагонали, типа LG</t>
    </r>
  </si>
  <si>
    <t>Дисплей
профессиональный 22SM3G 22" диагонали, типа LG</t>
  </si>
  <si>
    <r>
      <rPr>
        <sz val="10"/>
        <color theme="1"/>
        <rFont val="Times New Roman"/>
      </rPr>
      <t>Пульт дистанционного управления, шнур питания, QSG, кабель HDMI, подключение телефона к RS232C, внешний ИК-порт, ИК-панель</t>
    </r>
  </si>
  <si>
    <r>
      <rPr>
        <sz val="10"/>
        <color rgb="FF000000"/>
        <rFont val="Times New Roman"/>
      </rPr>
      <t xml:space="preserve">522-101-0256-0021 - Дисплей
</t>
    </r>
    <r>
      <rPr>
        <sz val="10"/>
        <color rgb="FF000000"/>
        <rFont val="Times New Roman"/>
      </rPr>
      <t>профессиональный 55VSH7J-H 55" диагонали, типа LG</t>
    </r>
  </si>
  <si>
    <t>Дисплей
профессиональный 55VSH7J-H 55" диагонали, типа LG</t>
  </si>
  <si>
    <r>
      <rPr>
        <sz val="10"/>
        <color theme="1"/>
        <rFont val="Times New Roman"/>
      </rPr>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r>
  </si>
  <si>
    <r>
      <rPr>
        <sz val="10"/>
        <color rgb="FF000000"/>
        <rFont val="Times New Roman"/>
      </rPr>
      <t xml:space="preserve">522-101-0256-0022 - Дисплей
</t>
    </r>
    <r>
      <rPr>
        <sz val="10"/>
        <color rgb="FF000000"/>
        <rFont val="Times New Roman"/>
      </rPr>
      <t>профессиональный 55VSM5J-H 55" диагонали, типа LG</t>
    </r>
  </si>
  <si>
    <t>Дисплей
профессиональный 55VSM5J-H 55" диагонали, типа LG</t>
  </si>
  <si>
    <r>
      <rPr>
        <sz val="10"/>
        <color theme="1"/>
        <rFont val="Times New Roman"/>
      </rPr>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r>
  </si>
  <si>
    <r>
      <rPr>
        <sz val="10"/>
        <color rgb="FF000000"/>
        <rFont val="Times New Roman"/>
      </rPr>
      <t xml:space="preserve">522-101-0256-0023 - Дисплей
</t>
    </r>
    <r>
      <rPr>
        <sz val="10"/>
        <color rgb="FF000000"/>
        <rFont val="Times New Roman"/>
      </rPr>
      <t>профессиональный 55VH7J-H 55" диагонали, типа LG</t>
    </r>
  </si>
  <si>
    <t>Дисплей
профессиональный 55VH7J-H 55" диагонали, типа LG</t>
  </si>
  <si>
    <r>
      <rPr>
        <sz val="10"/>
        <color theme="1"/>
        <rFont val="Times New Roman"/>
      </rPr>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r>
  </si>
  <si>
    <r>
      <rPr>
        <sz val="10"/>
        <color rgb="FF000000"/>
        <rFont val="Times New Roman"/>
      </rPr>
      <t xml:space="preserve">522-101-0256-0024 - Дисплей
</t>
    </r>
    <r>
      <rPr>
        <sz val="10"/>
        <color rgb="FF000000"/>
        <rFont val="Times New Roman"/>
      </rPr>
      <t>профессиональный 55VM5E-A 55" диагонали, типа LG</t>
    </r>
  </si>
  <si>
    <t>Дисплей
профессиональный 55VM5E-A 55" диагонали, типа LG</t>
  </si>
  <si>
    <r>
      <rPr>
        <sz val="10"/>
        <color theme="1"/>
        <rFont val="Times New Roman"/>
      </rPr>
      <t>Пульт дистанционного управления, инструкция, кабель питания, кабель RS-232C, кабель DisplayPort, ИК-приемник</t>
    </r>
  </si>
  <si>
    <r>
      <rPr>
        <sz val="10"/>
        <color rgb="FF000000"/>
        <rFont val="Times New Roman"/>
      </rPr>
      <t xml:space="preserve">522-101-0256-0025 - Дисплей
</t>
    </r>
    <r>
      <rPr>
        <sz val="10"/>
        <color rgb="FF000000"/>
        <rFont val="Times New Roman"/>
      </rPr>
      <t>профессиональный 55VM5J-H 55" диагонали, типа LG</t>
    </r>
  </si>
  <si>
    <t>Дисплей
профессиональный 55VM5J-H 55" диагонали, типа LG</t>
  </si>
  <si>
    <r>
      <rPr>
        <sz val="10"/>
        <color theme="1"/>
        <rFont val="Times New Roman"/>
      </rPr>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r>
  </si>
  <si>
    <r>
      <rPr>
        <sz val="10"/>
        <color rgb="FF000000"/>
        <rFont val="Times New Roman"/>
      </rPr>
      <t xml:space="preserve">522-101-0256-0026 - Дисплей
</t>
    </r>
    <r>
      <rPr>
        <sz val="10"/>
        <color rgb="FF000000"/>
        <rFont val="Times New Roman"/>
      </rPr>
      <t>профессиональный 55VL7F 55" диагонали, типа LG</t>
    </r>
  </si>
  <si>
    <t>Дисплей
профессиональный 55VL7F 55" диагонали, типа LG</t>
  </si>
  <si>
    <r>
      <rPr>
        <sz val="10"/>
        <color theme="1"/>
        <rFont val="Times New Roman"/>
      </rPr>
      <t>Базовая комплектация: пульт дистанционного управления, шнур питания, кабель RS 232C, кабель DP, ИК-приемник, направляющий кронштейн, винты, инструкция  Дополнительно приобретаемая комплектация: (альбомная ориентация: WM-L640V, портретная ориентация: WM-P640V)</t>
    </r>
  </si>
  <si>
    <r>
      <rPr>
        <sz val="10"/>
        <color rgb="FF000000"/>
        <rFont val="Times New Roman"/>
      </rPr>
      <t xml:space="preserve">522-101-0256-0027 - Дисплей
</t>
    </r>
    <r>
      <rPr>
        <sz val="10"/>
        <color rgb="FF000000"/>
        <rFont val="Times New Roman"/>
      </rPr>
      <t>профессиональный 55VL5PJ 55" диагонали, типа LG</t>
    </r>
  </si>
  <si>
    <t>Дисплей
профессиональный 55VL5PJ 55" диагонали, типа LG</t>
  </si>
  <si>
    <r>
      <rPr>
        <sz val="10"/>
        <color theme="1"/>
        <rFont val="Times New Roman"/>
      </rPr>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t>
    </r>
  </si>
  <si>
    <r>
      <rPr>
        <sz val="10"/>
        <color rgb="FF000000"/>
        <rFont val="Times New Roman"/>
      </rPr>
      <t xml:space="preserve">522-101-0256-0028 - Дисплей
</t>
    </r>
    <r>
      <rPr>
        <sz val="10"/>
        <color rgb="FF000000"/>
        <rFont val="Times New Roman"/>
      </rPr>
      <t>профессиональный 49VL5G-M 49" диагонали, типа LG</t>
    </r>
  </si>
  <si>
    <t>Дисплей
профессиональный 49VL5G-M 49" диагонали, типа LG</t>
  </si>
  <si>
    <r>
      <rPr>
        <sz val="10"/>
        <color theme="1"/>
        <rFont val="Times New Roman"/>
      </rPr>
      <t>Базовая комплектация: пульт ДУ (2 батарейки ААА), кабель питания заземленный (евровилка), RS-232C кабель, DP кабель, ИК-приемник, шаблон монтажа на стену, винты, руководство пользователя</t>
    </r>
  </si>
  <si>
    <r>
      <rPr>
        <sz val="10"/>
        <color rgb="FF000000"/>
        <rFont val="Times New Roman"/>
      </rPr>
      <t xml:space="preserve">522-101-0257-0009 - Мобильная
</t>
    </r>
    <r>
      <rPr>
        <sz val="10"/>
        <color rgb="FF000000"/>
        <rFont val="Times New Roman"/>
      </rPr>
      <t>стойка для интерактивных панелей диагональю 65-98 дюймов</t>
    </r>
  </si>
  <si>
    <t>Мобильная
стойка для интерактивных панелей диагональю 65-98 дюймов</t>
  </si>
  <si>
    <r>
      <rPr>
        <sz val="10"/>
        <color theme="1"/>
        <rFont val="Times New Roman"/>
      </rPr>
      <t>Мобильная стойка для интерактивных панелей, цвет черный, максимальная нагрузка не менее 120кг, крепление мобильное, материал сталь, стандарт vesa 600*400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манёвренных и надёжных колесика позволяют передвигать стойку в любое удобное для вас место в помещении, интегрированные фиксаторы положения в каждом из них, смогут надёжно её зафиксировать и избежать случайного перемещения.</t>
    </r>
  </si>
  <si>
    <r>
      <rPr>
        <sz val="10"/>
        <color rgb="FF000000"/>
        <rFont val="Times New Roman"/>
      </rPr>
      <t xml:space="preserve">522-101-0257-0013 - Стойка
</t>
    </r>
    <r>
      <rPr>
        <sz val="10"/>
        <color rgb="FF000000"/>
        <rFont val="Times New Roman"/>
      </rPr>
      <t>мобильная типа F3, TS-1881, для панели интерактивной на колесиках, дюйм от 65 до 75 дюймов</t>
    </r>
  </si>
  <si>
    <t>Стойка
мобильная типа F3, TS-1881, для панели интерактивной на колесиках, дюйм от 65 до 75 дюймов</t>
  </si>
  <si>
    <r>
      <rPr>
        <sz val="10"/>
        <color rgb="FF000000"/>
        <rFont val="Times New Roman"/>
      </rPr>
      <t xml:space="preserve">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t>
    </r>
    <r>
      <rPr>
        <sz val="10"/>
        <color rgb="FF000000"/>
        <rFont val="Times New Roman"/>
      </rPr>
      <t>Упаковка имеет логотип производителя с заводским нанесением. 4 колесика, 2 подставки, крепление для камеры и болты.</t>
    </r>
  </si>
  <si>
    <r>
      <rPr>
        <sz val="10"/>
        <color rgb="FF000000"/>
        <rFont val="Times New Roman"/>
      </rPr>
      <t xml:space="preserve">522-101-0257-0014 - Стойка
</t>
    </r>
    <r>
      <rPr>
        <sz val="10"/>
        <color rgb="FF000000"/>
        <rFont val="Times New Roman"/>
      </rPr>
      <t>мобильная типа F3, FMR-01-86, для панели интерактивной на колесиках, дюйм от 65 до 86 дюймов</t>
    </r>
  </si>
  <si>
    <t>Стойка
мобильная типа F3, FMR-01-86, для панели интерактивной на колесиках, дюйм от 65 до 86 дюймов</t>
  </si>
  <si>
    <r>
      <rPr>
        <sz val="10"/>
        <color rgb="FF000000"/>
        <rFont val="Times New Roman"/>
      </rPr>
      <t xml:space="preserve">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t>
    </r>
    <r>
      <rPr>
        <sz val="10"/>
        <color rgb="FF000000"/>
        <rFont val="Times New Roman"/>
      </rPr>
      <t>Упаковка имеет логотип производителя с заводским нанесением. 4 колесика, подставка, крепление для камеры и болты.</t>
    </r>
  </si>
  <si>
    <r>
      <rPr>
        <sz val="10"/>
        <color rgb="FF000000"/>
        <rFont val="Times New Roman"/>
      </rPr>
      <t xml:space="preserve">522-101-0257-0015 - Компьютер
</t>
    </r>
    <r>
      <rPr>
        <sz val="10"/>
        <color rgb="FF000000"/>
        <rFont val="Times New Roman"/>
      </rPr>
      <t>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r>
  </si>
  <si>
    <t>Компьютер
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</si>
  <si>
    <r>
      <rPr>
        <sz val="10"/>
        <color theme="1"/>
        <rFont val="Times New Roman"/>
      </rPr>
      <t>Тактовая частота: 3200 МГц; Твердотельный диск: SSD. Твердотельный диск: память: 512 GB; Внутренний разъем 1 х M2; Интерфейсы подключения 1 x USB 2.0 Type-A; 5 x USB 3.0 Type-A; 1xHDMI; 1xDP; 1 x RJ-45; 1x USB Type-C; 1 x AUDIO OUT; 1 x MIC IN. Антенны -2 шт.</t>
    </r>
  </si>
  <si>
    <r>
      <rPr>
        <sz val="10"/>
        <color rgb="FF000000"/>
        <rFont val="Times New Roman"/>
      </rPr>
      <t xml:space="preserve">522-101-0258-0001 - LED экран
</t>
    </r>
    <r>
      <rPr>
        <sz val="10"/>
        <color rgb="FF000000"/>
        <rFont val="Times New Roman"/>
      </rPr>
      <t>модульный светодиодный типа iDC, шаг пикселя 2,5 мм, размерами 3500 мм х 2000 мм</t>
    </r>
  </si>
  <si>
    <t>LED экран
модульный светодиодный типа iDC, шаг пикселя 2,5 мм, размерами 3500 мм х 2000 мм</t>
  </si>
  <si>
    <r>
      <rPr>
        <sz val="10"/>
        <color theme="1"/>
        <rFont val="Times New Roman"/>
      </rPr>
      <t>Комплектность: консоль управления видео NovaStar C1,  джойстик, T-Bar, металлокаркас из квадратной стальной трубы размером 50 мм х 50 мм</t>
    </r>
  </si>
  <si>
    <r>
      <rPr>
        <sz val="10"/>
        <color rgb="FF000000"/>
        <rFont val="Times New Roman"/>
      </rPr>
      <t xml:space="preserve">522-101-0259-0001 - Трибуна
</t>
    </r>
    <r>
      <rPr>
        <sz val="10"/>
        <color rgb="FF000000"/>
        <rFont val="Times New Roman"/>
      </rPr>
      <t xml:space="preserve">интерактивная сенсорная типа iDC Tribune 22", размерами 600 мм х
</t>
    </r>
    <r>
      <rPr>
        <sz val="10"/>
        <color rgb="FF000000"/>
        <rFont val="Times New Roman"/>
      </rPr>
      <t>600 мм х 1100 мм</t>
    </r>
  </si>
  <si>
    <t>Трибуна
интерактивная сенсорная типа iDC Tribune 22", размерами 600 мм х
600 мм х 1100 мм</t>
  </si>
  <si>
    <r>
      <rPr>
        <sz val="10"/>
        <color rgb="FF000000"/>
        <rFont val="Times New Roman"/>
      </rPr>
      <t xml:space="preserve">Комплектность: встроенный компьютер (CPU Intel Core i5-10400 2,9GHz (4,3GHz) 12Mb 6/12 Core Comet Lake Intel® UHD 630 65W FCLGA1200 Tray - 1 шт., оперативная память 16GB GEIL 2666MHz DDR4 PC4-21300 19-19-19-43 GN416GB2666C19S Bulk Pack - 1 шт., твердотельный накопитель 512GB SSD GEIL GZ25Z3-512GP ZENITH Z3 Series2.5”
</t>
    </r>
    <r>
      <rPr>
        <sz val="10"/>
        <color rgb="FF000000"/>
        <rFont val="Times New Roman"/>
      </rPr>
      <t xml:space="preserve">SATAIII R520MB/s W470MB/s, OS Win 11PRO - 1 шт., монитор 21,5 дюйма
</t>
    </r>
    <r>
      <rPr>
        <sz val="10"/>
        <color rgb="FF000000"/>
        <rFont val="Times New Roman"/>
      </rPr>
      <t xml:space="preserve">- 1 шт., сенсорное стекло 10 касаний, 1920:1080, 75Гц, встроенный микшер
</t>
    </r>
    <r>
      <rPr>
        <sz val="10"/>
        <color rgb="FF000000"/>
        <rFont val="Times New Roman"/>
      </rPr>
      <t>- усилитель DSPPA MP310U и акустическая система 4 канальная, петличный микрофон - 2 шт., микрофон "Гусиная Шея" настольный - 1 шт., фасадное закаленное стекло толщиной 6 мм закрепленное на металлокаркасе.</t>
    </r>
  </si>
  <si>
    <r>
      <rPr>
        <sz val="10"/>
        <color theme="1"/>
        <rFont val="Times New Roman"/>
      </rPr>
      <t>522-101-0314 - Огнетушитель</t>
    </r>
  </si>
  <si>
    <r>
      <rPr>
        <sz val="10"/>
        <color theme="1"/>
        <rFont val="Times New Roman"/>
      </rPr>
      <t>Огнетушитель</t>
    </r>
  </si>
  <si>
    <r>
      <rPr>
        <sz val="10"/>
        <color rgb="FF000000"/>
        <rFont val="Times New Roman"/>
      </rPr>
      <t xml:space="preserve">522-101-0316-0001 - Мольберт
</t>
    </r>
    <r>
      <rPr>
        <sz val="10"/>
        <color rgb="FF000000"/>
        <rFont val="Times New Roman"/>
      </rPr>
      <t>низкий складной, размеры не менее 600х1000мм</t>
    </r>
  </si>
  <si>
    <t>Мольберт
низкий складной, размеры не менее 600х1000мм</t>
  </si>
  <si>
    <r>
      <rPr>
        <sz val="10"/>
        <color theme="1"/>
        <rFont val="Times New Roman"/>
      </rPr>
      <t>Мольберт низкий складной, размеры не менее 600х1000мм</t>
    </r>
  </si>
  <si>
    <r>
      <rPr>
        <sz val="10"/>
        <color rgb="FF000000"/>
        <rFont val="Times New Roman"/>
      </rPr>
      <t xml:space="preserve">522-101-0801-0002 -
</t>
    </r>
    <r>
      <rPr>
        <sz val="10"/>
        <color rgb="FF000000"/>
        <rFont val="Times New Roman"/>
      </rPr>
      <t>Барометр-анероид. Диапазон: 950-1070гПа, точность +/-5гПа</t>
    </r>
  </si>
  <si>
    <t>522-101-0801-0002 -
Барометр-анероид. Диапазон: 950-1070гПа, точность +/-5гПа</t>
  </si>
  <si>
    <r>
      <rPr>
        <sz val="10"/>
        <color theme="1"/>
        <rFont val="Times New Roman"/>
      </rPr>
      <t>Применяется для ориентировочных наблюдений за изменением атмосферного давления и используется в качестве учебного пособия для проведения опытов в комнатных условиях.</t>
    </r>
  </si>
  <si>
    <r>
      <rPr>
        <sz val="10"/>
        <color theme="1"/>
        <rFont val="Times New Roman"/>
      </rPr>
      <t>522-101-0803 - Компас школьный</t>
    </r>
  </si>
  <si>
    <r>
      <rPr>
        <sz val="10"/>
        <color theme="1"/>
        <rFont val="Times New Roman"/>
      </rPr>
      <t>Компас состоит из пластмассовой круглой коробки, на дне которой имеется круговая шкала с указанием сторон света. В центре установлена игла, на острие которой насажена легкая магнитная стрелка. Коробка закрыта прозрачной крышкой.</t>
    </r>
  </si>
  <si>
    <r>
      <rPr>
        <sz val="10"/>
        <color theme="1"/>
        <rFont val="Times New Roman"/>
      </rPr>
      <t>522-101-0804 - Стрелки магнитные на штативах</t>
    </r>
  </si>
  <si>
    <r>
      <rPr>
        <sz val="10"/>
        <color rgb="FF000000"/>
        <rFont val="Times New Roman"/>
      </rPr>
      <t xml:space="preserve">В комплект входят: магнитные стрелки – 2 шт.,
</t>
    </r>
    <r>
      <rPr>
        <sz val="10"/>
        <color rgb="FF000000"/>
        <rFont val="Times New Roman"/>
      </rPr>
      <t xml:space="preserve">стойки пластмассовые с иглой – 2 шт., подставки – 2 шт.,
</t>
    </r>
    <r>
      <rPr>
        <sz val="10"/>
        <color rgb="FF000000"/>
        <rFont val="Times New Roman"/>
      </rPr>
      <t xml:space="preserve">руководство по эксплуатации – 1 шт.
</t>
    </r>
    <r>
      <rPr>
        <sz val="10"/>
        <color rgb="FF000000"/>
        <rFont val="Times New Roman"/>
      </rPr>
      <t>Стрелка представляет собой намагниченную полоску из стали с запрессованным латунным гнездом для установки на иглу пластмассовой стойки. Северный полюс стрелки окрашен в синий цвет, а южный - в красный.</t>
    </r>
  </si>
  <si>
    <r>
      <rPr>
        <sz val="10"/>
        <color rgb="FF000000"/>
        <rFont val="Times New Roman"/>
      </rPr>
      <t xml:space="preserve">522-101-0806-0001 - Баня
</t>
    </r>
    <r>
      <rPr>
        <sz val="10"/>
        <color rgb="FF000000"/>
        <rFont val="Times New Roman"/>
      </rPr>
      <t>комбинированная с нагревательным элементом для воды и песка</t>
    </r>
  </si>
  <si>
    <t>Баня
комбинированная с нагревательным элементом для воды и песка</t>
  </si>
  <si>
    <r>
      <rPr>
        <sz val="10"/>
        <color theme="1"/>
        <rFont val="Times New Roman"/>
      </rPr>
      <t>Нагревательный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Температура нагрева в водяной бане 100°С, температура нагрева в песочной бане 300°С. Напряжение питания 220 В, 50 Гц.</t>
    </r>
  </si>
  <si>
    <r>
      <rPr>
        <sz val="10"/>
        <color theme="1"/>
        <rFont val="Times New Roman"/>
      </rPr>
      <t>522-101-0806-0002 - Баня водяная без электрической плитки</t>
    </r>
  </si>
  <si>
    <r>
      <rPr>
        <sz val="10"/>
        <color theme="1"/>
        <rFont val="Times New Roman"/>
      </rPr>
      <t>Невысокая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Температура нагрева в водяной бане должна до 100°С. Для регулирования диаметра посадочного отверстия в комплекте должно быть не менее 4 съемных колец разных диаметров.</t>
    </r>
  </si>
  <si>
    <r>
      <rPr>
        <sz val="10"/>
        <color theme="1"/>
        <rFont val="Times New Roman"/>
      </rPr>
      <t>522-101-0806-0003 - Баня песочная без электрической плитки</t>
    </r>
  </si>
  <si>
    <r>
      <rPr>
        <sz val="10"/>
        <color theme="1"/>
        <rFont val="Times New Roman"/>
      </rPr>
      <t>Невысокая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Температура нагрева в песочной бане до 170°С.</t>
    </r>
  </si>
  <si>
    <r>
      <rPr>
        <sz val="10"/>
        <color rgb="FF000000"/>
        <rFont val="Times New Roman"/>
      </rPr>
      <t xml:space="preserve">522-101-0808-0001 - Штатив
</t>
    </r>
    <r>
      <rPr>
        <sz val="10"/>
        <color rgb="FF000000"/>
        <rFont val="Times New Roman"/>
      </rPr>
      <t>лабораторный комбинированный</t>
    </r>
  </si>
  <si>
    <t>Штатив
лабораторный комбинированный</t>
  </si>
  <si>
    <r>
      <rPr>
        <sz val="10"/>
        <color theme="1"/>
        <rFont val="Times New Roman"/>
      </rPr>
      <t>Состоит из металлической подставки и вертикального металлического штыря (стержня). В комплекте: 5 муфт, 2 лапки, 3 кольца, болты для креплений.</t>
    </r>
  </si>
  <si>
    <r>
      <rPr>
        <sz val="10"/>
        <color rgb="FF000000"/>
        <rFont val="Times New Roman"/>
      </rPr>
      <t xml:space="preserve">522-101-0808-0002 - Штатив
</t>
    </r>
    <r>
      <rPr>
        <sz val="10"/>
        <color rgb="FF000000"/>
        <rFont val="Times New Roman"/>
      </rPr>
      <t>физический универсальный</t>
    </r>
  </si>
  <si>
    <t>Штатив
физический универсальный</t>
  </si>
  <si>
    <r>
      <rPr>
        <sz val="10"/>
        <color rgb="FF000000"/>
        <rFont val="Times New Roman"/>
      </rPr>
      <t xml:space="preserve">Комплектность: подставки чугунные – 2 шт.,
</t>
    </r>
    <r>
      <rPr>
        <sz val="10"/>
        <color rgb="FF000000"/>
        <rFont val="Times New Roman"/>
      </rPr>
      <t xml:space="preserve">стойки – 2 шт.,
</t>
    </r>
    <r>
      <rPr>
        <sz val="10"/>
        <color rgb="FF000000"/>
        <rFont val="Times New Roman"/>
      </rPr>
      <t xml:space="preserve">стойка с изолирующим стержнем – 1 шт., муфты крестообразные – 2 шт.,
</t>
    </r>
    <r>
      <rPr>
        <sz val="10"/>
        <color rgb="FF000000"/>
        <rFont val="Times New Roman"/>
      </rPr>
      <t xml:space="preserve">муфта параллельная – 1 шт., муфты с крючком – 4 шт., лапка пружинная – 1 шт., муфта с опорой – 1 шт., кольцо (93 мм) – 1 шт., струбцина – 1 шт.,
</t>
    </r>
    <r>
      <rPr>
        <sz val="10"/>
        <color rgb="FF000000"/>
        <rFont val="Times New Roman"/>
      </rPr>
      <t xml:space="preserve">столик – 1 шт.,
</t>
    </r>
    <r>
      <rPr>
        <sz val="10"/>
        <color rgb="FF000000"/>
        <rFont val="Times New Roman"/>
      </rPr>
      <t>винты – 16 шт.</t>
    </r>
  </si>
  <si>
    <r>
      <rPr>
        <sz val="10"/>
        <color rgb="FF000000"/>
        <rFont val="Times New Roman"/>
      </rPr>
      <t xml:space="preserve">522-101-0808-0003 - Штатив
</t>
    </r>
    <r>
      <rPr>
        <sz val="10"/>
        <color rgb="FF000000"/>
        <rFont val="Times New Roman"/>
      </rPr>
      <t>лабораторный металлический</t>
    </r>
  </si>
  <si>
    <t>Штатив
лабораторный металлический</t>
  </si>
  <si>
    <r>
      <rPr>
        <sz val="10"/>
        <color rgb="FF000000"/>
        <rFont val="Times New Roman"/>
      </rPr>
      <t xml:space="preserve">Комплект состоит из следующих частей: Подставка-плита – 1 шт
</t>
    </r>
    <r>
      <rPr>
        <sz val="10"/>
        <color rgb="FF000000"/>
        <rFont val="Times New Roman"/>
      </rPr>
      <t xml:space="preserve">Стойка - 1 шт Кольцо – 3 шт
</t>
    </r>
    <r>
      <rPr>
        <sz val="10"/>
        <color rgb="FF000000"/>
        <rFont val="Times New Roman"/>
      </rPr>
      <t xml:space="preserve">Зажим для бюреток - 2 шт Зажим - 1 шт
</t>
    </r>
    <r>
      <rPr>
        <sz val="10"/>
        <color rgb="FF000000"/>
        <rFont val="Times New Roman"/>
      </rPr>
      <t>Муфта крестообразная - 1 шт</t>
    </r>
  </si>
  <si>
    <r>
      <rPr>
        <sz val="10"/>
        <color rgb="FF000000"/>
        <rFont val="Times New Roman"/>
      </rPr>
      <t xml:space="preserve">522-101-0808-0004 - Штатив
</t>
    </r>
    <r>
      <rPr>
        <sz val="10"/>
        <color rgb="FF000000"/>
        <rFont val="Times New Roman"/>
      </rPr>
      <t>универсальный</t>
    </r>
  </si>
  <si>
    <t>Штатив
универсальный</t>
  </si>
  <si>
    <r>
      <rPr>
        <sz val="10"/>
        <color theme="1"/>
        <rFont val="Times New Roman"/>
      </rPr>
      <t>Состоит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t>
    </r>
  </si>
  <si>
    <r>
      <rPr>
        <sz val="10"/>
        <color rgb="FF000000"/>
        <rFont val="Times New Roman"/>
      </rPr>
      <t xml:space="preserve">522-101-0808-0005 - Штатив
</t>
    </r>
    <r>
      <rPr>
        <sz val="10"/>
        <color rgb="FF000000"/>
        <rFont val="Times New Roman"/>
      </rPr>
      <t>универсальный химический</t>
    </r>
  </si>
  <si>
    <t>Штатив
универсальный химический</t>
  </si>
  <si>
    <r>
      <rPr>
        <sz val="10"/>
        <color theme="1"/>
        <rFont val="Times New Roman"/>
      </rPr>
      <t>В комплект входят: муфты – 5 шт, лапки – 3 шт, четырехпальчиковый зажим – 2 шт, кольца – 3 шт разного диаметра, стойки – 3 шт (2 длинных, 1 короткая), раздвижная платформа из двух частей</t>
    </r>
  </si>
  <si>
    <r>
      <rPr>
        <sz val="10"/>
        <color theme="1"/>
        <rFont val="Times New Roman"/>
      </rPr>
      <t>522-101-0810 - Бинокль</t>
    </r>
  </si>
  <si>
    <r>
      <rPr>
        <sz val="10"/>
        <color rgb="FF000000"/>
        <rFont val="Times New Roman"/>
      </rPr>
      <t xml:space="preserve">Порро с центральной фокусировкой. Колесико центральной фокусировки расположен под средним пальцем и позволяет настраивать резкость обоих окуляров. Предел изменения центральной диоптрийной наводки от -5 до
</t>
    </r>
    <r>
      <rPr>
        <sz val="10"/>
        <color rgb="FF000000"/>
        <rFont val="Times New Roman"/>
      </rPr>
      <t xml:space="preserve">+10 диоптрий. Предел изменения дополнительной диоптрийной наводки от
</t>
    </r>
    <r>
      <rPr>
        <sz val="10"/>
        <color rgb="FF000000"/>
        <rFont val="Times New Roman"/>
      </rPr>
      <t>-2,5 до +2,5 диоптрий</t>
    </r>
  </si>
  <si>
    <r>
      <rPr>
        <sz val="10"/>
        <color rgb="FF000000"/>
        <rFont val="Times New Roman"/>
      </rPr>
      <t xml:space="preserve">522-101-0812-0001 - Насос
</t>
    </r>
    <r>
      <rPr>
        <sz val="10"/>
        <color rgb="FF000000"/>
        <rFont val="Times New Roman"/>
      </rPr>
      <t>воздушный ручной</t>
    </r>
  </si>
  <si>
    <t>Насос
воздушный ручной</t>
  </si>
  <si>
    <r>
      <rPr>
        <sz val="10"/>
        <color rgb="FF000000"/>
        <rFont val="Times New Roman"/>
      </rPr>
      <t xml:space="preserve">Насос воздушный ручной. Насос поршневой двойного действия.
</t>
    </r>
    <r>
      <rPr>
        <sz val="10"/>
        <color rgb="FF000000"/>
        <rFont val="Times New Roman"/>
      </rPr>
      <t>Максимальное разрежение 40 мм рт. cт., нагнетание 4 ат.</t>
    </r>
  </si>
  <si>
    <r>
      <rPr>
        <sz val="10"/>
        <color rgb="FF000000"/>
        <rFont val="Times New Roman"/>
      </rPr>
      <t xml:space="preserve">522-101-0812-0002 - Насос
</t>
    </r>
    <r>
      <rPr>
        <sz val="10"/>
        <color rgb="FF000000"/>
        <rFont val="Times New Roman"/>
      </rPr>
      <t>водоструйный</t>
    </r>
  </si>
  <si>
    <t>Насос
водоструйный</t>
  </si>
  <si>
    <r>
      <rPr>
        <sz val="10"/>
        <color rgb="FF000000"/>
        <rFont val="Times New Roman"/>
      </rPr>
      <t xml:space="preserve">Принцип действия водоструйного насоса — создание разряжения за счет протекающей через трубки струи воды. Давление воды обеспечивает
</t>
    </r>
    <r>
      <rPr>
        <sz val="10"/>
        <color rgb="FF000000"/>
        <rFont val="Times New Roman"/>
      </rPr>
      <t xml:space="preserve">водопровод, никаких дополнительных установок не требуется.
</t>
    </r>
    <r>
      <rPr>
        <sz val="10"/>
        <color rgb="FF000000"/>
        <rFont val="Times New Roman"/>
      </rPr>
      <t>150мм  стеклянная трубка, во внутри есть проточная трубка с двумя газоотводами    1 шт.</t>
    </r>
  </si>
  <si>
    <r>
      <rPr>
        <sz val="10"/>
        <color rgb="FF000000"/>
        <rFont val="Times New Roman"/>
      </rPr>
      <t xml:space="preserve">522-101-0812-0003 - Насос
</t>
    </r>
    <r>
      <rPr>
        <sz val="10"/>
        <color rgb="FF000000"/>
        <rFont val="Times New Roman"/>
      </rPr>
      <t>вакуумный</t>
    </r>
  </si>
  <si>
    <t>Насос
вакуумный</t>
  </si>
  <si>
    <r>
      <rPr>
        <sz val="10"/>
        <color theme="1"/>
        <rFont val="Times New Roman"/>
      </rPr>
      <t>Представляет собой масляный поршневой насос, основанный на отсечке воздуха. Движение поршня обеспечивается шатунно-кривошипным механизмом, соединенным с ручным приводом. Минимальное разрежение воздуха: 133 Pа.</t>
    </r>
  </si>
  <si>
    <r>
      <rPr>
        <sz val="10"/>
        <color theme="1"/>
        <rFont val="Times New Roman"/>
      </rPr>
      <t>522-101-0813 - Электрометр</t>
    </r>
  </si>
  <si>
    <r>
      <rPr>
        <sz val="10"/>
        <color theme="1"/>
        <rFont val="Times New Roman"/>
      </rPr>
      <t>В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Диаметр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t>
    </r>
  </si>
  <si>
    <r>
      <rPr>
        <sz val="10"/>
        <color rgb="FF000000"/>
        <rFont val="Times New Roman"/>
      </rPr>
      <t xml:space="preserve">522-101-0814-0001 - Пистолет
</t>
    </r>
    <r>
      <rPr>
        <sz val="10"/>
        <color rgb="FF000000"/>
        <rFont val="Times New Roman"/>
      </rPr>
      <t>баллистический</t>
    </r>
  </si>
  <si>
    <t>Пистолет
баллистический</t>
  </si>
  <si>
    <r>
      <rPr>
        <sz val="10"/>
        <color rgb="FF000000"/>
        <rFont val="Times New Roman"/>
      </rPr>
      <t xml:space="preserve">Пистолет баллистический сконструирован на базе динамометра.
</t>
    </r>
    <r>
      <rPr>
        <sz val="10"/>
        <color rgb="FF000000"/>
        <rFont val="Times New Roman"/>
      </rPr>
      <t>Динамометр двухсторонний, имеет шкалу с нулем посередине и пределы измерения в обе стороны 10Н, цена деления шкалы - 0,2Н. Стрелочный указатель может перемещаться вдоль шкалы по направляющим, точная установка указателя против деления шкалы осуществляется винтом. На концах направляющих закреплена круглая площадка. Для установки снаряда (шарика) на ней расположены два штыря. В сжатом состоянии пружина динамометра удерживается с помощью проволочного крючка. Для определения угла наклона прибора служит транспортир с ценой деления 150 с отвесом.</t>
    </r>
  </si>
  <si>
    <r>
      <rPr>
        <sz val="10"/>
        <color theme="1"/>
        <rFont val="Times New Roman"/>
      </rPr>
      <t>522-101-0815 - Тарелка вакуумная со звонком</t>
    </r>
  </si>
  <si>
    <r>
      <rPr>
        <sz val="10"/>
        <color theme="1"/>
        <rFont val="Times New Roman"/>
      </rPr>
      <t>Тарелка вакуумная со звонком предназначена для демонстрации опытов в замкнутом объеме с разреженным воздухом. Состоит из круглого основания, толстостенного стеклянного колпака-колокола диаметром не менее 200мм и высотой не менее 250мм, крана, звонка.</t>
    </r>
  </si>
  <si>
    <r>
      <rPr>
        <sz val="10"/>
        <color rgb="FF000000"/>
        <rFont val="Times New Roman"/>
      </rPr>
      <t xml:space="preserve">522-101-1001-0005 - Стенка
</t>
    </r>
    <r>
      <rPr>
        <sz val="10"/>
        <color rgb="FF000000"/>
        <rFont val="Times New Roman"/>
      </rPr>
      <t>гимнастическая шведская деревянная, размеры не менее 2300х800мм</t>
    </r>
  </si>
  <si>
    <t>Стенка
гимнастическая шведская деревянная, размеры не менее 2300х800мм</t>
  </si>
  <si>
    <r>
      <rPr>
        <sz val="10"/>
        <color rgb="FF000000"/>
        <rFont val="Times New Roman"/>
      </rPr>
      <t xml:space="preserve">Стенка гимнастическая шведская 2300х800мм.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2300мм, ширина 800мм.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t>
    </r>
    <r>
      <rPr>
        <sz val="10"/>
        <color rgb="FF000000"/>
        <rFont val="Times New Roman"/>
      </rPr>
      <t>на перекладинах стенок гимнастических.</t>
    </r>
  </si>
  <si>
    <r>
      <rPr>
        <sz val="10"/>
        <color rgb="FF000000"/>
        <rFont val="Times New Roman"/>
      </rPr>
      <t xml:space="preserve">522-101-1001-0006 - Стенка
</t>
    </r>
    <r>
      <rPr>
        <sz val="10"/>
        <color rgb="FF000000"/>
        <rFont val="Times New Roman"/>
      </rPr>
      <t>гимнастическая шведская деревянная TSF-9465. Размеры 2500х800мм</t>
    </r>
  </si>
  <si>
    <t>Стенка
гимнастическая шведская деревянная TSF-9465. Размеры 2500х800мм</t>
  </si>
  <si>
    <r>
      <rPr>
        <sz val="10"/>
        <color rgb="FF000000"/>
        <rFont val="Times New Roman"/>
      </rPr>
      <t xml:space="preserve">Стенка гимнастическая шведская 2500х800мм.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2500мм, ширина 800мм.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t>
    </r>
    <r>
      <rPr>
        <sz val="10"/>
        <color rgb="FF000000"/>
        <rFont val="Times New Roman"/>
      </rPr>
      <t>на перекладинах стенок гимнастических.</t>
    </r>
  </si>
  <si>
    <r>
      <rPr>
        <sz val="10"/>
        <color rgb="FF000000"/>
        <rFont val="Times New Roman"/>
      </rPr>
      <t xml:space="preserve">522-101-1001-0007 - Стенка
</t>
    </r>
    <r>
      <rPr>
        <sz val="10"/>
        <color rgb="FF000000"/>
        <rFont val="Times New Roman"/>
      </rPr>
      <t>гимнастическая шведская деревянная TSF-9320. Размеры 2800х1000мм</t>
    </r>
  </si>
  <si>
    <t>Стенка
гимнастическая шведская деревянная TSF-9320. Размеры 2800х1000мм</t>
  </si>
  <si>
    <r>
      <rPr>
        <sz val="10"/>
        <color rgb="FF000000"/>
        <rFont val="Times New Roman"/>
      </rPr>
      <t xml:space="preserve">Стенка гимнастическая шведская 2800х1000мм.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t>
    </r>
    <r>
      <rPr>
        <sz val="10"/>
        <color rgb="FF000000"/>
        <rFont val="Times New Roman"/>
      </rPr>
      <t>на перекладинах стенок гимнастических.</t>
    </r>
  </si>
  <si>
    <r>
      <rPr>
        <sz val="10"/>
        <color rgb="FF000000"/>
        <rFont val="Times New Roman"/>
      </rPr>
      <t xml:space="preserve">522-101-1001-0008 - Стенка
</t>
    </r>
    <r>
      <rPr>
        <sz val="10"/>
        <color rgb="FF000000"/>
        <rFont val="Times New Roman"/>
      </rPr>
      <t>гимнастическая шведская деревянная, размер не менее 2800х800мм</t>
    </r>
  </si>
  <si>
    <t>Стенка
гимнастическая шведская деревянная, размер не менее 2800х800мм</t>
  </si>
  <si>
    <r>
      <rPr>
        <sz val="10"/>
        <color rgb="FF000000"/>
        <rFont val="Times New Roman"/>
      </rPr>
      <t xml:space="preserve">Стенка гимнастическая шведская 2800х800мм.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t>
    </r>
    <r>
      <rPr>
        <sz val="10"/>
        <color rgb="FF000000"/>
        <rFont val="Times New Roman"/>
      </rPr>
      <t>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</si>
  <si>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522-101-1001-0009 - Стенка
</t>
    </r>
    <r>
      <rPr>
        <sz val="10"/>
        <color rgb="FF000000"/>
        <rFont val="Times New Roman"/>
      </rPr>
      <t>гимнастическая шведская деревянная TSF-9349. Размеры 3200х800мм</t>
    </r>
  </si>
  <si>
    <t>Стенка
гимнастическая шведская деревянная TSF-9349. Размеры 3200х800мм</t>
  </si>
  <si>
    <r>
      <rPr>
        <sz val="10"/>
        <color rgb="FF000000"/>
        <rFont val="Times New Roman"/>
      </rPr>
      <t xml:space="preserve">Стенка гимнастическая шведская 3200х800мм.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t>
    </r>
    <r>
      <rPr>
        <sz val="10"/>
        <color rgb="FF000000"/>
        <rFont val="Times New Roman"/>
      </rPr>
      <t>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</si>
  <si>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522-101-1001-0010 - Стенка
</t>
    </r>
    <r>
      <rPr>
        <sz val="10"/>
        <color rgb="FF000000"/>
        <rFont val="Times New Roman"/>
      </rPr>
      <t>гимнастическая шведская деревянная TSF-9321. Размеры 3200х1000мм</t>
    </r>
  </si>
  <si>
    <t>Стенка
гимнастическая шведская деревянная TSF-9321. Размеры 3200х1000мм</t>
  </si>
  <si>
    <r>
      <rPr>
        <sz val="10"/>
        <color rgb="FF000000"/>
        <rFont val="Times New Roman"/>
      </rPr>
      <t xml:space="preserve">Стенка гимнастическая шведская 3200х1000мм.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t>
    </r>
    <r>
      <rPr>
        <sz val="10"/>
        <color rgb="FF000000"/>
        <rFont val="Times New Roman"/>
      </rPr>
      <t xml:space="preserve">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t>
    </r>
    <r>
      <rPr>
        <sz val="10"/>
        <color rgb="FF000000"/>
        <rFont val="Times New Roman"/>
      </rPr>
      <t>на перекладинах стенок гимнастических.</t>
    </r>
  </si>
  <si>
    <r>
      <rPr>
        <sz val="10"/>
        <color rgb="FF000000"/>
        <rFont val="Times New Roman"/>
      </rPr>
      <t xml:space="preserve">522-101-1001-0011 - Стенка
</t>
    </r>
    <r>
      <rPr>
        <sz val="10"/>
        <color rgb="FF000000"/>
        <rFont val="Times New Roman"/>
      </rPr>
      <t xml:space="preserve">гимнастическая шведская деревянная с выносом TSF-2810.
</t>
    </r>
    <r>
      <rPr>
        <sz val="10"/>
        <color rgb="FF000000"/>
        <rFont val="Times New Roman"/>
      </rPr>
      <t>Размеры 2800х1000мм</t>
    </r>
  </si>
  <si>
    <t>Стенка
гимнастическая шведская деревянная с выносом TSF-2810.
Размеры 2800х1000мм</t>
  </si>
  <si>
    <r>
      <rPr>
        <sz val="10"/>
        <color theme="1"/>
        <rFont val="Times New Roman"/>
      </rPr>
      <t>Стенка гимнастическая 2800х1000мм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</si>
  <si>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522-101-1001-0012 - Стенка
</t>
    </r>
    <r>
      <rPr>
        <sz val="10"/>
        <color rgb="FF000000"/>
        <rFont val="Times New Roman"/>
      </rPr>
      <t xml:space="preserve">гимнастическая шведская деревянная с выносом TSF-2880.
</t>
    </r>
    <r>
      <rPr>
        <sz val="10"/>
        <color rgb="FF000000"/>
        <rFont val="Times New Roman"/>
      </rPr>
      <t>Размеры 2800х800мм</t>
    </r>
  </si>
  <si>
    <t>Стенка
гимнастическая шведская деревянная с выносом TSF-2880.
Размеры 2800х800мм</t>
  </si>
  <si>
    <r>
      <rPr>
        <sz val="10"/>
        <color theme="1"/>
        <rFont val="Times New Roman"/>
      </rPr>
      <t>Стенка гимнастическая 2800х800мм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</si>
  <si>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522-101-1001-0013 - Стенка
</t>
    </r>
    <r>
      <rPr>
        <sz val="10"/>
        <color rgb="FF000000"/>
        <rFont val="Times New Roman"/>
      </rPr>
      <t xml:space="preserve">гимнастическая шведская деревянная с выносом TSF-3280.
</t>
    </r>
    <r>
      <rPr>
        <sz val="10"/>
        <color rgb="FF000000"/>
        <rFont val="Times New Roman"/>
      </rPr>
      <t>Размеры 3200х800мм</t>
    </r>
  </si>
  <si>
    <t>Стенка
гимнастическая шведская деревянная с выносом TSF-3280.
Размеры 3200х800мм</t>
  </si>
  <si>
    <r>
      <rPr>
        <sz val="10"/>
        <color theme="1"/>
        <rFont val="Times New Roman"/>
      </rPr>
      <t>Стенка гимнастическая 3200х800мм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</si>
  <si>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522-101-1001-0014 - Стенка
</t>
    </r>
    <r>
      <rPr>
        <sz val="10"/>
        <color rgb="FF000000"/>
        <rFont val="Times New Roman"/>
      </rPr>
      <t>гимнастическая с выносом TSF-3210. Размеры 3200х1000мм</t>
    </r>
  </si>
  <si>
    <t>Стенка
гимнастическая с выносом TSF-3210. Размеры 3200х1000мм</t>
  </si>
  <si>
    <r>
      <rPr>
        <sz val="10"/>
        <color theme="1"/>
        <rFont val="Times New Roman"/>
      </rPr>
      <t>Стенка гимнастическая 3200х1000мм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r>
  </si>
  <si>
    <r>
      <rPr>
        <sz val="10"/>
        <color rgb="FF000000"/>
        <rFont val="Times New Roman"/>
      </rPr>
      <t xml:space="preserve">522-101-1002-0007 - Доска
</t>
    </r>
    <r>
      <rPr>
        <sz val="10"/>
        <color rgb="FF000000"/>
        <rFont val="Times New Roman"/>
      </rPr>
      <t>наклонная ребристая 1,5м (дерево)</t>
    </r>
  </si>
  <si>
    <t>Доска
наклонная ребристая 1,5м (дерево)</t>
  </si>
  <si>
    <r>
      <rPr>
        <sz val="10"/>
        <color theme="1"/>
        <rFont val="Times New Roman"/>
      </rPr>
      <t>Доска наклонная ребристая 1,5м (дерево). Размеры 1500х240мм. Материал: березовая фанера 18 мм. Поверхность доски навесной тщательно отшлифована и покрыта высококачественным трёхкомпонентным лаком в два слоя. Кол-во поперечных рёбер: 14. 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r>
  </si>
  <si>
    <r>
      <rPr>
        <sz val="10"/>
        <color rgb="FF000000"/>
        <rFont val="Times New Roman"/>
      </rPr>
      <t xml:space="preserve">522-101-1002-0008 - Доска
</t>
    </r>
    <r>
      <rPr>
        <sz val="10"/>
        <color rgb="FF000000"/>
        <rFont val="Times New Roman"/>
      </rPr>
      <t>наклонная ребристая 1,8м TSF-4708 (дерево). Размеры 1800х300 мм. Материал: березовая фанера 25 мм</t>
    </r>
  </si>
  <si>
    <t>Доска
наклонная ребристая 1,8м TSF-4708 (дерево). Размеры 1800х300 мм. Материал: березовая фанера 25 мм</t>
  </si>
  <si>
    <r>
      <rPr>
        <sz val="10"/>
        <color theme="1"/>
        <rFont val="Times New Roman"/>
      </rPr>
      <t>Доска наклонная ребристая 1,8м TSF-4708 (дерево). Размеры 1800х300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15.Наружные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r>
  </si>
  <si>
    <r>
      <rPr>
        <sz val="10"/>
        <color rgb="FF000000"/>
        <rFont val="Times New Roman"/>
      </rPr>
      <t xml:space="preserve">522-101-1002-0009 - Доска
</t>
    </r>
    <r>
      <rPr>
        <sz val="10"/>
        <color rgb="FF000000"/>
        <rFont val="Times New Roman"/>
      </rPr>
      <t>наклонная ребристая 2м TSF-9186 (дерево). Размеры 2000х300 мм. Материал: березовая фанера 25 мм</t>
    </r>
  </si>
  <si>
    <t>Доска
наклонная ребристая 2м TSF-9186 (дерево). Размеры 2000х300 мм. Материал: березовая фанера 25 мм</t>
  </si>
  <si>
    <r>
      <rPr>
        <sz val="10"/>
        <color theme="1"/>
        <rFont val="Times New Roman"/>
      </rPr>
      <t>Доска наклонная ребристая 2м TSF-9186 (дерево). Размеры 2000х300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16.Наружные края доски имеют закругленную форму, что снижает вероятность получения травм при использовании изделия на занятиях.  . Предназначена для установки на гимнастическую стенку и выполнения различных гимнастических упражнений. Крепление-крючки.</t>
    </r>
  </si>
  <si>
    <r>
      <rPr>
        <sz val="10"/>
        <color rgb="FF000000"/>
        <rFont val="Times New Roman"/>
      </rPr>
      <t xml:space="preserve">522-101-1002-0010 - Доска
</t>
    </r>
    <r>
      <rPr>
        <sz val="10"/>
        <color rgb="FF000000"/>
        <rFont val="Times New Roman"/>
      </rPr>
      <t>наклонная навесная 1,5м TSF-2425. Размеры 1500х240 мм. Материал: березовая фанера 25 мм</t>
    </r>
  </si>
  <si>
    <t>Доска
наклонная навесная 1,5м TSF-2425. Размеры 1500х240 мм. Материал: березовая фанера 25 мм</t>
  </si>
  <si>
    <r>
      <rPr>
        <sz val="10"/>
        <color theme="1"/>
        <rFont val="Times New Roman"/>
      </rPr>
      <t>Доска наклонная навесная 1,5м TSF-2425. Размеры 1500х240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r>
  </si>
  <si>
    <r>
      <rPr>
        <sz val="10"/>
        <color rgb="FF000000"/>
        <rFont val="Times New Roman"/>
      </rPr>
      <t xml:space="preserve">522-101-1002-0011 - Доска
</t>
    </r>
    <r>
      <rPr>
        <sz val="10"/>
        <color rgb="FF000000"/>
        <rFont val="Times New Roman"/>
      </rPr>
      <t>наклонная навесная 1,8 м TSF-2427. Размеры 1800х240 мм. Материал: березовая фанера 25 мм</t>
    </r>
  </si>
  <si>
    <t>Доска
наклонная навесная 1,8 м TSF-2427. Размеры 1800х240 мм. Материал: березовая фанера 25 мм</t>
  </si>
  <si>
    <r>
      <rPr>
        <sz val="10"/>
        <color rgb="FF000000"/>
        <rFont val="Times New Roman"/>
      </rPr>
      <t xml:space="preserve">Доска наклонная навесная 1,8 м TSF-2427. Размеры 1800х240 мм.
</t>
    </r>
    <r>
      <rPr>
        <sz val="10"/>
        <color rgb="FF000000"/>
        <rFont val="Times New Roman"/>
      </rPr>
      <t>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r>
  </si>
  <si>
    <r>
      <rPr>
        <sz val="10"/>
        <color rgb="FF000000"/>
        <rFont val="Times New Roman"/>
      </rPr>
      <t xml:space="preserve">522-101-1002-0012 - Доска
</t>
    </r>
    <r>
      <rPr>
        <sz val="10"/>
        <color rgb="FF000000"/>
        <rFont val="Times New Roman"/>
      </rPr>
      <t>наклонная навесная 2м TSF-9185. Размеры 2000х240 мм. Материал: березовая фанера 25 мм</t>
    </r>
  </si>
  <si>
    <t>Доска
наклонная навесная 2м TSF-9185. Размеры 2000х240 мм. Материал: березовая фанера 25 мм</t>
  </si>
  <si>
    <r>
      <rPr>
        <sz val="10"/>
        <color theme="1"/>
        <rFont val="Times New Roman"/>
      </rPr>
      <t>Доска наклонная навесная 2м TSF-9185. Размеры 2000х240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r>
  </si>
  <si>
    <r>
      <rPr>
        <sz val="10"/>
        <color rgb="FF000000"/>
        <rFont val="Times New Roman"/>
      </rPr>
      <t xml:space="preserve">522-101-1003-0007 - Скамья
</t>
    </r>
    <r>
      <rPr>
        <sz val="10"/>
        <color rgb="FF000000"/>
        <rFont val="Times New Roman"/>
      </rPr>
      <t>гимнастическая, размеры не менее 2000х240х300мм</t>
    </r>
  </si>
  <si>
    <t>Скамья
гимнастическая, размеры не менее 2000х240х300мм</t>
  </si>
  <si>
    <r>
      <rPr>
        <sz val="10"/>
        <color theme="1"/>
        <rFont val="Times New Roman"/>
      </rPr>
      <t>Скамейка гимнастическая покрыта качественным мебельным  лаком на водной основе</t>
    </r>
  </si>
  <si>
    <r>
      <rPr>
        <sz val="10"/>
        <color rgb="FF000000"/>
        <rFont val="Times New Roman"/>
      </rPr>
      <t xml:space="preserve">522-101-1003-0008 - Скамья
</t>
    </r>
    <r>
      <rPr>
        <sz val="10"/>
        <color rgb="FF000000"/>
        <rFont val="Times New Roman"/>
      </rPr>
      <t>гимнастическая с металлическими опорами TSF-9362. Длина скамейки 1500 мм, ширина 240мм, высота 320мм</t>
    </r>
  </si>
  <si>
    <t>Скамья
гимнастическая с металлическими опорами TSF-9362. Длина скамейки 1500 мм, ширина 240мм, высота 320мм</t>
  </si>
  <si>
    <r>
      <rPr>
        <sz val="10"/>
        <color rgb="FF000000"/>
        <rFont val="Times New Roman"/>
      </rPr>
      <t xml:space="preserve">Скамья гимнастическая с металлическими опорами TSF-9362. Длина скамейки 1500 мм, ширина 240мм, высота 320мм.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t>
    </r>
    <r>
      <rPr>
        <sz val="10"/>
        <color rgb="FF000000"/>
        <rFont val="Times New Roman"/>
      </rPr>
      <t xml:space="preserve">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t>
    </r>
    <r>
      <rPr>
        <sz val="10"/>
        <color rgb="FF000000"/>
        <rFont val="Times New Roman"/>
      </rPr>
      <t>графит методом напыления в электростатическом поле.</t>
    </r>
  </si>
  <si>
    <r>
      <rPr>
        <sz val="10"/>
        <color rgb="FF000000"/>
        <rFont val="Times New Roman"/>
      </rPr>
      <t xml:space="preserve">522-101-1003-0009 - Скамья
</t>
    </r>
    <r>
      <rPr>
        <sz val="10"/>
        <color rgb="FF000000"/>
        <rFont val="Times New Roman"/>
      </rPr>
      <t>гимнастическая с металлическими опорами, длина не менее 2000мм</t>
    </r>
  </si>
  <si>
    <t>Скамья
гимнастическая с металлическими опорами, длина не менее 2000мм</t>
  </si>
  <si>
    <r>
      <rPr>
        <sz val="10"/>
        <color rgb="FF000000"/>
        <rFont val="Times New Roman"/>
      </rPr>
      <t xml:space="preserve">Размеры не менее: длина скамейки 2000 мм, ширина 240мм, высота 340мм.
</t>
    </r>
    <r>
      <rPr>
        <sz val="10"/>
        <color rgb="FF000000"/>
        <rFont val="Times New Roman"/>
      </rPr>
      <t xml:space="preserve">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t>
    </r>
    <r>
      <rPr>
        <sz val="10"/>
        <color rgb="FF000000"/>
        <rFont val="Times New Roman"/>
      </rPr>
      <t xml:space="preserve">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t>
    </r>
    <r>
      <rPr>
        <sz val="10"/>
        <color rgb="FF000000"/>
        <rFont val="Times New Roman"/>
      </rPr>
      <t>Металлические ножки скамейки покрыты порошковым высокопрочным полимерным покрытием цвета графит методом напыления в электростатическом поле.</t>
    </r>
  </si>
  <si>
    <r>
      <rPr>
        <sz val="10"/>
        <color rgb="FF000000"/>
        <rFont val="Times New Roman"/>
      </rPr>
      <t xml:space="preserve">522-101-1003-0010 - Скамья
</t>
    </r>
    <r>
      <rPr>
        <sz val="10"/>
        <color rgb="FF000000"/>
        <rFont val="Times New Roman"/>
      </rPr>
      <t>гимнастическая с металлическими опорами, длина не менее 2500 мм</t>
    </r>
  </si>
  <si>
    <t>Скамья
гимнастическая с металлическими опорами, длина не менее 2500 мм</t>
  </si>
  <si>
    <r>
      <rPr>
        <sz val="10"/>
        <color rgb="FF000000"/>
        <rFont val="Times New Roman"/>
      </rPr>
      <t xml:space="preserve">Размеры не менее: длина скамейки 2500 мм, ширина 240мм, высота 340мм.
</t>
    </r>
    <r>
      <rPr>
        <sz val="10"/>
        <color rgb="FF000000"/>
        <rFont val="Times New Roman"/>
      </rPr>
      <t>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r>
  </si>
  <si>
    <r>
      <rPr>
        <sz val="10"/>
        <color rgb="FF000000"/>
        <rFont val="Times New Roman"/>
      </rPr>
      <t xml:space="preserve">522-101-1003-0011 - Скамья
</t>
    </r>
    <r>
      <rPr>
        <sz val="10"/>
        <color rgb="FF000000"/>
        <rFont val="Times New Roman"/>
      </rPr>
      <t>гимнастическая с металлическими опорами TSF-9253. Длина скамейки 3000 мм, ширина 240мм, высота 340мм</t>
    </r>
  </si>
  <si>
    <t>Скамья
гимнастическая с металлическими опорами TSF-9253. Длина скамейки 3000 мм, ширина 240мм, высота 340мм</t>
  </si>
  <si>
    <r>
      <rPr>
        <sz val="10"/>
        <color rgb="FF000000"/>
        <rFont val="Times New Roman"/>
      </rPr>
      <t xml:space="preserve">Скамья гимнастическая с металлическими опорами TSF-9253. Длина скамейки 3000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t>
    </r>
    <r>
      <rPr>
        <sz val="10"/>
        <color rgb="FF000000"/>
        <rFont val="Times New Roman"/>
      </rPr>
      <t xml:space="preserve">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t>
    </r>
    <r>
      <rPr>
        <sz val="10"/>
        <color rgb="FF000000"/>
        <rFont val="Times New Roman"/>
      </rPr>
      <t>графит методом напыления в электростатическом поле</t>
    </r>
  </si>
  <si>
    <r>
      <rPr>
        <sz val="10"/>
        <color rgb="FF000000"/>
        <rFont val="Times New Roman"/>
      </rPr>
      <t xml:space="preserve">522-101-1003-0012 - Скамья для
</t>
    </r>
    <r>
      <rPr>
        <sz val="10"/>
        <color rgb="FF000000"/>
        <rFont val="Times New Roman"/>
      </rPr>
      <t xml:space="preserve">раздевалок без спинки RAR-4853. Выполнена из массива дерева с металлическими опорами, а также оснащена полкой для обуви.
</t>
    </r>
    <r>
      <rPr>
        <sz val="10"/>
        <color rgb="FF000000"/>
        <rFont val="Times New Roman"/>
      </rPr>
      <t>Размеры: высота - 425 мм; ширина посадочного места - 350 мм; длина - 2000 мм</t>
    </r>
  </si>
  <si>
    <t>Скамья для
раздевалок без спинки RAR-4853. Выполнена из массива дерева с металлическими опорами, а также оснащена полкой для обуви.
Размеры: высота</t>
  </si>
  <si>
    <t>425 мм; ширина посадочного места</t>
  </si>
  <si>
    <t>350 мм; длина</t>
  </si>
  <si>
    <t>2000 мм</t>
  </si>
  <si>
    <r>
      <rPr>
        <sz val="10"/>
        <color rgb="FF000000"/>
        <rFont val="Times New Roman"/>
      </rPr>
      <t xml:space="preserve">Скамья для раздевалок без спинки RAR-4853. Выполнена из массива дерева с металлическими опорами, а также оснащена полкой для обуви.
</t>
    </r>
    <r>
      <rPr>
        <sz val="10"/>
        <color rgb="FF000000"/>
        <rFont val="Times New Roman"/>
      </rPr>
      <t>Выполнена из цельносварной металлической рамы и четырех досок. Сварные швы, края и деревянная поверхность тщательно обработаны и зачищены, поэтому не представляют опасности. Доски покрыты влагостойким лаком. При покраске металлопрофиля использован порошковый способ покраски. Размеры: высота - 425 мм; ширина посадочного места - 350 мм; длина - 2000 мм.</t>
    </r>
  </si>
  <si>
    <r>
      <rPr>
        <sz val="10"/>
        <color rgb="FF000000"/>
        <rFont val="Times New Roman"/>
      </rPr>
      <t xml:space="preserve">522-101-1003-0013 - Скамья
</t>
    </r>
    <r>
      <rPr>
        <sz val="10"/>
        <color rgb="FF000000"/>
        <rFont val="Times New Roman"/>
      </rPr>
      <t>деревянная на металлической основе 1500х300х450 мм</t>
    </r>
  </si>
  <si>
    <t>Скамья
деревянная на металлической основе 1500х300х450 мм</t>
  </si>
  <si>
    <r>
      <rPr>
        <sz val="10"/>
        <color theme="1"/>
        <rFont val="Times New Roman"/>
      </rPr>
      <t>Каркас изготовлен из профильной трубы квадратного сечения 25х25 мм., толщиной 1,5 мм, покраска полимерно-порошковой краской. Сиденье ЛДСП 16 мм., торцы закатаны кромочным материалом ПВХ 1,5 мм.</t>
    </r>
  </si>
  <si>
    <r>
      <rPr>
        <sz val="10"/>
        <color rgb="FF000000"/>
        <rFont val="Times New Roman"/>
      </rPr>
      <t xml:space="preserve">522-101-1004-0001 - Канат для
</t>
    </r>
    <r>
      <rPr>
        <sz val="10"/>
        <color rgb="FF000000"/>
        <rFont val="Times New Roman"/>
      </rPr>
      <t>перетягивания, длина не менее 10м, диаметр не менее 40мм</t>
    </r>
  </si>
  <si>
    <t>Канат для
перетягивания, длина не менее 10м, диаметр не менее 40мм</t>
  </si>
  <si>
    <r>
      <rPr>
        <sz val="10"/>
        <color theme="1"/>
        <rFont val="Times New Roman"/>
      </rPr>
      <t>Канат для перетягивания. Длина: не менее 10м, диаметр не менее 40мм.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r>
  </si>
  <si>
    <r>
      <rPr>
        <sz val="10"/>
        <color rgb="FF000000"/>
        <rFont val="Times New Roman"/>
      </rPr>
      <t xml:space="preserve">522-101-1004-0002 - Канат для
</t>
    </r>
    <r>
      <rPr>
        <sz val="10"/>
        <color rgb="FF000000"/>
        <rFont val="Times New Roman"/>
      </rPr>
      <t>перетягивания 12м Ф40мм</t>
    </r>
  </si>
  <si>
    <t>Канат для
перетягивания 12м Ф40мм</t>
  </si>
  <si>
    <r>
      <rPr>
        <sz val="10"/>
        <color rgb="FF000000"/>
        <rFont val="Times New Roman"/>
      </rPr>
      <t xml:space="preserve">Канат для перетягивания 12м Ф40мм.
</t>
    </r>
    <r>
      <rPr>
        <sz val="10"/>
        <color rgb="FF000000"/>
        <rFont val="Times New Roman"/>
      </rPr>
      <t xml:space="preserve">Канат (40 мм) для перетягивания (хлопчатобумажный) длиной 10 м используется для общефизической подготовки учащихся
</t>
    </r>
    <r>
      <rPr>
        <sz val="10"/>
        <color rgb="FF000000"/>
        <rFont val="Times New Roman"/>
      </rPr>
      <t>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r>
  </si>
  <si>
    <r>
      <rPr>
        <sz val="10"/>
        <color rgb="FF000000"/>
        <rFont val="Times New Roman"/>
      </rPr>
      <t xml:space="preserve">522-101-1004-0003 - Канат для
</t>
    </r>
    <r>
      <rPr>
        <sz val="10"/>
        <color rgb="FF000000"/>
        <rFont val="Times New Roman"/>
      </rPr>
      <t>перетягивания, длина 10м, диаметр 30мм</t>
    </r>
  </si>
  <si>
    <t>Канат для
перетягивания, длина 10м, диаметр 30мм</t>
  </si>
  <si>
    <r>
      <rPr>
        <sz val="10"/>
        <color theme="1"/>
        <rFont val="Times New Roman"/>
      </rPr>
      <t>Канат для перетягивания. Длина: 10м, диаметр 30мм.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r>
  </si>
  <si>
    <r>
      <rPr>
        <sz val="10"/>
        <color rgb="FF000000"/>
        <rFont val="Times New Roman"/>
      </rPr>
      <t xml:space="preserve">522-101-1004-0004 - Канат для
</t>
    </r>
    <r>
      <rPr>
        <sz val="10"/>
        <color rgb="FF000000"/>
        <rFont val="Times New Roman"/>
      </rPr>
      <t>перетягивания 12м Ф30мм</t>
    </r>
  </si>
  <si>
    <t>Канат для
перетягивания 12м Ф30мм</t>
  </si>
  <si>
    <r>
      <rPr>
        <sz val="10"/>
        <color rgb="FF000000"/>
        <rFont val="Times New Roman"/>
      </rPr>
      <t xml:space="preserve">Канат для перетягивания 12м Ф30мм.
</t>
    </r>
    <r>
      <rPr>
        <sz val="10"/>
        <color rgb="FF000000"/>
        <rFont val="Times New Roman"/>
      </rPr>
      <t xml:space="preserve">Канат (30 мм) для перетягивания (хлопчатобумажный) длиной 10 м используется для общефизической подготовки учащихся
</t>
    </r>
    <r>
      <rPr>
        <sz val="10"/>
        <color rgb="FF000000"/>
        <rFont val="Times New Roman"/>
      </rPr>
      <t>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r>
  </si>
  <si>
    <r>
      <rPr>
        <sz val="10"/>
        <color rgb="FF000000"/>
        <rFont val="Times New Roman"/>
      </rPr>
      <t xml:space="preserve">522-101-1004-0005 - Канат для
</t>
    </r>
    <r>
      <rPr>
        <sz val="10"/>
        <color rgb="FF000000"/>
        <rFont val="Times New Roman"/>
      </rPr>
      <t>кроссфита, длина 9 м, диаметр 50 мм, нейлон с вставками из красного нейлона</t>
    </r>
  </si>
  <si>
    <t>Канат для
кроссфита, длина 9 м, диаметр 50 мм, нейлон с вставками из красного нейлона</t>
  </si>
  <si>
    <r>
      <rPr>
        <sz val="10"/>
        <color theme="1"/>
        <rFont val="Times New Roman"/>
      </rPr>
      <t>Канат для кроссфита 9м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r>
  </si>
  <si>
    <r>
      <rPr>
        <sz val="10"/>
        <color rgb="FF000000"/>
        <rFont val="Times New Roman"/>
      </rPr>
      <t xml:space="preserve">522-101-1004-0006 - Канат для
</t>
    </r>
    <r>
      <rPr>
        <sz val="10"/>
        <color rgb="FF000000"/>
        <rFont val="Times New Roman"/>
      </rPr>
      <t>кроссфита, длина 12 м, диаметр 50 мм, нейлон с вставками из красного нейлона</t>
    </r>
  </si>
  <si>
    <t>Канат для
кроссфита, длина 12 м, диаметр 50 мм, нейлон с вставками из красного нейлона</t>
  </si>
  <si>
    <r>
      <rPr>
        <sz val="10"/>
        <color theme="1"/>
        <rFont val="Times New Roman"/>
      </rPr>
      <t>Канат для кроссфита 12м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r>
  </si>
  <si>
    <r>
      <rPr>
        <sz val="10"/>
        <color rgb="FF000000"/>
        <rFont val="Times New Roman"/>
      </rPr>
      <t xml:space="preserve">522-101-1005-0004 - Канат для
</t>
    </r>
    <r>
      <rPr>
        <sz val="10"/>
        <color rgb="FF000000"/>
        <rFont val="Times New Roman"/>
      </rPr>
      <t xml:space="preserve">лазанья RA-500 х/б 5м Ф 40 мм. Длина: 5 м, диаметр: 40 мм.
</t>
    </r>
    <r>
      <rPr>
        <sz val="10"/>
        <color rgb="FF000000"/>
        <rFont val="Times New Roman"/>
      </rPr>
      <t>Материал: хлопчатобумажная пряжа</t>
    </r>
  </si>
  <si>
    <t>Канат для
лазанья RA-500 х/б 5м Ф 40 мм. Длина: 5 м, диаметр: 40 мм.
Материал: хлопчатобумажная пряжа</t>
  </si>
  <si>
    <r>
      <rPr>
        <sz val="10"/>
        <color rgb="FF000000"/>
        <rFont val="Times New Roman"/>
      </rPr>
      <t xml:space="preserve">Канат для лазанья RA-500 х/б 5м Ф 40 мм. Длина: 5 м, диаметр: 40 мм.
</t>
    </r>
    <r>
      <rPr>
        <sz val="10"/>
        <color rgb="FF000000"/>
        <rFont val="Times New Roman"/>
      </rPr>
      <t>Материал: хлопчатобумажная пряжа</t>
    </r>
  </si>
  <si>
    <r>
      <rPr>
        <sz val="10"/>
        <color rgb="FF000000"/>
        <rFont val="Times New Roman"/>
      </rPr>
      <t xml:space="preserve">522-101-1005-0005 - Канат для
</t>
    </r>
    <r>
      <rPr>
        <sz val="10"/>
        <color rgb="FF000000"/>
        <rFont val="Times New Roman"/>
      </rPr>
      <t xml:space="preserve">лазанья RA-1817 х/б 6м Ф 40 мм.
</t>
    </r>
    <r>
      <rPr>
        <sz val="10"/>
        <color rgb="FF000000"/>
        <rFont val="Times New Roman"/>
      </rPr>
      <t xml:space="preserve">Длина: 6 м, диаметр: 40 мм.
</t>
    </r>
    <r>
      <rPr>
        <sz val="10"/>
        <color rgb="FF000000"/>
        <rFont val="Times New Roman"/>
      </rPr>
      <t>Материал: хлопчатобумажная пряжа</t>
    </r>
  </si>
  <si>
    <t>Канат для
лазанья RA-1817 х/б 6м Ф 40 мм.
Длина: 6 м, диаметр: 40 мм.
Материал: хлопчатобумажная пряжа</t>
  </si>
  <si>
    <r>
      <rPr>
        <sz val="10"/>
        <color theme="1"/>
        <rFont val="Times New Roman"/>
      </rPr>
      <t>Канат для лазанья RA-1817 х/б 6м Ф 40 мм. Длина: 6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</si>
  <si>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rgb="FF000000"/>
        <rFont val="Times New Roman"/>
      </rPr>
      <t xml:space="preserve">522-101-1005-0006 - Канат для
</t>
    </r>
    <r>
      <rPr>
        <sz val="10"/>
        <color rgb="FF000000"/>
        <rFont val="Times New Roman"/>
      </rPr>
      <t xml:space="preserve">лазанья RA-1902 х/б 7м Ф 40 мм.
</t>
    </r>
    <r>
      <rPr>
        <sz val="10"/>
        <color rgb="FF000000"/>
        <rFont val="Times New Roman"/>
      </rPr>
      <t xml:space="preserve">Длина: 7 м, диаметр: 40 мм.
</t>
    </r>
    <r>
      <rPr>
        <sz val="10"/>
        <color rgb="FF000000"/>
        <rFont val="Times New Roman"/>
      </rPr>
      <t>Материал: хлопчатобумажная пряжа</t>
    </r>
  </si>
  <si>
    <t>Канат для
лазанья RA-1902 х/б 7м Ф 40 мм.
Длина: 7 м, диаметр: 40 мм.
Материал: хлопчатобумажная пряжа</t>
  </si>
  <si>
    <r>
      <rPr>
        <sz val="10"/>
        <color theme="1"/>
        <rFont val="Times New Roman"/>
      </rPr>
      <t>Канат для лазанья RA-1902 х/б 7м Ф 40 мм. Длина: 7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</si>
  <si>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rgb="FF000000"/>
        <rFont val="Times New Roman"/>
      </rPr>
      <t xml:space="preserve">522-101-1005-0007 - Канат для
</t>
    </r>
    <r>
      <rPr>
        <sz val="10"/>
        <color rgb="FF000000"/>
        <rFont val="Times New Roman"/>
      </rPr>
      <t>лазанья, длина не менее 8 м, диаметр не менее 40мм</t>
    </r>
  </si>
  <si>
    <t>Канат для
лазанья, длина не менее 8 м, диаметр не менее 40мм</t>
  </si>
  <si>
    <r>
      <rPr>
        <sz val="10"/>
        <color theme="1"/>
        <rFont val="Times New Roman"/>
      </rPr>
      <t>Длина: не менее 8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</si>
  <si>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rgb="FF000000"/>
        <rFont val="Times New Roman"/>
      </rPr>
      <t xml:space="preserve">522-101-1005-0008 - Канат для
</t>
    </r>
    <r>
      <rPr>
        <sz val="10"/>
        <color rgb="FF000000"/>
        <rFont val="Times New Roman"/>
      </rPr>
      <t xml:space="preserve">лазанья RA-8742 х/б 9м Ф 40 мм.
</t>
    </r>
    <r>
      <rPr>
        <sz val="10"/>
        <color rgb="FF000000"/>
        <rFont val="Times New Roman"/>
      </rPr>
      <t xml:space="preserve">Длина: 9 м, диаметр: 40 мм.
</t>
    </r>
    <r>
      <rPr>
        <sz val="10"/>
        <color rgb="FF000000"/>
        <rFont val="Times New Roman"/>
      </rPr>
      <t>Материал: хлопчатобумажная пряжа</t>
    </r>
  </si>
  <si>
    <t>Канат для
лазанья RA-8742 х/б 9м Ф 40 мм.
Длина: 9 м, диаметр: 40 мм.
Материал: хлопчатобумажная пряжа</t>
  </si>
  <si>
    <r>
      <rPr>
        <sz val="10"/>
        <color theme="1"/>
        <rFont val="Times New Roman"/>
      </rPr>
      <t>Канат для лазанья RA-8742 х/б 9м Ф 40 мм. Длина: 9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</si>
  <si>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rgb="FF000000"/>
        <rFont val="Times New Roman"/>
      </rPr>
      <t xml:space="preserve">522-101-1005-0009 - Канат для
</t>
    </r>
    <r>
      <rPr>
        <sz val="10"/>
        <color rgb="FF000000"/>
        <rFont val="Times New Roman"/>
      </rPr>
      <t>лазания, длина 12м</t>
    </r>
  </si>
  <si>
    <t>Канат для
лазания, длина 12м</t>
  </si>
  <si>
    <r>
      <rPr>
        <sz val="10"/>
        <color theme="1"/>
        <rFont val="Times New Roman"/>
      </rPr>
      <t>Канат для лазанья. Длина: 12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r>
  </si>
  <si>
    <r>
      <rPr>
        <sz val="10"/>
        <color theme="1"/>
        <rFont val="Times New Roman"/>
      </rPr>
      <t>522-101-1007 - Набор кеглей</t>
    </r>
  </si>
  <si>
    <r>
      <rPr>
        <sz val="10"/>
        <color rgb="FF000000"/>
        <rFont val="Times New Roman"/>
      </rPr>
      <t xml:space="preserve">Кегли для эстафет состоит из 6 цветных кеглей и 2 шаров. Высота 265 мм.
</t>
    </r>
    <r>
      <rPr>
        <sz val="10"/>
        <color rgb="FF000000"/>
        <rFont val="Times New Roman"/>
      </rPr>
      <t>Длина 170 мм. Ширина 250 мм. Материал: ПВХ (пластик).</t>
    </r>
  </si>
  <si>
    <r>
      <rPr>
        <sz val="10"/>
        <color rgb="FF000000"/>
        <rFont val="Times New Roman"/>
      </rPr>
      <t xml:space="preserve">522-101-1008-0003 - Свисток
</t>
    </r>
    <r>
      <rPr>
        <sz val="10"/>
        <color rgb="FF000000"/>
        <rFont val="Times New Roman"/>
      </rPr>
      <t>металический TU-06. Материал свистка: нержавеющеая сталь, материал горошины: пластик</t>
    </r>
  </si>
  <si>
    <t>Свисток
металический TU-06. Материал свистка: нержавеющеая сталь, материал горошины: пластик</t>
  </si>
  <si>
    <r>
      <rPr>
        <sz val="10"/>
        <color theme="1"/>
        <rFont val="Times New Roman"/>
      </rPr>
      <t>Свисток металический TU-06. Материал свистка: нержавеющеая сталь, материал горошины: пластик. Комплектация: свисток, шнурок с карабином</t>
    </r>
  </si>
  <si>
    <r>
      <rPr>
        <sz val="10"/>
        <color rgb="FF000000"/>
        <rFont val="Times New Roman"/>
      </rPr>
      <t xml:space="preserve">522-101-1008-0005 - Свисток
</t>
    </r>
    <r>
      <rPr>
        <sz val="10"/>
        <color rgb="FF000000"/>
        <rFont val="Times New Roman"/>
      </rPr>
      <t xml:space="preserve">электронный, батарея 9v, съемный шнурок. Мощность: 125 дБ, корпус и кнопки из ударопрочного
</t>
    </r>
    <r>
      <rPr>
        <sz val="10"/>
        <color rgb="FF000000"/>
        <rFont val="Times New Roman"/>
      </rPr>
      <t>ABS-пластика, металлические внутренние элементы</t>
    </r>
  </si>
  <si>
    <t>Свисток
электронный, батарея 9v, съемный шнурок. Мощность: 125 дБ, корпус и кнопки из ударопрочного
ABS-пластика, металлические внутренние элементы</t>
  </si>
  <si>
    <r>
      <rPr>
        <sz val="10"/>
        <color rgb="FF000000"/>
        <rFont val="Times New Roman"/>
      </rPr>
      <t xml:space="preserve">Электронный свисток. Функции: Тон 1 - слабый; Тон 2 - средний; Тон 3
</t>
    </r>
    <r>
      <rPr>
        <sz val="10"/>
        <color rgb="FF000000"/>
        <rFont val="Times New Roman"/>
      </rPr>
      <t>-сильный. В комплекте: литий-ионный аккумулятор 18650.</t>
    </r>
  </si>
  <si>
    <r>
      <rPr>
        <sz val="10"/>
        <color rgb="FF000000"/>
        <rFont val="Times New Roman"/>
      </rPr>
      <t xml:space="preserve">522-101-1009-0001 - Булава
</t>
    </r>
    <r>
      <rPr>
        <sz val="10"/>
        <color rgb="FF000000"/>
        <rFont val="Times New Roman"/>
      </rPr>
      <t>TFB-040 для художественной гимнастики.  Выполнены из комбинированных материалов: головка и ручка булавы каучуковые, тело - пластиковое.   Длина: 36 см</t>
    </r>
  </si>
  <si>
    <t>Булава
TFB-040 для художественной гимнастики.  Выполнены из комбинированных материалов: головка и ручка булавы каучуковые, тело</t>
  </si>
  <si>
    <t>пластиковое.   Длина: 36 см</t>
  </si>
  <si>
    <r>
      <rPr>
        <sz val="10"/>
        <color theme="1"/>
        <rFont val="Times New Roman"/>
      </rPr>
      <t>Булава TFB-040 для художественной гимнастики.  Выполнены из комбинированных материалов: головка и ручка булавы каучуковые, тело - пластиковое.   Длина: 36 см. Вес: 150 гр. Материал: пластик/каучук.</t>
    </r>
  </si>
  <si>
    <r>
      <rPr>
        <sz val="10"/>
        <color rgb="FF000000"/>
        <rFont val="Times New Roman"/>
      </rPr>
      <t xml:space="preserve">522-101-1009-0002 - Лента для
</t>
    </r>
    <r>
      <rPr>
        <sz val="10"/>
        <color rgb="FF000000"/>
        <rFont val="Times New Roman"/>
      </rPr>
      <t xml:space="preserve">художественной гимнастики TF-4024, 4 м. Изготовлена из
</t>
    </r>
    <r>
      <rPr>
        <sz val="10"/>
        <color rgb="FF000000"/>
        <rFont val="Times New Roman"/>
      </rPr>
      <t>полиэстера Длина: 4 м Длина прута: 57 см</t>
    </r>
  </si>
  <si>
    <t>Лента для
художественной гимнастики TF-4024, 4 м. Изготовлена из
полиэстера Длина: 4 м Длина прута: 57 см</t>
  </si>
  <si>
    <r>
      <rPr>
        <sz val="10"/>
        <color theme="1"/>
        <rFont val="Times New Roman"/>
      </rPr>
      <t>Лента для художественной гимнастики TF-4024, 4 м. Изготовлена из полиэстера Длина: 4 м Длина прута: 57 см</t>
    </r>
  </si>
  <si>
    <r>
      <rPr>
        <sz val="10"/>
        <color rgb="FF000000"/>
        <rFont val="Times New Roman"/>
      </rPr>
      <t xml:space="preserve">522-101-1009-0003 - Куб
</t>
    </r>
    <r>
      <rPr>
        <sz val="10"/>
        <color rgb="FF000000"/>
        <rFont val="Times New Roman"/>
      </rPr>
      <t>гимнастический 200х200мм</t>
    </r>
  </si>
  <si>
    <t>Куб
гимнастический 200х200мм</t>
  </si>
  <si>
    <r>
      <rPr>
        <sz val="10"/>
        <color theme="1"/>
        <rFont val="Times New Roman"/>
      </rPr>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r>
  </si>
  <si>
    <r>
      <rPr>
        <sz val="10"/>
        <color rgb="FF000000"/>
        <rFont val="Times New Roman"/>
      </rPr>
      <t xml:space="preserve">522-101-1009-0004 - Куб
</t>
    </r>
    <r>
      <rPr>
        <sz val="10"/>
        <color rgb="FF000000"/>
        <rFont val="Times New Roman"/>
      </rPr>
      <t>гимнастический 300х300мм</t>
    </r>
  </si>
  <si>
    <t>Куб
гимнастический 300х300мм</t>
  </si>
  <si>
    <r>
      <rPr>
        <sz val="10"/>
        <color theme="1"/>
        <rFont val="Times New Roman"/>
      </rPr>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r>
  </si>
  <si>
    <r>
      <rPr>
        <sz val="10"/>
        <color rgb="FF000000"/>
        <rFont val="Times New Roman"/>
      </rPr>
      <t xml:space="preserve">522-101-1009-0005 - Куб
</t>
    </r>
    <r>
      <rPr>
        <sz val="10"/>
        <color rgb="FF000000"/>
        <rFont val="Times New Roman"/>
      </rPr>
      <t>гимнастический 400х400мм</t>
    </r>
  </si>
  <si>
    <t>Куб
гимнастический 400х400мм</t>
  </si>
  <si>
    <r>
      <rPr>
        <sz val="10"/>
        <color theme="1"/>
        <rFont val="Times New Roman"/>
      </rPr>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r>
  </si>
  <si>
    <r>
      <rPr>
        <sz val="10"/>
        <color theme="1"/>
        <rFont val="Times New Roman"/>
      </rPr>
      <t>522-101-1009-0006 - Деревянные кубы в комплекте 5 штук (размеры: 50х50мм; 75х75мм; 100х100мм; 125х125мм; 150х150мм)</t>
    </r>
  </si>
  <si>
    <r>
      <rPr>
        <sz val="10"/>
        <color theme="1"/>
        <rFont val="Times New Roman"/>
      </rPr>
      <t>Куб деревянный гимнастический в комлекте 5 шт. Изготовлен из фанеры толщиной 12 мм. Покрыт водоэмульсионной краской</t>
    </r>
  </si>
  <si>
    <r>
      <rPr>
        <sz val="10"/>
        <color rgb="FF000000"/>
        <rFont val="Times New Roman"/>
      </rPr>
      <t xml:space="preserve">522-101-1009-0007 - Кольца
</t>
    </r>
    <r>
      <rPr>
        <sz val="10"/>
        <color rgb="FF000000"/>
        <rFont val="Times New Roman"/>
      </rPr>
      <t>гимнастические в комплекте с тросом 2м</t>
    </r>
  </si>
  <si>
    <t>Кольца
гимнастические в комплекте с тросом 2м</t>
  </si>
  <si>
    <r>
      <rPr>
        <sz val="10"/>
        <color rgb="FF000000"/>
        <rFont val="Times New Roman"/>
      </rPr>
      <t xml:space="preserve">Кольца гимнастические в комплекте с тросом 2м.
</t>
    </r>
    <r>
      <rPr>
        <sz val="10"/>
        <color rgb="FF000000"/>
        <rFont val="Times New Roman"/>
      </rPr>
      <t>Кольца гимнастические представляют конструкцию, состоящую из: колец, ленты и троса. Соединение троса с лентой с помощью коушами и скоб, что предохраняет трос от скручивания. Внутренний диаметр кольца 180 мм, внешний диаметр кольца 235мм , диаметр сечения кольца 28 мм. Общая длина подвеса 3 м(1 м стропа, 2 м трос). Материал кольца фанера 30 мм, лента ЛБС - 35, трос диаметром 4 мм в трубке.</t>
    </r>
  </si>
  <si>
    <r>
      <rPr>
        <sz val="10"/>
        <color rgb="FF000000"/>
        <rFont val="Times New Roman"/>
      </rPr>
      <t xml:space="preserve">522-101-1009-0008 - Набор
</t>
    </r>
    <r>
      <rPr>
        <sz val="10"/>
        <color rgb="FF000000"/>
        <rFont val="Times New Roman"/>
      </rPr>
      <t>плиометрических блоков</t>
    </r>
  </si>
  <si>
    <t>Набор
плиометрических блоков</t>
  </si>
  <si>
    <r>
      <rPr>
        <sz val="10"/>
        <color theme="1"/>
        <rFont val="Times New Roman"/>
      </rPr>
      <t>Набор плиометрических блоков (набор 4 шт) 30, 40, 50, 60см, Материал изготовления: Прочная фанера (слоистый листовой материал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t>
    </r>
  </si>
  <si>
    <r>
      <rPr>
        <sz val="10"/>
        <color rgb="FF000000"/>
        <rFont val="Times New Roman"/>
      </rPr>
      <t xml:space="preserve">522-101-1009-0009 - Коврик для
</t>
    </r>
    <r>
      <rPr>
        <sz val="10"/>
        <color rgb="FF000000"/>
        <rFont val="Times New Roman"/>
      </rPr>
      <t>фитнеса двухслойный, размеры 1800х600х8 мм. Материал изготовления: ПВХ</t>
    </r>
  </si>
  <si>
    <t>Коврик для
фитнеса двухслойный, размеры 1800х600х8 мм. Материал изготовления: ПВХ</t>
  </si>
  <si>
    <r>
      <rPr>
        <sz val="10"/>
        <color theme="1"/>
        <rFont val="Times New Roman"/>
      </rPr>
      <t>Коврик для фитнеса имеет толщину 0,8 см и рассчитан на нагрузки средней интенсивности. Двухслойный коврик для йоги из нескользящего материала, с цепкой структурированной поверхностью.</t>
    </r>
  </si>
  <si>
    <r>
      <rPr>
        <sz val="10"/>
        <color rgb="FF000000"/>
        <rFont val="Times New Roman"/>
      </rPr>
      <t xml:space="preserve">522-101-1011-0002 - Палка
</t>
    </r>
    <r>
      <rPr>
        <sz val="10"/>
        <color rgb="FF000000"/>
        <rFont val="Times New Roman"/>
      </rPr>
      <t>гимнастическая деревянная 1000 мм TCA-9034. Материал: дерево (береза, нелакированная) Длина: 1 метр. Диаметр: 28 мм</t>
    </r>
  </si>
  <si>
    <t>Палка
гимнастическая деревянная 1000 мм TCA-9034. Материал: дерево (береза, нелакированная) Длина: 1 метр. Диаметр: 28 мм</t>
  </si>
  <si>
    <r>
      <rPr>
        <sz val="10"/>
        <color theme="1"/>
        <rFont val="Times New Roman"/>
      </rPr>
      <t>Палка гимнастическая деревянная 1000 мм TCA-9034. Материал: дерево (береза, нелакированная) Длина: 1 метр. Диаметр: 28 мм. Палка гимнастическая изготовлена из дерева с закругленными краями.</t>
    </r>
  </si>
  <si>
    <r>
      <rPr>
        <sz val="10"/>
        <color rgb="FF000000"/>
        <rFont val="Times New Roman"/>
      </rPr>
      <t xml:space="preserve">522-101-1011-0003 - Палка
</t>
    </r>
    <r>
      <rPr>
        <sz val="10"/>
        <color rgb="FF000000"/>
        <rFont val="Times New Roman"/>
      </rPr>
      <t>гимнастическая деревянная 1200 мм TCA-9035. Материал: дерево (береза, нелакированная) Длина: 1,2 метр. Диаметр: 28 мм</t>
    </r>
  </si>
  <si>
    <t>Палка
гимнастическая деревянная 1200 мм TCA-9035. Материал: дерево (береза, нелакированная) Длина: 1,2 метр. Диаметр: 28 мм</t>
  </si>
  <si>
    <r>
      <rPr>
        <sz val="10"/>
        <color theme="1"/>
        <rFont val="Times New Roman"/>
      </rPr>
      <t>Палка гимнастическая деревянная 1200 мм TCA-9035. Материал: дерево (береза, нелакированная) Длина: 1,2 метр. Диаметр: 28 мм. Палка гимнастическая изготовлена из дерева с закругленными краями.</t>
    </r>
  </si>
  <si>
    <r>
      <rPr>
        <sz val="10"/>
        <color rgb="FF000000"/>
        <rFont val="Times New Roman"/>
      </rPr>
      <t xml:space="preserve">522-101-1011-0004 - Палка
</t>
    </r>
    <r>
      <rPr>
        <sz val="10"/>
        <color rgb="FF000000"/>
        <rFont val="Times New Roman"/>
      </rPr>
      <t>алюминиевая эстафетная палочка длина 300мм</t>
    </r>
  </si>
  <si>
    <t>Палка
алюминиевая эстафетная палочка длина 300мм</t>
  </si>
  <si>
    <r>
      <rPr>
        <sz val="10"/>
        <color rgb="FF000000"/>
        <rFont val="Times New Roman"/>
      </rPr>
      <t xml:space="preserve">Алюминиевые эстафетные палочки длина 30 см.
</t>
    </r>
    <r>
      <rPr>
        <sz val="10"/>
        <color rgb="FF000000"/>
        <rFont val="Times New Roman"/>
      </rPr>
      <t xml:space="preserve">уровень: любительский. Материал: алюминий, диаметр палочки: 28 мм, длина палочки: 30 см, окрашена методом порошкового напыления.
</t>
    </r>
    <r>
      <rPr>
        <sz val="10"/>
        <color rgb="FF000000"/>
        <rFont val="Times New Roman"/>
      </rPr>
      <t>Кроме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t>
    </r>
  </si>
  <si>
    <r>
      <rPr>
        <sz val="10"/>
        <color rgb="FF000000"/>
        <rFont val="Times New Roman"/>
      </rPr>
      <t xml:space="preserve">522-101-1011-0005 - Боди бар 1 кг,
</t>
    </r>
    <r>
      <rPr>
        <sz val="10"/>
        <color rgb="FF000000"/>
        <rFont val="Times New Roman"/>
      </rPr>
      <t>материал металл</t>
    </r>
  </si>
  <si>
    <t>Боди бар 1 кг,
материал металл</t>
  </si>
  <si>
    <r>
      <rPr>
        <sz val="10"/>
        <color theme="1"/>
        <rFont val="Times New Roman"/>
      </rPr>
      <t>Боди бар 1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</si>
  <si>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522-101-1011-0006 - Боди бар 2 кг,
</t>
    </r>
    <r>
      <rPr>
        <sz val="10"/>
        <color rgb="FF000000"/>
        <rFont val="Times New Roman"/>
      </rPr>
      <t>материал металл</t>
    </r>
  </si>
  <si>
    <t>Боди бар 2 кг,
материал металл</t>
  </si>
  <si>
    <r>
      <rPr>
        <sz val="10"/>
        <color theme="1"/>
        <rFont val="Times New Roman"/>
      </rPr>
      <t>Боди бар 2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</si>
  <si>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522-101-1011-0007 - Боди бар 3 кг,
</t>
    </r>
    <r>
      <rPr>
        <sz val="10"/>
        <color rgb="FF000000"/>
        <rFont val="Times New Roman"/>
      </rPr>
      <t>материал металл</t>
    </r>
  </si>
  <si>
    <t>Боди бар 3 кг,
материал металл</t>
  </si>
  <si>
    <r>
      <rPr>
        <sz val="10"/>
        <color theme="1"/>
        <rFont val="Times New Roman"/>
      </rPr>
      <t>Боди бар 3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</si>
  <si>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522-101-1011-0008 - Боди бар 4 кг,
</t>
    </r>
    <r>
      <rPr>
        <sz val="10"/>
        <color rgb="FF000000"/>
        <rFont val="Times New Roman"/>
      </rPr>
      <t>материал металл</t>
    </r>
  </si>
  <si>
    <t>Боди бар 4 кг,
материал металл</t>
  </si>
  <si>
    <r>
      <rPr>
        <sz val="10"/>
        <color theme="1"/>
        <rFont val="Times New Roman"/>
      </rPr>
      <t>Боди бар 4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</si>
  <si>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522-101-1011-0009 - Боди бар 5 кг,
</t>
    </r>
    <r>
      <rPr>
        <sz val="10"/>
        <color rgb="FF000000"/>
        <rFont val="Times New Roman"/>
      </rPr>
      <t>материал металл</t>
    </r>
  </si>
  <si>
    <t>Боди бар 5 кг,
материал металл</t>
  </si>
  <si>
    <r>
      <rPr>
        <sz val="10"/>
        <color theme="1"/>
        <rFont val="Times New Roman"/>
      </rPr>
      <t>Боди бар 5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</si>
  <si>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522-101-1011-0010 - Боди бар 6 кг,
</t>
    </r>
    <r>
      <rPr>
        <sz val="10"/>
        <color rgb="FF000000"/>
        <rFont val="Times New Roman"/>
      </rPr>
      <t>материал металл</t>
    </r>
  </si>
  <si>
    <t>Боди бар 6 кг,
материал металл</t>
  </si>
  <si>
    <r>
      <rPr>
        <sz val="10"/>
        <color theme="1"/>
        <rFont val="Times New Roman"/>
      </rPr>
      <t>Боди бар 6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</si>
  <si>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522-101-1011-0011 - Боди бар 7 кг,
</t>
    </r>
    <r>
      <rPr>
        <sz val="10"/>
        <color rgb="FF000000"/>
        <rFont val="Times New Roman"/>
      </rPr>
      <t>материал металл</t>
    </r>
  </si>
  <si>
    <t>Боди бар 7 кг,
материал металл</t>
  </si>
  <si>
    <r>
      <rPr>
        <sz val="10"/>
        <color theme="1"/>
        <rFont val="Times New Roman"/>
      </rPr>
      <t>Боди бар 7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</si>
  <si>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522-101-1011-0012 - Боди бар 8 кг,
</t>
    </r>
    <r>
      <rPr>
        <sz val="10"/>
        <color rgb="FF000000"/>
        <rFont val="Times New Roman"/>
      </rPr>
      <t>материал металл</t>
    </r>
  </si>
  <si>
    <t>Боди бар 8 кг,
материал металл</t>
  </si>
  <si>
    <r>
      <rPr>
        <sz val="10"/>
        <color theme="1"/>
        <rFont val="Times New Roman"/>
      </rPr>
      <t>Боди бар 8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</si>
  <si>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522-101-1011-0013 - Боди бар 9 кг,
</t>
    </r>
    <r>
      <rPr>
        <sz val="10"/>
        <color rgb="FF000000"/>
        <rFont val="Times New Roman"/>
      </rPr>
      <t>материал металл</t>
    </r>
  </si>
  <si>
    <t>Боди бар 9 кг,
материал металл</t>
  </si>
  <si>
    <r>
      <rPr>
        <sz val="10"/>
        <color theme="1"/>
        <rFont val="Times New Roman"/>
      </rPr>
      <t>Боди бар 9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</si>
  <si>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522-101-1011-0014 - Боди бар 10 кг,
</t>
    </r>
    <r>
      <rPr>
        <sz val="10"/>
        <color rgb="FF000000"/>
        <rFont val="Times New Roman"/>
      </rPr>
      <t>материал металл</t>
    </r>
  </si>
  <si>
    <t>Боди бар 10 кг,
материал металл</t>
  </si>
  <si>
    <r>
      <rPr>
        <sz val="10"/>
        <color theme="1"/>
        <rFont val="Times New Roman"/>
      </rPr>
      <t>Боди бар 10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r>
  </si>
  <si>
    <r>
      <rPr>
        <sz val="10"/>
        <color rgb="FF000000"/>
        <rFont val="Times New Roman"/>
      </rPr>
      <t xml:space="preserve">522-101-1011-0015 - Палка
</t>
    </r>
    <r>
      <rPr>
        <sz val="10"/>
        <color rgb="FF000000"/>
        <rFont val="Times New Roman"/>
      </rPr>
      <t>гимнастическая пластиковая. Длина 1000 мм, диаметр 30 мм</t>
    </r>
  </si>
  <si>
    <t>Палка
гимнастическая пластиковая. Длина 1000 мм, диаметр 30 мм</t>
  </si>
  <si>
    <r>
      <rPr>
        <sz val="10"/>
        <color theme="1"/>
        <rFont val="Times New Roman"/>
      </rPr>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r>
  </si>
  <si>
    <r>
      <rPr>
        <sz val="10"/>
        <color rgb="FF000000"/>
        <rFont val="Times New Roman"/>
      </rPr>
      <t xml:space="preserve">522-101-1011-0016 - Палка
</t>
    </r>
    <r>
      <rPr>
        <sz val="10"/>
        <color rgb="FF000000"/>
        <rFont val="Times New Roman"/>
      </rPr>
      <t>гимнастическая пластиковая. Длина 1200мм, диаметр 30 мм</t>
    </r>
  </si>
  <si>
    <t>Палка
гимнастическая пластиковая. Длина 1200мм, диаметр 30 мм</t>
  </si>
  <si>
    <r>
      <rPr>
        <sz val="10"/>
        <color theme="1"/>
        <rFont val="Times New Roman"/>
      </rPr>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r>
  </si>
  <si>
    <r>
      <rPr>
        <sz val="10"/>
        <color rgb="FF000000"/>
        <rFont val="Times New Roman"/>
      </rPr>
      <t xml:space="preserve">522-101-1012-0005 - Скакалка
</t>
    </r>
    <r>
      <rPr>
        <sz val="10"/>
        <color rgb="FF000000"/>
        <rFont val="Times New Roman"/>
      </rPr>
      <t>гелевая P-1239 CONSTAR</t>
    </r>
  </si>
  <si>
    <t>Скакалка
гелевая P-1239 CONSTAR</t>
  </si>
  <si>
    <r>
      <rPr>
        <sz val="10"/>
        <color theme="1"/>
        <rFont val="Times New Roman"/>
      </rPr>
      <t>Скакалка гелевая P-1239 CONSTAR. Гелевый шнур - изделия выполнены из ребристого пластика, который обеспечивает надежный захват ладони предотвращающий выскальзывание. Шнур изготовлен из ПВХ</t>
    </r>
  </si>
  <si>
    <r>
      <rPr>
        <sz val="10"/>
        <color rgb="FF000000"/>
        <rFont val="Times New Roman"/>
      </rPr>
      <t xml:space="preserve">522-101-1012-0006 - Скакалка
</t>
    </r>
    <r>
      <rPr>
        <sz val="10"/>
        <color rgb="FF000000"/>
        <rFont val="Times New Roman"/>
      </rPr>
      <t>JPR-1238. Ручки скакалки выполнены из полипропиленовой пены</t>
    </r>
  </si>
  <si>
    <t>Скакалка
JPR-1238. Ручки скакалки выполнены из полипропиленовой пены</t>
  </si>
  <si>
    <r>
      <rPr>
        <sz val="10"/>
        <color rgb="FF000000"/>
        <rFont val="Times New Roman"/>
      </rPr>
      <t xml:space="preserve">Скакалка JPR-1238. Ручки скакалки выполнены из полипропиленовой пены.
</t>
    </r>
    <r>
      <rPr>
        <sz val="10"/>
        <color rgb="FF000000"/>
        <rFont val="Times New Roman"/>
      </rPr>
      <t>Шнур изготовлен из гибкого и прочного поливинилхлорида</t>
    </r>
  </si>
  <si>
    <r>
      <rPr>
        <sz val="10"/>
        <color rgb="FF000000"/>
        <rFont val="Times New Roman"/>
      </rPr>
      <t xml:space="preserve">522-101-1012-0007 - Скакалка с
</t>
    </r>
    <r>
      <rPr>
        <sz val="10"/>
        <color rgb="FF000000"/>
        <rFont val="Times New Roman"/>
      </rPr>
      <t>металлическим тросом TFSR-0212</t>
    </r>
  </si>
  <si>
    <t>Скакалка с
металлическим тросом TFSR-0212</t>
  </si>
  <si>
    <r>
      <rPr>
        <sz val="10"/>
        <color rgb="FF000000"/>
        <rFont val="Times New Roman"/>
      </rPr>
      <t xml:space="preserve">Скакалка с металлическим тросом TFSR-0212. Скакалка скоростная модифицированный снаряд, предназначенный для интенсивных тренировок. Подшипники прыгалки обеспечивают свободное вращение троса, поэтому выполнять двойные прыжки на скакалке будет проще. Ручки оснащены подшипниками, такой тип крепления позволит избегать скручивания скакалки при прыжках и обеспечит долговечную службу.
</t>
    </r>
    <r>
      <rPr>
        <sz val="10"/>
        <color rgb="FF000000"/>
        <rFont val="Times New Roman"/>
      </rPr>
      <t>Скакалка регулируется по длине. Вращающиеся ручки с нескользящими рукоятками. Быстровращающийся трос.</t>
    </r>
  </si>
  <si>
    <r>
      <rPr>
        <sz val="10"/>
        <color rgb="FF000000"/>
        <rFont val="Times New Roman"/>
      </rPr>
      <t xml:space="preserve">522-101-1012-0008 - Скакалка
</t>
    </r>
    <r>
      <rPr>
        <sz val="10"/>
        <color rgb="FF000000"/>
        <rFont val="Times New Roman"/>
      </rPr>
      <t>pvt-1237. Изготовлена из высококачественной полиуретана</t>
    </r>
  </si>
  <si>
    <t>Скакалка
pvt-1237. Изготовлена из высококачественной полиуретана</t>
  </si>
  <si>
    <r>
      <rPr>
        <sz val="10"/>
        <color theme="1"/>
        <rFont val="Times New Roman"/>
      </rPr>
      <t>Скакалка pvt-1237. Изготовлена из высококачественной полиуретана, которая долговечна для длительного использования</t>
    </r>
  </si>
  <si>
    <r>
      <rPr>
        <sz val="10"/>
        <color theme="1"/>
        <rFont val="Times New Roman"/>
      </rPr>
      <t>522-101-1012-0009 - Скакалка со счетчиком P1113 POVIT-JPR1113. Система скоростного вращения</t>
    </r>
  </si>
  <si>
    <t>Скакалка со счетчиком P1113 POVIT-JPR1113. Система скоростного вращения</t>
  </si>
  <si>
    <r>
      <rPr>
        <sz val="10"/>
        <color theme="1"/>
        <rFont val="Times New Roman"/>
      </rPr>
      <t>Скакалка со счетчиком P1113 POVIT-JPR1113. Система скоростного вращения. Счетчик фиксирует количество оборотов, тем самым позволяя следит за ходом тренировки и фиксировать прогресс.</t>
    </r>
  </si>
  <si>
    <r>
      <rPr>
        <sz val="10"/>
        <color rgb="FF000000"/>
        <rFont val="Times New Roman"/>
      </rPr>
      <t xml:space="preserve">522-101-1012-0010 - Скакалка
</t>
    </r>
    <r>
      <rPr>
        <sz val="10"/>
        <color rgb="FF000000"/>
        <rFont val="Times New Roman"/>
      </rPr>
      <t>веревочная TC-1239. Длина скакалки: 2,4 м. Толщина шнура: 4 мм</t>
    </r>
  </si>
  <si>
    <t>Скакалка
веревочная TC-1239. Длина скакалки: 2,4 м. Толщина шнура: 4 мм</t>
  </si>
  <si>
    <r>
      <rPr>
        <sz val="10"/>
        <color theme="1"/>
        <rFont val="Times New Roman"/>
      </rPr>
      <t>Скакалка веревочная TC-1239. Длина скакалки: 2,4 м. Толщина шнура: 4 мм</t>
    </r>
  </si>
  <si>
    <r>
      <rPr>
        <sz val="10"/>
        <color rgb="FF000000"/>
        <rFont val="Times New Roman"/>
      </rPr>
      <t xml:space="preserve">522-101-1012-0011 - Скакалка
</t>
    </r>
    <r>
      <rPr>
        <sz val="10"/>
        <color rgb="FF000000"/>
        <rFont val="Times New Roman"/>
      </rPr>
      <t>детская  PCrstalCONSTARPP-1215. Длина синтетического шнура 2 метра</t>
    </r>
  </si>
  <si>
    <t>Скакалка
детская  PCrstalCONSTARPP-1215. Длина синтетического шнура 2 метра</t>
  </si>
  <si>
    <r>
      <rPr>
        <sz val="10"/>
        <color theme="1"/>
        <rFont val="Times New Roman"/>
      </rPr>
      <t>Скакалка детская. Длина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Плетеная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На концах шнура имеются пластиковые ручки. Их форма адаптирована для детской руки: расширения у оснований не позволяют скакалке случайно выскользнуть. Кроме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t>
    </r>
  </si>
  <si>
    <r>
      <rPr>
        <sz val="10"/>
        <color theme="1"/>
        <rFont val="Times New Roman"/>
      </rPr>
      <t>522-101-1012-0012 - Скакалка TC-1240</t>
    </r>
  </si>
  <si>
    <r>
      <rPr>
        <sz val="10"/>
        <color rgb="FF000000"/>
        <rFont val="Times New Roman"/>
      </rPr>
      <t xml:space="preserve">Скакалка. ПВХ максимально легкая и удобная, предназначена для кардио-тренировок, укрепления сердечно-сосудистой и дыхательной системы. Шнур скакалки изготовлен из прочного ПВХ, выдерживающего
</t>
    </r>
    <r>
      <rPr>
        <sz val="10"/>
        <color rgb="FF000000"/>
        <rFont val="Times New Roman"/>
      </rPr>
      <t>высокие нагрузки. Ручки выполнены из полипропилена. Изделие легкое, но достаточно крепкое, чтобы прослужить долго, выдерживая регулярные тренировки.</t>
    </r>
  </si>
  <si>
    <r>
      <rPr>
        <sz val="10"/>
        <color rgb="FF000000"/>
        <rFont val="Times New Roman"/>
      </rPr>
      <t xml:space="preserve">522-101-1012-0013 - Скакалка с
</t>
    </r>
    <r>
      <rPr>
        <sz val="10"/>
        <color rgb="FF000000"/>
        <rFont val="Times New Roman"/>
      </rPr>
      <t>деревяными ручками. Материал изготовления: ручки из дерева, шнур из нейлона</t>
    </r>
  </si>
  <si>
    <t>Скакалка с
деревяными ручками. Материал изготовления: ручки из дерева, шнур из нейлона</t>
  </si>
  <si>
    <r>
      <rPr>
        <sz val="10"/>
        <color theme="1"/>
        <rFont val="Times New Roman"/>
      </rPr>
      <t>Скакалка с деревянными ручками. При прыжках сжигаются калории, тренируются все группы мышц, укрепляется дыхательная система.</t>
    </r>
  </si>
  <si>
    <r>
      <rPr>
        <sz val="10"/>
        <color rgb="FF000000"/>
        <rFont val="Times New Roman"/>
      </rPr>
      <t xml:space="preserve">522-101-1013-0001 - Флажок
</t>
    </r>
    <r>
      <rPr>
        <sz val="10"/>
        <color rgb="FF000000"/>
        <rFont val="Times New Roman"/>
      </rPr>
      <t>судейский размерами 340 х 440 мм RAF-015</t>
    </r>
  </si>
  <si>
    <t>Флажок
судейский размерами 340 х 440 мм RAF-015</t>
  </si>
  <si>
    <r>
      <rPr>
        <sz val="10"/>
        <color theme="1"/>
        <rFont val="Times New Roman"/>
      </rPr>
      <t>Флажок судейский RAF-015. Ручка изготовлена из пластика и покрыта мягким неопреновым материалом. Размер флага: 34 х 44см. Длина полюс: 49см</t>
    </r>
  </si>
  <si>
    <r>
      <rPr>
        <sz val="10"/>
        <color rgb="FF000000"/>
        <rFont val="Times New Roman"/>
      </rPr>
      <t xml:space="preserve">522-101-1013-0002 - Флажок
</t>
    </r>
    <r>
      <rPr>
        <sz val="10"/>
        <color rgb="FF000000"/>
        <rFont val="Times New Roman"/>
      </rPr>
      <t>разноцветный</t>
    </r>
  </si>
  <si>
    <t>Флажок
разноцветный</t>
  </si>
  <si>
    <r>
      <rPr>
        <sz val="10"/>
        <color rgb="FF000000"/>
        <rFont val="Times New Roman"/>
      </rPr>
      <t xml:space="preserve">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t>
    </r>
    <r>
      <rPr>
        <sz val="10"/>
        <color rgb="FF000000"/>
        <rFont val="Times New Roman"/>
      </rPr>
      <t>300х200х20мм. Материал - дерево, ткань</t>
    </r>
  </si>
  <si>
    <r>
      <rPr>
        <sz val="10"/>
        <color rgb="FF000000"/>
        <rFont val="Times New Roman"/>
      </rPr>
      <t xml:space="preserve">522-101-1016-0002 - Мяч
</t>
    </r>
    <r>
      <rPr>
        <sz val="10"/>
        <color rgb="FF000000"/>
        <rFont val="Times New Roman"/>
      </rPr>
      <t xml:space="preserve">баскетбольный №7 TB-7100.
</t>
    </r>
    <r>
      <rPr>
        <sz val="10"/>
        <color rgb="FF000000"/>
        <rFont val="Times New Roman"/>
      </rPr>
      <t>Поверхность из синтетической кожи (полиуретан)</t>
    </r>
  </si>
  <si>
    <t>Мяч
баскетбольный №7 TB-7100.
Поверхность из синтетической кожи (полиуретан)</t>
  </si>
  <si>
    <r>
      <rPr>
        <sz val="10"/>
        <color rgb="FF000000"/>
        <rFont val="Times New Roman"/>
      </rPr>
      <t xml:space="preserve">Мяч баскетбольный №7 TB-7100. Поверхность из синтетической кожи (полиуретан) и глубокие каналы (технология DeepChannel). Бутиловая камера. Размер: 7. Тип соединения панелей: Клееный. Количество панелей:
</t>
    </r>
    <r>
      <rPr>
        <sz val="10"/>
        <color rgb="FF000000"/>
        <rFont val="Times New Roman"/>
      </rPr>
      <t>8. Материал покрышки: Синт. кожа (полиуретан). Материал камеры: Бутил. Материал обмотки камеры: Нейлон.</t>
    </r>
  </si>
  <si>
    <r>
      <rPr>
        <sz val="10"/>
        <color rgb="FF000000"/>
        <rFont val="Times New Roman"/>
      </rPr>
      <t xml:space="preserve">522-101-1016-0003 - Мяч
</t>
    </r>
    <r>
      <rPr>
        <sz val="10"/>
        <color rgb="FF000000"/>
        <rFont val="Times New Roman"/>
      </rPr>
      <t>баскетбольный №7 BG3800 (профессиональный) типа Molten</t>
    </r>
  </si>
  <si>
    <t>Мяч
баскетбольный №7 BG3800 (профессиональный) типа Molten</t>
  </si>
  <si>
    <r>
      <rPr>
        <sz val="10"/>
        <color theme="1"/>
        <rFont val="Times New Roman"/>
      </rPr>
      <t>Мяч баскетбольный №7 BG3800 (профессиональный) типа Molten.  Цвет основной: Коричневый. Цвет дополнительный: Бежево-чёрный. Размер: 7. Тип соединения панелей: Клееный. Количество панелей: 12. Материал покрышки: Синт. кожа (полиуретан). Материал камеры: Бутил. Материал обмотки камеры:  Нейлон.</t>
    </r>
  </si>
  <si>
    <r>
      <rPr>
        <sz val="10"/>
        <color rgb="FF000000"/>
        <rFont val="Times New Roman"/>
      </rPr>
      <t xml:space="preserve">522-101-1016-0004 - Мяч
</t>
    </r>
    <r>
      <rPr>
        <sz val="10"/>
        <color rgb="FF000000"/>
        <rFont val="Times New Roman"/>
      </rPr>
      <t>баскетбольный. Материал изготовления: композитная кожа</t>
    </r>
  </si>
  <si>
    <t>Мяч
баскетбольный. Материал изготовления: композитная кожа</t>
  </si>
  <si>
    <r>
      <rPr>
        <sz val="10"/>
        <color theme="1"/>
        <rFont val="Times New Roman"/>
      </rPr>
      <t>Баскетбольный мяч Spalding TF-1000 для проведения соревнований, а также для тренировок и игр. Специальный каркас мяча Spalding TF-1000 обеспечивает мягкость, а конструкция углубленных каналов позволяет обеспечить максимально уверенный захват и контроль мяча. Обладает высокими техническими характеристиками, прочный и износостойкий.</t>
    </r>
  </si>
  <si>
    <r>
      <rPr>
        <sz val="10"/>
        <color rgb="FF000000"/>
        <rFont val="Times New Roman"/>
      </rPr>
      <t xml:space="preserve">522-101-1017-0002 - Мяч
</t>
    </r>
    <r>
      <rPr>
        <sz val="10"/>
        <color rgb="FF000000"/>
        <rFont val="Times New Roman"/>
      </rPr>
      <t>волейбольный №5 TV-210.  Мягкая синтетическая кожа (полиуретан)</t>
    </r>
  </si>
  <si>
    <t>Мяч
волейбольный №5 TV-210.  Мягкая синтетическая кожа (полиуретан)</t>
  </si>
  <si>
    <r>
      <rPr>
        <sz val="10"/>
        <color theme="1"/>
        <rFont val="Times New Roman"/>
      </rPr>
      <t>Волейбольный мяч №5 TV-210.  Тип соединения панелей: Клееный, Количество панелей: 18 Мягкая синтетическая кожа (полиуретан), бутиловая камера,  размер 5,  панелей 18</t>
    </r>
  </si>
  <si>
    <r>
      <rPr>
        <sz val="10"/>
        <color rgb="FF000000"/>
        <rFont val="Times New Roman"/>
      </rPr>
      <t xml:space="preserve">522-101-1017-0003 - Мяч
</t>
    </r>
    <r>
      <rPr>
        <sz val="10"/>
        <color rgb="FF000000"/>
        <rFont val="Times New Roman"/>
      </rPr>
      <t xml:space="preserve">волейбольный №5 V330W  типа MIKASA. Профессиональный.
</t>
    </r>
    <r>
      <rPr>
        <sz val="10"/>
        <color rgb="FF000000"/>
        <rFont val="Times New Roman"/>
      </rPr>
      <t>Синт. кожа (микрофибра)</t>
    </r>
  </si>
  <si>
    <t>Мяч
волейбольный №5 V330W  типа MIKASA. Профессиональный.
Синт. кожа (микрофибра)</t>
  </si>
  <si>
    <r>
      <rPr>
        <sz val="10"/>
        <color theme="1"/>
        <rFont val="Times New Roman"/>
      </rPr>
      <t>Волейбольный мяч №5 V330W  типа MIKASA. Цвет основной:  Желтый. Цвет дополнительный: Синий. Уровень игры:  Профессиональный. Размер: 65-67 см. Тип соединения панелей: Клееный, Количество панелей: 18 Материал покрышки:  Синт. кожа (микрофибра). Конструкция: Ламинированная. Материал камеры: Бутил.</t>
    </r>
  </si>
  <si>
    <r>
      <rPr>
        <sz val="10"/>
        <color rgb="FF000000"/>
        <rFont val="Times New Roman"/>
      </rPr>
      <t xml:space="preserve">522-101-1017-0004 - Мяч
</t>
    </r>
    <r>
      <rPr>
        <sz val="10"/>
        <color rgb="FF000000"/>
        <rFont val="Times New Roman"/>
      </rPr>
      <t>волейбольный №5 V5FLC типа MOLTEN. Склеенный</t>
    </r>
  </si>
  <si>
    <t>Мяч
волейбольный №5 V5FLC типа MOLTEN. Склеенный</t>
  </si>
  <si>
    <r>
      <rPr>
        <sz val="10"/>
        <color theme="1"/>
        <rFont val="Times New Roman"/>
      </rPr>
      <t>Мяч волейбольный №5 V5FLC типа MOLTEN. Размер: 5. Тип соединения панелей: Склеенный. Способ сшивки мяча: Термический. Цвет: Белый, зеленый, красный.</t>
    </r>
  </si>
  <si>
    <r>
      <rPr>
        <sz val="10"/>
        <color theme="1"/>
        <rFont val="Times New Roman"/>
      </rPr>
      <t>522-101-1017-0005 - Волейбольный мяч профессиональный №5 MIKASA типа V200W</t>
    </r>
  </si>
  <si>
    <r>
      <rPr>
        <sz val="10"/>
        <color rgb="FF000000"/>
        <rFont val="Times New Roman"/>
      </rPr>
      <t xml:space="preserve">Волейбольный мяч №5  MIKASA.
</t>
    </r>
    <r>
      <rPr>
        <sz val="10"/>
        <color rgb="FF000000"/>
        <rFont val="Times New Roman"/>
      </rPr>
      <t xml:space="preserve">Цвет основной:  Желтый. Цвет дополнительный: Синий.
</t>
    </r>
    <r>
      <rPr>
        <sz val="10"/>
        <color rgb="FF000000"/>
        <rFont val="Times New Roman"/>
      </rPr>
      <t xml:space="preserve">Уровень игры:  Профессиональный. Сертификат:  FIVB Approved Размер: 5.
</t>
    </r>
    <r>
      <rPr>
        <sz val="10"/>
        <color rgb="FF000000"/>
        <rFont val="Times New Roman"/>
      </rPr>
      <t xml:space="preserve">Размер: 65-67 см.
</t>
    </r>
    <r>
      <rPr>
        <sz val="10"/>
        <color rgb="FF000000"/>
        <rFont val="Times New Roman"/>
      </rPr>
      <t xml:space="preserve">Вес: 260 гр. Тип соединения панелей: Клееный, Количество панелей: 18 (Идеально сбалансированная 18-панельная аэродинамическая конструкция).
</t>
    </r>
    <r>
      <rPr>
        <sz val="10"/>
        <color rgb="FF000000"/>
        <rFont val="Times New Roman"/>
      </rPr>
      <t>Материал покрышки:  Сверхкомпозитный чехол. Конструкция: Ламинированная. Материал камеры: Бутил. Особенность: Поверхность с двойными углублениями.</t>
    </r>
  </si>
  <si>
    <r>
      <rPr>
        <sz val="10"/>
        <color rgb="FF000000"/>
        <rFont val="Times New Roman"/>
      </rPr>
      <t xml:space="preserve">522-101-1017-0006 - Мяч
</t>
    </r>
    <r>
      <rPr>
        <sz val="10"/>
        <color rgb="FF000000"/>
        <rFont val="Times New Roman"/>
      </rPr>
      <t>волейбольный. Материал изготовления: синтетическая кожа (микрофибра)</t>
    </r>
  </si>
  <si>
    <t>Мяч
волейбольный. Материал изготовления: синтетическая кожа (микрофибра)</t>
  </si>
  <si>
    <r>
      <rPr>
        <sz val="10"/>
        <color theme="1"/>
        <rFont val="Times New Roman"/>
      </rPr>
      <t>Волейбольный мяч Mikasa V320W идеально подойдет для тренировок и соревнований молодежи и взрослых. Модель обладает хорошим сцеплением за счет легких углублений на поверхности. Мяч волейбольный Mikasa V320W, желтый цвет, 5 размер одобрен FIVB и DVV.</t>
    </r>
  </si>
  <si>
    <r>
      <rPr>
        <sz val="10"/>
        <color rgb="FF000000"/>
        <rFont val="Times New Roman"/>
      </rPr>
      <t xml:space="preserve">522-101-1018-0002 - Мяч
</t>
    </r>
    <r>
      <rPr>
        <sz val="10"/>
        <color rgb="FF000000"/>
        <rFont val="Times New Roman"/>
      </rPr>
      <t>футбольный №5 TSH-428A. Конструкция мяча состоит из 14 панелей</t>
    </r>
  </si>
  <si>
    <t>Мяч
футбольный №5 TSH-428A. Конструкция мяча состоит из 14 панелей</t>
  </si>
  <si>
    <r>
      <rPr>
        <sz val="10"/>
        <color theme="1"/>
        <rFont val="Times New Roman"/>
      </rPr>
      <t>Футбольный мяч №5 TSH-428A. Конструкция мяча состоит из 14 панелей. Мягкая микрофибра толщиной 1,0 мм на нетканой основе, армированная натуральным латексом, для придания большей упругости, со структурированной поверхностью,  Мяч изготовлен по технологии термосшивки (термосклеивания) панелей.</t>
    </r>
  </si>
  <si>
    <r>
      <rPr>
        <sz val="10"/>
        <color rgb="FF000000"/>
        <rFont val="Times New Roman"/>
      </rPr>
      <t xml:space="preserve">522-101-1018-0003 - Мяч
</t>
    </r>
    <r>
      <rPr>
        <sz val="10"/>
        <color rgb="FF000000"/>
        <rFont val="Times New Roman"/>
      </rPr>
      <t>футбольный №5 STAR ALL NEW POLARIS 1000. Композитная синтетическая кожа Premium класса на основе Полиуретана (PU) толщиной 1,5мм</t>
    </r>
  </si>
  <si>
    <t>Мяч
футбольный №5 STAR ALL NEW POLARIS 1000. Композитная синтетическая кожа Premium класса на основе Полиуретана (PU) толщиной 1,5мм</t>
  </si>
  <si>
    <r>
      <rPr>
        <sz val="10"/>
        <color theme="1"/>
        <rFont val="Times New Roman"/>
      </rPr>
      <t>Футбольный мяч №5 STAR ALL NEW POLARIS 1000. Композитная синтетическая кожа Premium класса на основе Полиуретана (PU) толщиной 1,5мм. 3 подкладочных слоя по технологии 3(2)+2(1). Камера: Натуральный латекс высшего качества.</t>
    </r>
  </si>
  <si>
    <r>
      <rPr>
        <sz val="10"/>
        <color rgb="FF000000"/>
        <rFont val="Times New Roman"/>
      </rPr>
      <t xml:space="preserve">522-101-1018-0004 - Мяч
</t>
    </r>
    <r>
      <rPr>
        <sz val="10"/>
        <color rgb="FF000000"/>
        <rFont val="Times New Roman"/>
      </rPr>
      <t>мини-футбольный №4 TSK-2008. Материал  камеры:  Латексная камера</t>
    </r>
  </si>
  <si>
    <t>Мяч
мини-футбольный №4 TSK-2008. Материал  камеры:  Латексная камера</t>
  </si>
  <si>
    <r>
      <rPr>
        <sz val="10"/>
        <color theme="1"/>
        <rFont val="Times New Roman"/>
      </rPr>
      <t>Мини-футбольный мяч №4 TSK-2008. Размер: 4. Материал  камеры: Латексная камера. Количество панелей: 32шт. Тип соединения: машиная сшивка.</t>
    </r>
  </si>
  <si>
    <r>
      <rPr>
        <sz val="10"/>
        <color rgb="FF000000"/>
        <rFont val="Times New Roman"/>
      </rPr>
      <t xml:space="preserve">522-101-1018-0005 - Мяч
</t>
    </r>
    <r>
      <rPr>
        <sz val="10"/>
        <color rgb="FF000000"/>
        <rFont val="Times New Roman"/>
      </rPr>
      <t>футзальный №4 TSKS-432S. Покрышка из перламутровой глянцевой синтетической кожи (полиуретан). Материал камеры: Бутил с наполнителем</t>
    </r>
  </si>
  <si>
    <t>Мяч
футзальный №4 TSKS-432S. Покрышка из перламутровой глянцевой синтетической кожи (полиуретан). Материал камеры: Бутил с наполнителем</t>
  </si>
  <si>
    <r>
      <rPr>
        <sz val="10"/>
        <color rgb="FF000000"/>
        <rFont val="Times New Roman"/>
      </rPr>
      <t xml:space="preserve">Мяч футзальный №4 TSKS-432S. Покрышка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AirMattress), бутиловая камера с наполнителем для низкого отскока.
</t>
    </r>
    <r>
      <rPr>
        <sz val="10"/>
        <color rgb="FF000000"/>
        <rFont val="Times New Roman"/>
      </rPr>
      <t>Количество панелей: 32 шт. Материал камеры: Бутил с наполнителем.</t>
    </r>
  </si>
  <si>
    <r>
      <rPr>
        <sz val="10"/>
        <color theme="1"/>
        <rFont val="Times New Roman"/>
      </rPr>
      <t>522-101-1018-0006 - Футзальный мяч №4. Материал изготовления: полиуретан, синтетическая кожа</t>
    </r>
  </si>
  <si>
    <r>
      <rPr>
        <sz val="10"/>
        <color theme="1"/>
        <rFont val="Times New Roman"/>
      </rPr>
      <t>Предназначен для игр и тренировок. Мяч изготовлен из современных искусственных материалов. С помощью полимерного нано-компонента слои мяча оптимально проявляют свои свойства, что улучшает форму мяча, угол отскока, а также устойчивость поверхности к повреждениям. Размеры: 0,38х0,38х0,38 м</t>
    </r>
  </si>
  <si>
    <r>
      <rPr>
        <sz val="10"/>
        <color rgb="FF000000"/>
        <rFont val="Times New Roman"/>
      </rPr>
      <t xml:space="preserve">522-101-1018-0007 - Мяч
</t>
    </r>
    <r>
      <rPr>
        <sz val="10"/>
        <color rgb="FF000000"/>
        <rFont val="Times New Roman"/>
      </rPr>
      <t>футбольный. Материал изготовления: полиуретан, синтетическая кожа</t>
    </r>
  </si>
  <si>
    <t>Мяч
футбольный. Материал изготовления: полиуретан, синтетическая кожа</t>
  </si>
  <si>
    <r>
      <rPr>
        <sz val="10"/>
        <color theme="1"/>
        <rFont val="Times New Roman"/>
      </rPr>
      <t>Футбольный мяч Select №5 - это мяч, который сочетает в себе превосходное качество и надежность. Он разработан для использования на футбольных матчах и тренировках. Мяч Select №5 обеспечивает отличную игровую производительность и долговечность, что делает его идеальным выбором для футболистов.</t>
    </r>
  </si>
  <si>
    <r>
      <rPr>
        <sz val="10"/>
        <color theme="1"/>
        <rFont val="Times New Roman"/>
      </rPr>
      <t>522-101-1019-0013 - Медицинбол 1кг. (медбол) RA-001. Изготовлен из высококачественной плотной износостойкой резины, натуральной кожи или ПВХ</t>
    </r>
  </si>
  <si>
    <r>
      <rPr>
        <sz val="10"/>
        <color theme="1"/>
        <rFont val="Times New Roman"/>
      </rPr>
      <t>Медицинбол 1кг. (медбол) RA-001.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</si>
  <si>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522-101-1019-0014 - Медицинбол 2кг. (медбол) RA-002. Изготовлен из высококачественной плотной износостойкой резины, натуральной кожи или ПВХ</t>
    </r>
  </si>
  <si>
    <r>
      <rPr>
        <sz val="10"/>
        <color theme="1"/>
        <rFont val="Times New Roman"/>
      </rPr>
      <t>Медицинбол 2кг. (медбол) RA-002.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</si>
  <si>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522-101-1019-0015 - Медицинбол 3кг. (медбол) RA-003. Изготовлен из высококачественной плотной износостойкой резины, натуральной кожи или ПВХ</t>
    </r>
  </si>
  <si>
    <r>
      <rPr>
        <sz val="10"/>
        <color theme="1"/>
        <rFont val="Times New Roman"/>
      </rPr>
      <t>Медицинбол 3кг. (медбол) RA-003. Изготовлен из высококачественной плотной износостойкой резины, натуральной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</si>
  <si>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522-101-1019-0016 - Медицинбол 4кг. (медбол) RA-004. Изготовлен из высококачественной плотной износостойкой резины, натуральной кожи или ПВХ</t>
    </r>
  </si>
  <si>
    <r>
      <rPr>
        <sz val="10"/>
        <color theme="1"/>
        <rFont val="Times New Roman"/>
      </rPr>
      <t>Медицинбол 4кг. (медбол) RA-004.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</si>
  <si>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522-101-1019-0017 - Медицинбол 5кг. (медбол) RA-005. Изготовлен из высококачественной плотной износостойкой резины, натуральной кожи или ПВХ</t>
    </r>
  </si>
  <si>
    <r>
      <rPr>
        <sz val="10"/>
        <color theme="1"/>
        <rFont val="Times New Roman"/>
      </rPr>
      <t>Медицинбол 5кг. (медбол) RA-005.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</si>
  <si>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522-101-1019-0018 - Медицинбол 6кг. (медбол) RA-006. Изготовлен из высококачественной плотной износостойкой резины, кожи или ПВХ</t>
    </r>
  </si>
  <si>
    <r>
      <rPr>
        <sz val="10"/>
        <color theme="1"/>
        <rFont val="Times New Roman"/>
      </rPr>
      <t>Медицинбол 6кг. (медбол) RA-006.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</si>
  <si>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rgb="FF000000"/>
        <rFont val="Times New Roman"/>
      </rPr>
      <t xml:space="preserve">522-101-1019-0019 - Мяч
</t>
    </r>
    <r>
      <rPr>
        <sz val="10"/>
        <color rgb="FF000000"/>
        <rFont val="Times New Roman"/>
      </rPr>
      <t>гимнастический (Фитбол) TF-65 гладкий. Диаметр: 65 см</t>
    </r>
  </si>
  <si>
    <t>Мяч
гимнастический (Фитбол) TF-65 гладкий. Диаметр: 65 см</t>
  </si>
  <si>
    <r>
      <rPr>
        <sz val="10"/>
        <color theme="1"/>
        <rFont val="Times New Roman"/>
      </rPr>
      <t>Гимнастический мяч (Фитбол) TF-65 гладкий. Изготовлен из материала: поливинилхлорид (нетоксичный и гипоаллергенный). Диаметр: 65 см</t>
    </r>
  </si>
  <si>
    <r>
      <rPr>
        <sz val="10"/>
        <color rgb="FF000000"/>
        <rFont val="Times New Roman"/>
      </rPr>
      <t xml:space="preserve">522-101-1019-0020 - Мяч
</t>
    </r>
    <r>
      <rPr>
        <sz val="10"/>
        <color rgb="FF000000"/>
        <rFont val="Times New Roman"/>
      </rPr>
      <t>гимнастический (Фитбол) TF-85 гладкий. Диаметр: 85 см</t>
    </r>
  </si>
  <si>
    <t>Мяч
гимнастический (Фитбол) TF-85 гладкий. Диаметр: 85 см</t>
  </si>
  <si>
    <r>
      <rPr>
        <sz val="10"/>
        <color theme="1"/>
        <rFont val="Times New Roman"/>
      </rPr>
      <t>Гимнастический мяч (Фитбол) TF-85 гладкий. Изготовлен из материала: поливинилхлорид (нетоксичный и гипоаллергенный). Диаметр: 85 см</t>
    </r>
  </si>
  <si>
    <r>
      <rPr>
        <sz val="10"/>
        <color theme="1"/>
        <rFont val="Times New Roman"/>
      </rPr>
      <t>522-101-1019-0021 - Медицинбол 1кг TF-001 (медбол). Изготовлен из высококачественной плотной износостойкой резины, кожи или ПВХ</t>
    </r>
  </si>
  <si>
    <r>
      <rPr>
        <sz val="10"/>
        <color theme="1"/>
        <rFont val="Times New Roman"/>
      </rPr>
      <t>Медицинбол 1кг TF-001 (медбол). Изготовлен из высококачественной плотной износостойкой резины, кожи или ПВХ. Имеет нескользящую поверхность и дизайн баскетбольного мяча.  Внутри снаряд заполнен песком.</t>
    </r>
  </si>
  <si>
    <r>
      <rPr>
        <sz val="10"/>
        <color theme="1"/>
        <rFont val="Times New Roman"/>
      </rPr>
      <t>522-101-1019-0022 - Медицинбол 2кг TF-002 (медбол). Изготовлен из высококачественной плотной износостойкой резины, кожи или ПВХ</t>
    </r>
  </si>
  <si>
    <r>
      <rPr>
        <sz val="10"/>
        <color theme="1"/>
        <rFont val="Times New Roman"/>
      </rPr>
      <t>Медицинбол 2кг TF-002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r>
  </si>
  <si>
    <r>
      <rPr>
        <sz val="10"/>
        <color theme="1"/>
        <rFont val="Times New Roman"/>
      </rPr>
      <t>522-101-1019-0023 - Медицинбол 3кг TF-003 (медбол). Изготовлен из высококачественной плотной износостойкой резины, кожи или ПВХ</t>
    </r>
  </si>
  <si>
    <r>
      <rPr>
        <sz val="10"/>
        <color theme="1"/>
        <rFont val="Times New Roman"/>
      </rPr>
      <t>Медицинбол 3кг TF-003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r>
  </si>
  <si>
    <r>
      <rPr>
        <sz val="10"/>
        <color theme="1"/>
        <rFont val="Times New Roman"/>
      </rPr>
      <t>522-101-1019-0024 - Медицинбол 4кг TF-004 (медбол). Изготовлен из высококачественной плотной износостойкой резины, кожи или ПВХ</t>
    </r>
  </si>
  <si>
    <r>
      <rPr>
        <sz val="10"/>
        <color theme="1"/>
        <rFont val="Times New Roman"/>
      </rPr>
      <t>Медицинбол 4кг TF-004  (медбол) .Изготовлен извысококачественной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r>
  </si>
  <si>
    <r>
      <rPr>
        <sz val="10"/>
        <color theme="1"/>
        <rFont val="Times New Roman"/>
      </rPr>
      <t>522-101-1019-0025 - Медицинбол 5кг TF-005 (медбол). Изготовлен из высококачественной плотной износостойкой резины, кожи или ПВХ</t>
    </r>
  </si>
  <si>
    <r>
      <rPr>
        <sz val="10"/>
        <color theme="1"/>
        <rFont val="Times New Roman"/>
      </rPr>
      <t>Медицинбол 5кг TF-005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r>
  </si>
  <si>
    <r>
      <rPr>
        <sz val="10"/>
        <color theme="1"/>
        <rFont val="Times New Roman"/>
      </rPr>
      <t>522-101-1019-0026 - Медицинбол 6кг. TF-006 (медбол). Изготовлен из высококачественной плотной износостойкой резины, кожи или ПВХ</t>
    </r>
  </si>
  <si>
    <t>Медицинбол 6кг. TF-006 (медбол). Изготовлен из высококачественной плотной износостойкой резины, кожи или ПВХ</t>
  </si>
  <si>
    <r>
      <rPr>
        <sz val="10"/>
        <color theme="1"/>
        <rFont val="Times New Roman"/>
      </rPr>
      <t>Медицинбол 6кг. TF-006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</si>
  <si>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522-101-1019-0027 - Медицинбол 7кг. TF-007 (медбол). Изготовлен из высококачественной плотной износостойкой резины, кожи или ПВХ</t>
    </r>
  </si>
  <si>
    <r>
      <rPr>
        <sz val="10"/>
        <color theme="1"/>
        <rFont val="Times New Roman"/>
      </rPr>
      <t>Медицинбол 7кг. TF-007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</si>
  <si>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522-101-1019-0028 - Медицинбол 8кг.TF-008 (медбол). Изготовлен из высококачественной плотной износостойкой резины, кожи или ПВХ</t>
    </r>
  </si>
  <si>
    <r>
      <rPr>
        <sz val="10"/>
        <color theme="1"/>
        <rFont val="Times New Roman"/>
      </rPr>
      <t>Медицинбол 8кг.TF-008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</si>
  <si>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522-101-1019-0029 - Медицинбол 9кг. TF-009 (медбол). Изготовлен из высококачественной плотной износостойкой резины, кожи или ПВХ</t>
    </r>
  </si>
  <si>
    <r>
      <rPr>
        <sz val="10"/>
        <color theme="1"/>
        <rFont val="Times New Roman"/>
      </rPr>
      <t>Медицинбол 9кг. TF-009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r>
  </si>
  <si>
    <r>
      <rPr>
        <sz val="10"/>
        <color theme="1"/>
        <rFont val="Times New Roman"/>
      </rPr>
      <t>522-101-1019-0030 - Медицинбол 10кг. TF-010 (медбол). Изготовлен из высококачественной плотной износостойкой резины, кожи или ПВХ</t>
    </r>
  </si>
  <si>
    <r>
      <rPr>
        <sz val="10"/>
        <color theme="1"/>
        <rFont val="Times New Roman"/>
      </rPr>
      <t>Медицинбол 10кг. TF-010 (медбол) - это тяжелый мяч, изготовленный высококачественной плотной износостойкой резины, кожи или ПВХ, который набивается резиновой крошкой, песком .</t>
    </r>
  </si>
  <si>
    <r>
      <rPr>
        <sz val="10"/>
        <color rgb="FF000000"/>
        <rFont val="Times New Roman"/>
      </rPr>
      <t xml:space="preserve">522-101-1019-0031 - Мяч для
</t>
    </r>
    <r>
      <rPr>
        <sz val="10"/>
        <color rgb="FF000000"/>
        <rFont val="Times New Roman"/>
      </rPr>
      <t>художественной гимнастики TFGMB0228 - 21 см. Изготовлен из Каучука</t>
    </r>
  </si>
  <si>
    <t>Мяч для
художественной гимнастики TFGMB0228</t>
  </si>
  <si>
    <t>21 см. Изготовлен из Каучука</t>
  </si>
  <si>
    <r>
      <rPr>
        <sz val="10"/>
        <color theme="1"/>
        <rFont val="Times New Roman"/>
      </rPr>
      <t>Мяч для художественной гимнастики TFGMB0228 - 21 см. Вес составляет по стандарту 400 грамм. Изготовлен из Каучука.</t>
    </r>
  </si>
  <si>
    <r>
      <rPr>
        <sz val="10"/>
        <color rgb="FF000000"/>
        <rFont val="Times New Roman"/>
      </rPr>
      <t xml:space="preserve">522-101-1019-0032 - Мяч для
</t>
    </r>
    <r>
      <rPr>
        <sz val="10"/>
        <color rgb="FF000000"/>
        <rFont val="Times New Roman"/>
      </rPr>
      <t>художественной гимнастики TF19400</t>
    </r>
  </si>
  <si>
    <t>Мяч для
художественной гимнастики TF19400</t>
  </si>
  <si>
    <r>
      <rPr>
        <sz val="10"/>
        <color theme="1"/>
        <rFont val="Times New Roman"/>
      </rPr>
      <t>Изготовлен из поливинилхлорида, диаметр 19см.</t>
    </r>
  </si>
  <si>
    <r>
      <rPr>
        <sz val="10"/>
        <color rgb="FF000000"/>
        <rFont val="Times New Roman"/>
      </rPr>
      <t xml:space="preserve">522-101-1020-0001 - Мяч для
</t>
    </r>
    <r>
      <rPr>
        <sz val="10"/>
        <color rgb="FF000000"/>
        <rFont val="Times New Roman"/>
      </rPr>
      <t>метания резиновый диаметром 60мм RAM-150</t>
    </r>
  </si>
  <si>
    <t>Мяч для
метания резиновый диаметром 60мм RAM-150</t>
  </si>
  <si>
    <r>
      <rPr>
        <sz val="10"/>
        <color theme="1"/>
        <rFont val="Times New Roman"/>
      </rPr>
      <t>Мяч для метания резиновый RAM-150, 150 гр.  Характеристики: материал: резина. Диаметр : 60мм</t>
    </r>
  </si>
  <si>
    <r>
      <rPr>
        <sz val="10"/>
        <color rgb="FF000000"/>
        <rFont val="Times New Roman"/>
      </rPr>
      <t xml:space="preserve">522-101-1022-0002 - Мишень для
</t>
    </r>
    <r>
      <rPr>
        <sz val="10"/>
        <color rgb="FF000000"/>
        <rFont val="Times New Roman"/>
      </rPr>
      <t xml:space="preserve">метания TSF-450 450х450мм.
</t>
    </r>
    <r>
      <rPr>
        <sz val="10"/>
        <color rgb="FF000000"/>
        <rFont val="Times New Roman"/>
      </rPr>
      <t>Изготовлен из натурального дерева: фанеры</t>
    </r>
  </si>
  <si>
    <t>Мишень для
метания TSF-450 450х450мм.
Изготовлен из натурального дерева: фанеры</t>
  </si>
  <si>
    <r>
      <rPr>
        <sz val="10"/>
        <color theme="1"/>
        <rFont val="Times New Roman"/>
      </rPr>
      <t>Мишень для метания TSF-450 450х450мм. Изготовлен из натурального дерева: фанеры.Представляет собой деревянную фанеру. На поверхности нарисована мишень с несколькими кольцами.</t>
    </r>
  </si>
  <si>
    <r>
      <rPr>
        <sz val="10"/>
        <color rgb="FF000000"/>
        <rFont val="Times New Roman"/>
      </rPr>
      <t xml:space="preserve">522-101-1022-0003 - Мишень для
</t>
    </r>
    <r>
      <rPr>
        <sz val="10"/>
        <color rgb="FF000000"/>
        <rFont val="Times New Roman"/>
      </rPr>
      <t>метания TSF-700 700х700мм. Изготовлена из натурального дерева: фанеры</t>
    </r>
  </si>
  <si>
    <t>Мишень для
метания TSF-700 700х700мм. Изготовлена из натурального дерева: фанеры</t>
  </si>
  <si>
    <r>
      <rPr>
        <sz val="10"/>
        <color theme="1"/>
        <rFont val="Times New Roman"/>
      </rPr>
      <t>Мишень для метания TSF-700 700х700мм.  Щит сделан из натурального дерева: фанеры. Фанера  прошла несколько стадий обработки, чтобы поверхность была ровной, и избавиться от заусениц. Верхняя поверхность имеет изображение мишени с несколькими кольцами.</t>
    </r>
  </si>
  <si>
    <r>
      <rPr>
        <sz val="10"/>
        <color theme="1"/>
        <rFont val="Times New Roman"/>
      </rPr>
      <t>522-101-1022-0004 - Мешочек для метания</t>
    </r>
  </si>
  <si>
    <r>
      <rPr>
        <sz val="10"/>
        <color rgb="FF000000"/>
        <rFont val="Times New Roman"/>
      </rPr>
      <t xml:space="preserve">Метание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Материал: искусственная кожа, песок.
</t>
    </r>
    <r>
      <rPr>
        <sz val="10"/>
        <color rgb="FF000000"/>
        <rFont val="Times New Roman"/>
      </rPr>
      <t>Размер: 140х140мм.</t>
    </r>
  </si>
  <si>
    <r>
      <rPr>
        <sz val="10"/>
        <color theme="1"/>
        <rFont val="Times New Roman"/>
      </rPr>
      <t>522-101-1023-0003 - Ракетка для бадминтона PE 4250. Изготовлена из углеродистой стали</t>
    </r>
  </si>
  <si>
    <t>Ракетка для бадминтона PE 4250. Изготовлена из углеродистой стали</t>
  </si>
  <si>
    <r>
      <rPr>
        <sz val="10"/>
        <color theme="1"/>
        <rFont val="Times New Roman"/>
      </rPr>
      <t>Ракетка для бадминтона PE 4250. Изготовлена  из углеродистой стали. Вес ракетки составляет от 80 до 100 грамм. Размер ракетки 680мм. в длину 230мм.  Струнная поверхность  не более 280 мм в длину и 220 мм в ширину. Общая длина струнной 330 мм.</t>
    </r>
  </si>
  <si>
    <r>
      <rPr>
        <sz val="10"/>
        <color theme="1"/>
        <rFont val="Times New Roman"/>
      </rPr>
      <t>522-101-1023-0004 - Воланчик для бадминтона P-4406 (в упаковке 3 шт). Изготовлен из нейлона</t>
    </r>
  </si>
  <si>
    <r>
      <rPr>
        <sz val="10"/>
        <color theme="1"/>
        <rFont val="Times New Roman"/>
      </rPr>
      <t>Воланчик для бадминтона P-4406 (в упаковке 3 шт).  Изготовлен из нейлона.  Материал головки: Пробка. Волан тренировочного уровня для игры в зале и на улице. Высота волана 8 см, диаметр юбки 7 см. Упакованы в тубу по 3 шт.</t>
    </r>
  </si>
  <si>
    <r>
      <rPr>
        <sz val="10"/>
        <color theme="1"/>
        <rFont val="Times New Roman"/>
      </rPr>
      <t>522-101-1023-0005 - Воланчик для бадминтона TBV-300. Изготовлен из нейлона</t>
    </r>
  </si>
  <si>
    <r>
      <rPr>
        <sz val="10"/>
        <color rgb="FF000000"/>
        <rFont val="Times New Roman"/>
      </rPr>
      <t xml:space="preserve">Воланчик для бадминтона TBV-300. Изготовлен из нейлона. Цвет основной: Белый. Цвет дополнительный: Бело-черный. Материал: Нейлон.
</t>
    </r>
    <r>
      <rPr>
        <sz val="10"/>
        <color rgb="FF000000"/>
        <rFont val="Times New Roman"/>
      </rPr>
      <t>Высота волана 8 см, диаметр юбки 7 см.</t>
    </r>
  </si>
  <si>
    <r>
      <rPr>
        <sz val="10"/>
        <color theme="1"/>
        <rFont val="Times New Roman"/>
      </rPr>
      <t>522-101-1023-0006 - Набор для игры "Асык ату"</t>
    </r>
  </si>
  <si>
    <r>
      <rPr>
        <sz val="10"/>
        <color theme="1"/>
        <rFont val="Times New Roman"/>
      </rPr>
      <t>Набор для игры "Асык ату". В наборе 12шт. Чехол из экокожи. Материал изготовления: пластик</t>
    </r>
  </si>
  <si>
    <r>
      <rPr>
        <sz val="10"/>
        <color theme="1"/>
        <rFont val="Times New Roman"/>
      </rPr>
      <t>522-101-1023-0007 - Набор для игры "Бес тас"</t>
    </r>
  </si>
  <si>
    <r>
      <rPr>
        <sz val="10"/>
        <color rgb="FF000000"/>
        <rFont val="Times New Roman"/>
      </rPr>
      <t xml:space="preserve">Набор для игры "Бес тас". В наборе 5 шт. камней. Чехол из кожзама.
</t>
    </r>
    <r>
      <rPr>
        <sz val="10"/>
        <color rgb="FF000000"/>
        <rFont val="Times New Roman"/>
      </rPr>
      <t>Материал изготовления: эпоксидное соединение</t>
    </r>
  </si>
  <si>
    <r>
      <rPr>
        <sz val="10"/>
        <color rgb="FF000000"/>
        <rFont val="Times New Roman"/>
      </rPr>
      <t xml:space="preserve">522-101-1024-0011 - Ракетки для настольного тенниса P-4225 (в комплекте 2 ракетки и 3 шарика).
</t>
    </r>
    <r>
      <rPr>
        <sz val="10"/>
        <color rgb="FF000000"/>
        <rFont val="Times New Roman"/>
      </rPr>
      <t>Изготовлена из специального шпона дерева</t>
    </r>
  </si>
  <si>
    <r>
      <rPr>
        <sz val="10"/>
        <color theme="1"/>
        <rFont val="Times New Roman"/>
      </rPr>
      <t>Ракетки для настольного тенниса P-4225 (в комплекте 2 ракетки и 3 шарика).  Основание ракетки изготовлено из специального шпона дерева. Накладки состоят из губчатого слоя. Вес ракетки 400 (гр). Высота ракетки 235 мм. Ширина ракетки 140 мм.</t>
    </r>
  </si>
  <si>
    <r>
      <rPr>
        <sz val="10"/>
        <color rgb="FF000000"/>
        <rFont val="Times New Roman"/>
      </rPr>
      <t xml:space="preserve">522-101-1024-0012 - Шарик для
</t>
    </r>
    <r>
      <rPr>
        <sz val="10"/>
        <color rgb="FF000000"/>
        <rFont val="Times New Roman"/>
      </rPr>
      <t>настольного тенниса DF-1S. Изготовлен из пластика</t>
    </r>
  </si>
  <si>
    <t>Шарик для
настольного тенниса DF-1S. Изготовлен из пластика</t>
  </si>
  <si>
    <r>
      <rPr>
        <sz val="10"/>
        <color theme="1"/>
        <rFont val="Times New Roman"/>
      </rPr>
      <t>Шарик для настольного тенниса DF-1S.  Диаметр 40 мм,  в упаковке 6 шт. Цвет основной: Белый. Материал: Пластик. Материал: Пластик, цвет белый, в упаковке 6 шт.</t>
    </r>
  </si>
  <si>
    <r>
      <rPr>
        <sz val="10"/>
        <color rgb="FF000000"/>
        <rFont val="Times New Roman"/>
      </rPr>
      <t xml:space="preserve">522-101-1024-0013 - Шарик для
</t>
    </r>
    <r>
      <rPr>
        <sz val="10"/>
        <color rgb="FF000000"/>
        <rFont val="Times New Roman"/>
      </rPr>
      <t xml:space="preserve">настольного тенниса DF-2S
</t>
    </r>
    <r>
      <rPr>
        <sz val="10"/>
        <color rgb="FF000000"/>
        <rFont val="Times New Roman"/>
      </rPr>
      <t>.Изготовлен из пластика</t>
    </r>
  </si>
  <si>
    <t>Шарик для
настольного тенниса DF-2S
.Изготовлен из пластика</t>
  </si>
  <si>
    <r>
      <rPr>
        <sz val="10"/>
        <color rgb="FF000000"/>
        <rFont val="Times New Roman"/>
      </rPr>
      <t xml:space="preserve">Шарик для настольного тенниса DF-2S .Диаметр 40 мм,  в упаковке 3 шт.
</t>
    </r>
    <r>
      <rPr>
        <sz val="10"/>
        <color rgb="FF000000"/>
        <rFont val="Times New Roman"/>
      </rPr>
      <t>Цвет основной: Белый. Изготовлен из пластика. , в упаковке 3 шт., в упаковке 3 шт.</t>
    </r>
  </si>
  <si>
    <r>
      <rPr>
        <sz val="10"/>
        <color rgb="FF000000"/>
        <rFont val="Times New Roman"/>
      </rPr>
      <t xml:space="preserve">522-101-1024-0014 - Шарик для
</t>
    </r>
    <r>
      <rPr>
        <sz val="10"/>
        <color rgb="FF000000"/>
        <rFont val="Times New Roman"/>
      </rPr>
      <t>настольного тенниса XSX, диаметр 40мм. Изготовлен из пластика</t>
    </r>
  </si>
  <si>
    <t>Шарик для
настольного тенниса XSX, диаметр 40мм. Изготовлен из пластика</t>
  </si>
  <si>
    <r>
      <rPr>
        <sz val="10"/>
        <color theme="1"/>
        <rFont val="Times New Roman"/>
      </rPr>
      <t>Шарик для настольного тенниса XSX, диаметр 40мм.  Изготовлен из пластика.</t>
    </r>
  </si>
  <si>
    <r>
      <rPr>
        <sz val="10"/>
        <color theme="1"/>
        <rFont val="Times New Roman"/>
      </rPr>
      <t>522-101-1024-0015 - Ракетка для настольного тенниса Double fish 5А</t>
    </r>
  </si>
  <si>
    <r>
      <rPr>
        <sz val="10"/>
        <color theme="1"/>
        <rFont val="Times New Roman"/>
      </rPr>
      <t>Ракетка для настольного тенниса Double fish 5А. Ракетка предназначенная для продвинутых игроков в настольный теннис. Подходит для быстрых, коротких игр.</t>
    </r>
  </si>
  <si>
    <r>
      <rPr>
        <sz val="10"/>
        <color rgb="FF000000"/>
        <rFont val="Times New Roman"/>
      </rPr>
      <t xml:space="preserve">522-101-1024-0016 - Сачок для
</t>
    </r>
    <r>
      <rPr>
        <sz val="10"/>
        <color rgb="FF000000"/>
        <rFont val="Times New Roman"/>
      </rPr>
      <t>мячей. Алюминиевая телескопическая ручка, нейлоновая сетка, пластиковые крепления</t>
    </r>
  </si>
  <si>
    <t>Сачок для
мячей. Алюминиевая телескопическая ручка, нейлоновая сетка, пластиковые крепления</t>
  </si>
  <si>
    <r>
      <rPr>
        <sz val="10"/>
        <color theme="1"/>
        <rFont val="Times New Roman"/>
      </rPr>
      <t>Сачок для мячей DHS. Легко разбирается и собирается  Телескопическая ручка 61-106 см. Материал изготовления: Размер сеткосборника: 16 х 28 см.</t>
    </r>
  </si>
  <si>
    <r>
      <rPr>
        <sz val="10"/>
        <color rgb="FF000000"/>
        <rFont val="Times New Roman"/>
      </rPr>
      <t xml:space="preserve">522-101-1024-0017 - Мяч для
</t>
    </r>
    <r>
      <rPr>
        <sz val="10"/>
        <color rgb="FF000000"/>
        <rFont val="Times New Roman"/>
      </rPr>
      <t>настольного тенниса, материал ABS-пластик. Размер: диаметр 40 мм</t>
    </r>
  </si>
  <si>
    <t>Мяч для
настольного тенниса, материал ABS-пластик. Размер: диаметр 40 мм</t>
  </si>
  <si>
    <r>
      <rPr>
        <sz val="10"/>
        <color theme="1"/>
        <rFont val="Times New Roman"/>
      </rPr>
      <t>Подходят для тренировок и игр в спортивных клубах, секциях и школьных учреждениях. Изготавливаются из прочного ABS-пластика, обеспечивающего высокую износостойкость, долгий срок службы и стабильные игровые характеристики.</t>
    </r>
  </si>
  <si>
    <r>
      <rPr>
        <sz val="10"/>
        <color theme="1"/>
        <rFont val="Times New Roman"/>
      </rPr>
      <t>522-101-1024-0018 - Ракетка для настольного тенниса. Основание из специального шпона дерева, накладки из губчатого слоя</t>
    </r>
  </si>
  <si>
    <r>
      <rPr>
        <sz val="10"/>
        <color theme="1"/>
        <rFont val="Times New Roman"/>
      </rPr>
      <t>Ракетки для настольного тенниса STIGA. Ручка ракетки удобной конической формы и не доставляет дискомфорта во время игры. Материал изготовления: основание из фанеры, покрытое резиновыми накладками с губкой.</t>
    </r>
  </si>
  <si>
    <r>
      <rPr>
        <sz val="10"/>
        <color rgb="FF000000"/>
        <rFont val="Times New Roman"/>
      </rPr>
      <t xml:space="preserve">522-101-1025-0001 - Стол
</t>
    </r>
    <r>
      <rPr>
        <sz val="10"/>
        <color rgb="FF000000"/>
        <rFont val="Times New Roman"/>
      </rPr>
      <t>теннисный в комплекте</t>
    </r>
  </si>
  <si>
    <t>Стол
теннисный в комплекте</t>
  </si>
  <si>
    <r>
      <rPr>
        <sz val="10"/>
        <color rgb="FF000000"/>
        <rFont val="Times New Roman"/>
      </rPr>
      <t xml:space="preserve">Складная конструкция, транспортировочные ролики, сетка в комплекте.
</t>
    </r>
    <r>
      <rPr>
        <sz val="10"/>
        <color rgb="FF000000"/>
        <rFont val="Times New Roman"/>
      </rPr>
      <t>Материал столешницы ДСП.</t>
    </r>
  </si>
  <si>
    <r>
      <rPr>
        <sz val="10"/>
        <color rgb="FF000000"/>
        <rFont val="Times New Roman"/>
      </rPr>
      <t xml:space="preserve">522-101-1025-0003 - Стол
</t>
    </r>
    <r>
      <rPr>
        <sz val="10"/>
        <color rgb="FF000000"/>
        <rFont val="Times New Roman"/>
      </rPr>
      <t xml:space="preserve">настольного тенниса FY-166
</t>
    </r>
    <r>
      <rPr>
        <sz val="10"/>
        <color rgb="FF000000"/>
        <rFont val="Times New Roman"/>
      </rPr>
      <t xml:space="preserve">.Изготовлен из ЛДСП 16 мм с меламиновым покрытием. Размеры: длина 274 см, ширина 152,5 см,
</t>
    </r>
    <r>
      <rPr>
        <sz val="10"/>
        <color rgb="FF000000"/>
        <rFont val="Times New Roman"/>
      </rPr>
      <t>высота 76 см</t>
    </r>
  </si>
  <si>
    <t>Стол
настольного тенниса FY-166
.Изготовлен из ЛДСП 16 мм с меламиновым покрытием. Размеры: длина 274 см, ширина 152,5 см,
высота 76 см</t>
  </si>
  <si>
    <r>
      <rPr>
        <sz val="10"/>
        <color rgb="FF000000"/>
        <rFont val="Times New Roman"/>
      </rPr>
      <t xml:space="preserve">Стол настольного тенниса FY-166. Размеры: длина 274 см, ширина 152,5 см, высота 76 см. Игровое поле: ЛДСП 16 мм с меламиновым покрытием.
</t>
    </r>
    <r>
      <rPr>
        <sz val="10"/>
        <color rgb="FF000000"/>
        <rFont val="Times New Roman"/>
      </rPr>
      <t>Кант: кромка ПВХ 0,45 мм.</t>
    </r>
  </si>
  <si>
    <r>
      <rPr>
        <sz val="10"/>
        <color rgb="FF000000"/>
        <rFont val="Times New Roman"/>
      </rPr>
      <t xml:space="preserve">522-101-1025-0004 - Стол
</t>
    </r>
    <r>
      <rPr>
        <sz val="10"/>
        <color rgb="FF000000"/>
        <rFont val="Times New Roman"/>
      </rPr>
      <t xml:space="preserve">настольного тенниса уличный TT-2375.  Изготовлен из металла. Размер: 250х125 см, высота 76 см:
</t>
    </r>
    <r>
      <rPr>
        <sz val="10"/>
        <color rgb="FF000000"/>
        <rFont val="Times New Roman"/>
      </rPr>
      <t>лист цельный</t>
    </r>
  </si>
  <si>
    <t>Стол
настольного тенниса уличный TT-2375.  Изготовлен из металла. Размер: 250х125 см, высота 76 см:
лист цельный</t>
  </si>
  <si>
    <r>
      <rPr>
        <sz val="10"/>
        <color theme="1"/>
        <rFont val="Times New Roman"/>
      </rPr>
      <t>Стол настольного тенниса уличный TT-2375. . Игровое поле: металл. Рама, ножки: профиль металлический 40х40 мм, 40х20 мм. Размер: 250х125 см, высота 76 см: лист цельный.</t>
    </r>
  </si>
  <si>
    <r>
      <rPr>
        <sz val="10"/>
        <color rgb="FF000000"/>
        <rFont val="Times New Roman"/>
      </rPr>
      <t xml:space="preserve">522-101-1025-0005 - Стол
</t>
    </r>
    <r>
      <rPr>
        <sz val="10"/>
        <color rgb="FF000000"/>
        <rFont val="Times New Roman"/>
      </rPr>
      <t>теннисный в комплекте с сеткой Startline-Leader.Изготовлен из ЛДСП 16мм. Размеры (ДхШхВ) 274х152,5х76см</t>
    </r>
  </si>
  <si>
    <t>Стол
теннисный в комплекте с сеткой Startline-Leader.Изготовлен из ЛДСП 16мм. Размеры (ДхШхВ) 274х152,5х76см</t>
  </si>
  <si>
    <r>
      <rPr>
        <sz val="10"/>
        <color theme="1"/>
        <rFont val="Times New Roman"/>
      </rPr>
      <t>Теннисный стол в комплекте с сеткой Startline-Leader.Изготовлен из ЛДСП 16мм. Размеры (ДхШхВ) 274х152,5х76см</t>
    </r>
  </si>
  <si>
    <r>
      <rPr>
        <sz val="10"/>
        <color rgb="FF000000"/>
        <rFont val="Times New Roman"/>
      </rPr>
      <t xml:space="preserve">522-101-1025-0006 - Робот для
</t>
    </r>
    <r>
      <rPr>
        <sz val="10"/>
        <color rgb="FF000000"/>
        <rFont val="Times New Roman"/>
      </rPr>
      <t>настольного тенниса, размеры 820х400х400мм. Корпус из ударопрочного пластика, механизм подачи из металла + высокопрочного пластика</t>
    </r>
  </si>
  <si>
    <t>Робот для
настольного тенниса, размеры 820х400х400мм. Корпус из ударопрочного пластика, механизм подачи из металла + высокопрочного пластика</t>
  </si>
  <si>
    <r>
      <rPr>
        <sz val="10"/>
        <color rgb="FF000000"/>
        <rFont val="Times New Roman"/>
      </rPr>
      <t xml:space="preserve">Робот для настольного тенниса предназначен для тренировки различных подач и игровых ситуаций. Он может быть запрограммирован на верхнее, обратное, боковое вращение и обратный ход мяча. Точная подача обеспечивается за счёт 21 колеблющейся позиции и 30 уровней скорости.
</t>
    </r>
    <r>
      <rPr>
        <sz val="10"/>
        <color rgb="FF000000"/>
        <rFont val="Times New Roman"/>
      </rPr>
      <t xml:space="preserve">Цифровой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t>
    </r>
    <r>
      <rPr>
        <sz val="10"/>
        <color rgb="FF000000"/>
        <rFont val="Times New Roman"/>
      </rPr>
      <t>Материал изготовления: Корпус: ударопрочный пластик (ABS/PP) , Механизм подачи: металл + высокопрочный пластик, Роторы/ролики подачи мяча: резина или мягкий полимер, стойка и крепления: металл сталь/алюминий).</t>
    </r>
  </si>
  <si>
    <r>
      <rPr>
        <sz val="10"/>
        <color rgb="FF000000"/>
        <rFont val="Times New Roman"/>
      </rPr>
      <t xml:space="preserve">522-101-1025-0007 - Стол
</t>
    </r>
    <r>
      <rPr>
        <sz val="10"/>
        <color rgb="FF000000"/>
        <rFont val="Times New Roman"/>
      </rPr>
      <t>настольного тенниса, размеры 1640х1500х260мм. Складной механизм, колеса с тормозами, материал изготогвления: МДФ, металлическая труба</t>
    </r>
  </si>
  <si>
    <t>Стол
настольного тенниса, размеры 1640х1500х260мм. Складной механизм, колеса с тормозами, материал изготогвления: МДФ, металлическая труба</t>
  </si>
  <si>
    <r>
      <rPr>
        <sz val="10"/>
        <color rgb="FF000000"/>
        <rFont val="Times New Roman"/>
      </rPr>
      <t xml:space="preserve">Столешница изготовлена из МДФ -материала более плотного, чем ДСП, за счет чего достигается максимально равномерный отскок мяча. Каждая половина стола складывается и транспортируется по отдельности.
</t>
    </r>
    <r>
      <rPr>
        <sz val="10"/>
        <color rgb="FF000000"/>
        <rFont val="Times New Roman"/>
      </rPr>
      <t xml:space="preserve">Компактные размеры в сложенном состоянии. Одобрен ITTF (Международной федерацией настольного тенниса). Рама изготовлена из 50-мм металлической трубы. Внешние ножки с регулировкой высоты (юстировкой). Стол оснащен колесами диаметром 125 мм с тормозами.
</t>
    </r>
    <r>
      <rPr>
        <sz val="10"/>
        <color rgb="FF000000"/>
        <rFont val="Times New Roman"/>
      </rPr>
      <t>Одиночное сложение стола настольного тенниса.</t>
    </r>
  </si>
  <si>
    <r>
      <rPr>
        <sz val="10"/>
        <color rgb="FF000000"/>
        <rFont val="Times New Roman"/>
      </rPr>
      <t xml:space="preserve">522-101-1026-0001 - Дуга для
</t>
    </r>
    <r>
      <rPr>
        <sz val="10"/>
        <color rgb="FF000000"/>
        <rFont val="Times New Roman"/>
      </rPr>
      <t>подлезания размерами 400х800 мм RAD-040</t>
    </r>
  </si>
  <si>
    <t>Дуга для
подлезания размерами 400х800 мм RAD-040</t>
  </si>
  <si>
    <r>
      <rPr>
        <sz val="10"/>
        <color theme="1"/>
        <rFont val="Times New Roman"/>
      </rPr>
      <t>Дуга для подлезания 40 RAD-040. Дуга для подлезания представляет собой сборно-разборную конструкцию, состоящую из следующих основных частей: арки и двух опор. Размер: 400х800 мм, материал дуги и опор: дерево</t>
    </r>
  </si>
  <si>
    <r>
      <rPr>
        <sz val="10"/>
        <color rgb="FF000000"/>
        <rFont val="Times New Roman"/>
      </rPr>
      <t xml:space="preserve">522-101-1026-0002 - Дуга для
</t>
    </r>
    <r>
      <rPr>
        <sz val="10"/>
        <color rgb="FF000000"/>
        <rFont val="Times New Roman"/>
      </rPr>
      <t>подлезания размерами 500х900 мм RAD-050</t>
    </r>
  </si>
  <si>
    <t>Дуга для
подлезания размерами 500х900 мм RAD-050</t>
  </si>
  <si>
    <r>
      <rPr>
        <sz val="10"/>
        <color theme="1"/>
        <rFont val="Times New Roman"/>
      </rPr>
      <t>Дуга для подлезания 50 RAD-050. Дуга для подлезания представляет собой сборно-разборную конструкцию, состоящую из следующих основных частей: арки и двух опор. Размер: 500х900 мм, материал дуги и опор: дерево</t>
    </r>
  </si>
  <si>
    <r>
      <rPr>
        <sz val="10"/>
        <color rgb="FF000000"/>
        <rFont val="Times New Roman"/>
      </rPr>
      <t xml:space="preserve">522-101-1026-0003 - Дуга для
</t>
    </r>
    <r>
      <rPr>
        <sz val="10"/>
        <color rgb="FF000000"/>
        <rFont val="Times New Roman"/>
      </rPr>
      <t>подлезания размерами 600х1000 мм RAD-060</t>
    </r>
  </si>
  <si>
    <t>Дуга для
подлезания размерами 600х1000 мм RAD-060</t>
  </si>
  <si>
    <r>
      <rPr>
        <sz val="10"/>
        <color theme="1"/>
        <rFont val="Times New Roman"/>
      </rPr>
      <t>Дуга для подлезания 60 RAD-060. Дуга для подлезания представляет собой сборно-разборную конструкцию, состоящую из следующих основных частей: арки и двух опор. Размер: 600х1000 мм, материал дуги и опор: дерево</t>
    </r>
  </si>
  <si>
    <r>
      <rPr>
        <sz val="10"/>
        <color rgb="FF000000"/>
        <rFont val="Times New Roman"/>
      </rPr>
      <t xml:space="preserve">522-101-1027-0007 - Обруч
</t>
    </r>
    <r>
      <rPr>
        <sz val="10"/>
        <color rgb="FF000000"/>
        <rFont val="Times New Roman"/>
      </rPr>
      <t xml:space="preserve">гимнастический пластиковый TF-100 100 см. Изготовлен из
</t>
    </r>
    <r>
      <rPr>
        <sz val="10"/>
        <color rgb="FF000000"/>
        <rFont val="Times New Roman"/>
      </rPr>
      <t>пластмассы. Размер: диаметр 100 см Толщина 1,8 см</t>
    </r>
  </si>
  <si>
    <t>Обруч
гимнастический пластиковый TF-100 100 см. Изготовлен из
пластмассы. Размер: диаметр 100 см Толщина 1,8 см</t>
  </si>
  <si>
    <r>
      <rPr>
        <sz val="10"/>
        <color theme="1"/>
        <rFont val="Times New Roman"/>
      </rPr>
      <t>Обруч гимнастический пластиковый TF-100 100 см. Изготовлен из пластмассы. Размер: диаметр 100 см Толщина 1,8 см</t>
    </r>
  </si>
  <si>
    <r>
      <rPr>
        <sz val="10"/>
        <color rgb="FF000000"/>
        <rFont val="Times New Roman"/>
      </rPr>
      <t xml:space="preserve">522-101-1027-0008 - Обруч
</t>
    </r>
    <r>
      <rPr>
        <sz val="10"/>
        <color rgb="FF000000"/>
        <rFont val="Times New Roman"/>
      </rPr>
      <t xml:space="preserve">гимнастический TF-80, 80 см.
</t>
    </r>
    <r>
      <rPr>
        <sz val="10"/>
        <color rgb="FF000000"/>
        <rFont val="Times New Roman"/>
      </rPr>
      <t>Изготовлен из пластмассы. Размер: диаметр 80 см Толщина 1,8 см</t>
    </r>
  </si>
  <si>
    <t>Обруч
гимнастический TF-80, 80 см.
Изготовлен из пластмассы. Размер: диаметр 80 см Толщина 1,8 см</t>
  </si>
  <si>
    <r>
      <rPr>
        <sz val="10"/>
        <color theme="1"/>
        <rFont val="Times New Roman"/>
      </rPr>
      <t>Обруч гимнастический TF-80, 80 см. Изготовлен из пластмассы. Размер: диаметр 80 см Толщина 1,8 см.</t>
    </r>
  </si>
  <si>
    <r>
      <rPr>
        <sz val="10"/>
        <color rgb="FF000000"/>
        <rFont val="Times New Roman"/>
      </rPr>
      <t xml:space="preserve">522-101-1027-0009 - Обруч
</t>
    </r>
    <r>
      <rPr>
        <sz val="10"/>
        <color rgb="FF000000"/>
        <rFont val="Times New Roman"/>
      </rPr>
      <t>гимнастический пластиковый TF-60, 60 см. Изготовлен из пластмассы. Размер: диаметр 60 см Толщина 1,8 см</t>
    </r>
  </si>
  <si>
    <t>Обруч
гимнастический пластиковый TF-60, 60 см. Изготовлен из пластмассы. Размер: диаметр 60 см Толщина 1,8 см</t>
  </si>
  <si>
    <r>
      <rPr>
        <sz val="10"/>
        <color theme="1"/>
        <rFont val="Times New Roman"/>
      </rPr>
      <t>Обручгимнастический пластиковый TF-60, 60 см. Изготовлен из пластмассы. Размер: диаметр 60 см Толщина 1,8 см.</t>
    </r>
  </si>
  <si>
    <r>
      <rPr>
        <sz val="10"/>
        <color rgb="FF000000"/>
        <rFont val="Times New Roman"/>
      </rPr>
      <t xml:space="preserve">522-101-1027-0010 - Обруч
</t>
    </r>
    <r>
      <rPr>
        <sz val="10"/>
        <color rgb="FF000000"/>
        <rFont val="Times New Roman"/>
      </rPr>
      <t>металический TFM-80 80 см. Изготовлен из легкого металла и покрыт краской. Диаметр 80 см</t>
    </r>
  </si>
  <si>
    <t>Обруч
металический TFM-80 80 см. Изготовлен из легкого металла и покрыт краской. Диаметр 80 см</t>
  </si>
  <si>
    <r>
      <rPr>
        <sz val="10"/>
        <color theme="1"/>
        <rFont val="Times New Roman"/>
      </rPr>
      <t>Обруч металический TFM-80 80 см.  Изготовлен из легкого металла и покрыт краской. Диаметр 80 см.</t>
    </r>
  </si>
  <si>
    <r>
      <rPr>
        <sz val="10"/>
        <color rgb="FF000000"/>
        <rFont val="Times New Roman"/>
      </rPr>
      <t xml:space="preserve">522-101-1027-0011 - Обруч
</t>
    </r>
    <r>
      <rPr>
        <sz val="10"/>
        <color rgb="FF000000"/>
        <rFont val="Times New Roman"/>
      </rPr>
      <t>металический TFM-100 100 см. Изготовлен из легкого металла и покрыт краской. Диаметр 100 см</t>
    </r>
  </si>
  <si>
    <t>Обруч
металический TFM-100 100 см. Изготовлен из легкого металла и покрыт краской. Диаметр 100 см</t>
  </si>
  <si>
    <r>
      <rPr>
        <sz val="10"/>
        <color theme="1"/>
        <rFont val="Times New Roman"/>
      </rPr>
      <t>Обруч металический TFM-100 100 см. Изготовлен из легкого металла и покрыт краской. Диаметр 100 см .</t>
    </r>
  </si>
  <si>
    <r>
      <rPr>
        <sz val="10"/>
        <color theme="1"/>
        <rFont val="Times New Roman"/>
      </rPr>
      <t>522-101-1028-0005 - Динамометр кистевой TCD-7002</t>
    </r>
  </si>
  <si>
    <r>
      <rPr>
        <sz val="10"/>
        <color rgb="FF000000"/>
        <rFont val="Times New Roman"/>
      </rPr>
      <t xml:space="preserve">Динамометр кистевой TCD-7002. Предел измерения - 90 кг. Разрешение - 100 г. Погрешность - ±100 г. Высота цифр дисплея - 21 мм. Питание - Батареи типа (ААА) 1,5В - 2шт.  Габаритные размеры - 195 х 130 х 36 мм.
</t>
    </r>
    <r>
      <rPr>
        <sz val="10"/>
        <color rgb="FF000000"/>
        <rFont val="Times New Roman"/>
      </rPr>
      <t>Вес - 355 г с батареями</t>
    </r>
  </si>
  <si>
    <r>
      <rPr>
        <sz val="10"/>
        <color rgb="FF000000"/>
        <rFont val="Times New Roman"/>
      </rPr>
      <t xml:space="preserve">522-101-1029-0001 -
</t>
    </r>
    <r>
      <rPr>
        <sz val="10"/>
        <color rgb="FF000000"/>
        <rFont val="Times New Roman"/>
      </rPr>
      <t>Электромегафон с регулируемой громкостью</t>
    </r>
  </si>
  <si>
    <t>522-101-1029-0001 -
Электромегафон с регулируемой громкостью</t>
  </si>
  <si>
    <r>
      <rPr>
        <sz val="10"/>
        <color theme="1"/>
        <rFont val="Times New Roman"/>
      </rPr>
      <t>С встроенным микрофоном, функцией сирены, громкость регулируется.</t>
    </r>
  </si>
  <si>
    <r>
      <rPr>
        <sz val="10"/>
        <color rgb="FF000000"/>
        <rFont val="Times New Roman"/>
      </rPr>
      <t xml:space="preserve">522-101-1030-0001 - Табло
</t>
    </r>
    <r>
      <rPr>
        <sz val="10"/>
        <color rgb="FF000000"/>
        <rFont val="Times New Roman"/>
      </rPr>
      <t>пластиковое перекидное</t>
    </r>
  </si>
  <si>
    <t>Табло
пластиковое перекидное</t>
  </si>
  <si>
    <r>
      <rPr>
        <sz val="10"/>
        <color theme="1"/>
        <rFont val="Times New Roman"/>
      </rPr>
      <t>Табло перекидное на металлической подставке с пластиковыми номерами.</t>
    </r>
  </si>
  <si>
    <r>
      <rPr>
        <sz val="10"/>
        <color rgb="FF000000"/>
        <rFont val="Times New Roman"/>
      </rPr>
      <t xml:space="preserve">522-101-1030-0002 - Табло
</t>
    </r>
    <r>
      <rPr>
        <sz val="10"/>
        <color rgb="FF000000"/>
        <rFont val="Times New Roman"/>
      </rPr>
      <t>пластиковое, размеры: 420х200х50мм. Материал изготовления: ударопрочный пластик (ABS), металлические крепления, износостойкие цифры из ламинированного пластика</t>
    </r>
  </si>
  <si>
    <t>Табло
пластиковое, размеры: 420х200х50мм. Материал изготовления: ударопрочный пластик (ABS), металлические крепления, износостойкие цифры из ламинированного пластика</t>
  </si>
  <si>
    <r>
      <rPr>
        <sz val="10"/>
        <color theme="1"/>
        <rFont val="Times New Roman"/>
      </rPr>
      <t>Судейский счётчик для проведения соревнований по настольному теннису на высоком уровне. Одобрен ITTF.</t>
    </r>
  </si>
  <si>
    <r>
      <rPr>
        <sz val="10"/>
        <color rgb="FF000000"/>
        <rFont val="Times New Roman"/>
      </rPr>
      <t xml:space="preserve">522-101-1031-0001 - Табло
</t>
    </r>
    <r>
      <rPr>
        <sz val="10"/>
        <color rgb="FF000000"/>
        <rFont val="Times New Roman"/>
      </rPr>
      <t>электронное универсальное</t>
    </r>
  </si>
  <si>
    <t>Табло
электронное универсальное</t>
  </si>
  <si>
    <r>
      <rPr>
        <sz val="10"/>
        <color theme="1"/>
        <rFont val="Times New Roman"/>
      </rPr>
      <t>Табло электронное универсальное. Отображение счет, тайм, время, фолы. Управление по Wi-Fi. Размер: 1,6х0,8м. Управление табло осуществляется через программу на ПК, иные способы управления: радиопульт</t>
    </r>
  </si>
  <si>
    <r>
      <rPr>
        <sz val="10"/>
        <color rgb="FF000000"/>
        <rFont val="Times New Roman"/>
      </rPr>
      <t xml:space="preserve">522-101-1033-0001 - Рулетка
</t>
    </r>
    <r>
      <rPr>
        <sz val="10"/>
        <color rgb="FF000000"/>
        <rFont val="Times New Roman"/>
      </rPr>
      <t>измерительная 50 м</t>
    </r>
  </si>
  <si>
    <t>Рулетка
измерительная 50 м</t>
  </si>
  <si>
    <r>
      <rPr>
        <sz val="10"/>
        <color theme="1"/>
        <rFont val="Times New Roman"/>
      </rPr>
      <t>Рулетка измерительная 50 метров. Размеры: 50 м х 12.5 мм х 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r>
  </si>
  <si>
    <r>
      <rPr>
        <sz val="10"/>
        <color rgb="FF000000"/>
        <rFont val="Times New Roman"/>
      </rPr>
      <t xml:space="preserve">522-101-1033-0002 - Рулетка
</t>
    </r>
    <r>
      <rPr>
        <sz val="10"/>
        <color rgb="FF000000"/>
        <rFont val="Times New Roman"/>
      </rPr>
      <t>измерительная 30 метров</t>
    </r>
  </si>
  <si>
    <t>Рулетка
измерительная 30 метров</t>
  </si>
  <si>
    <r>
      <rPr>
        <sz val="10"/>
        <color theme="1"/>
        <rFont val="Times New Roman"/>
      </rPr>
      <t>Рулетка измерительная 30 метров. Размеры: 30 м х 12.5 мм х0.4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r>
  </si>
  <si>
    <r>
      <rPr>
        <sz val="10"/>
        <color rgb="FF000000"/>
        <rFont val="Times New Roman"/>
      </rPr>
      <t xml:space="preserve">522-101-1033-0003 - Рулетка
</t>
    </r>
    <r>
      <rPr>
        <sz val="10"/>
        <color rgb="FF000000"/>
        <rFont val="Times New Roman"/>
      </rPr>
      <t>измерительная 2 м</t>
    </r>
  </si>
  <si>
    <t>Рулетка
измерительная 2 м</t>
  </si>
  <si>
    <r>
      <rPr>
        <sz val="10"/>
        <color theme="1"/>
        <rFont val="Times New Roman"/>
      </rPr>
      <t>Длина 2 метра, ширина 13см, материал корпуса пластик, материал ленты металл</t>
    </r>
  </si>
  <si>
    <r>
      <rPr>
        <sz val="10"/>
        <color theme="1"/>
        <rFont val="Times New Roman"/>
      </rPr>
      <t>522-101-1034-0001 - Стеллаж для спортивного инвентаря, размеры не менее 1800х1000х400мм</t>
    </r>
  </si>
  <si>
    <r>
      <rPr>
        <sz val="10"/>
        <color theme="1"/>
        <rFont val="Times New Roman"/>
      </rPr>
      <t>Каркас изготовлен из металлического профиля 25х25мм, полки изготовлены из фанеры толщиной 10мм. Нагрузка на полку не более 50кг. 6 полок</t>
    </r>
  </si>
  <si>
    <r>
      <rPr>
        <sz val="10"/>
        <color theme="1"/>
        <rFont val="Times New Roman"/>
      </rPr>
      <t>522-101-1035-0001 - Стеллаж для мячей, размеры не менее 2000х1250х450мм</t>
    </r>
  </si>
  <si>
    <t>Стеллаж для мячей, размеры не менее 2000х1250х450мм</t>
  </si>
  <si>
    <r>
      <rPr>
        <sz val="10"/>
        <color theme="1"/>
        <rFont val="Times New Roman"/>
      </rPr>
      <t>Толщина стенки профильной трубы каркаса-1,5 мм. Количество роликов с фиксаторами для перемещения-4 шт. 6 полок. Количество одновременно хранимых мячей не менее 28 шт</t>
    </r>
  </si>
  <si>
    <r>
      <rPr>
        <sz val="10"/>
        <color theme="1"/>
        <rFont val="Times New Roman"/>
      </rPr>
      <t>522-101-1035-0002 - Подставка под мячи/полотенца</t>
    </r>
  </si>
  <si>
    <r>
      <rPr>
        <sz val="10"/>
        <color theme="1"/>
        <rFont val="Times New Roman"/>
      </rPr>
      <t>Материал изготовления: плотный многослойный картон с ламинированным износостойким покрытием. Размеры: 780х350х20мм. Цвет: синий.</t>
    </r>
  </si>
  <si>
    <r>
      <rPr>
        <sz val="10"/>
        <color theme="1"/>
        <rFont val="Times New Roman"/>
      </rPr>
      <t>522-101-1036-0001 - Корзина для мячей переносная. Размеры: не менее 900х800х600мм</t>
    </r>
  </si>
  <si>
    <r>
      <rPr>
        <sz val="10"/>
        <color theme="1"/>
        <rFont val="Times New Roman"/>
      </rPr>
      <t>Корзина для мячей металлическая сетчатая. Размеры: не менее 900х800х600мм</t>
    </r>
  </si>
  <si>
    <r>
      <rPr>
        <sz val="10"/>
        <color rgb="FF000000"/>
        <rFont val="Times New Roman"/>
      </rPr>
      <t xml:space="preserve">522-101-1036-0002 - Корзина для мячей складная TBF-2048.
</t>
    </r>
    <r>
      <rPr>
        <sz val="10"/>
        <color rgb="FF000000"/>
        <rFont val="Times New Roman"/>
      </rPr>
      <t>Алюминиевый каркас на обрезиненных колесиках. Легко раскладывается и перемещается</t>
    </r>
  </si>
  <si>
    <t>Корзина для мячей складная TBF-2048.
Алюминиевый каркас на обрезиненных колесиках. Легко раскладывается и перемещается</t>
  </si>
  <si>
    <r>
      <rPr>
        <sz val="10"/>
        <color theme="1"/>
        <rFont val="Times New Roman"/>
      </rPr>
      <t>Корзина для мячей складная TBF-2048. Алюминиевый каркас на обрезиненных колесиках. Легко раскладывается и перемещается. Сама корзина из нейлона с усиленным дном и двумя боковыми карманами для мелочей. Комплектуется чехлом для хранения и переноски. Размер: 64х64х102см. Вес: 3.5 кг. Материалы: нейлон, алюминий, резина, пластик</t>
    </r>
  </si>
  <si>
    <r>
      <rPr>
        <sz val="10"/>
        <color rgb="FF000000"/>
        <rFont val="Times New Roman"/>
      </rPr>
      <t xml:space="preserve">522-101-1037-0003 - Насос для
</t>
    </r>
    <r>
      <rPr>
        <sz val="10"/>
        <color rgb="FF000000"/>
        <rFont val="Times New Roman"/>
      </rPr>
      <t>накачивания мячей типа TPU-4507</t>
    </r>
  </si>
  <si>
    <t>Насос для
накачивания мячей типа TPU-4507</t>
  </si>
  <si>
    <r>
      <rPr>
        <sz val="10"/>
        <color rgb="FF000000"/>
        <rFont val="Times New Roman"/>
      </rPr>
      <t xml:space="preserve">Насос для накачивания мячей. Насос ножной универсальный с манометром 55х120, габариты (ДхШхВ): 29x9x14. Универсальный ножной насос поможет в считанные секунды накачать колеса велосипеда, а также подкачать шины автомобиля. Он имеет надежное стальное основание, широкую педаль с резиновой поверхностью, две камеры 55х120, а также манометр с двумя шкалами bar/psi. Резиновый шланг насоса защищен тканевой оболочкой. В комплект также входит несколько дополнительных
</t>
    </r>
    <r>
      <rPr>
        <sz val="10"/>
        <color rgb="FF000000"/>
        <rFont val="Times New Roman"/>
      </rPr>
      <t>насадок.</t>
    </r>
  </si>
  <si>
    <r>
      <rPr>
        <sz val="10"/>
        <color rgb="FF000000"/>
        <rFont val="Times New Roman"/>
      </rPr>
      <t xml:space="preserve">522-101-1038-0003 - Козел
</t>
    </r>
    <r>
      <rPr>
        <sz val="10"/>
        <color rgb="FF000000"/>
        <rFont val="Times New Roman"/>
      </rPr>
      <t>гимнастический, высота регулируемая</t>
    </r>
  </si>
  <si>
    <t>Козел
гимнастический, высота регулируемая</t>
  </si>
  <si>
    <r>
      <rPr>
        <sz val="10"/>
        <color theme="1"/>
        <rFont val="Times New Roman"/>
      </rPr>
      <t>С фиксаторами для регулировки нужной высоты. Корпус - искусственная кожа. Размер корпуса: длина не менее 670мм, ширина не менее 350мм, высота - 280мм. Все края и углы корпуса имеют закругленную форму. Опора телескопическая и выполнена из стальных труб, окрашенных порошковой эмалью. На каждой телескопической стойке опоры установлен резиновый наконечник-копыто. Регулировки козла по высоте осуществляется выдвижением нижней трубы телескопической стойки опоры с шагом 55мм. Высота верхней поверхности корпуса от пола: 900 - 1350мм.</t>
    </r>
  </si>
  <si>
    <r>
      <rPr>
        <sz val="10"/>
        <color rgb="FF000000"/>
        <rFont val="Times New Roman"/>
      </rPr>
      <t xml:space="preserve">522-101-1039-0001 - Мостик
</t>
    </r>
    <r>
      <rPr>
        <sz val="10"/>
        <color rgb="FF000000"/>
        <rFont val="Times New Roman"/>
      </rPr>
      <t>гимнастический пружинный с гнутой платформой</t>
    </r>
  </si>
  <si>
    <t>Мостик
гимнастический пружинный с гнутой платформой</t>
  </si>
  <si>
    <r>
      <rPr>
        <sz val="10"/>
        <color theme="1"/>
        <rFont val="Times New Roman"/>
      </rPr>
      <t>Мостик гимнастический, подпружиненный. Фанера полированная. Покрыт сукном. 4 стальные пружины, очень надежные. Подбит резиновыми прокладками.Размеры: длина - 1200мм, ширина - 600мм.</t>
    </r>
  </si>
  <si>
    <r>
      <rPr>
        <sz val="10"/>
        <color rgb="FF000000"/>
        <rFont val="Times New Roman"/>
      </rPr>
      <t xml:space="preserve">522-101-1039-0002 - Мостик
</t>
    </r>
    <r>
      <rPr>
        <sz val="10"/>
        <color rgb="FF000000"/>
        <rFont val="Times New Roman"/>
      </rPr>
      <t>гимнастический приставной</t>
    </r>
  </si>
  <si>
    <t>Мостик
гимнастический приставной</t>
  </si>
  <si>
    <r>
      <rPr>
        <sz val="10"/>
        <color rgb="FF000000"/>
        <rFont val="Times New Roman"/>
      </rPr>
      <t xml:space="preserve">Из многослойной фанеры.  Верхняя платформа покрыта ковролином на резиновой основе. Вместо пружины фанерная опора. Предназначен для опорных прыжков и запрыгивания на спортивные снаряды. Размеры: длина
</t>
    </r>
    <r>
      <rPr>
        <sz val="10"/>
        <color rgb="FF000000"/>
        <rFont val="Times New Roman"/>
      </rPr>
      <t>- 1200мм, ширина - 600мм.</t>
    </r>
  </si>
  <si>
    <r>
      <rPr>
        <sz val="10"/>
        <color rgb="FF000000"/>
        <rFont val="Times New Roman"/>
      </rPr>
      <t xml:space="preserve">522-101-1039-0003 - Мост
</t>
    </r>
    <r>
      <rPr>
        <sz val="10"/>
        <color rgb="FF000000"/>
        <rFont val="Times New Roman"/>
      </rPr>
      <t>гимнастический подпружиненный TG-2215. Площадка имеет ковровое покрытие, препятствующего скольжению ног во время выполнения прыжков. Длина - 1200мм.  Ширина - 600мм. Высота - 230мм</t>
    </r>
  </si>
  <si>
    <t>Мост
гимнастический подпружиненный TG-2215. Площадка имеет ковровое покрытие, препятствующего скольжению ног во время выполнения прыжков. Длина</t>
  </si>
  <si>
    <t>1200мм.  Ширина</t>
  </si>
  <si>
    <t>600мм. Высота</t>
  </si>
  <si>
    <t>230мм</t>
  </si>
  <si>
    <r>
      <rPr>
        <sz val="10"/>
        <color theme="1"/>
        <rFont val="Times New Roman"/>
      </rPr>
      <t>Мост гимнастический подпружиненный TG-2215. Представляет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Площадка имеет ковровое покрытие, препятствующего скольжению ног во время выполнения прыжков. Длина - 1200мм.  Ширина - 600мм. Высота - 230мм.</t>
    </r>
  </si>
  <si>
    <r>
      <rPr>
        <sz val="10"/>
        <color rgb="FF000000"/>
        <rFont val="Times New Roman"/>
      </rPr>
      <t xml:space="preserve">522-101-1039-0004 - Мост
</t>
    </r>
    <r>
      <rPr>
        <sz val="10"/>
        <color rgb="FF000000"/>
        <rFont val="Times New Roman"/>
      </rPr>
      <t xml:space="preserve">гимнастический приставной RAG-521. Площадка имеет ковровое
</t>
    </r>
    <r>
      <rPr>
        <sz val="10"/>
        <color rgb="FF000000"/>
        <rFont val="Times New Roman"/>
      </rPr>
      <t>покрытие, препятствующее скольжение ног во время выполнения прыжков. Длина - 1200мм.  Ширина - 600мм. Высота - 230мм</t>
    </r>
  </si>
  <si>
    <t>Мост
гимнастический приставной RAG-521. Площадка имеет ковровое
покрытие, препятствующее скольжение ног во время выполнения прыжков. Длина</t>
  </si>
  <si>
    <r>
      <rPr>
        <sz val="10"/>
        <color theme="1"/>
        <rFont val="Times New Roman"/>
      </rPr>
      <t>Мост гимнастический приставной RAG-521. Представляет собой сборную конструкцию, состоящую из верхней площадки и основания (фанера 15мм), соединенных опорой из фанеры.  Площадка имеет ковровое покрытие, препятствующее скольжение ног во время выполнения прыжков. Длина - 1200мм.  Ширина - 600мм. Высота - 230мм.</t>
    </r>
  </si>
  <si>
    <r>
      <rPr>
        <sz val="10"/>
        <color rgb="FF000000"/>
        <rFont val="Times New Roman"/>
      </rPr>
      <t xml:space="preserve">522-101-1040-0001 - Планка для
</t>
    </r>
    <r>
      <rPr>
        <sz val="10"/>
        <color rgb="FF000000"/>
        <rFont val="Times New Roman"/>
      </rPr>
      <t>прыжков в высоту</t>
    </r>
  </si>
  <si>
    <t>Планка для
прыжков в высоту</t>
  </si>
  <si>
    <r>
      <rPr>
        <sz val="10"/>
        <color theme="1"/>
        <rFont val="Times New Roman"/>
      </rPr>
      <t>Планка для прыжков в высоту, для использования на занятиях легкой атлетикой. Длина 4000мм, пластиковые наконечники. Материал планки: дюралюминий. На концах пластиковые наконечники. Толщина стенки 2 мм.</t>
    </r>
  </si>
  <si>
    <r>
      <rPr>
        <sz val="10"/>
        <color rgb="FF000000"/>
        <rFont val="Times New Roman"/>
      </rPr>
      <t xml:space="preserve">522-101-1041-0001 - Стойка для
</t>
    </r>
    <r>
      <rPr>
        <sz val="10"/>
        <color rgb="FF000000"/>
        <rFont val="Times New Roman"/>
      </rPr>
      <t>прыжков в высоту</t>
    </r>
  </si>
  <si>
    <t>Стойка для
прыжков в высоту</t>
  </si>
  <si>
    <r>
      <rPr>
        <sz val="10"/>
        <color theme="1"/>
        <rFont val="Times New Roman"/>
      </rPr>
      <t>Пара стоек для прыжков в высоту для использования на занятиях легкой атлетикой. Стойки изготовлены из алюминиевой профильной трубы 60х30мм, вторая часть из профильной алюминиевой трубы 30х30мм, общая длина стойки 2500мм. Регулировка высоты  от 150мм до 2500мм.</t>
    </r>
  </si>
  <si>
    <r>
      <rPr>
        <sz val="10"/>
        <color rgb="FF000000"/>
        <rFont val="Times New Roman"/>
      </rPr>
      <t xml:space="preserve">522-101-1041-0002 - Стойка для
</t>
    </r>
    <r>
      <rPr>
        <sz val="10"/>
        <color rgb="FF000000"/>
        <rFont val="Times New Roman"/>
      </rPr>
      <t>прыжков в высоту, деревянная конструкция</t>
    </r>
  </si>
  <si>
    <t>Стойка для
прыжков в высоту, деревянная конструкция</t>
  </si>
  <si>
    <r>
      <rPr>
        <sz val="10"/>
        <color theme="1"/>
        <rFont val="Times New Roman"/>
      </rPr>
      <t>Стойка для прыжков в высоту детская. Деревянная конструкция. Диаметр опорных площадок стоек - 240мм, высота стойки 800мм.</t>
    </r>
  </si>
  <si>
    <r>
      <rPr>
        <sz val="10"/>
        <color rgb="FF000000"/>
        <rFont val="Times New Roman"/>
      </rPr>
      <t xml:space="preserve">522-101-1043-0002 - Коньки
</t>
    </r>
    <r>
      <rPr>
        <sz val="10"/>
        <color rgb="FF000000"/>
        <rFont val="Times New Roman"/>
      </rPr>
      <t>фигурные RAS-200</t>
    </r>
  </si>
  <si>
    <t>Коньки
фигурные RAS-200</t>
  </si>
  <si>
    <r>
      <rPr>
        <sz val="10"/>
        <color theme="1"/>
        <rFont val="Times New Roman"/>
      </rPr>
      <t>Коньки RAS-200. Разных размеров. Материал ботинка - кожа, материал лезвия - нержавеющая сталь, материал подкладки - синтетический мех, материал подошвы - полиуретан, тип коньков - фигурные, тип фиксации - шнурки</t>
    </r>
  </si>
  <si>
    <r>
      <rPr>
        <sz val="10"/>
        <color rgb="FF000000"/>
        <rFont val="Times New Roman"/>
      </rPr>
      <t xml:space="preserve">522-101-1044-0002 - Ворота для
</t>
    </r>
    <r>
      <rPr>
        <sz val="10"/>
        <color rgb="FF000000"/>
        <rFont val="Times New Roman"/>
      </rPr>
      <t>мини футбола</t>
    </r>
  </si>
  <si>
    <t>Ворота для
мини футбола</t>
  </si>
  <si>
    <r>
      <rPr>
        <sz val="10"/>
        <color theme="1"/>
        <rFont val="Times New Roman"/>
      </rPr>
      <t>Усиленная конструкция. Основные размеры: Ширина – 3000 мм, высота  - 2000 мм, глубина основания 1000 мм. Передние стойки и штанга выполнены из металлической профильной трубы 80х80мм.</t>
    </r>
  </si>
  <si>
    <r>
      <rPr>
        <sz val="10"/>
        <color rgb="FF000000"/>
        <rFont val="Times New Roman"/>
      </rPr>
      <t xml:space="preserve">522-101-1045-0001 - Мяч
</t>
    </r>
    <r>
      <rPr>
        <sz val="10"/>
        <color rgb="FF000000"/>
        <rFont val="Times New Roman"/>
      </rPr>
      <t>гандбольный TF-9525</t>
    </r>
  </si>
  <si>
    <t>Мяч
гандбольный TF-9525</t>
  </si>
  <si>
    <r>
      <rPr>
        <sz val="10"/>
        <color rgb="FF000000"/>
        <rFont val="Times New Roman"/>
      </rPr>
      <t xml:space="preserve">Количество панелей - 32. Способ соединения панелей - Ручная сшивка.
</t>
    </r>
    <r>
      <rPr>
        <sz val="10"/>
        <color rgb="FF000000"/>
        <rFont val="Times New Roman"/>
      </rPr>
      <t>Материал покрышки - синтетическая кожа.</t>
    </r>
  </si>
  <si>
    <r>
      <rPr>
        <sz val="10"/>
        <color rgb="FF000000"/>
        <rFont val="Times New Roman"/>
      </rPr>
      <t xml:space="preserve">522-101-1046-0003 - Сетка
</t>
    </r>
    <r>
      <rPr>
        <sz val="10"/>
        <color rgb="FF000000"/>
        <rFont val="Times New Roman"/>
      </rPr>
      <t>волейбольная, размер не менее 9500х1000мм</t>
    </r>
  </si>
  <si>
    <t>Сетка
волейбольная, размер не менее 9500х1000мм</t>
  </si>
  <si>
    <r>
      <rPr>
        <sz val="10"/>
        <color rgb="FF000000"/>
        <rFont val="Times New Roman"/>
      </rPr>
      <t xml:space="preserve">Толщина нити Д 2,6 мм (обшитая с 4-х сторон), парашютная стропа 50 мм.
</t>
    </r>
    <r>
      <rPr>
        <sz val="10"/>
        <color rgb="FF000000"/>
        <rFont val="Times New Roman"/>
      </rPr>
      <t>Изготовлена из полимерных волокон из полипропилена</t>
    </r>
  </si>
  <si>
    <r>
      <rPr>
        <sz val="10"/>
        <color rgb="FF000000"/>
        <rFont val="Times New Roman"/>
      </rPr>
      <t xml:space="preserve">522-101-1046-0004 - Трос для
</t>
    </r>
    <r>
      <rPr>
        <sz val="10"/>
        <color rgb="FF000000"/>
        <rFont val="Times New Roman"/>
      </rPr>
      <t>волейбольной сетки, сталь, длина 15 м</t>
    </r>
  </si>
  <si>
    <t>Трос для
волейбольной сетки, сталь, длина 15 м</t>
  </si>
  <si>
    <r>
      <rPr>
        <sz val="10"/>
        <color theme="1"/>
        <rFont val="Times New Roman"/>
      </rPr>
      <t>Трос для волейбольной сетки. Материал: сталь, длина 15 м. Диаметр троса - 4 мм</t>
    </r>
  </si>
  <si>
    <r>
      <rPr>
        <sz val="10"/>
        <color rgb="FF000000"/>
        <rFont val="Times New Roman"/>
      </rPr>
      <t xml:space="preserve">522-101-1046-0005 - Сетка
</t>
    </r>
    <r>
      <rPr>
        <sz val="10"/>
        <color rgb="FF000000"/>
        <rFont val="Times New Roman"/>
      </rPr>
      <t>волейбольная профессиональная, размер 9500х1000мм, толщина нити 3мм</t>
    </r>
  </si>
  <si>
    <t>Сетка
волейбольная профессиональная, размер 9500х1000мм, толщина нити 3мм</t>
  </si>
  <si>
    <r>
      <rPr>
        <sz val="10"/>
        <color theme="1"/>
        <rFont val="Times New Roman"/>
      </rPr>
      <t>Сетка волейбольная профессиональная, размер 9,5х1м. Толщина нити Д 3мм. Волейбольная сетка изготовлена из современных материалов по новейшим технологиям. В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t>
    </r>
  </si>
  <si>
    <r>
      <rPr>
        <sz val="10"/>
        <color rgb="FF000000"/>
        <rFont val="Times New Roman"/>
      </rPr>
      <t xml:space="preserve">522-101-1047-0002 - Сетка для
</t>
    </r>
    <r>
      <rPr>
        <sz val="10"/>
        <color rgb="FF000000"/>
        <rFont val="Times New Roman"/>
      </rPr>
      <t>мини-футбольных ворот</t>
    </r>
  </si>
  <si>
    <t>Сетка для
мини-футбольных ворот</t>
  </si>
  <si>
    <r>
      <rPr>
        <sz val="10"/>
        <color theme="1"/>
        <rFont val="Times New Roman"/>
      </rPr>
      <t>Сетка мини-футбольная, размер ячейки 100х100мм. В качестве основы данной сетки используются полимерные волокна из полипропилена, дополнительно сетка пропитана септиком</t>
    </r>
  </si>
  <si>
    <r>
      <rPr>
        <sz val="10"/>
        <color rgb="FF000000"/>
        <rFont val="Times New Roman"/>
      </rPr>
      <t xml:space="preserve">522-101-1048-0002 - Фишка
</t>
    </r>
    <r>
      <rPr>
        <sz val="10"/>
        <color rgb="FF000000"/>
        <rFont val="Times New Roman"/>
      </rPr>
      <t>разметочная TMC-2179</t>
    </r>
  </si>
  <si>
    <t>Фишка
разметочная TMC-2179</t>
  </si>
  <si>
    <r>
      <rPr>
        <sz val="10"/>
        <color theme="1"/>
        <rFont val="Times New Roman"/>
      </rPr>
      <t>Фишка разметочная TMC-2179. фишка d=20см, h=5см</t>
    </r>
  </si>
  <si>
    <r>
      <rPr>
        <sz val="10"/>
        <color rgb="FF000000"/>
        <rFont val="Times New Roman"/>
      </rPr>
      <t xml:space="preserve">522-101-1048-0003 - Кольца для
</t>
    </r>
    <r>
      <rPr>
        <sz val="10"/>
        <color rgb="FF000000"/>
        <rFont val="Times New Roman"/>
      </rPr>
      <t xml:space="preserve">координации. Диаметр круга 50 см; в комплекте 12 шт 3 цвета.
</t>
    </r>
    <r>
      <rPr>
        <sz val="10"/>
        <color rgb="FF000000"/>
        <rFont val="Times New Roman"/>
      </rPr>
      <t>Материал изготовления: ударопрочный пластик</t>
    </r>
  </si>
  <si>
    <t>Кольца для
координации. Диаметр круга 50 см; в комплекте 12 шт 3 цвета.
Материал изготовления: ударопрочный пластик</t>
  </si>
  <si>
    <r>
      <rPr>
        <sz val="10"/>
        <color theme="1"/>
        <rFont val="Times New Roman"/>
      </rPr>
      <t>Кольца футбольные идеальны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 Размеры: 0,5х0,5х0,01 м.</t>
    </r>
  </si>
  <si>
    <r>
      <rPr>
        <sz val="10"/>
        <color theme="1"/>
        <rFont val="Times New Roman"/>
      </rPr>
      <t>522-101-1048-0004 - Футбольный манекен. Материал изготовления: металлический каркас, фигура игрока изготовлена из ударопрочного пластика</t>
    </r>
  </si>
  <si>
    <r>
      <rPr>
        <sz val="10"/>
        <color theme="1"/>
        <rFont val="Times New Roman"/>
      </rPr>
      <t>Футбольный манекен имеет в нижней части 4 стальных шипа для фиксации в грунт или на транспортировочную футбольную тележку. Тренировочный футбольный манекен предназначен для использования в футбольных тренировках профессионалов и любителей. Манекены могут применяться для отработки свободных ударов, слалома, отбора, сближения, дриблинга, пасов, тактических приемов. Футбольный манекен удобный и надежный в эксплуатации, гибкий, безопасный и легкий.</t>
    </r>
  </si>
  <si>
    <r>
      <rPr>
        <sz val="10"/>
        <color rgb="FF000000"/>
        <rFont val="Times New Roman"/>
      </rPr>
      <t xml:space="preserve">522-101-1048-0005 - Тележка для манекенов. Вмещает в себя 5 манекенов. Представляет собой разборную платформу длиной 3 м.
</t>
    </r>
    <r>
      <rPr>
        <sz val="10"/>
        <color rgb="FF000000"/>
        <rFont val="Times New Roman"/>
      </rPr>
      <t>Материал изготовления: металл, резиновые колеса</t>
    </r>
  </si>
  <si>
    <t>Тележка для манекенов. Вмещает в себя 5 манекенов. Представляет собой разборную платформу длиной 3 м.
Материал изготовления: металл, резиновые колеса</t>
  </si>
  <si>
    <r>
      <rPr>
        <sz val="10"/>
        <color theme="1"/>
        <rFont val="Times New Roman"/>
      </rPr>
      <t>Тележка для манекенов подходит для транспортировки благодаря встроенным в тележку колесам. Необходимый аксессуар для манекенов, при использовании на искусственном покрытии.  Размеры: 1,8х0,6х0,3 м</t>
    </r>
  </si>
  <si>
    <r>
      <rPr>
        <sz val="10"/>
        <color theme="1"/>
        <rFont val="Times New Roman"/>
      </rPr>
      <t>522-101-1048-0006 - 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r>
  </si>
  <si>
    <r>
      <rPr>
        <sz val="10"/>
        <color rgb="FF000000"/>
        <rFont val="Times New Roman"/>
      </rPr>
      <t xml:space="preserve">Ворота игровые 240x150x65 см с тентом для отработки ударов.
</t>
    </r>
    <r>
      <rPr>
        <sz val="10"/>
        <color rgb="FF000000"/>
        <rFont val="Times New Roman"/>
      </rPr>
      <t>Рекомендованы для улицы или помещений.  Разборная конструкция из профильной трубы 25 х 25 мм, толщина 1 мм. В комплекте 6 анкеров для крепления к земле и сетка из полиэстеровой нити.</t>
    </r>
  </si>
  <si>
    <r>
      <rPr>
        <sz val="10"/>
        <color rgb="FF000000"/>
        <rFont val="Times New Roman"/>
      </rPr>
      <t xml:space="preserve">522-101-1048-0007 - Барьер для
</t>
    </r>
    <r>
      <rPr>
        <sz val="10"/>
        <color rgb="FF000000"/>
        <rFont val="Times New Roman"/>
      </rPr>
      <t>футбола 3 шт. в комплекте. Материал изготовления: ударопрочный пластик. Размеры 0,4х0,35х0,2 м</t>
    </r>
  </si>
  <si>
    <t>Барьер для
футбола 3 шт. в комплекте. Материал изготовления: ударопрочный пластик. Размеры 0,4х0,35х0,2 м</t>
  </si>
  <si>
    <r>
      <rPr>
        <sz val="10"/>
        <color theme="1"/>
        <rFont val="Times New Roman"/>
      </rPr>
      <t>Барьер тренировочный многоуровневый для футболистов. Тренировочный барьер предназначен для тренировки скорости, маневренности, координации, высоты прыжка. Подходит для командных видов спорта, а также легкоатлетических и фитнес-тренировок.</t>
    </r>
  </si>
  <si>
    <r>
      <rPr>
        <sz val="10"/>
        <color rgb="FF000000"/>
        <rFont val="Times New Roman"/>
      </rPr>
      <t xml:space="preserve">522-101-1048-0008 - Резинки для фитнеса 5 шт. в комплекте.
</t>
    </r>
    <r>
      <rPr>
        <sz val="10"/>
        <color rgb="FF000000"/>
        <rFont val="Times New Roman"/>
      </rPr>
      <t>Материал изготовления: натуральный латекс. Размеры: 0,2х0,03х0,05 м</t>
    </r>
  </si>
  <si>
    <t>Резинки для фитнеса 5 шт. в комплекте.
Материал изготовления: натуральный латекс. Размеры: 0,2х0,03х0,05 м</t>
  </si>
  <si>
    <r>
      <rPr>
        <sz val="10"/>
        <color theme="1"/>
        <rFont val="Times New Roman"/>
      </rPr>
      <t>Резинки для фитнеса или ленты-амортизаторы. Они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t>
    </r>
  </si>
  <si>
    <r>
      <rPr>
        <sz val="10"/>
        <color rgb="FF000000"/>
        <rFont val="Times New Roman"/>
      </rPr>
      <t xml:space="preserve">522-101-1049-0001 - Игра
</t>
    </r>
    <r>
      <rPr>
        <sz val="10"/>
        <color rgb="FF000000"/>
        <rFont val="Times New Roman"/>
      </rPr>
      <t>настольная "Тогыз кумалак"</t>
    </r>
  </si>
  <si>
    <t>Игра
настольная "Тогыз кумалак"</t>
  </si>
  <si>
    <r>
      <rPr>
        <sz val="10"/>
        <color theme="1"/>
        <rFont val="Times New Roman"/>
      </rPr>
      <t>Тогызкумалак TKT-863. Казахская национальная игра "Тогыз кумалак". Характеристики: материал: ПВХ; размер в закрытом состоянии: 44*16 см; размер в открытом состоянии: 44*29 см</t>
    </r>
  </si>
  <si>
    <r>
      <rPr>
        <sz val="10"/>
        <color rgb="FF000000"/>
        <rFont val="Times New Roman"/>
      </rPr>
      <t xml:space="preserve">522-101-1050-0003 - Ворота для
</t>
    </r>
    <r>
      <rPr>
        <sz val="10"/>
        <color rgb="FF000000"/>
        <rFont val="Times New Roman"/>
      </rPr>
      <t>гандбола, минифутбола RA-3200. Усиленная конструкция. Основные размеры в собранном состоянии: ширина – 3000 мм, высота - 2000 мм, глубина основания 1000 мм</t>
    </r>
  </si>
  <si>
    <t>Ворота для
гандбола, минифутбола RA-3200. Усиленная конструкция. Основные размеры в собранном состоянии: ширина – 3000 мм, высота</t>
  </si>
  <si>
    <t>2000 мм, глубина основания 1000 мм</t>
  </si>
  <si>
    <r>
      <rPr>
        <sz val="10"/>
        <color rgb="FF000000"/>
        <rFont val="Times New Roman"/>
      </rPr>
      <t xml:space="preserve">Ворота для гандбола, минифутбола RA-3200. Усиленная конструкция. Основные размеры в собранном состоянии: ширина – 3000 мм, высота - 2000 мм, глубина основания 1000 мм. Ворота представляют собой сборную конструкцию, состоящую из правой и левой боковин, соединенных внизу горизонтальной стяжкой и вверху – штангой. Передние стойки и штанга выполнены из металлической профильной трубы 80х80мм. Нижняя перекладина изготовлена из трубы 80х80 мм и заполнена упершлаком.
</t>
    </r>
    <r>
      <rPr>
        <sz val="10"/>
        <color rgb="FF000000"/>
        <rFont val="Times New Roman"/>
      </rPr>
      <t xml:space="preserve">Конструкция скрепляется с помощью болтов. Вес противовеса 50кг, приварены ручки для переноса. Вся конструкция покрыта порошковой
</t>
    </r>
    <r>
      <rPr>
        <sz val="10"/>
        <color rgb="FF000000"/>
        <rFont val="Times New Roman"/>
      </rPr>
      <t>эмалью. С разметкой.</t>
    </r>
  </si>
  <si>
    <r>
      <rPr>
        <sz val="10"/>
        <color rgb="FF000000"/>
        <rFont val="Times New Roman"/>
      </rPr>
      <t xml:space="preserve">522-101-1050-0004 - Ворота
</t>
    </r>
    <r>
      <rPr>
        <sz val="10"/>
        <color rgb="FF000000"/>
        <rFont val="Times New Roman"/>
      </rPr>
      <t>футбольные размерами 5000 х 2000 мм RA-520</t>
    </r>
  </si>
  <si>
    <t>Ворота
футбольные размерами 5000 х 2000 мм RA-520</t>
  </si>
  <si>
    <r>
      <rPr>
        <sz val="10"/>
        <color theme="1"/>
        <rFont val="Times New Roman"/>
      </rPr>
      <t>Ворота футбольные RA-520 . Размер 5х2м   Диаметр штанг и перекладины 89мм, задние дуги 42мм. Высота 2000мм, длина 5000мм, глубина -2000 мм.</t>
    </r>
  </si>
  <si>
    <r>
      <rPr>
        <sz val="10"/>
        <color rgb="FF000000"/>
        <rFont val="Times New Roman"/>
      </rPr>
      <t xml:space="preserve">522-101-1050-0005 - Ворота
</t>
    </r>
    <r>
      <rPr>
        <sz val="10"/>
        <color rgb="FF000000"/>
        <rFont val="Times New Roman"/>
      </rPr>
      <t>футбольные размерами 7320 х 2440 мм RA-732</t>
    </r>
  </si>
  <si>
    <t>Ворота
футбольные размерами 7320 х 2440 мм RA-732</t>
  </si>
  <si>
    <r>
      <rPr>
        <sz val="10"/>
        <color theme="1"/>
        <rFont val="Times New Roman"/>
      </rPr>
      <t>Ворота футбольные RA-732. Размер 7,32х2,44м. Изготовлены из стальной круглой трубы диаметром 89мм. Консоль из трубы диам 42мм.  Окраска: нитроэмаль.</t>
    </r>
  </si>
  <si>
    <r>
      <rPr>
        <sz val="10"/>
        <color rgb="FF000000"/>
        <rFont val="Times New Roman"/>
      </rPr>
      <t xml:space="preserve">522-101-1050-0006 - Ворота
</t>
    </r>
    <r>
      <rPr>
        <sz val="10"/>
        <color rgb="FF000000"/>
        <rFont val="Times New Roman"/>
      </rPr>
      <t>гандбольные стационарные алюминиевые 3000х2000мм</t>
    </r>
  </si>
  <si>
    <t>Ворота
гандбольные стационарные алюминиевые 3000х2000мм</t>
  </si>
  <si>
    <r>
      <rPr>
        <sz val="10"/>
        <color theme="1"/>
        <rFont val="Times New Roman"/>
      </rPr>
      <t>Ворота гандбольные стационарные алюминиевые 3х2 м для закрытых помещений. Штанги и перекладина ворот  изготовлены из алюминиевого профиля (секции 80х80 мм). На ворота нанесена разметка из черных полос в соответствии с официальными правилами по гандболу. Использование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В комплект входят муфты/стаканы глубиной 350 мм и съемные крышки/фланцы) для предварительного монтажа в покрытие игровой площадки</t>
    </r>
  </si>
  <si>
    <r>
      <rPr>
        <sz val="10"/>
        <color rgb="FF000000"/>
        <rFont val="Times New Roman"/>
      </rPr>
      <t xml:space="preserve">522-101-1052-0001 - Стойка
</t>
    </r>
    <r>
      <rPr>
        <sz val="10"/>
        <color rgb="FF000000"/>
        <rFont val="Times New Roman"/>
      </rPr>
      <t>баскетбольная профессиональная передвижная складная с защитой</t>
    </r>
  </si>
  <si>
    <t>Стойка
баскетбольная профессиональная передвижная складная с защитой</t>
  </si>
  <si>
    <r>
      <rPr>
        <sz val="10"/>
        <color theme="1"/>
        <rFont val="Times New Roman"/>
      </rPr>
      <t>Стойка баскетбольная ― передвижная, выносом 1,8м. Щит – оргстекло, протекторы, кольцо амортизирующее, сетка мастерская. Размеры щита не менее 1050х1800мм. Стойка состоит из основания на колесах, к которому на болтах крепятся передняя и задняя опоры стрелы крепления щита. К ним крепится стрела, несущая щит с кольцом и сеткой, который крепится к стреле с помощью болтов и фиксирующийся укосинами. Телескопическая тяга служит для фиксации стрелы в верхнем и нижнем положениях. Для исключения опрокидывания на заднюю часть стойки укладываются противовесы. Защитные панели крепятся на переднюю сторону стойки и на щит.</t>
    </r>
  </si>
  <si>
    <r>
      <rPr>
        <sz val="10"/>
        <color rgb="FF000000"/>
        <rFont val="Times New Roman"/>
      </rPr>
      <t xml:space="preserve">522-101-1052-0002 - Стойка
</t>
    </r>
    <r>
      <rPr>
        <sz val="10"/>
        <color rgb="FF000000"/>
        <rFont val="Times New Roman"/>
      </rPr>
      <t>баскетбольная мобильная складная TB-2016</t>
    </r>
  </si>
  <si>
    <t>Стойка
баскетбольная мобильная складная TB-2016</t>
  </si>
  <si>
    <r>
      <rPr>
        <sz val="10"/>
        <color theme="1"/>
        <rFont val="Times New Roman"/>
      </rPr>
      <t>Стойка баскетбольная мобильная складная TB-2016 с выносом щита 2,05м. Щит баскетбольный  игровой 1800х1050мм из орг.стекла толщиной 10мм; кольцо амортизационное с трубчатой системой крепления сетки; сетка баскетбольная; протектор щита, выноса, стойки. Габаритные размеры: длина (со щитом, кольцом и защитой ) 5,08 м, ширина по раме стойки с защитой -1,28 м. Высота до кольца 3,05м</t>
    </r>
  </si>
  <si>
    <r>
      <rPr>
        <sz val="10"/>
        <color rgb="FF000000"/>
        <rFont val="Times New Roman"/>
      </rPr>
      <t xml:space="preserve">522-101-1052-0003 - Стойка
</t>
    </r>
    <r>
      <rPr>
        <sz val="10"/>
        <color rgb="FF000000"/>
        <rFont val="Times New Roman"/>
      </rPr>
      <t>баскетбольная мобильная</t>
    </r>
  </si>
  <si>
    <t>Стойка
баскетбольная мобильная</t>
  </si>
  <si>
    <r>
      <rPr>
        <sz val="10"/>
        <color theme="1"/>
        <rFont val="Times New Roman"/>
      </rPr>
      <t>Мобильная на противовесе, с регулировкой высоты. Щит стритбольный из орг.стекла размером 1200х800мм толщ. 10мм, протектор в нижней части щита, кольцо тренировочное и сетка баскетбольная. Изготовлена из металлического профиля 100*100мм с толщиной стенки 3 мм. Поверхность рамы покрыта порошковой краской. На щите имеются посадочные отверстия под кольцо размерами 100*110 мм</t>
    </r>
  </si>
  <si>
    <r>
      <rPr>
        <sz val="10"/>
        <color rgb="FF000000"/>
        <rFont val="Times New Roman"/>
      </rPr>
      <t xml:space="preserve">522-101-1052-0004 - Стойка
</t>
    </r>
    <r>
      <rPr>
        <sz val="10"/>
        <color rgb="FF000000"/>
        <rFont val="Times New Roman"/>
      </rPr>
      <t>баскетбольная мобильная складная с выносом щита 1,65м типа RAB-165</t>
    </r>
  </si>
  <si>
    <t>Стойка
баскетбольная мобильная складная с выносом щита 1,65м типа RAB-165</t>
  </si>
  <si>
    <r>
      <rPr>
        <sz val="10"/>
        <color theme="1"/>
        <rFont val="Times New Roman"/>
      </rPr>
      <t>Стойка баскетбольная мобильная складная с выносом щита 1,65м рекомендована для проведения тренировок и соревнований в спортивных залах и на игровых уличных площадках. Основание стойки обеспечено колесами для перемещения.Во время эксплуатации на заднюю часть стойки укладываются противовесы (в комплект не входят), что исключает опрокидывание снаряда. Рекомендуемый вес противовесов- 265кг. В комплектацию входит: Щит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Мобильная складная стойка снабжена поворотными и не поворотными колесами, и в сложенном состоянии перекатывается одним человеком. В конструкции стойки используются шарнирные соединения подвижных частей. Гидравлический механизм подъема предусматривает возможность подъема и складывания стойки. Для этого стойку необходимо укрепить с помощью стопорных выдвижных элементов в передней части основания. Габаритные размеры: в свернутом положении без щита – длина 2,45 м, ширина по раме стойки 1 м, высота  без щита 1,6 м; в развернутом положении — длина (со щитом, кольцом и защитой ) 4,06 м, ширина по раме стойки с защитой -1м, изменение высоты кольца - до 3060 мм, максимальная высота от поверхности площадки до верхнего края  щита – 3,93 м, размеры игрового щита – 1800х1050мм.</t>
    </r>
  </si>
  <si>
    <r>
      <rPr>
        <sz val="10"/>
        <color rgb="FF000000"/>
        <rFont val="Times New Roman"/>
      </rPr>
      <t xml:space="preserve">522-101-1052-0005 - Стойка
</t>
    </r>
    <r>
      <rPr>
        <sz val="10"/>
        <color rgb="FF000000"/>
        <rFont val="Times New Roman"/>
      </rPr>
      <t xml:space="preserve">баскетбольная мобильная с выносом 3,25 м оснащена гидравлическим ручным механизмом складывания и частичного раздвижения.
</t>
    </r>
    <r>
      <rPr>
        <sz val="10"/>
        <color rgb="FF000000"/>
        <rFont val="Times New Roman"/>
      </rPr>
      <t xml:space="preserve">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t>
    </r>
    <r>
      <rPr>
        <sz val="10"/>
        <color rgb="FF000000"/>
        <rFont val="Times New Roman"/>
      </rPr>
      <t>материала, стальные утяжелители</t>
    </r>
  </si>
  <si>
    <t>Стойка
баскетбольная мобильная с выносом 3,25 м оснащена гидравлическим ручным механизмом складывания и частичного раздвижения.
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материала, стальные утяжелители</t>
  </si>
  <si>
    <r>
      <rPr>
        <sz val="10"/>
        <color rgb="FF000000"/>
        <rFont val="Times New Roman"/>
      </rPr>
      <t xml:space="preserve">Мобильная баскетбольная стойка TS-1003 с выносом 3,25 м оснащена гидравлическим ручным механизмом складывания и частичного раздвижения. Щит изготовлен из ударопрочного безопасного оргстекла размером 1800×1050 мм, установлено амортизационное стальное кольцо с сеткой и защитные панели. Конструкция соответствует требованиям FIBA Level 1. Стойка оснащена системой безопасной нагрузки на пол Dynamic Base Frame (DBF), при которой подвижное основание рамы опускается во время поднятия стойки и равномерно распределяет нагрузку. Для устойчивости предусмотрены стальные утяжелители. В нерабочем положении размеры составляют: высота — 186 см, ширина — 190 см.
</t>
    </r>
    <r>
      <rPr>
        <sz val="10"/>
        <color rgb="FF000000"/>
        <rFont val="Times New Roman"/>
      </rPr>
      <t>Размер основания — 2600×1350 мм.</t>
    </r>
  </si>
  <si>
    <r>
      <rPr>
        <sz val="10"/>
        <color rgb="FF000000"/>
        <rFont val="Times New Roman"/>
      </rPr>
      <t xml:space="preserve">522-101-1052-0006 - Стойка
</t>
    </r>
    <r>
      <rPr>
        <sz val="10"/>
        <color rgb="FF000000"/>
        <rFont val="Times New Roman"/>
      </rPr>
      <t>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r>
  </si>
  <si>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</si>
  <si>
    <r>
      <rPr>
        <sz val="10"/>
        <color theme="1"/>
        <rFont val="Times New Roman"/>
      </rPr>
      <t>Стойка обводная используется в различных упражнениях для тренировок спортсменов в футболе, баскетболе и т.д. Так же стойки можно использовать в различных конкурсах, эстафетах, соревнованиях. Стойка состоит из конуса без отверстий высотой 35 см, втулки и пластиковой палки высотой 1,5м. Стойка быстро разбирается и собирается.</t>
    </r>
  </si>
  <si>
    <r>
      <rPr>
        <sz val="10"/>
        <color rgb="FF000000"/>
        <rFont val="Times New Roman"/>
      </rPr>
      <t xml:space="preserve">522-101-1053-0004 - Стойки
</t>
    </r>
    <r>
      <rPr>
        <sz val="10"/>
        <color rgb="FF000000"/>
        <rFont val="Times New Roman"/>
      </rPr>
      <t>волейбольные телескопические</t>
    </r>
  </si>
  <si>
    <t>Стойки
волейбольные телескопические</t>
  </si>
  <si>
    <r>
      <rPr>
        <sz val="10"/>
        <color theme="1"/>
        <rFont val="Times New Roman"/>
      </rPr>
      <t>Телескопическая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Удобное натяжение сетки с помощью храповика. Стаканы со специальными пазами, фиксируют от прокручивания стойки. При необходимости стойки вынимаются и стаканы закрываются крышками. В комплект волейбольных стоек телескопических входят: стойки с механизмом натяжения сетки - 2шт, стаканы с крышками - 2шт (в них устанавливаются стойки).</t>
    </r>
  </si>
  <si>
    <r>
      <rPr>
        <sz val="10"/>
        <color rgb="FF000000"/>
        <rFont val="Times New Roman"/>
      </rPr>
      <t xml:space="preserve">522-101-1053-0005 - Стойка
</t>
    </r>
    <r>
      <rPr>
        <sz val="10"/>
        <color rgb="FF000000"/>
        <rFont val="Times New Roman"/>
      </rPr>
      <t>волейбольная профессиональная TEP-2086</t>
    </r>
  </si>
  <si>
    <t>Стойка
волейбольная профессиональная TEP-2086</t>
  </si>
  <si>
    <r>
      <rPr>
        <sz val="10"/>
        <color theme="1"/>
        <rFont val="Times New Roman"/>
      </rPr>
      <t>Стойка волейбольная TEP-2086 Профессиональная  из специально усиленного алюминиевого профиля 117 x 71 см.  В комплект входят: стойки алюминиевые - 2 шт. из профиля овального сечения. Общий вес стоек в сборе: ~40 кг. Тип защитного покрытия универсальных стоек: порошковая окраска</t>
    </r>
  </si>
  <si>
    <r>
      <rPr>
        <sz val="10"/>
        <color rgb="FF000000"/>
        <rFont val="Times New Roman"/>
      </rPr>
      <t xml:space="preserve">522-101-1053-0006 - Стойка
</t>
    </r>
    <r>
      <rPr>
        <sz val="10"/>
        <color rgb="FF000000"/>
        <rFont val="Times New Roman"/>
      </rPr>
      <t>волейбольная зальная со стаканами с механизмом натяжения троса (профиль круглый), регулировка от 2240мм до 2430мм</t>
    </r>
  </si>
  <si>
    <t>Стойка
волейбольная зальная со стаканами с механизмом натяжения троса (профиль круглый), регулировка от 2240мм до 2430мм</t>
  </si>
  <si>
    <r>
      <rPr>
        <sz val="10"/>
        <color rgb="FF000000"/>
        <rFont val="Times New Roman"/>
      </rPr>
      <t xml:space="preserve">Стойка волейбольная зальная со стаканами с механизмом натяжения троса (профиль круглый), регулировка от 224см до 243см. Стойки устанавливаются в закладные стаканы и вынимаются из них при необходимости освобождения площадки. Стаканы закрываются крышками.
</t>
    </r>
    <r>
      <rPr>
        <sz val="10"/>
        <color rgb="FF000000"/>
        <rFont val="Times New Roman"/>
      </rPr>
      <t xml:space="preserve">Представляют собой сборную конструкцию, состоящую из вертикальных стоек, подвижной каретки, закладных стаканов с крышками. Изготовлены из стальной трубы 76мм. Вся конструкция покрыта порошковой эмалью. Общая высота стойки 2800мм, высота стаканов 300мм, диаметр стаканов
</t>
    </r>
    <r>
      <rPr>
        <sz val="10"/>
        <color rgb="FF000000"/>
        <rFont val="Times New Roman"/>
      </rPr>
      <t>89мм. Длина подвижной каретки - 1160 мм.</t>
    </r>
  </si>
  <si>
    <r>
      <rPr>
        <sz val="10"/>
        <color theme="1"/>
        <rFont val="Times New Roman"/>
      </rPr>
      <t>522-101-1053-0009 - Тренажер для отработки блока. Материал изготовления: металлический каркас покрытый порошковой краской, пластиковые планки. Размеры: 3000х100х100 мм</t>
    </r>
  </si>
  <si>
    <r>
      <rPr>
        <sz val="10"/>
        <color rgb="FF000000"/>
        <rFont val="Times New Roman"/>
      </rPr>
      <t xml:space="preserve">Тренажер позволяет производить атаку в зону площадки, свободную от блока. Верхняя часть тренажера подвижна, что позволяет смягчать отскок от блока и переводить мяч на сторону соперника. Регулируемая высота 2910 — 3600 мм (верхняя кромка щита). Каркас изготовлен из металлической профильной трубы 50х50 мм, 40х40 мм и 25х25 мм.
</t>
    </r>
    <r>
      <rPr>
        <sz val="10"/>
        <color rgb="FF000000"/>
        <rFont val="Times New Roman"/>
      </rPr>
      <t>Тренажер оборудован транспортировочными колесиками для удобства перемещения. Все детали тренажера для отработки блока окрашены порошковой краской.</t>
    </r>
  </si>
  <si>
    <r>
      <rPr>
        <sz val="10"/>
        <color rgb="FF000000"/>
        <rFont val="Times New Roman"/>
      </rPr>
      <t xml:space="preserve">522-101-1053-0010 - 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t>
    </r>
    <r>
      <rPr>
        <sz val="10"/>
        <color rgb="FF000000"/>
        <rFont val="Times New Roman"/>
      </rPr>
      <t>Размеры: 2000х100х100мм</t>
    </r>
  </si>
  <si>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</si>
  <si>
    <r>
      <rPr>
        <sz val="10"/>
        <color theme="1"/>
        <rFont val="Times New Roman"/>
      </rPr>
      <t>Предназначен для отработки точности передачи в волейболе. В зависимости от уровня игроков угол наклона кольца можно менять, тем самым тренировать различные виды передач. Регулируемая высота тренажера позволяет настроить тренажер под необходимую высоту передачи. Утяжеленное основание.</t>
    </r>
  </si>
  <si>
    <r>
      <rPr>
        <sz val="10"/>
        <color rgb="FF000000"/>
        <rFont val="Times New Roman"/>
      </rPr>
      <t xml:space="preserve">522-101-1053-0011 - Тренажер для замера высоты прыжка. Материал изготовления: металлический каркас покрытый порошковой краской для защиты от коррозии,
</t>
    </r>
    <r>
      <rPr>
        <sz val="10"/>
        <color rgb="FF000000"/>
        <rFont val="Times New Roman"/>
      </rPr>
      <t>планки-индикаторы из пластика</t>
    </r>
  </si>
  <si>
    <t>Тренажер для замера высоты прыжка. Материал изготовления: металлический каркас покрытый порошковой краской для защиты от коррозии,
планки-индикаторы из пластика</t>
  </si>
  <si>
    <r>
      <rPr>
        <sz val="10"/>
        <color theme="1"/>
        <rFont val="Times New Roman"/>
      </rPr>
      <t>Тренажер предназначен для точного измерения вертикального прыжка спортсмена. Подвижные вращающиеся пластины с шагом 1 см позволяют точно измерить высоту прыжка в сантиметрах. Утяжеленное основание, обеспечивающее стабильность конструкции, оснащено поворотными колесиками для мобильности тренажера Диапазон высот измерения прыжка: 2-3,8 метра.</t>
    </r>
  </si>
  <si>
    <r>
      <rPr>
        <sz val="10"/>
        <color theme="1"/>
        <rFont val="Times New Roman"/>
      </rPr>
      <t>522-101-1053-0012 - Тренажер для отскока мяча. Материал изготовления: металлический каркас покрытый порошковой краской для защиты от коррозии, сетка из нейлона</t>
    </r>
  </si>
  <si>
    <r>
      <rPr>
        <sz val="10"/>
        <color theme="1"/>
        <rFont val="Times New Roman"/>
      </rPr>
      <t>Размеры экрана тренажера — 1200х1200 мм. Угол наклона по отношению к поверхности — 25-110º. Силиконовые вставки для сохранения поверхности пола.</t>
    </r>
  </si>
  <si>
    <r>
      <rPr>
        <sz val="10"/>
        <color rgb="FF000000"/>
        <rFont val="Times New Roman"/>
      </rPr>
      <t xml:space="preserve">522-101-1053-0013 - Мишень для
</t>
    </r>
    <r>
      <rPr>
        <sz val="10"/>
        <color rgb="FF000000"/>
        <rFont val="Times New Roman"/>
      </rPr>
      <t>мячей с регулируемым наклоном кольца. Материал изготовления: металлический каркас покрытый порошковой краской для защиты от коррозии, сетка из нейлона</t>
    </r>
  </si>
  <si>
    <t>Мишень для
мячей с регулируемым наклоном кольца. Материал изготовления: металлический каркас покрытый порошковой краской для защиты от коррозии, сетка из нейлона</t>
  </si>
  <si>
    <r>
      <rPr>
        <sz val="10"/>
        <color theme="1"/>
        <rFont val="Times New Roman"/>
      </rPr>
      <t>Диаметр кольца — 60 см; Регулировка угла наклона кольца; Высота тренажера 150-240 см; Утяжеленное основание.</t>
    </r>
  </si>
  <si>
    <r>
      <rPr>
        <sz val="10"/>
        <color theme="1"/>
        <rFont val="Times New Roman"/>
      </rPr>
      <t>522-101-1053-0014 - 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r>
  </si>
  <si>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</si>
  <si>
    <r>
      <rPr>
        <sz val="10"/>
        <color rgb="FF000000"/>
        <rFont val="Times New Roman"/>
      </rPr>
      <t xml:space="preserve">Размер периметра корзины 120х120 см. Высота корзины регулируемая, 160-260 см. Сетка безузловая, п/п, диаметр ячейки 100 мм, толщина нити 3 мм. Колеса в основании поворотные с тормозом, 4 шт, диаметр 75 мм.
</t>
    </r>
    <r>
      <rPr>
        <sz val="10"/>
        <color rgb="FF000000"/>
        <rFont val="Times New Roman"/>
      </rPr>
      <t>Тележка для мячей для удобного сбора мячей опционально.</t>
    </r>
  </si>
  <si>
    <r>
      <rPr>
        <sz val="10"/>
        <color rgb="FF000000"/>
        <rFont val="Times New Roman"/>
      </rPr>
      <t xml:space="preserve">522-101-1054-0001 - Брусья
</t>
    </r>
    <r>
      <rPr>
        <sz val="10"/>
        <color rgb="FF000000"/>
        <rFont val="Times New Roman"/>
      </rPr>
      <t>параллельные мужские</t>
    </r>
  </si>
  <si>
    <t>Брусья
параллельные мужские</t>
  </si>
  <si>
    <r>
      <rPr>
        <sz val="10"/>
        <color theme="1"/>
        <rFont val="Times New Roman"/>
      </rPr>
      <t>Материал жерди дерево с металлическим стержнем. Жерди в них расположены параллельно друг другу.</t>
    </r>
  </si>
  <si>
    <r>
      <rPr>
        <sz val="10"/>
        <color rgb="FF000000"/>
        <rFont val="Times New Roman"/>
      </rPr>
      <t xml:space="preserve">522-101-1054-0003 - Брусья
</t>
    </r>
    <r>
      <rPr>
        <sz val="10"/>
        <color rgb="FF000000"/>
        <rFont val="Times New Roman"/>
      </rPr>
      <t>разновысокие женские</t>
    </r>
  </si>
  <si>
    <t>Брусья
разновысокие женские</t>
  </si>
  <si>
    <r>
      <rPr>
        <sz val="10"/>
        <color theme="1"/>
        <rFont val="Times New Roman"/>
      </rPr>
      <t>Жерди (перекладины) - клееная древесина со стальным сердечником, стойки - металл.</t>
    </r>
  </si>
  <si>
    <r>
      <rPr>
        <sz val="10"/>
        <color rgb="FF000000"/>
        <rFont val="Times New Roman"/>
      </rPr>
      <t xml:space="preserve">522-101-1054-0004 - Брусья
</t>
    </r>
    <r>
      <rPr>
        <sz val="10"/>
        <color rgb="FF000000"/>
        <rFont val="Times New Roman"/>
      </rPr>
      <t>мужские массовые, размер не менее 3500х1500х1200 мм</t>
    </r>
  </si>
  <si>
    <t>Брусья
мужские массовые, размер не менее 3500х1500х1200 мм</t>
  </si>
  <si>
    <r>
      <rPr>
        <sz val="10"/>
        <color theme="1"/>
        <rFont val="Times New Roman"/>
      </rPr>
      <t>Регулирование расстояния между брусьями — 350 - 650 мм. Габаритные размеры — 3500х1500х1200 мм. Масса — до 90 кг. Допустимая нагрузка — до 150 кг</t>
    </r>
  </si>
  <si>
    <r>
      <rPr>
        <sz val="10"/>
        <color rgb="FF000000"/>
        <rFont val="Times New Roman"/>
      </rPr>
      <t xml:space="preserve">522-101-1054-0005 - Брусья
</t>
    </r>
    <r>
      <rPr>
        <sz val="10"/>
        <color rgb="FF000000"/>
        <rFont val="Times New Roman"/>
      </rPr>
      <t>гимнастические женские, разновысокие</t>
    </r>
  </si>
  <si>
    <t>Брусья
гимнастические женские, разновысокие</t>
  </si>
  <si>
    <r>
      <rPr>
        <sz val="10"/>
        <color theme="1"/>
        <rFont val="Times New Roman"/>
      </rPr>
      <t>Брусья гимнастические женские, разновысокие состоят из высоких и низких стоек, оснований, двух стеклопластиковых жердей, механизма разведения и растяжек. Диаметр жерди 42мм, длина 2300мм.   Расстояние между точками опоры жердей: 2400мм, высота верхней поверхности жердей от пола: для низкой жерди c шагом 50мм: 1400мм - 1600мм, -для высокой жерди с  шагом 50мм: 2200мм - 2400мм Расстояние между внутренними поверхностями жердей:   900-1400мм C шагом 50 мм от 900 до 1200  мм С шагом 25 мм от 1200 до 1400 мм.</t>
    </r>
  </si>
  <si>
    <r>
      <rPr>
        <sz val="10"/>
        <color rgb="FF000000"/>
        <rFont val="Times New Roman"/>
      </rPr>
      <t xml:space="preserve">522-101-1055-0002 - Вышка
</t>
    </r>
    <r>
      <rPr>
        <sz val="10"/>
        <color rgb="FF000000"/>
        <rFont val="Times New Roman"/>
      </rPr>
      <t>судейская универсальная, положение стоя</t>
    </r>
  </si>
  <si>
    <t>Вышка
судейская универсальная, положение стоя</t>
  </si>
  <si>
    <r>
      <rPr>
        <sz val="10"/>
        <color theme="1"/>
        <rFont val="Times New Roman"/>
      </rPr>
      <t>Каркас изготовлен из металлического профиля, который окрашен методом порошкового напыления. Торцы вышки облицованы фанерой с мягким протектором из поролона и винилискожи. Толщина поролона составляет 50 мм, а высота протектора - 2 м. Опорная площадка выполнена из окрашенной фанеры. Общая высота вышки составляет 2500 мм, а ширина стойки - 750 мм.</t>
    </r>
  </si>
  <si>
    <r>
      <rPr>
        <sz val="10"/>
        <color rgb="FF000000"/>
        <rFont val="Times New Roman"/>
      </rPr>
      <t xml:space="preserve">522-101-1055-0003 - Вышка
</t>
    </r>
    <r>
      <rPr>
        <sz val="10"/>
        <color rgb="FF000000"/>
        <rFont val="Times New Roman"/>
      </rPr>
      <t>судейская универсальная MK-0036. Габаритные размеры вышки: высота 2000мм, основание 1000х1100мм</t>
    </r>
  </si>
  <si>
    <t>Вышка
судейская универсальная MK-0036. Габаритные размеры вышки: высота 2000мм, основание 1000х1100мм</t>
  </si>
  <si>
    <r>
      <rPr>
        <sz val="10"/>
        <color theme="1"/>
        <rFont val="Times New Roman"/>
      </rPr>
      <t>Вышка судейская универсальная MK-0036. Конструкция изделия представляет собой сборно-разборную конструкцию состоящую, из фермы-каркаса вышки и сидения, которые соединяются между собой с помощью крепежа. Ферма-каркас представляет собой разборную конструкцию из стальных труб профиль 30х30мм, которая покрыта порошковой краской. Габаритные размеры вышки: высота 2000мм, основание 1000х1100мм. Имеются подлокотники. Для удобства передвижения установлены колеса. Пластиковое сиденье размеры: высота спинки 320мм, ширина сидения 430мм, длина сидения 400мм</t>
    </r>
  </si>
  <si>
    <r>
      <rPr>
        <sz val="10"/>
        <color rgb="FF000000"/>
        <rFont val="Times New Roman"/>
      </rPr>
      <t xml:space="preserve">522-101-1055-0004 - Вышка
</t>
    </r>
    <r>
      <rPr>
        <sz val="10"/>
        <color rgb="FF000000"/>
        <rFont val="Times New Roman"/>
      </rPr>
      <t>волейбольная професиональная приставная к волейбольным стойкам</t>
    </r>
  </si>
  <si>
    <t>Вышка
волейбольная професиональная приставная к волейбольным стойкам</t>
  </si>
  <si>
    <r>
      <rPr>
        <sz val="10"/>
        <color rgb="FF000000"/>
        <rFont val="Times New Roman"/>
      </rPr>
      <t xml:space="preserve">Вышка волейбольная професиональная приставная к волейбольным стойкам. Вышка судейская неразборная, судья находится в положении стоя.
</t>
    </r>
    <r>
      <rPr>
        <sz val="10"/>
        <color rgb="FF000000"/>
        <rFont val="Times New Roman"/>
      </rPr>
      <t>Каркас вышки изготавливается из металлического профиля, окрашен методом порошкового напыления. Опорная площадка выполнена из окрашенной фанеры. Общая высота конструкции  - 2500 мм, ширина 750 мм.</t>
    </r>
  </si>
  <si>
    <r>
      <rPr>
        <sz val="10"/>
        <color rgb="FF000000"/>
        <rFont val="Times New Roman"/>
      </rPr>
      <t xml:space="preserve">522-101-1055-0005 - Стол
</t>
    </r>
    <r>
      <rPr>
        <sz val="10"/>
        <color rgb="FF000000"/>
        <rFont val="Times New Roman"/>
      </rPr>
      <t>судейский, размеры: 850х110х800 мм. Материал изготовления: металлический каркас, фанера</t>
    </r>
  </si>
  <si>
    <t>Стол
судейский, размеры: 850х110х800 мм. Материал изготовления: металлический каркас, фанера</t>
  </si>
  <si>
    <r>
      <rPr>
        <sz val="10"/>
        <color theme="1"/>
        <rFont val="Times New Roman"/>
      </rPr>
      <t>Необходим при проведения соревнований и чемпионатов. Металлический каркас (сталь), столешница из фанеры — слоистого листового материала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 Поверхность — износостойкое покрытие. Цвет: синий</t>
    </r>
  </si>
  <si>
    <r>
      <rPr>
        <sz val="10"/>
        <color rgb="FF000000"/>
        <rFont val="Times New Roman"/>
      </rPr>
      <t xml:space="preserve">522-101-1055-0006 - Стол
</t>
    </r>
    <r>
      <rPr>
        <sz val="10"/>
        <color rgb="FF000000"/>
        <rFont val="Times New Roman"/>
      </rPr>
      <t>судейский, размеры: 1200х550х700 мм. Материал изготовления: металлический каркас, березовая фанера, толщиной не менее 18 мм</t>
    </r>
  </si>
  <si>
    <t>Стол
судейский, размеры: 1200х550х700 мм. Материал изготовления: металлический каркас, березовая фанера, толщиной не менее 18 мм</t>
  </si>
  <si>
    <r>
      <rPr>
        <sz val="10"/>
        <color theme="1"/>
        <rFont val="Times New Roman"/>
      </rPr>
      <t>Судейский стол в комплекте с сиденьями. Материал изготовления: металлический каркас, сиденья из пластика, столешница из березовой фанеры, толщиной не менее 18 мм. Габариты: высота стола - 700 мм, габариты 550х1200 мм</t>
    </r>
  </si>
  <si>
    <r>
      <rPr>
        <sz val="10"/>
        <color theme="1"/>
        <rFont val="Times New Roman"/>
      </rPr>
      <t>522-101-1058-0001 - Дорожка для разбега, длина не менее 5000мм, изготовлена из резины</t>
    </r>
  </si>
  <si>
    <r>
      <rPr>
        <sz val="10"/>
        <color theme="1"/>
        <rFont val="Times New Roman"/>
      </rPr>
      <t>Дорожка для разбега, 5000мм. Изготовлена из резины. Цвет черный. Длина дорожки 5000 мм. Ширина дорожки 1200 мм. Толщина резины 3 мм.</t>
    </r>
  </si>
  <si>
    <r>
      <rPr>
        <sz val="10"/>
        <color theme="1"/>
        <rFont val="Times New Roman"/>
      </rPr>
      <t>522-101-1059-0001 - Секундомер цифровой TSE-930</t>
    </r>
  </si>
  <si>
    <r>
      <rPr>
        <sz val="10"/>
        <color theme="1"/>
        <rFont val="Times New Roman"/>
      </rPr>
      <t>Секундомер TSE-930. Материал корпуса - пластик. Материал стекла - стеклополимер. Особенности - таймер. Циферблат - цифровой. Размер упаковки - 15,5 см × 9 см × 2,5 см</t>
    </r>
  </si>
  <si>
    <r>
      <rPr>
        <sz val="10"/>
        <color theme="1"/>
        <rFont val="Times New Roman"/>
      </rPr>
      <t>522-101-1059-0004 - Секундомер детский. Корпус изготовлен из прочного безопасного пластика, устойчивого к ударам и падениям</t>
    </r>
  </si>
  <si>
    <r>
      <rPr>
        <sz val="10"/>
        <color theme="1"/>
        <rFont val="Times New Roman"/>
      </rPr>
      <t>Секундомер детский, лёгкий и удобный в использовании. Размеры 0,1х0,1х0,03 м</t>
    </r>
  </si>
  <si>
    <r>
      <rPr>
        <sz val="10"/>
        <color rgb="FF000000"/>
        <rFont val="Times New Roman"/>
      </rPr>
      <t xml:space="preserve">522-101-1061-0001 - Бревно
</t>
    </r>
    <r>
      <rPr>
        <sz val="10"/>
        <color rgb="FF000000"/>
        <rFont val="Times New Roman"/>
      </rPr>
      <t>гимнастическое напольное 3м</t>
    </r>
  </si>
  <si>
    <t>Бревно
гимнастическое напольное 3м</t>
  </si>
  <si>
    <r>
      <rPr>
        <sz val="10"/>
        <color theme="1"/>
        <rFont val="Times New Roman"/>
      </rPr>
      <t>Бревно напольное, длина 3000мм</t>
    </r>
  </si>
  <si>
    <r>
      <rPr>
        <sz val="10"/>
        <color rgb="FF000000"/>
        <rFont val="Times New Roman"/>
      </rPr>
      <t xml:space="preserve">522-101-1061-0003 - Бревно
</t>
    </r>
    <r>
      <rPr>
        <sz val="10"/>
        <color rgb="FF000000"/>
        <rFont val="Times New Roman"/>
      </rPr>
      <t>гимнастическое 2 м круглое RAG-2000 напольное</t>
    </r>
  </si>
  <si>
    <t>Бревно
гимнастическое 2 м круглое RAG-2000 напольное</t>
  </si>
  <si>
    <r>
      <rPr>
        <sz val="10"/>
        <color theme="1"/>
        <rFont val="Times New Roman"/>
      </rPr>
      <t>Бревно гимнастическое 2 м круглое RAG-2000 напольное Изготовлен из клеёного бруса хвойных пород древисины, обтянут изолоном и обшит искусственной кожей Длина 2м (ширина бруса 170 мм, высота бруса 140 мм)</t>
    </r>
  </si>
  <si>
    <r>
      <rPr>
        <sz val="10"/>
        <color rgb="FF000000"/>
        <rFont val="Times New Roman"/>
      </rPr>
      <t xml:space="preserve">522-101-1061-0004 - Бревно
</t>
    </r>
    <r>
      <rPr>
        <sz val="10"/>
        <color rgb="FF000000"/>
        <rFont val="Times New Roman"/>
      </rPr>
      <t>гимнастическое тренировочное напольное, длина не менее 3000мм</t>
    </r>
  </si>
  <si>
    <t>Бревно
гимнастическое тренировочное напольное, длина не менее 3000мм</t>
  </si>
  <si>
    <r>
      <rPr>
        <sz val="10"/>
        <color rgb="FF000000"/>
        <rFont val="Times New Roman"/>
      </rPr>
      <t xml:space="preserve">Бревно гимнастическое тренировочное напольное изготовлено из клееной древисины хвойных пород. Размеры: Длина: не менее 3000 мм. Ширина бруса: не менее 130 мм. Ширина рабочей поверхности: не менее 100 мм.
</t>
    </r>
    <r>
      <rPr>
        <sz val="10"/>
        <color rgb="FF000000"/>
        <rFont val="Times New Roman"/>
      </rPr>
      <t>Высота не менее 150 мм.</t>
    </r>
  </si>
  <si>
    <r>
      <rPr>
        <sz val="10"/>
        <color rgb="FF000000"/>
        <rFont val="Times New Roman"/>
      </rPr>
      <t xml:space="preserve">522-101-1061-0005 - Бревно
</t>
    </r>
    <r>
      <rPr>
        <sz val="10"/>
        <color rgb="FF000000"/>
        <rFont val="Times New Roman"/>
      </rPr>
      <t>гимнастическое тренировочное напольное, длина не менее 5000мм</t>
    </r>
  </si>
  <si>
    <t>Бревно
гимнастическое тренировочное напольное, длина не менее 5000мм</t>
  </si>
  <si>
    <r>
      <rPr>
        <sz val="10"/>
        <color rgb="FF000000"/>
        <rFont val="Times New Roman"/>
      </rPr>
      <t xml:space="preserve">Бревно гимнастическое тренировочное напольное изготовлено из клееной древисины хвойных пород, снаряд покрыт лаком. Длина не менее 500мм.
</t>
    </r>
    <r>
      <rPr>
        <sz val="10"/>
        <color rgb="FF000000"/>
        <rFont val="Times New Roman"/>
      </rPr>
      <t>Размеры: Длина: не менее 5000 мм. Ширина бруса: не менее 130 мм. Ширина рабочей поверхности: не менее 100 мм. Высота не менее 150 мм.</t>
    </r>
  </si>
  <si>
    <r>
      <rPr>
        <sz val="10"/>
        <color rgb="FF000000"/>
        <rFont val="Times New Roman"/>
      </rPr>
      <t xml:space="preserve">522-101-1061-0006 - Бревно
</t>
    </r>
    <r>
      <rPr>
        <sz val="10"/>
        <color rgb="FF000000"/>
        <rFont val="Times New Roman"/>
      </rPr>
      <t>гимнастическое МК-0073 на низкой опоре, высота 800мм, L= 3000 м</t>
    </r>
  </si>
  <si>
    <t>Бревно
гимнастическое МК-0073 на низкой опоре, высота 800мм, L= 3000 м</t>
  </si>
  <si>
    <r>
      <rPr>
        <sz val="10"/>
        <color rgb="FF000000"/>
        <rFont val="Times New Roman"/>
      </rPr>
      <t xml:space="preserve">Бревно гимнастическое МК-0073 на низкой опоре, высота 800мм, L= 3000 м. Изготовлен из клееного бруса хвойных пород древесины. Поверхность бревна покрыта трёхкомпонентным лаком в два слоя.  Размеры: Длина: 3000 мм. Ширина бруса: 130 мм. Ширина рабочей поверхности: 100 мм.
</t>
    </r>
    <r>
      <rPr>
        <sz val="10"/>
        <color rgb="FF000000"/>
        <rFont val="Times New Roman"/>
      </rPr>
      <t>Высота 800 мм.</t>
    </r>
  </si>
  <si>
    <r>
      <rPr>
        <sz val="10"/>
        <color rgb="FF000000"/>
        <rFont val="Times New Roman"/>
      </rPr>
      <t xml:space="preserve">522-101-1061-0007 - Бревно
</t>
    </r>
    <r>
      <rPr>
        <sz val="10"/>
        <color rgb="FF000000"/>
        <rFont val="Times New Roman"/>
      </rPr>
      <t>гимнастическое на высокой опоре RAG-12300, высота 1200мм, L= 3000 м</t>
    </r>
  </si>
  <si>
    <t>Бревно
гимнастическое на высокой опоре RAG-12300, высота 1200мм, L= 3000 м</t>
  </si>
  <si>
    <r>
      <rPr>
        <sz val="10"/>
        <color rgb="FF000000"/>
        <rFont val="Times New Roman"/>
      </rPr>
      <t xml:space="preserve">Бревно гимнастическое на высокой опоре RAG-12300, высота 1200мм, L= 3000 м.  Изготовлен из клееного бруса хвойных пород древесины.
</t>
    </r>
    <r>
      <rPr>
        <sz val="10"/>
        <color rgb="FF000000"/>
        <rFont val="Times New Roman"/>
      </rPr>
      <t>Поверхность бревна покрыта трёхкомпонентным лаком в два слоя. ПРазмеры: Длина: 3000 мм. Ширина бруса: 130 мм. Ширина рабочей поверхности: 100 мм. Высота 1200 мм.</t>
    </r>
  </si>
  <si>
    <r>
      <rPr>
        <sz val="10"/>
        <color rgb="FF000000"/>
        <rFont val="Times New Roman"/>
      </rPr>
      <t xml:space="preserve">522-101-1061-0008 - Бревно
</t>
    </r>
    <r>
      <rPr>
        <sz val="10"/>
        <color rgb="FF000000"/>
        <rFont val="Times New Roman"/>
      </rPr>
      <t xml:space="preserve">гимнастическое на низкой опоре, RAG-80500, высота 800мм, L= 5000
</t>
    </r>
    <r>
      <rPr>
        <sz val="10"/>
        <color rgb="FF000000"/>
        <rFont val="Times New Roman"/>
      </rPr>
      <t>м</t>
    </r>
  </si>
  <si>
    <t>Бревно
гимнастическое на низкой опоре, RAG-80500, высота 800мм, L= 5000
м</t>
  </si>
  <si>
    <r>
      <rPr>
        <sz val="10"/>
        <color rgb="FF000000"/>
        <rFont val="Times New Roman"/>
      </rPr>
      <t xml:space="preserve">Бревно гимнастическое на низкой опоре, RAG-80500, высота 800мм, L= 5000 м. Изготовлен из клеёного бруса хвойных пород древесины.
</t>
    </r>
    <r>
      <rPr>
        <sz val="10"/>
        <color rgb="FF000000"/>
        <rFont val="Times New Roman"/>
      </rPr>
      <t>Поверхность бревна покрыта трёхкомпонентным лаком в два слоя. Размеры: Длина: 5000 мм. Ширина бруса: 130 мм. Ширина рабочей поверхности: 100 мм. Высота 800 мм.</t>
    </r>
  </si>
  <si>
    <r>
      <rPr>
        <sz val="10"/>
        <color rgb="FF000000"/>
        <rFont val="Times New Roman"/>
      </rPr>
      <t xml:space="preserve">522-101-1061-0009 - Бревно
</t>
    </r>
    <r>
      <rPr>
        <sz val="10"/>
        <color rgb="FF000000"/>
        <rFont val="Times New Roman"/>
      </rPr>
      <t>гимнастическое высокое</t>
    </r>
  </si>
  <si>
    <t>Бревно
гимнастическое высокое</t>
  </si>
  <si>
    <r>
      <rPr>
        <sz val="10"/>
        <color theme="1"/>
        <rFont val="Times New Roman"/>
      </rPr>
      <t>Высота 1200мм, длина 5000 мм, ширина бруса: 130 мм. Изготовлен из клееного бруса хвойных пород древесины. Поверхность бревна покрыта высококачественным трёхкомпонентным лаком в два слоя.</t>
    </r>
  </si>
  <si>
    <r>
      <rPr>
        <sz val="10"/>
        <color rgb="FF000000"/>
        <rFont val="Times New Roman"/>
      </rPr>
      <t xml:space="preserve">522-101-1061-0010 - Бревно
</t>
    </r>
    <r>
      <rPr>
        <sz val="10"/>
        <color rgb="FF000000"/>
        <rFont val="Times New Roman"/>
      </rPr>
      <t>гимнастическое тренировочное переменной высоты RAG-30812, L = 3 м H = 0,8 - 1,2м</t>
    </r>
  </si>
  <si>
    <t>Бревно
гимнастическое тренировочное переменной высоты RAG-30812, L = 3 м H = 0,8</t>
  </si>
  <si>
    <t>1,2м</t>
  </si>
  <si>
    <r>
      <rPr>
        <sz val="10"/>
        <color theme="1"/>
        <rFont val="Times New Roman"/>
      </rPr>
      <t>Бревно гимнастическое тренировочное переменной высоты RAG-30812, L = 3 м H = 0,8 - 1,2м. Изготовлен из клееного бруса.  Сварные опоры окрашены порошковой краской.</t>
    </r>
  </si>
  <si>
    <r>
      <rPr>
        <sz val="10"/>
        <color rgb="FF000000"/>
        <rFont val="Times New Roman"/>
      </rPr>
      <t xml:space="preserve">522-101-1061-0011 - Бревно
</t>
    </r>
    <r>
      <rPr>
        <sz val="10"/>
        <color rgb="FF000000"/>
        <rFont val="Times New Roman"/>
      </rPr>
      <t>гимнастическое тренировочное, длина не менее 5000мм</t>
    </r>
  </si>
  <si>
    <t>Бревно
гимнастическое тренировочное, длина не менее 5000мм</t>
  </si>
  <si>
    <r>
      <rPr>
        <sz val="10"/>
        <color theme="1"/>
        <rFont val="Times New Roman"/>
      </rPr>
      <t>Бревно гимнастическое тренировочное изготовлено из клееного бруса. Длина не менее 5000мм, переменной высотыт h = 0,8 - 1,2 м. Сварные опоры окрашены порошковой краской.</t>
    </r>
  </si>
  <si>
    <r>
      <rPr>
        <sz val="10"/>
        <color theme="1"/>
        <rFont val="Times New Roman"/>
      </rPr>
      <t>522-101-1062 - Крепление для каната</t>
    </r>
  </si>
  <si>
    <r>
      <rPr>
        <sz val="10"/>
        <color theme="1"/>
        <rFont val="Times New Roman"/>
      </rPr>
      <t>Крепление для каната</t>
    </r>
  </si>
  <si>
    <r>
      <rPr>
        <sz val="10"/>
        <color rgb="FF000000"/>
        <rFont val="Times New Roman"/>
      </rPr>
      <t xml:space="preserve">522-101-1063-0002 - Мат
</t>
    </r>
    <r>
      <rPr>
        <sz val="10"/>
        <color rgb="FF000000"/>
        <rFont val="Times New Roman"/>
      </rPr>
      <t>гимнастический с гигиеническим покрытием, размер не менее 1000х2000мм</t>
    </r>
  </si>
  <si>
    <t>Мат
гимнастический с гигиеническим покрытием, размер не менее 1000х2000мм</t>
  </si>
  <si>
    <r>
      <rPr>
        <sz val="10"/>
        <color theme="1"/>
        <rFont val="Times New Roman"/>
      </rPr>
      <t>Мат настенный, напольный. Толщина не менее 100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t>
    </r>
  </si>
  <si>
    <r>
      <rPr>
        <sz val="10"/>
        <color rgb="FF000000"/>
        <rFont val="Times New Roman"/>
      </rPr>
      <t xml:space="preserve">522-101-1063-0003 - Мат
</t>
    </r>
    <r>
      <rPr>
        <sz val="10"/>
        <color rgb="FF000000"/>
        <rFont val="Times New Roman"/>
      </rPr>
      <t>гимнастический, размер не менее 2000х1000х100мм, материал кожзам</t>
    </r>
  </si>
  <si>
    <t>Мат
гимнастический, размер не менее 2000х1000х100мм, материал кожзам</t>
  </si>
  <si>
    <r>
      <rPr>
        <sz val="10"/>
        <color rgb="FF000000"/>
        <rFont val="Times New Roman"/>
      </rPr>
      <t xml:space="preserve">Материал кожзам. В качестве наполнителя служит пенополиуретан с оптимальным соотношением показателей плотности и жесткости,плотность
</t>
    </r>
    <r>
      <rPr>
        <sz val="10"/>
        <color rgb="FF000000"/>
        <rFont val="Times New Roman"/>
      </rPr>
      <t>- 25кг/м3. Маты обеспечивают безопасность при выполнении различных гимнастических упражнений.</t>
    </r>
  </si>
  <si>
    <r>
      <rPr>
        <sz val="10"/>
        <color rgb="FF000000"/>
        <rFont val="Times New Roman"/>
      </rPr>
      <t xml:space="preserve">522-101-1063-0004 - Мат
</t>
    </r>
    <r>
      <rPr>
        <sz val="10"/>
        <color rgb="FF000000"/>
        <rFont val="Times New Roman"/>
      </rPr>
      <t>гимнастический RA-0121. Размеры 2х1х0,05м. Материал кожзам</t>
    </r>
  </si>
  <si>
    <t>Мат
гимнастический RA-0121. Размеры 2х1х0,05м. Материал кожзам</t>
  </si>
  <si>
    <r>
      <rPr>
        <sz val="10"/>
        <color rgb="FF000000"/>
        <rFont val="Times New Roman"/>
      </rPr>
      <t xml:space="preserve">Мат гимнастический RA-0121. Размеры 2х1х0,05м. Материал кожзам. Чехол мата съемный и легко моется, выполнен из высококачественной винилискожи, на молнии. В качестве наполнителя служит пенополиуретан с оптимальным соотношением показателей плотности и жесткости,плотность
</t>
    </r>
    <r>
      <rPr>
        <sz val="10"/>
        <color rgb="FF000000"/>
        <rFont val="Times New Roman"/>
      </rPr>
      <t>- 20кг/м3. Маты обеспечивают безопасность при выполнении различных гимнастических упражнений.</t>
    </r>
  </si>
  <si>
    <r>
      <rPr>
        <sz val="10"/>
        <color rgb="FF000000"/>
        <rFont val="Times New Roman"/>
      </rPr>
      <t xml:space="preserve">522-101-1063-0005 - Мат
</t>
    </r>
    <r>
      <rPr>
        <sz val="10"/>
        <color rgb="FF000000"/>
        <rFont val="Times New Roman"/>
      </rPr>
      <t>гимнастический TF-21005. Размеры 2х1х0,05м. Материал брезент, наполнитель вспененный полиэтилен сшитого вида</t>
    </r>
  </si>
  <si>
    <t>Мат
гимнастический TF-21005. Размеры 2х1х0,05м. Материал брезент, наполнитель вспененный полиэтилен сшитого вида</t>
  </si>
  <si>
    <r>
      <rPr>
        <sz val="10"/>
        <color rgb="FF000000"/>
        <rFont val="Times New Roman"/>
      </rPr>
      <t xml:space="preserve">Мат гимнастический TF-21005. Размеры 2х1х0,05м.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t>
    </r>
    <r>
      <rPr>
        <sz val="10"/>
        <color rgb="FF000000"/>
        <rFont val="Times New Roman"/>
      </rPr>
      <t>- 20кг/м3. Маты обеспечивают безопасность при выполнении различных гимнастических упражнений.</t>
    </r>
  </si>
  <si>
    <r>
      <rPr>
        <sz val="10"/>
        <color rgb="FF000000"/>
        <rFont val="Times New Roman"/>
      </rPr>
      <t xml:space="preserve">522-101-1063-0006 - Мат
</t>
    </r>
    <r>
      <rPr>
        <sz val="10"/>
        <color rgb="FF000000"/>
        <rFont val="Times New Roman"/>
      </rPr>
      <t>гимнастический TF-2101. Размеры 2х1х0,1 м. Материал брезент, наполнитель вспененный полиэтилен сшитого вида</t>
    </r>
  </si>
  <si>
    <t>Мат
гимнастический TF-2101. Размеры 2х1х0,1 м. Материал брезент, наполнитель вспененный полиэтилен сшитого вида</t>
  </si>
  <si>
    <r>
      <rPr>
        <sz val="10"/>
        <color rgb="FF000000"/>
        <rFont val="Times New Roman"/>
      </rPr>
      <t xml:space="preserve">Мат гимнастический TF-2101. Размеры 2х1х0,1 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t>
    </r>
    <r>
      <rPr>
        <sz val="10"/>
        <color rgb="FF000000"/>
        <rFont val="Times New Roman"/>
      </rPr>
      <t>- 25кг/м3. Маты обеспечивают безопасность при выполнении различных гимнастических упражнений.</t>
    </r>
  </si>
  <si>
    <r>
      <rPr>
        <sz val="10"/>
        <color rgb="FF000000"/>
        <rFont val="Times New Roman"/>
      </rPr>
      <t xml:space="preserve">522-101-1063-0007 - Зона
</t>
    </r>
    <r>
      <rPr>
        <sz val="10"/>
        <color rgb="FF000000"/>
        <rFont val="Times New Roman"/>
      </rPr>
      <t>приземления, размер не менее 2000х2000х500мм</t>
    </r>
  </si>
  <si>
    <t>Зона
приземления, размер не менее 2000х2000х500мм</t>
  </si>
  <si>
    <r>
      <rPr>
        <sz val="10"/>
        <color theme="1"/>
        <rFont val="Times New Roman"/>
      </rPr>
      <t>Зона приземления состоит из 2 матов, размер не менее 2000х1000х500мм. Изготовлена из ПВХ 2000х2000мм. Материал наполнителя пенополиуретан</t>
    </r>
  </si>
  <si>
    <r>
      <rPr>
        <sz val="10"/>
        <color rgb="FF000000"/>
        <rFont val="Times New Roman"/>
      </rPr>
      <t xml:space="preserve">522-101-1063-0008 - Ковер
</t>
    </r>
    <r>
      <rPr>
        <sz val="10"/>
        <color rgb="FF000000"/>
        <rFont val="Times New Roman"/>
      </rPr>
      <t>борцовский трехцветный 6000х6000мм, толщина 50мм, плотность 160 кг/м3</t>
    </r>
  </si>
  <si>
    <t>Ковер
борцовский трехцветный 6000х6000мм, толщина 50мм, плотность 160 кг/м3</t>
  </si>
  <si>
    <r>
      <rPr>
        <sz val="10"/>
        <color theme="1"/>
        <rFont val="Times New Roman"/>
      </rPr>
      <t>Ковер борцовский трехцветный 6000х6000мм, маты 2000х1000мм толщиной 50мм в количестве 18шт, (покрытие изготовлена из ПВХ покрытия) предназначен для проведения тренировок и сорвенований по вольной и греко-римской борьбе. Плотность: 160 кг/м3</t>
    </r>
  </si>
  <si>
    <r>
      <rPr>
        <sz val="10"/>
        <color rgb="FF000000"/>
        <rFont val="Times New Roman"/>
      </rPr>
      <t xml:space="preserve">522-101-1063-0009 - Мат
</t>
    </r>
    <r>
      <rPr>
        <sz val="10"/>
        <color rgb="FF000000"/>
        <rFont val="Times New Roman"/>
      </rPr>
      <t>борцовский TF-2105, размер 2000мм х 1000мм</t>
    </r>
  </si>
  <si>
    <t>Мат
борцовский TF-2105, размер 2000мм х 1000мм</t>
  </si>
  <si>
    <r>
      <rPr>
        <sz val="10"/>
        <color rgb="FF000000"/>
        <rFont val="Times New Roman"/>
      </rPr>
      <t xml:space="preserve">Мат борцовский TF-2105, разм. 2000мм х 1000мм, толщина 50мм.
</t>
    </r>
    <r>
      <rPr>
        <sz val="10"/>
        <color rgb="FF000000"/>
        <rFont val="Times New Roman"/>
      </rPr>
      <t>Наполнитель вспененный полиэтилен, плотностью 180 кг/м2, покрытие: тент/кожзам.</t>
    </r>
  </si>
  <si>
    <r>
      <rPr>
        <sz val="10"/>
        <color rgb="FF000000"/>
        <rFont val="Times New Roman"/>
      </rPr>
      <t xml:space="preserve">522-101-1063-0010 - Татами для
</t>
    </r>
    <r>
      <rPr>
        <sz val="10"/>
        <color rgb="FF000000"/>
        <rFont val="Times New Roman"/>
      </rPr>
      <t>дзюдо, размер 1000х2000мм, плотность 220 кг/м3, толщина 40мм</t>
    </r>
  </si>
  <si>
    <t>Татами для
дзюдо, размер 1000х2000мм, плотность 220 кг/м3, толщина 40мм</t>
  </si>
  <si>
    <r>
      <rPr>
        <sz val="10"/>
        <color theme="1"/>
        <rFont val="Times New Roman"/>
      </rPr>
      <t>Лицевая поверхность JUDO-ткань. Низ татами anti-slip (ромб), Наполнитель ПВВ, плотностью - 220 кг/м3. Размер листа - 1000мм х 2000мм, толщина листа – 40мм. Цвет: синий, красный, жёлтый, зелёный.</t>
    </r>
  </si>
  <si>
    <r>
      <rPr>
        <sz val="10"/>
        <color rgb="FF000000"/>
        <rFont val="Times New Roman"/>
      </rPr>
      <t xml:space="preserve">522-101-1063-0011 - Доянг для
</t>
    </r>
    <r>
      <rPr>
        <sz val="10"/>
        <color rgb="FF000000"/>
        <rFont val="Times New Roman"/>
      </rPr>
      <t>каратэ и таэквондо TKDM0256, размер 1000мм х 1000мм</t>
    </r>
  </si>
  <si>
    <t>Доянг для
каратэ и таэквондо TKDM0256, размер 1000мм х 1000мм</t>
  </si>
  <si>
    <r>
      <rPr>
        <sz val="10"/>
        <color rgb="FF000000"/>
        <rFont val="Times New Roman"/>
      </rPr>
      <t xml:space="preserve">Доянг для каратэ и таэквондо TKDM0256. Крепление ласточкин хвост.
</t>
    </r>
    <r>
      <rPr>
        <sz val="10"/>
        <color rgb="FF000000"/>
        <rFont val="Times New Roman"/>
      </rPr>
      <t>Размер 1000мм х 1000мм, толщина 25мм, Изготавливаются из микропористого полимерного материала EVA.</t>
    </r>
  </si>
  <si>
    <r>
      <rPr>
        <sz val="10"/>
        <color theme="1"/>
        <rFont val="Times New Roman"/>
      </rPr>
      <t>522-101-1063-0012 - Мат напольный 1000*1000*40мм</t>
    </r>
  </si>
  <si>
    <r>
      <rPr>
        <sz val="10"/>
        <color theme="1"/>
        <rFont val="Times New Roman"/>
      </rPr>
      <t>Представляет собой поролон плотностью 25 кг/м3 со съемным чехлом. Длина: 1000мм, ширина: 1000мм, толщина 40мм.  В качестве наполнителя служит пенополиуретан с оптимальным соотношением показателей плотности и жесткости, плотность  - 25кг/м3. Маты обеспечивают безопасность при выполнении различных гимнастических упражнений.</t>
    </r>
  </si>
  <si>
    <r>
      <rPr>
        <sz val="10"/>
        <color rgb="FF000000"/>
        <rFont val="Times New Roman"/>
      </rPr>
      <t xml:space="preserve">522-101-1063-0013 - Татами для
</t>
    </r>
    <r>
      <rPr>
        <sz val="10"/>
        <color rgb="FF000000"/>
        <rFont val="Times New Roman"/>
      </rPr>
      <t>дзюдо, размер 1000х2000мм, плотность 180 кг/м3, толщина 40мм</t>
    </r>
  </si>
  <si>
    <t>Татами для
дзюдо, размер 1000х2000мм, плотность 180 кг/м3, толщина 40мм</t>
  </si>
  <si>
    <r>
      <rPr>
        <sz val="10"/>
        <color theme="1"/>
        <rFont val="Times New Roman"/>
      </rPr>
      <t>Лицевая поверхность JUDO-ткань. Низ татами anti-slip (ромб), Наполнитель ПВВ, плотностью - 180 кг/м3. Размер листа - 1000мм х 2000мм, толщина листа – 40мм. Цвет: синий, красный, жёлтый, зелёный.</t>
    </r>
  </si>
  <si>
    <r>
      <rPr>
        <sz val="10"/>
        <color rgb="FF000000"/>
        <rFont val="Times New Roman"/>
      </rPr>
      <t xml:space="preserve">522-101-1063-0014 - Татами для
</t>
    </r>
    <r>
      <rPr>
        <sz val="10"/>
        <color rgb="FF000000"/>
        <rFont val="Times New Roman"/>
      </rPr>
      <t>дзюдо, размер 1000х2000мм, плотность 180 кг/м3, толщина 50мм</t>
    </r>
  </si>
  <si>
    <t>Татами для
дзюдо, размер 1000х2000мм, плотность 180 кг/м3, толщина 50мм</t>
  </si>
  <si>
    <r>
      <rPr>
        <sz val="10"/>
        <color theme="1"/>
        <rFont val="Times New Roman"/>
      </rPr>
      <t>Лицевая поверхность JUDO-ткань. Низ татами anti-slip (ромб), Наполнитель ПВВ, плотностью - 180 кг/м3. Размер листа - 1000мм х 2000мм, толщина листа – 50мм. Цвет: синий, красный, жёлтый, зелёный.</t>
    </r>
  </si>
  <si>
    <r>
      <rPr>
        <sz val="10"/>
        <color rgb="FF000000"/>
        <rFont val="Times New Roman"/>
      </rPr>
      <t xml:space="preserve">522-101-1063-0015 - Ковер
</t>
    </r>
    <r>
      <rPr>
        <sz val="10"/>
        <color rgb="FF000000"/>
        <rFont val="Times New Roman"/>
      </rPr>
      <t>борцовский трехцветный 12000х12000мм, толщина 50мм, плотность 160 кг/м3</t>
    </r>
  </si>
  <si>
    <t>Ковер
борцовский трехцветный 12000х12000мм, толщина 50мм, плотность 160 кг/м3</t>
  </si>
  <si>
    <r>
      <rPr>
        <sz val="10"/>
        <color theme="1"/>
        <rFont val="Times New Roman"/>
      </rPr>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Плотность: 160 кг/м3</t>
    </r>
  </si>
  <si>
    <r>
      <rPr>
        <sz val="10"/>
        <color rgb="FF000000"/>
        <rFont val="Times New Roman"/>
      </rPr>
      <t xml:space="preserve">522-101-1063-0016 - Ковер
</t>
    </r>
    <r>
      <rPr>
        <sz val="10"/>
        <color rgb="FF000000"/>
        <rFont val="Times New Roman"/>
      </rPr>
      <t>борцовский трехцветный 12000х12000мм, толщина 50мм, плотность 140кг/м3</t>
    </r>
  </si>
  <si>
    <t>Ковер
борцовский трехцветный 12000х12000мм, толщина 50мм, плотность 140кг/м3</t>
  </si>
  <si>
    <r>
      <rPr>
        <sz val="10"/>
        <color theme="1"/>
        <rFont val="Times New Roman"/>
      </rPr>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Наполнитель НПЭ, плотность 140кг/м3</t>
    </r>
  </si>
  <si>
    <r>
      <rPr>
        <sz val="10"/>
        <color rgb="FF000000"/>
        <rFont val="Times New Roman"/>
      </rPr>
      <t xml:space="preserve">522-101-1063-0017 - Ковер для
</t>
    </r>
    <r>
      <rPr>
        <sz val="10"/>
        <color rgb="FF000000"/>
        <rFont val="Times New Roman"/>
      </rPr>
      <t>национальных игр не менее 3000х2000мм, толщина не менее 20мм</t>
    </r>
  </si>
  <si>
    <t>Ковер для
национальных игр не менее 3000х2000мм, толщина не менее 20мм</t>
  </si>
  <si>
    <r>
      <rPr>
        <sz val="10"/>
        <color theme="1"/>
        <rFont val="Times New Roman"/>
      </rPr>
      <t>Ковер для национальных игр. Текемет с традиционными национальными орнаментами. Продукция исключительно из шерсти. Размер не менее 3000х2000мм, толщина не менее 20мм.</t>
    </r>
  </si>
  <si>
    <r>
      <rPr>
        <sz val="10"/>
        <color rgb="FF000000"/>
        <rFont val="Times New Roman"/>
      </rPr>
      <t xml:space="preserve">522-101-1063-0018 - Татами для
</t>
    </r>
    <r>
      <rPr>
        <sz val="10"/>
        <color rgb="FF000000"/>
        <rFont val="Times New Roman"/>
      </rPr>
      <t>дзюдо, размер 12000х12000мм</t>
    </r>
  </si>
  <si>
    <t>Татами для
дзюдо, размер 12000х12000мм</t>
  </si>
  <si>
    <r>
      <rPr>
        <sz val="10"/>
        <color theme="1"/>
        <rFont val="Times New Roman"/>
      </rPr>
      <t>Татами для дзюдо. Размер 12000х12000мм. В комплекте 72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r>
  </si>
  <si>
    <r>
      <rPr>
        <sz val="10"/>
        <color rgb="FF000000"/>
        <rFont val="Times New Roman"/>
      </rPr>
      <t xml:space="preserve">522-101-1063-0019 - Татами для
</t>
    </r>
    <r>
      <rPr>
        <sz val="10"/>
        <color rgb="FF000000"/>
        <rFont val="Times New Roman"/>
      </rPr>
      <t>дзюдо, размер 6000х6000мм</t>
    </r>
  </si>
  <si>
    <t>Татами для
дзюдо, размер 6000х6000мм</t>
  </si>
  <si>
    <r>
      <rPr>
        <sz val="10"/>
        <color theme="1"/>
        <rFont val="Times New Roman"/>
      </rPr>
      <t>Татами для дзюдо. Размер 6000х6000мм. В комплекте 18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r>
  </si>
  <si>
    <r>
      <rPr>
        <sz val="10"/>
        <color rgb="FF000000"/>
        <rFont val="Times New Roman"/>
      </rPr>
      <t xml:space="preserve">522-101-1063-0021 - Мат рулонный.
</t>
    </r>
    <r>
      <rPr>
        <sz val="10"/>
        <color rgb="FF000000"/>
        <rFont val="Times New Roman"/>
      </rPr>
      <t>Толщина 10 мм. Материал изготовления: вспененный EVA или полиэтилен, покрытый ПВХ</t>
    </r>
  </si>
  <si>
    <t>Мат рулонный.
Толщина 10 мм. Материал изготовления: вспененный EVA или полиэтилен, покрытый ПВХ</t>
  </si>
  <si>
    <r>
      <rPr>
        <sz val="10"/>
        <color theme="1"/>
        <rFont val="Times New Roman"/>
      </rPr>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r>
  </si>
  <si>
    <r>
      <rPr>
        <sz val="10"/>
        <color rgb="FF000000"/>
        <rFont val="Times New Roman"/>
      </rPr>
      <t xml:space="preserve">522-101-1063-0022 - Мат рулонный.
</t>
    </r>
    <r>
      <rPr>
        <sz val="10"/>
        <color rgb="FF000000"/>
        <rFont val="Times New Roman"/>
      </rPr>
      <t>Толщина 20 мм. Материал изготовления: вспененный EVA или полиэтилен, покрытый ПВХ</t>
    </r>
  </si>
  <si>
    <t>Мат рулонный.
Толщина 20 мм. Материал изготовления: вспененный EVA или полиэтилен, покрытый ПВХ</t>
  </si>
  <si>
    <r>
      <rPr>
        <sz val="10"/>
        <color theme="1"/>
        <rFont val="Times New Roman"/>
      </rPr>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r>
  </si>
  <si>
    <r>
      <rPr>
        <sz val="10"/>
        <color rgb="FF000000"/>
        <rFont val="Times New Roman"/>
      </rPr>
      <t xml:space="preserve">522-101-1063-0023 - Мат рулонный.
</t>
    </r>
    <r>
      <rPr>
        <sz val="10"/>
        <color rgb="FF000000"/>
        <rFont val="Times New Roman"/>
      </rPr>
      <t>Толщина 30 мм. Материал изготовления: вспененный EVA или полиэтилен, покрытый ПВХ</t>
    </r>
  </si>
  <si>
    <t>Мат рулонный.
Толщина 30 мм. Материал изготовления: вспененный EVA или полиэтилен, покрытый ПВХ</t>
  </si>
  <si>
    <r>
      <rPr>
        <sz val="10"/>
        <color theme="1"/>
        <rFont val="Times New Roman"/>
      </rPr>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r>
  </si>
  <si>
    <r>
      <rPr>
        <sz val="10"/>
        <color rgb="FF000000"/>
        <rFont val="Times New Roman"/>
      </rPr>
      <t xml:space="preserve">522-101-1063-0024 - Мат рулонный.
</t>
    </r>
    <r>
      <rPr>
        <sz val="10"/>
        <color rgb="FF000000"/>
        <rFont val="Times New Roman"/>
      </rPr>
      <t>Толщина 40 мм. Материал изготовления: вспененный EVA или полиэтилен, покрытый ПВХ</t>
    </r>
  </si>
  <si>
    <t>Мат рулонный.
Толщина 40 мм. Материал изготовления: вспененный EVA или полиэтилен, покрытый ПВХ</t>
  </si>
  <si>
    <r>
      <rPr>
        <sz val="10"/>
        <color theme="1"/>
        <rFont val="Times New Roman"/>
      </rPr>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r>
  </si>
  <si>
    <r>
      <rPr>
        <sz val="10"/>
        <color rgb="FF000000"/>
        <rFont val="Times New Roman"/>
      </rPr>
      <t xml:space="preserve">522-101-1063-0025 - Мат рулонный.
</t>
    </r>
    <r>
      <rPr>
        <sz val="10"/>
        <color rgb="FF000000"/>
        <rFont val="Times New Roman"/>
      </rPr>
      <t>Толщина 50 мм. Материал изготовления: вспененный EVA или полиэтилен, покрытый ПВХ</t>
    </r>
  </si>
  <si>
    <t>Мат рулонный.
Толщина 50 мм. Материал изготовления: вспененный EVA или полиэтилен, покрытый ПВХ</t>
  </si>
  <si>
    <r>
      <rPr>
        <sz val="10"/>
        <color theme="1"/>
        <rFont val="Times New Roman"/>
      </rPr>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r>
  </si>
  <si>
    <r>
      <rPr>
        <sz val="10"/>
        <color rgb="FF000000"/>
        <rFont val="Times New Roman"/>
      </rPr>
      <t xml:space="preserve">522-101-1064-0004 - Гантель
</t>
    </r>
    <r>
      <rPr>
        <sz val="10"/>
        <color rgb="FF000000"/>
        <rFont val="Times New Roman"/>
      </rPr>
      <t>TFD-001 профессиональная шестигранная обрезиненная, 1 кг</t>
    </r>
  </si>
  <si>
    <t>Гантель
TFD-001 профессиональная шестигранная обрезиненная, 1 кг</t>
  </si>
  <si>
    <r>
      <rPr>
        <sz val="10"/>
        <color theme="1"/>
        <rFont val="Times New Roman"/>
      </rPr>
      <t>Гантели TFD-001 профессиональные шестигранные  обрезиненные. Хромированные ручки с мягкой насечкой.   Цвет: Хром/черный, Состав: сталь, резина, вес 1 кг.</t>
    </r>
  </si>
  <si>
    <r>
      <rPr>
        <sz val="10"/>
        <color rgb="FF000000"/>
        <rFont val="Times New Roman"/>
      </rPr>
      <t xml:space="preserve">522-101-1064-0005 - Гантель
</t>
    </r>
    <r>
      <rPr>
        <sz val="10"/>
        <color rgb="FF000000"/>
        <rFont val="Times New Roman"/>
      </rPr>
      <t>TFD-002 профессиональная шестигранная обрезиненная, 2 кг</t>
    </r>
  </si>
  <si>
    <t>Гантель
TFD-002 профессиональная шестигранная обрезиненная, 2 кг</t>
  </si>
  <si>
    <r>
      <rPr>
        <sz val="10"/>
        <color theme="1"/>
        <rFont val="Times New Roman"/>
      </rPr>
      <t>Гантели TFD-002 профессиональные шестигранные обрезиненные. Хромированные ручки с мягкой насечкой.  Цвет: Хром/черный, Состав: сталь, резина, вес 2 кг.</t>
    </r>
  </si>
  <si>
    <r>
      <rPr>
        <sz val="10"/>
        <color rgb="FF000000"/>
        <rFont val="Times New Roman"/>
      </rPr>
      <t xml:space="preserve">522-101-1064-0006 - Гантель
</t>
    </r>
    <r>
      <rPr>
        <sz val="10"/>
        <color rgb="FF000000"/>
        <rFont val="Times New Roman"/>
      </rPr>
      <t>TFD-003 профессиональная шестигранная обрезиненная, 3 кг</t>
    </r>
  </si>
  <si>
    <t>Гантель
TFD-003 профессиональная шестигранная обрезиненная, 3 кг</t>
  </si>
  <si>
    <r>
      <rPr>
        <sz val="10"/>
        <color theme="1"/>
        <rFont val="Times New Roman"/>
      </rPr>
      <t>Гантели TFD-003 профессиональные шестигранные обрезиненные. Хромированные ручки с мягкой насечкой.  Цвет: Хром/черный, Состав: сталь, резина, вес 3 кг.</t>
    </r>
  </si>
  <si>
    <r>
      <rPr>
        <sz val="10"/>
        <color rgb="FF000000"/>
        <rFont val="Times New Roman"/>
      </rPr>
      <t xml:space="preserve">522-101-1064-0007 - Гантель
</t>
    </r>
    <r>
      <rPr>
        <sz val="10"/>
        <color rgb="FF000000"/>
        <rFont val="Times New Roman"/>
      </rPr>
      <t>TFD-004 профессиональная шестигранная обрезиненная, 4 кг</t>
    </r>
  </si>
  <si>
    <t>Гантель
TFD-004 профессиональная шестигранная обрезиненная, 4 кг</t>
  </si>
  <si>
    <r>
      <rPr>
        <sz val="10"/>
        <color theme="1"/>
        <rFont val="Times New Roman"/>
      </rPr>
      <t>Гантели TFD-004 профессиональные шестигранные обрезиненные. Хромированные ручки с мягкой насечкой.  Цвет: Хром/черный, Состав: сталь, резина, вес 4 кг.</t>
    </r>
  </si>
  <si>
    <r>
      <rPr>
        <sz val="10"/>
        <color rgb="FF000000"/>
        <rFont val="Times New Roman"/>
      </rPr>
      <t xml:space="preserve">522-101-1064-0008 -
</t>
    </r>
    <r>
      <rPr>
        <sz val="10"/>
        <color rgb="FF000000"/>
        <rFont val="Times New Roman"/>
      </rPr>
      <t>ГантельTFD-005 профессиональная шестигранная обрезиненная, 5 кг</t>
    </r>
  </si>
  <si>
    <t>522-101-1064-0008 -
ГантельTFD-005 профессиональная шестигранная обрезиненная, 5 кг</t>
  </si>
  <si>
    <r>
      <rPr>
        <sz val="10"/>
        <color theme="1"/>
        <rFont val="Times New Roman"/>
      </rPr>
      <t>Гантели TFD-005 профессиональные шестигранные обрезиненные. Хромированные ручки с мягкой насечкой.  Цвет: Хром/черный, Состав: сталь, резина, вес 5 кг.</t>
    </r>
  </si>
  <si>
    <r>
      <rPr>
        <sz val="10"/>
        <color rgb="FF000000"/>
        <rFont val="Times New Roman"/>
      </rPr>
      <t xml:space="preserve">522-101-1064-0009 - Гантель
</t>
    </r>
    <r>
      <rPr>
        <sz val="10"/>
        <color rgb="FF000000"/>
        <rFont val="Times New Roman"/>
      </rPr>
      <t>TFD-006 профессиональная шестигранная обрезиненная, 6 кг</t>
    </r>
  </si>
  <si>
    <t>Гантель
TFD-006 профессиональная шестигранная обрезиненная, 6 кг</t>
  </si>
  <si>
    <r>
      <rPr>
        <sz val="10"/>
        <color theme="1"/>
        <rFont val="Times New Roman"/>
      </rPr>
      <t>Гантели TFD-006 профессиональные шестигранные обрезиненные. Хромированные ручки с мягкой насечкой.  Цвет: Хром/черный, Состав: сталь, резина, вес 6 кг.</t>
    </r>
  </si>
  <si>
    <r>
      <rPr>
        <sz val="10"/>
        <color rgb="FF000000"/>
        <rFont val="Times New Roman"/>
      </rPr>
      <t xml:space="preserve">522-101-1064-0010 - Гантель
</t>
    </r>
    <r>
      <rPr>
        <sz val="10"/>
        <color rgb="FF000000"/>
        <rFont val="Times New Roman"/>
      </rPr>
      <t>TFD-007 профессиональная шестигранная обрезиненная, 7 кг</t>
    </r>
  </si>
  <si>
    <t>Гантель
TFD-007 профессиональная шестигранная обрезиненная, 7 кг</t>
  </si>
  <si>
    <r>
      <rPr>
        <sz val="10"/>
        <color theme="1"/>
        <rFont val="Times New Roman"/>
      </rPr>
      <t>Гантели TFD-007 профессиональные шестигранные обрезиненные. Хромированные ручки с мягкой насечкой.  Цвет: Хром/черный, Состав: сталь, резина, вес 7 кг.</t>
    </r>
  </si>
  <si>
    <r>
      <rPr>
        <sz val="10"/>
        <color rgb="FF000000"/>
        <rFont val="Times New Roman"/>
      </rPr>
      <t xml:space="preserve">522-101-1064-0011 - Гантель
</t>
    </r>
    <r>
      <rPr>
        <sz val="10"/>
        <color rgb="FF000000"/>
        <rFont val="Times New Roman"/>
      </rPr>
      <t>TFD-008 профессиональная шестигранная обрезиненная, 8 кг</t>
    </r>
  </si>
  <si>
    <t>Гантель
TFD-008 профессиональная шестигранная обрезиненная, 8 кг</t>
  </si>
  <si>
    <r>
      <rPr>
        <sz val="10"/>
        <color theme="1"/>
        <rFont val="Times New Roman"/>
      </rPr>
      <t>Гантели TFD-008 профессиональные шестигранные обрезиненные. Хромированные ручки с мягкой насечкой.  Цвет: Хром/черный, Состав: сталь, резина, вес 8 кг.</t>
    </r>
  </si>
  <si>
    <r>
      <rPr>
        <sz val="10"/>
        <color rgb="FF000000"/>
        <rFont val="Times New Roman"/>
      </rPr>
      <t xml:space="preserve">522-101-1064-0012 - Гантель
</t>
    </r>
    <r>
      <rPr>
        <sz val="10"/>
        <color rgb="FF000000"/>
        <rFont val="Times New Roman"/>
      </rPr>
      <t>TFD-009 профессиональная шестигранная обрезиненная, 9 кг</t>
    </r>
  </si>
  <si>
    <t>Гантель
TFD-009 профессиональная шестигранная обрезиненная, 9 кг</t>
  </si>
  <si>
    <r>
      <rPr>
        <sz val="10"/>
        <color theme="1"/>
        <rFont val="Times New Roman"/>
      </rPr>
      <t>Гантели TFD-009 профессиональные шестигранные обрезиненные. Хромированные ручки с мягкой насечкой.  Цвет: Хром/черный, Состав: сталь, резина, вес 9 кг.</t>
    </r>
  </si>
  <si>
    <r>
      <rPr>
        <sz val="10"/>
        <color rgb="FF000000"/>
        <rFont val="Times New Roman"/>
      </rPr>
      <t xml:space="preserve">522-101-1064-0013 - Гантель
</t>
    </r>
    <r>
      <rPr>
        <sz val="10"/>
        <color rgb="FF000000"/>
        <rFont val="Times New Roman"/>
      </rPr>
      <t>TFD-010 профессиональная шестигранная обрезиненная, 10 кг</t>
    </r>
  </si>
  <si>
    <t>Гантель
TFD-010 профессиональная шестигранная обрезиненная, 10 кг</t>
  </si>
  <si>
    <r>
      <rPr>
        <sz val="10"/>
        <color theme="1"/>
        <rFont val="Times New Roman"/>
      </rPr>
      <t>Гантели TFD-010 профессиональные шестигранные обрезиненные. Хромированные ручки с мягкой насечкой.  Цвет: Хром/черный, Состав: сталь, резина, вес 10 кг.</t>
    </r>
  </si>
  <si>
    <r>
      <rPr>
        <sz val="10"/>
        <color rgb="FF000000"/>
        <rFont val="Times New Roman"/>
      </rPr>
      <t xml:space="preserve">522-101-1064-0014 - Гантель
</t>
    </r>
    <r>
      <rPr>
        <sz val="10"/>
        <color rgb="FF000000"/>
        <rFont val="Times New Roman"/>
      </rPr>
      <t>TFD-125 профессиональная шестигранная обрезиненная, 12,5 кг</t>
    </r>
  </si>
  <si>
    <t>Гантель
TFD-125 профессиональная шестигранная обрезиненная, 12,5 кг</t>
  </si>
  <si>
    <r>
      <rPr>
        <sz val="10"/>
        <color theme="1"/>
        <rFont val="Times New Roman"/>
      </rPr>
      <t>Гантели TFD-125 профессиональные шестигранные обрезиненные. Хромированные ручки с мягкой насечкой.  Цвет: Хром/черный, Состав: сталь, резина, вес 12,5 кг.</t>
    </r>
  </si>
  <si>
    <r>
      <rPr>
        <sz val="10"/>
        <color rgb="FF000000"/>
        <rFont val="Times New Roman"/>
      </rPr>
      <t xml:space="preserve">522-101-1064-0015 - Гантель
</t>
    </r>
    <r>
      <rPr>
        <sz val="10"/>
        <color rgb="FF000000"/>
        <rFont val="Times New Roman"/>
      </rPr>
      <t>TFD-015 профессиональная шестигранная обрезиненная, 15 кг</t>
    </r>
  </si>
  <si>
    <t>Гантель
TFD-015 профессиональная шестигранная обрезиненная, 15 кг</t>
  </si>
  <si>
    <r>
      <rPr>
        <sz val="10"/>
        <color theme="1"/>
        <rFont val="Times New Roman"/>
      </rPr>
      <t>Гантели TFD-015 профессиональные шестигранные обрезиненные. Хромированные ручки с мягкой насечкой.  Цвет: Хром/черный, Состав: сталь, резина, вес 15 кг.</t>
    </r>
  </si>
  <si>
    <r>
      <rPr>
        <sz val="10"/>
        <color rgb="FF000000"/>
        <rFont val="Times New Roman"/>
      </rPr>
      <t xml:space="preserve">522-101-1064-0016 - Гантель
</t>
    </r>
    <r>
      <rPr>
        <sz val="10"/>
        <color rgb="FF000000"/>
        <rFont val="Times New Roman"/>
      </rPr>
      <t>TFD-175 профессиональная шестигранная обрезиненная, 17,5 кг</t>
    </r>
  </si>
  <si>
    <t>Гантель
TFD-175 профессиональная шестигранная обрезиненная, 17,5 кг</t>
  </si>
  <si>
    <r>
      <rPr>
        <sz val="10"/>
        <color theme="1"/>
        <rFont val="Times New Roman"/>
      </rPr>
      <t>Гантели TFD-175 профессиональные шестигранные обрезиненные. Хромированные ручки с мягкой насечкой.  Цвет: Хром/черный, Состав: сталь, резина, вес 17,5 кг.</t>
    </r>
  </si>
  <si>
    <r>
      <rPr>
        <sz val="10"/>
        <color rgb="FF000000"/>
        <rFont val="Times New Roman"/>
      </rPr>
      <t xml:space="preserve">522-101-1064-0017 - Гантель
</t>
    </r>
    <r>
      <rPr>
        <sz val="10"/>
        <color rgb="FF000000"/>
        <rFont val="Times New Roman"/>
      </rPr>
      <t>TFD-020 профессиональная шестигранная обрезиненная, 20 кг</t>
    </r>
  </si>
  <si>
    <t>Гантель
TFD-020 профессиональная шестигранная обрезиненная, 20 кг</t>
  </si>
  <si>
    <r>
      <rPr>
        <sz val="10"/>
        <color theme="1"/>
        <rFont val="Times New Roman"/>
      </rPr>
      <t>Гантели TFD-020 профессиональные шестигранные обрезиненные. Хромированные ручки с мягкой насечкой.  Цвет: Хром/черный, Состав: сталь, резина, вес 20 кг.</t>
    </r>
  </si>
  <si>
    <r>
      <rPr>
        <sz val="10"/>
        <color rgb="FF000000"/>
        <rFont val="Times New Roman"/>
      </rPr>
      <t xml:space="preserve">522-101-1064-0018 - Гантель
</t>
    </r>
    <r>
      <rPr>
        <sz val="10"/>
        <color rgb="FF000000"/>
        <rFont val="Times New Roman"/>
      </rPr>
      <t>TFD-025 профессиональная шестигранная обрезиненная, 25 кг</t>
    </r>
  </si>
  <si>
    <t>Гантель
TFD-025 профессиональная шестигранная обрезиненная, 25 кг</t>
  </si>
  <si>
    <r>
      <rPr>
        <sz val="10"/>
        <color theme="1"/>
        <rFont val="Times New Roman"/>
      </rPr>
      <t>Гантели TFD-025 профессиональные шестигранные обрезиненные. Хромированные ручки с мягкой насечкой.  Цвет: Хром/черный, Состав: сталь, резина, вес 25 кг.</t>
    </r>
  </si>
  <si>
    <r>
      <rPr>
        <sz val="10"/>
        <color theme="1"/>
        <rFont val="Times New Roman"/>
      </rPr>
      <t>522-101-1064-0019 - Гантель для фитнеса TFDE-005, в виниловой оболочке,  0,5 кг</t>
    </r>
  </si>
  <si>
    <r>
      <rPr>
        <sz val="10"/>
        <color theme="1"/>
        <rFont val="Times New Roman"/>
      </rPr>
      <t>Гантели для фитнеса TFDE-005, в виниловой оболочке форма шестигранник. Технические характеристики: Вес: 0,5 кг. Диаметр рукояти: 25 мм.</t>
    </r>
  </si>
  <si>
    <r>
      <rPr>
        <sz val="10"/>
        <color theme="1"/>
        <rFont val="Times New Roman"/>
      </rPr>
      <t>522-101-1064-0020 - Гантель для фитнеса TFDE-001, в виниловой оболочке, 1 кг</t>
    </r>
  </si>
  <si>
    <r>
      <rPr>
        <sz val="10"/>
        <color theme="1"/>
        <rFont val="Times New Roman"/>
      </rPr>
      <t>Гантели для фитнеса TFDE-001, в виниловой оболочке форма шестигранник. Технические характеристики: Вес:1 кг. Диаметр рукояти: 25 мм.</t>
    </r>
  </si>
  <si>
    <r>
      <rPr>
        <sz val="10"/>
        <color theme="1"/>
        <rFont val="Times New Roman"/>
      </rPr>
      <t>522-101-1064-0021 - Гантель для фитнеса TFDE-002, в виниловой оболочке, 2 кг</t>
    </r>
  </si>
  <si>
    <r>
      <rPr>
        <sz val="10"/>
        <color theme="1"/>
        <rFont val="Times New Roman"/>
      </rPr>
      <t>Гантели для фитнеса TFDE-002, в виниловой оболочке форма шестигранник. Технические характеристики: Вес: 2 кг. Диаметр рукояти: 25 мм.</t>
    </r>
  </si>
  <si>
    <r>
      <rPr>
        <sz val="10"/>
        <color theme="1"/>
        <rFont val="Times New Roman"/>
      </rPr>
      <t>522-101-1064-0022 - Гантель для фитнеса TFDE-003 в виниловой оболочке, 3 кг</t>
    </r>
  </si>
  <si>
    <r>
      <rPr>
        <sz val="10"/>
        <color theme="1"/>
        <rFont val="Times New Roman"/>
      </rPr>
      <t>Гантели для фитнеса TFDE-003 в виниловой оболочке форма шестигранник. Технические характеристики: Вес: 3 кг. Диаметр рукояти: 25 мм.</t>
    </r>
  </si>
  <si>
    <r>
      <rPr>
        <sz val="10"/>
        <color rgb="FF000000"/>
        <rFont val="Times New Roman"/>
      </rPr>
      <t xml:space="preserve">522-101-1066-0002 - Стойка
</t>
    </r>
    <r>
      <rPr>
        <sz val="10"/>
        <color rgb="FF000000"/>
        <rFont val="Times New Roman"/>
      </rPr>
      <t>бадминтонная мобильная, на обрезиненных колесах, на каждой стойке имеется наборный противовес 70кг. Высота стойки: 155 см</t>
    </r>
  </si>
  <si>
    <t>Стойка
бадминтонная мобильная, на обрезиненных колесах, на каждой стойке имеется наборный противовес 70кг. Высота стойки: 155 см</t>
  </si>
  <si>
    <r>
      <rPr>
        <sz val="10"/>
        <color theme="1"/>
        <rFont val="Times New Roman"/>
      </rPr>
      <t>Стойки бадминтонные мобильные на обрезиненных колесах, на каждой стойке имеется наборный противовес 70кг. Высота стойки: 155 см. Сварные швы и поверхность обработана качественной полимерно-порошковой краской. Прорезиненные колеса с подшипниковым механизмом легко перемещаются по покрытию любого типа. Металлический ролик для натяжения троса, прослужит долго и подойдет для сеток со стальным тросом. Безопасные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t>
    </r>
  </si>
  <si>
    <r>
      <rPr>
        <sz val="10"/>
        <color rgb="FF000000"/>
        <rFont val="Times New Roman"/>
      </rPr>
      <t xml:space="preserve">522-101-1067-0002 - Сетка для
</t>
    </r>
    <r>
      <rPr>
        <sz val="10"/>
        <color rgb="FF000000"/>
        <rFont val="Times New Roman"/>
      </rPr>
      <t>бадминтона, материал изготовления нейлон</t>
    </r>
  </si>
  <si>
    <t>Сетка для
бадминтона, материал изготовления нейлон</t>
  </si>
  <si>
    <r>
      <rPr>
        <sz val="10"/>
        <color rgb="FF000000"/>
        <rFont val="Times New Roman"/>
      </rPr>
      <t xml:space="preserve">Изготовлен из нейлона. Размеры: 610 см. Ширина 76 см. Диаметр нити 1,6 мм.  Материал троса - полипропилен. Размеры верхней ленты 4х35 мм.
</t>
    </r>
    <r>
      <rPr>
        <sz val="10"/>
        <color rgb="FF000000"/>
        <rFont val="Times New Roman"/>
      </rPr>
      <t>Размеры нижней нейлоновой ленты диам. 3 мм.</t>
    </r>
  </si>
  <si>
    <r>
      <rPr>
        <sz val="10"/>
        <color theme="1"/>
        <rFont val="Times New Roman"/>
      </rPr>
      <t>522-101-1068-0001 - Перекладина универсальная гимнастическая</t>
    </r>
  </si>
  <si>
    <r>
      <rPr>
        <sz val="10"/>
        <color theme="1"/>
        <rFont val="Times New Roman"/>
      </rPr>
      <t>Перекладина гимнастическая универсальная. Тросс 3000мм.</t>
    </r>
  </si>
  <si>
    <r>
      <rPr>
        <sz val="10"/>
        <color theme="1"/>
        <rFont val="Times New Roman"/>
      </rPr>
      <t>522-101-1068-0003 - Перекладина гимнастическая универсальная</t>
    </r>
  </si>
  <si>
    <r>
      <rPr>
        <sz val="10"/>
        <color rgb="FF000000"/>
        <rFont val="Times New Roman"/>
      </rPr>
      <t xml:space="preserve">Представляет собой сборную металлическую конструкцию, состоящую из стержня, двух стоек и четырёх растяжек. Стержень изготовлен из высокопрочной стали, и обладает высокой упругостью. Высота верхней образующей стержня от пола - наименьшая - 1450мм, наибольшая - 2550мм. Регулировка по высоте с интервалом - 50.  200. Длина стержня
</t>
    </r>
    <r>
      <rPr>
        <sz val="10"/>
        <color rgb="FF000000"/>
        <rFont val="Times New Roman"/>
      </rPr>
      <t>между головками стоек - 2400мм. Диаметр стержня - 28мм.</t>
    </r>
  </si>
  <si>
    <r>
      <rPr>
        <sz val="10"/>
        <color rgb="FF000000"/>
        <rFont val="Times New Roman"/>
      </rPr>
      <t xml:space="preserve">522-101-1068-0004 - Перекладина гимнастическая пристенная
</t>
    </r>
    <r>
      <rPr>
        <sz val="10"/>
        <color rgb="FF000000"/>
        <rFont val="Times New Roman"/>
      </rPr>
      <t>МК-0118. Перекладина гимнастическая на растяжках, пристенная</t>
    </r>
  </si>
  <si>
    <t>Перекладина гимнастическая пристенная
МК-0118. Перекладина гимнастическая на растяжках, пристенная</t>
  </si>
  <si>
    <r>
      <rPr>
        <sz val="10"/>
        <color theme="1"/>
        <rFont val="Times New Roman"/>
      </rPr>
      <t>Перекладина гимнастическая пристенная МК-0118. Перекладина гимнастическая на растяжках, пристенная. Выполнена из 1-й телескопической стойки и 1-й пристенной планки, перекладины, 2-х растяжек и 2-х закладных элементов (с прячущимся крючком для крепления растяжек к полу). Регулируемая высота: от 1450 до 2550 мм. Регулировка с интервалом 100 мм. Длина стержня: 2400 мм, ø-28 мм. Материал стержня: высокопрочная легированная сталь.</t>
    </r>
  </si>
  <si>
    <r>
      <rPr>
        <sz val="10"/>
        <color rgb="FF000000"/>
        <rFont val="Times New Roman"/>
      </rPr>
      <t xml:space="preserve">522-101-1068-0005 - Тренажер
</t>
    </r>
    <r>
      <rPr>
        <sz val="10"/>
        <color rgb="FF000000"/>
        <rFont val="Times New Roman"/>
      </rPr>
      <t>(перекладина) навесная с широким хватом RAF-5130. Представляет собой цельно-сварную конструкцию. Длина перекладины 1180мм, высота 540 мм, вынос 600мм</t>
    </r>
  </si>
  <si>
    <t>Тренажер
(перекладина) навесная с широким хватом RAF-5130. Представляет собой цельно-сварную конструкцию. Длина перекладины 1180мм, высота 540 мм, вынос 600мм</t>
  </si>
  <si>
    <r>
      <rPr>
        <sz val="10"/>
        <color rgb="FF000000"/>
        <rFont val="Times New Roman"/>
      </rPr>
      <t xml:space="preserve">Тренажер (перекладина) навесная с широким хватом RAF-5130.
</t>
    </r>
    <r>
      <rPr>
        <sz val="10"/>
        <color rgb="FF000000"/>
        <rFont val="Times New Roman"/>
      </rPr>
      <t>Перекладина навесная предназначена для навешивания на гимнастическую стенку. Представляет собой цельно-сварную конструкцию. Поверхность тренажера-перекладины окрашена порошковой эмалью. Имеются крючки для навешивания на стенку. Длина перекладины 1180мм, высота 540 мм, вынос 600мм. Каркас изготовлен из профильной трубы 30*30мм, перекладина изготовлена из трубы диам. 30мм.</t>
    </r>
  </si>
  <si>
    <r>
      <rPr>
        <sz val="10"/>
        <color theme="1"/>
        <rFont val="Times New Roman"/>
      </rPr>
      <t>522-101-1069-0001 - Гранаты для метания 500 гр</t>
    </r>
  </si>
  <si>
    <r>
      <rPr>
        <sz val="10"/>
        <color theme="1"/>
        <rFont val="Times New Roman"/>
      </rPr>
      <t>Граната состоит из деревянной ручки и металлического стакана с эмалевым покрытием черного цвета, диаметром 48мм. Вес-500 грамм</t>
    </r>
  </si>
  <si>
    <r>
      <rPr>
        <sz val="10"/>
        <color theme="1"/>
        <rFont val="Times New Roman"/>
      </rPr>
      <t>522-101-1069-0002 - Гранаты для метания 700 гр</t>
    </r>
  </si>
  <si>
    <r>
      <rPr>
        <sz val="10"/>
        <color theme="1"/>
        <rFont val="Times New Roman"/>
      </rPr>
      <t>Граната состоит из деревянной ручки и металлического стакана с эмалевым покрытием черного цвета, диаметром 48мм. Вес-700 грамм</t>
    </r>
  </si>
  <si>
    <r>
      <rPr>
        <sz val="10"/>
        <color theme="1"/>
        <rFont val="Times New Roman"/>
      </rPr>
      <t>522-101-1069-0003 - Граната для метания 300 гр</t>
    </r>
  </si>
  <si>
    <r>
      <rPr>
        <sz val="10"/>
        <color theme="1"/>
        <rFont val="Times New Roman"/>
      </rPr>
      <t>Граната состоит из деревянной ручки и металлического стакана с эмалевым покрытием черного цвета, диаметром 48мм. Вес-300 грамм</t>
    </r>
  </si>
  <si>
    <r>
      <rPr>
        <sz val="10"/>
        <color rgb="FF000000"/>
        <rFont val="Times New Roman"/>
      </rPr>
      <t xml:space="preserve">522-101-1070-0004 - Кольцо
</t>
    </r>
    <r>
      <rPr>
        <sz val="10"/>
        <color rgb="FF000000"/>
        <rFont val="Times New Roman"/>
      </rPr>
      <t>баскетбольное тренировочное №7, диаметр кольца - 450 мм</t>
    </r>
  </si>
  <si>
    <t>Кольцо
баскетбольное тренировочное №7, диаметр кольца</t>
  </si>
  <si>
    <t>450 мм</t>
  </si>
  <si>
    <r>
      <rPr>
        <sz val="10"/>
        <color rgb="FF000000"/>
        <rFont val="Times New Roman"/>
      </rPr>
      <t xml:space="preserve">Баскетбольное кольцо тренировочное №7. Диаметр кольца - 450 мм.
</t>
    </r>
    <r>
      <rPr>
        <sz val="10"/>
        <color rgb="FF000000"/>
        <rFont val="Times New Roman"/>
      </rPr>
      <t xml:space="preserve">Диаметр трубы - 15 мм.
</t>
    </r>
    <r>
      <rPr>
        <sz val="10"/>
        <color rgb="FF000000"/>
        <rFont val="Times New Roman"/>
      </rPr>
      <t xml:space="preserve">Присоединительный размер под болты - 100х80мм.
</t>
    </r>
    <r>
      <rPr>
        <sz val="10"/>
        <color rgb="FF000000"/>
        <rFont val="Times New Roman"/>
      </rPr>
      <t>Количество крючков - 12 шт</t>
    </r>
  </si>
  <si>
    <r>
      <rPr>
        <sz val="10"/>
        <color rgb="FF000000"/>
        <rFont val="Times New Roman"/>
      </rPr>
      <t xml:space="preserve">522-101-1070-0005 - Кольцо
</t>
    </r>
    <r>
      <rPr>
        <sz val="10"/>
        <color rgb="FF000000"/>
        <rFont val="Times New Roman"/>
      </rPr>
      <t>баскетбольное амортизационное соревновательное №7. Материал: металл. Диаметр кольца 450мм</t>
    </r>
  </si>
  <si>
    <t>Кольцо
баскетбольное амортизационное соревновательное №7. Материал: металл. Диаметр кольца 450мм</t>
  </si>
  <si>
    <r>
      <rPr>
        <sz val="10"/>
        <color theme="1"/>
        <rFont val="Times New Roman"/>
      </rPr>
      <t>Баскетбольное кольцо амортизационное, соревновательное №7. Материал: Металл. Диаметр кольца - 45см; Диаметр прутка - 2см; Посадочные отверстия на щит - 10х11см. Баскетбольное кольцо предназначено для проведения спортивных занятий в школах, спортивных секциях и на уличных тренировочных площадках. Кольцо крепится к баскетбольному щиту. Амортизирующий механизм снижает высокие нагрузки на кольцо.</t>
    </r>
  </si>
  <si>
    <r>
      <rPr>
        <sz val="10"/>
        <color rgb="FF000000"/>
        <rFont val="Times New Roman"/>
      </rPr>
      <t xml:space="preserve">522-101-1071-0002 - Сетка
</t>
    </r>
    <r>
      <rPr>
        <sz val="10"/>
        <color rgb="FF000000"/>
        <rFont val="Times New Roman"/>
      </rPr>
      <t>баскетбольная, длина 400мм, ячейка 50х50мм</t>
    </r>
  </si>
  <si>
    <t>Сетка
баскетбольная, длина 400мм, ячейка 50х50мм</t>
  </si>
  <si>
    <r>
      <rPr>
        <sz val="10"/>
        <color theme="1"/>
        <rFont val="Times New Roman"/>
      </rPr>
      <t>Сетка баскетбольная. Нить - 3мм. 12 петель. Длина - 400мм. Внутренний диаметр - 450 мм.  Ячейка - 50х50</t>
    </r>
  </si>
  <si>
    <r>
      <rPr>
        <sz val="10"/>
        <color rgb="FF000000"/>
        <rFont val="Times New Roman"/>
      </rPr>
      <t xml:space="preserve">522-101-1072-0003 - Шахматы
</t>
    </r>
    <r>
      <rPr>
        <sz val="10"/>
        <color rgb="FF000000"/>
        <rFont val="Times New Roman"/>
      </rPr>
      <t>размерами 440 х 440 х 30 мм TCH-182</t>
    </r>
  </si>
  <si>
    <t>Шахматы
размерами 440 х 440 х 30 мм TCH-182</t>
  </si>
  <si>
    <r>
      <rPr>
        <sz val="10"/>
        <color rgb="FF000000"/>
        <rFont val="Times New Roman"/>
      </rPr>
      <t xml:space="preserve">Шахматы TCH-182. Габариты в закрытом виде: длина - 44 см, ширина - 22 см, высота - 6 см. Габариты в открытом виде: длина - 44 см,  ширина - 44
</t>
    </r>
    <r>
      <rPr>
        <sz val="10"/>
        <color rgb="FF000000"/>
        <rFont val="Times New Roman"/>
      </rPr>
      <t>см, высота - 3 см</t>
    </r>
  </si>
  <si>
    <r>
      <rPr>
        <sz val="10"/>
        <color rgb="FF000000"/>
        <rFont val="Times New Roman"/>
      </rPr>
      <t xml:space="preserve">522-101-1072-0004 - Шашки
</t>
    </r>
    <r>
      <rPr>
        <sz val="10"/>
        <color rgb="FF000000"/>
        <rFont val="Times New Roman"/>
      </rPr>
      <t>размерами 480 х 500 х 30 мм TCH-214</t>
    </r>
  </si>
  <si>
    <t>Шашки
размерами 480 х 500 х 30 мм TCH-214</t>
  </si>
  <si>
    <r>
      <rPr>
        <sz val="10"/>
        <color theme="1"/>
        <rFont val="Times New Roman"/>
      </rPr>
      <t>Шашки TCH-214. Габариты в закрытом виде: длина - 48 см, ширина - 25 см, высота - 6 см. Габариты в открытом виде: длина - 48 см,  ширина - 50 см, высота - 3 см</t>
    </r>
  </si>
  <si>
    <r>
      <rPr>
        <sz val="10"/>
        <color rgb="FF000000"/>
        <rFont val="Times New Roman"/>
      </rPr>
      <t xml:space="preserve">522-101-1074-0001 - Щит
</t>
    </r>
    <r>
      <rPr>
        <sz val="10"/>
        <color rgb="FF000000"/>
        <rFont val="Times New Roman"/>
      </rPr>
      <t>баскетбольный 1200х800см из влагостойкой фанеры</t>
    </r>
  </si>
  <si>
    <t>Щит
баскетбольный 1200х800см из влагостойкой фанеры</t>
  </si>
  <si>
    <r>
      <rPr>
        <sz val="10"/>
        <color theme="1"/>
        <rFont val="Times New Roman"/>
      </rPr>
      <t>Щит изготовлен из высококачественной влагостойкой фанеры. Щит имеет размеры не менее 1200 мм (ширина) х 800 мм (высота), что соответствует стандартным размерам для баскетбольных щитов.</t>
    </r>
  </si>
  <si>
    <r>
      <rPr>
        <sz val="10"/>
        <color rgb="FF000000"/>
        <rFont val="Times New Roman"/>
      </rPr>
      <t xml:space="preserve">522-101-1074-0003 - Щит
</t>
    </r>
    <r>
      <rPr>
        <sz val="10"/>
        <color rgb="FF000000"/>
        <rFont val="Times New Roman"/>
      </rPr>
      <t>баскетбольный игровой, размеры 1800х1050х100мм</t>
    </r>
  </si>
  <si>
    <t>Щит
баскетбольный игровой, размеры 1800х1050х100мм</t>
  </si>
  <si>
    <r>
      <rPr>
        <sz val="10"/>
        <color theme="1"/>
        <rFont val="Times New Roman"/>
      </rPr>
      <t>Щит баскетбольный тренировочный, орг.стекло 1200*800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Толщина щита 10 мм, размер 1800х1200мм. На щит нанесена разметка белого цвета шириной 50мм</t>
    </r>
  </si>
  <si>
    <r>
      <rPr>
        <sz val="10"/>
        <color rgb="FF000000"/>
        <rFont val="Times New Roman"/>
      </rPr>
      <t xml:space="preserve">522-101-1074-0004 - Щит
</t>
    </r>
    <r>
      <rPr>
        <sz val="10"/>
        <color rgb="FF000000"/>
        <rFont val="Times New Roman"/>
      </rPr>
      <t>баскетбольный учебный</t>
    </r>
  </si>
  <si>
    <t>Щит
баскетбольный учебный</t>
  </si>
  <si>
    <r>
      <rPr>
        <sz val="10"/>
        <color theme="1"/>
        <rFont val="Times New Roman"/>
      </rPr>
      <t>Щит баскетбольный игровой, размеры не менее 1800х1050х100мм. Комплектация: ферма для крепления щита к стене с выносом 1200мм, кольцо баскетбольное амортизационное, сетка, протектор щита. Толщина щита 10 мм, размер 1800х1050мм. Щит закреплен на стальной раме. Рама щита изготовлена из профильной трубы 40х40х1,5мм, стяжки рамы из трубы 40х25х2мм.</t>
    </r>
  </si>
  <si>
    <r>
      <rPr>
        <sz val="10"/>
        <color rgb="FF000000"/>
        <rFont val="Times New Roman"/>
      </rPr>
      <t xml:space="preserve">522-101-1074-0005 - Щит
</t>
    </r>
    <r>
      <rPr>
        <sz val="10"/>
        <color rgb="FF000000"/>
        <rFont val="Times New Roman"/>
      </rPr>
      <t>баскетбольный игровой орг.стекло 1800*1050 мм SH-1800</t>
    </r>
  </si>
  <si>
    <t>Щит
баскетбольный игровой орг.стекло 1800*1050 мм SH-1800</t>
  </si>
  <si>
    <r>
      <rPr>
        <sz val="10"/>
        <color theme="1"/>
        <rFont val="Times New Roman"/>
      </rPr>
      <t>Щит баскетбольный игровой орг.стекло 1800*1050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стойку или на ферму. Рама щита изготовлена из профильной трубы 35х35мм, окрашена методом порошкового напыления.</t>
    </r>
  </si>
  <si>
    <r>
      <rPr>
        <sz val="10"/>
        <color rgb="FF000000"/>
        <rFont val="Times New Roman"/>
      </rPr>
      <t xml:space="preserve">522-101-1074-0006 - Щит
</t>
    </r>
    <r>
      <rPr>
        <sz val="10"/>
        <color rgb="FF000000"/>
        <rFont val="Times New Roman"/>
      </rPr>
      <t>баскетбольный тренировочный орг.стекло 1200*800 мм SH-1200</t>
    </r>
  </si>
  <si>
    <t>Щит
баскетбольный тренировочный орг.стекло 1200*800 мм SH-1200</t>
  </si>
  <si>
    <r>
      <rPr>
        <sz val="10"/>
        <color theme="1"/>
        <rFont val="Times New Roman"/>
      </rPr>
      <t>Щит баскетбольный тренировочный орг.стекло 1200*800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стену или на ферму. Рама щита окрашена методом порошкового напыления.</t>
    </r>
  </si>
  <si>
    <r>
      <rPr>
        <sz val="10"/>
        <color rgb="FF000000"/>
        <rFont val="Times New Roman"/>
      </rPr>
      <t xml:space="preserve">522-101-1074-0007 - Ферма
</t>
    </r>
    <r>
      <rPr>
        <sz val="10"/>
        <color rgb="FF000000"/>
        <rFont val="Times New Roman"/>
      </rPr>
      <t>баскетбольная стационарная, изготовлена из стальной трубы, крепление к стене, вынос от стены 1000мм</t>
    </r>
  </si>
  <si>
    <t>Ферма
баскетбольная стационарная, изготовлена из стальной трубы, крепление к стене, вынос от стены 1000мм</t>
  </si>
  <si>
    <r>
      <rPr>
        <sz val="10"/>
        <color rgb="FF000000"/>
        <rFont val="Times New Roman"/>
      </rPr>
      <t xml:space="preserve">Ферма баскетбольная стационарная для тренировочного  щита, крепление к стене. Вынос 100см. Предназначена для крепления тренировочного щита.
</t>
    </r>
    <r>
      <rPr>
        <sz val="10"/>
        <color rgb="FF000000"/>
        <rFont val="Times New Roman"/>
      </rPr>
      <t xml:space="preserve">Ферма имеет вынос от стены 1м,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t>
    </r>
    <r>
      <rPr>
        <sz val="10"/>
        <color rgb="FF000000"/>
        <rFont val="Times New Roman"/>
      </rPr>
      <t>Покрытие – порошковая краска</t>
    </r>
  </si>
  <si>
    <r>
      <rPr>
        <sz val="10"/>
        <color rgb="FF000000"/>
        <rFont val="Times New Roman"/>
      </rPr>
      <t xml:space="preserve">522-101-1074-0008 - Ферма
</t>
    </r>
    <r>
      <rPr>
        <sz val="10"/>
        <color rgb="FF000000"/>
        <rFont val="Times New Roman"/>
      </rPr>
      <t>баскетбольная стационарная, изготовлена из стальной трубы, крепление к стене, вынос от стены 1200мм</t>
    </r>
  </si>
  <si>
    <t>Ферма
баскетбольная стационарная, изготовлена из стальной трубы, крепление к стене, вынос от стены 1200мм</t>
  </si>
  <si>
    <r>
      <rPr>
        <sz val="10"/>
        <color theme="1"/>
        <rFont val="Times New Roman"/>
      </rPr>
      <t>Ферма баскетбольная стационарная для игрового щита, крепление к стене. Вынос 120см. Предназначена для крепления игрового щита. Ферма имеет вынос от стены 1,2м,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r>
  </si>
  <si>
    <r>
      <rPr>
        <sz val="10"/>
        <color rgb="FF000000"/>
        <rFont val="Times New Roman"/>
      </rPr>
      <t xml:space="preserve">522-101-1077-0001 - Конь
</t>
    </r>
    <r>
      <rPr>
        <sz val="10"/>
        <color rgb="FF000000"/>
        <rFont val="Times New Roman"/>
      </rPr>
      <t>гимнастический прыжковый переменной высоты, высота регулируемая</t>
    </r>
  </si>
  <si>
    <t>Конь
гимнастический прыжковый переменной высоты, высота регулируемая</t>
  </si>
  <si>
    <r>
      <rPr>
        <sz val="10"/>
        <color rgb="FF000000"/>
        <rFont val="Times New Roman"/>
      </rPr>
      <t xml:space="preserve">Крепления к полу. Конструкция коня представляет собой сборно-разборную конструкцию, состоящую из: корпуса и двух опор. Корпус выполнен из дерева, обклеен изолоном и покрыт чехлом  из искусственной кожи. Размер корпуса: длина - 1500-1600мм, ширина 350мм, высота - 280мм. Все края и углы корпуса имеют закругленную форму. Опоры коня телескопические и выполнены из стальных труб, окрашенных порошковой эмалью. На каждой телескопической стойке опоры установлен резиновый наконечник-копыто.
</t>
    </r>
    <r>
      <rPr>
        <sz val="10"/>
        <color rgb="FF000000"/>
        <rFont val="Times New Roman"/>
      </rPr>
      <t xml:space="preserve">Регулировки коня по высоте осуществляется выдвижением нижней трубы телескопической стойки опоры с шагом 50мм. Высота верхней поверхности
</t>
    </r>
    <r>
      <rPr>
        <sz val="10"/>
        <color rgb="FF000000"/>
        <rFont val="Times New Roman"/>
      </rPr>
      <t>корпуса от пола: 910 - 1350мм.</t>
    </r>
  </si>
  <si>
    <r>
      <rPr>
        <sz val="10"/>
        <color rgb="FF000000"/>
        <rFont val="Times New Roman"/>
      </rPr>
      <t xml:space="preserve">522-101-1077-0002 - Конь
</t>
    </r>
    <r>
      <rPr>
        <sz val="10"/>
        <color rgb="FF000000"/>
        <rFont val="Times New Roman"/>
      </rPr>
      <t>гимнастический, высота регулируемая</t>
    </r>
  </si>
  <si>
    <t>Конь
гимнастический, высота регулируемая</t>
  </si>
  <si>
    <r>
      <rPr>
        <sz val="10"/>
        <color theme="1"/>
        <rFont val="Times New Roman"/>
      </rPr>
      <t>Высота регулируемая. Размер корпуса: длина - 1580мм, ширина - 360мм, высота - 270мм. Высота корпуса над полом 900–1350мм с интервалом 50мм. Снаряд представляет собой сборную конструкцию, состоящую из корпуса, 2-х неподвижных опор, 4-х выдвижных опор. Корпус коня гимнастического имеет плотное упругое покрытие. Все края и углы корпуса имеют закругленную форму. Опоры представляют собой телескопическую пару. Необходимая высота достигается выдвижными опорами.</t>
    </r>
  </si>
  <si>
    <r>
      <rPr>
        <sz val="10"/>
        <color rgb="FF000000"/>
        <rFont val="Times New Roman"/>
      </rPr>
      <t xml:space="preserve">522-101-1078-0001 - Станок
</t>
    </r>
    <r>
      <rPr>
        <sz val="10"/>
        <color rgb="FF000000"/>
        <rFont val="Times New Roman"/>
      </rPr>
      <t xml:space="preserve">хореографический однорядный RAG-20501. Две стойки, деревянная жердь склеенная из березы, толщиной 50мм. Длина 2 м.
</t>
    </r>
    <r>
      <rPr>
        <sz val="10"/>
        <color rgb="FF000000"/>
        <rFont val="Times New Roman"/>
      </rPr>
      <t>Крепление- пол</t>
    </r>
  </si>
  <si>
    <t>Станок
хореографический однорядный RAG-20501. Две стойки, деревянная жердь склеенная из березы, толщиной 50мм. Длина 2 м.
Крепление- пол</t>
  </si>
  <si>
    <r>
      <rPr>
        <sz val="10"/>
        <color rgb="FF000000"/>
        <rFont val="Times New Roman"/>
      </rPr>
      <t xml:space="preserve">Станок хореографический однорядный RAG-20501. Две стойки, деревянная жердь склеенная из березы, толщиной 50мм. Длина 2 м. Крепление- пол.
</t>
    </r>
    <r>
      <rPr>
        <sz val="10"/>
        <color rgb="FF000000"/>
        <rFont val="Times New Roman"/>
      </rPr>
      <t>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r>
  </si>
  <si>
    <r>
      <rPr>
        <sz val="10"/>
        <color rgb="FF000000"/>
        <rFont val="Times New Roman"/>
      </rPr>
      <t xml:space="preserve">522-101-1078-0002 - Станок
</t>
    </r>
    <r>
      <rPr>
        <sz val="10"/>
        <color rgb="FF000000"/>
        <rFont val="Times New Roman"/>
      </rPr>
      <t xml:space="preserve">хореографический двухрядный RAG-20502. Две стойки, деревянная жердь склеенная из березы, толщиной 50мм. Длина 2 м.
</t>
    </r>
    <r>
      <rPr>
        <sz val="10"/>
        <color rgb="FF000000"/>
        <rFont val="Times New Roman"/>
      </rPr>
      <t>Крепление пол. Расстояние от пола до поручней 85 и 110 см</t>
    </r>
  </si>
  <si>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</si>
  <si>
    <r>
      <rPr>
        <sz val="10"/>
        <color rgb="FF000000"/>
        <rFont val="Times New Roman"/>
      </rPr>
      <t xml:space="preserve">Станок хореографический двухрядный RAG-20502. Две стойки, деревянная жердь склеенная из березы, толщиной 50мм. Длина 2 м. Крепление пол.
</t>
    </r>
    <r>
      <rPr>
        <sz val="10"/>
        <color rgb="FF000000"/>
        <rFont val="Times New Roman"/>
      </rPr>
      <t xml:space="preserve">Расстояние от пола до поручней 85 и 110 см.   Предусматривает использование в помещениях. Дополнительно в комплекте идут саморезы для крепления жерди в муфтах кронштейнов. Разборная конструкция.
</t>
    </r>
    <r>
      <rPr>
        <sz val="10"/>
        <color rgb="FF000000"/>
        <rFont val="Times New Roman"/>
      </rPr>
      <t>Высота не регулируется. Материал опоры – чёрная сталь.  Материал поручня – береза. Длина жерди 2000 мм. Полимерное покрытие</t>
    </r>
  </si>
  <si>
    <r>
      <rPr>
        <sz val="10"/>
        <color rgb="FF000000"/>
        <rFont val="Times New Roman"/>
      </rPr>
      <t xml:space="preserve">522-101-1078-0003 - Станок
</t>
    </r>
    <r>
      <rPr>
        <sz val="10"/>
        <color rgb="FF000000"/>
        <rFont val="Times New Roman"/>
      </rPr>
      <t xml:space="preserve">хореографический однорядный RAG-250501. Две стойки, деревянная жердь толщиной 50мм.
</t>
    </r>
    <r>
      <rPr>
        <sz val="10"/>
        <color rgb="FF000000"/>
        <rFont val="Times New Roman"/>
      </rPr>
      <t>Длина 2,5 м</t>
    </r>
  </si>
  <si>
    <t>Станок
хореографический однорядный RAG-250501. Две стойки, деревянная жердь толщиной 50мм.
Длина 2,5 м</t>
  </si>
  <si>
    <r>
      <rPr>
        <sz val="10"/>
        <color rgb="FF000000"/>
        <rFont val="Times New Roman"/>
      </rPr>
      <t xml:space="preserve">Станок хореографический однорядный RAG-250501.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t>
    </r>
    <r>
      <rPr>
        <sz val="10"/>
        <color rgb="FF000000"/>
        <rFont val="Times New Roman"/>
      </rPr>
      <t>Высота не регулируется. Материал опоры – чёрная сталь. Материал поручня – береза. Длина жерди 2500 мм. Полимерное покрытие</t>
    </r>
  </si>
  <si>
    <r>
      <rPr>
        <sz val="10"/>
        <color rgb="FF000000"/>
        <rFont val="Times New Roman"/>
      </rPr>
      <t xml:space="preserve">522-101-1078-0004 - Станок
</t>
    </r>
    <r>
      <rPr>
        <sz val="10"/>
        <color rgb="FF000000"/>
        <rFont val="Times New Roman"/>
      </rPr>
      <t xml:space="preserve">хореографический двухрядный RAG-250502. Две стойки, деревянная жердь толщиной 50мм.
</t>
    </r>
    <r>
      <rPr>
        <sz val="10"/>
        <color rgb="FF000000"/>
        <rFont val="Times New Roman"/>
      </rPr>
      <t>Длина 2,5 м</t>
    </r>
  </si>
  <si>
    <t>Станок
хореографический двухрядный RAG-250502. Две стойки, деревянная жердь толщиной 50мм.
Длина 2,5 м</t>
  </si>
  <si>
    <r>
      <rPr>
        <sz val="10"/>
        <color rgb="FF000000"/>
        <rFont val="Times New Roman"/>
      </rPr>
      <t xml:space="preserve">Станок хореографический двухрядный RAG-250502.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t>
    </r>
    <r>
      <rPr>
        <sz val="10"/>
        <color rgb="FF000000"/>
        <rFont val="Times New Roman"/>
      </rPr>
      <t>Материал поручня – береза. Длина жерди 2500 мм. Полимерное покрытие</t>
    </r>
  </si>
  <si>
    <r>
      <rPr>
        <sz val="10"/>
        <color rgb="FF000000"/>
        <rFont val="Times New Roman"/>
      </rPr>
      <t xml:space="preserve">522-101-1078-0005 - Станок
</t>
    </r>
    <r>
      <rPr>
        <sz val="10"/>
        <color rgb="FF000000"/>
        <rFont val="Times New Roman"/>
      </rPr>
      <t>хореографический однорядный RAG-3050. Две стойки, деревянная жердь толщиной 50мм. Длина 3 м</t>
    </r>
  </si>
  <si>
    <t>Станок
хореографический однорядный RAG-3050. Две стойки, деревянная жердь толщиной 50мм. Длина 3 м</t>
  </si>
  <si>
    <r>
      <rPr>
        <sz val="10"/>
        <color rgb="FF000000"/>
        <rFont val="Times New Roman"/>
      </rPr>
      <t xml:space="preserve">Станок хореографический однорядный RAG-3050.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t>
    </r>
    <r>
      <rPr>
        <sz val="10"/>
        <color rgb="FF000000"/>
        <rFont val="Times New Roman"/>
      </rPr>
      <t>Длина жерди 3000 мм. Полимерное покрытие</t>
    </r>
  </si>
  <si>
    <r>
      <rPr>
        <sz val="10"/>
        <color rgb="FF000000"/>
        <rFont val="Times New Roman"/>
      </rPr>
      <t xml:space="preserve">522-101-1078-0006 - Станок
</t>
    </r>
    <r>
      <rPr>
        <sz val="10"/>
        <color rgb="FF000000"/>
        <rFont val="Times New Roman"/>
      </rPr>
      <t>хореографический двухрядный RAG-30502. Две стойки, деревянная жердь толщиной 50мм. Длина 3 м</t>
    </r>
  </si>
  <si>
    <t>Станок
хореографический двухрядный RAG-30502. Две стойки, деревянная жердь толщиной 50мм. Длина 3 м</t>
  </si>
  <si>
    <r>
      <rPr>
        <sz val="10"/>
        <color rgb="FF000000"/>
        <rFont val="Times New Roman"/>
      </rPr>
      <t xml:space="preserve">Станок хореографический двухрядный RAG-30502.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t>
    </r>
    <r>
      <rPr>
        <sz val="10"/>
        <color rgb="FF000000"/>
        <rFont val="Times New Roman"/>
      </rPr>
      <t>Длина жерди 3000 мм. Полимерное покрытие</t>
    </r>
  </si>
  <si>
    <r>
      <rPr>
        <sz val="10"/>
        <color rgb="FF000000"/>
        <rFont val="Times New Roman"/>
      </rPr>
      <t xml:space="preserve">522-101-1079-0001 - Шест для
</t>
    </r>
    <r>
      <rPr>
        <sz val="10"/>
        <color rgb="FF000000"/>
        <rFont val="Times New Roman"/>
      </rPr>
      <t xml:space="preserve">лазания разборный металлический RA-2430.  Металлический шест имеет разборную конструкцию.
</t>
    </r>
    <r>
      <rPr>
        <sz val="10"/>
        <color rgb="FF000000"/>
        <rFont val="Times New Roman"/>
      </rPr>
      <t>Материал: сталь. Длина: в собранном состоянии: 5000мм</t>
    </r>
  </si>
  <si>
    <t>Шест для
лазания разборный металлический RA-2430.  Металлический шест имеет разборную конструкцию.
Материал: сталь. Длина: в собранном состоянии: 5000мм</t>
  </si>
  <si>
    <r>
      <rPr>
        <sz val="10"/>
        <color theme="1"/>
        <rFont val="Times New Roman"/>
      </rPr>
      <t>Шест для лазания разборный металлический RA-2430.  Металлический шест имеет разборную конструкцию. Материал: сталь. Длина: в собранном состоянии: 5000мм. Длина: в разобранном состоянии: 2500мм Диаметр: 50мм</t>
    </r>
  </si>
  <si>
    <r>
      <rPr>
        <sz val="10"/>
        <color theme="1"/>
        <rFont val="Times New Roman"/>
      </rPr>
      <t>522-101-1080-0001 - Консоль для подвесного снаряда усиленная RA-6419. Конструкция выполнена из профильной трубы 60х60мм, цельносварная</t>
    </r>
  </si>
  <si>
    <r>
      <rPr>
        <sz val="10"/>
        <color theme="1"/>
        <rFont val="Times New Roman"/>
      </rPr>
      <t>Консоль для подвесного снаряда усиленная RA-6419. Конструкция выполнена из профильной трубы 60х60мм, цельносварная. Для закрепления спортивных снарядов консоль имеет точки подвеса (винт с кольцом), вынос от стены 550 и 950мм. Общие размеры : длина консоли 1000мм, ширина крепежной части 260мм, высота 650мм. Несущая способность конструкции консоли — 160 кг. Окраска - порошковое напыление.</t>
    </r>
  </si>
  <si>
    <r>
      <rPr>
        <sz val="10"/>
        <color theme="1"/>
        <rFont val="Times New Roman"/>
      </rPr>
      <t>522-101-1080-0002 - Консоль для подвесного снаряда для 3-х предметов RA-10708. Представляет сборную конструкцию из цельносварной опоры с площадками для крепления к стене</t>
    </r>
  </si>
  <si>
    <t>Консоль для подвесного снаряда для 3-х предметов RA-10708. Представляет сборную конструкцию из цельносварной опоры с площадками для крепления к стене</t>
  </si>
  <si>
    <r>
      <rPr>
        <sz val="10"/>
        <color theme="1"/>
        <rFont val="Times New Roman"/>
      </rPr>
      <t>Консоль для подвесного снаряда для 3-х предметов RA-10708. Представляет сборную конструкцию из  цельносварной опоры с площадками для крепления к стене - 2 шт, перекладина к которой крепятся снаряды - 1 шт. Материал перекладины - металлический профиль 50х50х3мм. Окраска - порошковое напыление черного цвета. К стене консоль крепится черех фланцы, выполненные из полосы толщиной 6мм.</t>
    </r>
  </si>
  <si>
    <r>
      <rPr>
        <sz val="10"/>
        <color rgb="FF000000"/>
        <rFont val="Times New Roman"/>
      </rPr>
      <t xml:space="preserve">522-101-1081-0001 -
</t>
    </r>
    <r>
      <rPr>
        <sz val="10"/>
        <color rgb="FF000000"/>
        <rFont val="Times New Roman"/>
      </rPr>
      <t>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r>
  </si>
  <si>
    <t>522-101-1081-0001 -
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</si>
  <si>
    <r>
      <rPr>
        <sz val="10"/>
        <color rgb="FF000000"/>
        <rFont val="Times New Roman"/>
      </rPr>
      <t xml:space="preserve">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 Ножки барьер изготовлены из металлического профиля 30*30 мм., горизонтальная часть ножек изготовлена из профиля 50*25 мм. Планка закреплена на подвижных ножках изготовленных из профиля 25*25 мм. Планка изготовлена из многослойной березовой фанеры толщиной 12 мм, окрашена в
</t>
    </r>
    <r>
      <rPr>
        <sz val="10"/>
        <color rgb="FF000000"/>
        <rFont val="Times New Roman"/>
      </rPr>
      <t xml:space="preserve">черный-белый цвет. Планка покрыта эпоксидной эмалью  ЭП-1267, металлические элементы окрашены методом порошкового напыления. Длина планки 120 см. регулировка по высоте 77 - 107 см. (с шагом в 7,5
</t>
    </r>
    <r>
      <rPr>
        <sz val="10"/>
        <color rgb="FF000000"/>
        <rFont val="Times New Roman"/>
      </rPr>
      <t>см.). Для настройки усилия опрокидывания барьера, в основании имеются передвижные противовесы, которые фиксируются винтовыми зажимами.</t>
    </r>
  </si>
  <si>
    <r>
      <rPr>
        <sz val="10"/>
        <color rgb="FF000000"/>
        <rFont val="Times New Roman"/>
      </rPr>
      <t xml:space="preserve">522-101-1081-0003 - Барьер
</t>
    </r>
    <r>
      <rPr>
        <sz val="10"/>
        <color rgb="FF000000"/>
        <rFont val="Times New Roman"/>
      </rPr>
      <t>разделительный, размеры: 1400х750х30мм. Материал изготовления: металл, ПВХ</t>
    </r>
  </si>
  <si>
    <t>Барьер
разделительный, размеры: 1400х750х30мм. Материал изготовления: металл, ПВХ</t>
  </si>
  <si>
    <r>
      <rPr>
        <sz val="10"/>
        <color theme="1"/>
        <rFont val="Times New Roman"/>
      </rPr>
      <t>Разделительный барьер для настольного тенниса. Предназначен для разграничения игровых зон и безопасности игроков. Изготовлен из прочного металлического каркаса и износостойкого ПВХ-полотна. Лёгкий, устойчивый, легко складывается и транспортируется.</t>
    </r>
  </si>
  <si>
    <r>
      <rPr>
        <sz val="10"/>
        <color rgb="FF000000"/>
        <rFont val="Times New Roman"/>
      </rPr>
      <t xml:space="preserve">522-101-1081-0004 - Конус игровой.
</t>
    </r>
    <r>
      <rPr>
        <sz val="10"/>
        <color rgb="FF000000"/>
        <rFont val="Times New Roman"/>
      </rPr>
      <t>Материал изготовления: ПВХ пластик. Размеры: 380х200х200мм</t>
    </r>
  </si>
  <si>
    <t>Конус игровой.
Материал изготовления: ПВХ пластик. Размеры: 380х200х200мм</t>
  </si>
  <si>
    <r>
      <rPr>
        <sz val="10"/>
        <color theme="1"/>
        <rFont val="Times New Roman"/>
      </rPr>
      <t>Конус футбольный идеален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t>
    </r>
  </si>
  <si>
    <r>
      <rPr>
        <sz val="10"/>
        <color rgb="FF000000"/>
        <rFont val="Times New Roman"/>
      </rPr>
      <t xml:space="preserve">522-101-1081-0005 - Кочка
</t>
    </r>
    <r>
      <rPr>
        <sz val="10"/>
        <color rgb="FF000000"/>
        <rFont val="Times New Roman"/>
      </rPr>
      <t xml:space="preserve">массажная. Материал изготовления: ударопрочный пластик (ПВХ).
</t>
    </r>
    <r>
      <rPr>
        <sz val="10"/>
        <color rgb="FF000000"/>
        <rFont val="Times New Roman"/>
      </rPr>
      <t>Размеры: 0,28х0,28х0,1 м</t>
    </r>
  </si>
  <si>
    <t>Кочка
массажная. Материал изготовления: ударопрочный пластик (ПВХ).
Размеры: 0,28х0,28х0,1 м</t>
  </si>
  <si>
    <r>
      <rPr>
        <sz val="10"/>
        <color rgb="FF000000"/>
        <rFont val="Times New Roman"/>
      </rPr>
      <t xml:space="preserve">Мягкая «кочка» с массажной поверхностью представляет собой балансировочную полусферу. На сферической поверхности расположены
</t>
    </r>
    <r>
      <rPr>
        <sz val="10"/>
        <color rgb="FF000000"/>
        <rFont val="Times New Roman"/>
      </rPr>
      <t>«шипы». Материал прочная резина. Выполнена в виде полусферы, внутри полая и заполненная воздухом. Предназначена для упражнений на балансировку, развитие движений и тактильного восприятия детей.</t>
    </r>
  </si>
  <si>
    <r>
      <rPr>
        <sz val="10"/>
        <color rgb="FF000000"/>
        <rFont val="Times New Roman"/>
      </rPr>
      <t xml:space="preserve">522-101-1081-0006 - Антенна
</t>
    </r>
    <r>
      <rPr>
        <sz val="10"/>
        <color rgb="FF000000"/>
        <rFont val="Times New Roman"/>
      </rPr>
      <t>волейбольная в комплекте с карманами. Материал изготовления: стеклопластик</t>
    </r>
  </si>
  <si>
    <t>Антенна
волейбольная в комплекте с карманами. Материал изготовления: стеклопластик</t>
  </si>
  <si>
    <r>
      <rPr>
        <sz val="10"/>
        <color theme="1"/>
        <rFont val="Times New Roman"/>
      </rPr>
      <t>Антенны для волейбола крепятся к сетке путем размещения их в специальных карманах. Антенна - гибкий стержень длиной 1,8 м и диаметром 10 мм, сделанный из стекловолокна. Две антенны прикрепляются с внешнего края ограничительных лент на противоположных сторонах сетки. Антенна возвышается над сеткой на 80 см и окрашена полосами контрастных цветов шириной 10 см, предпочтительно красного и белого. Карманы для антенн – это специальные чехлы, выполненные из ПВХ для крепления антенн к волейбольным сеткам.</t>
    </r>
  </si>
  <si>
    <r>
      <rPr>
        <sz val="10"/>
        <color rgb="FF000000"/>
        <rFont val="Times New Roman"/>
      </rPr>
      <t xml:space="preserve">522-101-1081-0007 - Лестница
</t>
    </r>
    <r>
      <rPr>
        <sz val="10"/>
        <color rgb="FF000000"/>
        <rFont val="Times New Roman"/>
      </rPr>
      <t>веревочная 8 м. Материал изготовления: пластиковые перекладины, ленты из нейлона</t>
    </r>
  </si>
  <si>
    <t>Лестница
веревочная 8 м. Материал изготовления: пластиковые перекладины, ленты из нейлона</t>
  </si>
  <si>
    <r>
      <rPr>
        <sz val="10"/>
        <color theme="1"/>
        <rFont val="Times New Roman"/>
      </rPr>
      <t>Координационная лестница 8 м. Лестницы представляют собой прочные на разрыв нейлоновые ленты, между которыми на расстоянии в 40 см установлено 12 или 20 гибких планок. В зависимости от количества поперечен, длина лестницы колеблется от 6 до 10 метров. Ширина лестницы неизменна – 50 см.</t>
    </r>
  </si>
  <si>
    <r>
      <rPr>
        <sz val="10"/>
        <color rgb="FF000000"/>
        <rFont val="Times New Roman"/>
      </rPr>
      <t xml:space="preserve">522-101-1082-0001 - Мешок
</t>
    </r>
    <r>
      <rPr>
        <sz val="10"/>
        <color rgb="FF000000"/>
        <rFont val="Times New Roman"/>
      </rPr>
      <t xml:space="preserve">боксерский TBX-12. Размер мешка: 120 х 40 см. Вес мешка: 40 кг.
</t>
    </r>
    <r>
      <rPr>
        <sz val="10"/>
        <color rgb="FF000000"/>
        <rFont val="Times New Roman"/>
      </rPr>
      <t>Материал: натуральная кожа 2,5 мм и ПВХ</t>
    </r>
  </si>
  <si>
    <t>Мешок
боксерский TBX-12. Размер мешка: 120 х 40 см. Вес мешка: 40 кг.
Материал: натуральная кожа 2,5 мм и ПВХ</t>
  </si>
  <si>
    <r>
      <rPr>
        <sz val="10"/>
        <color rgb="FF000000"/>
        <rFont val="Times New Roman"/>
      </rPr>
      <t xml:space="preserve">Мешок боксерский TBX-12. Размер мешка: 120 х 40 см. Вес мешка: 40 кг. Материал: натуральная кожа 2,5 мм и ПВХ. Наполнитель мешка: резиновая крошка, мелкий трикотажный лоскут. Размер 120 см, диаметр 40 см. В мешок крепится подвесное устройство, состоящее из металлического круга
</t>
    </r>
    <r>
      <rPr>
        <sz val="10"/>
        <color rgb="FF000000"/>
        <rFont val="Times New Roman"/>
      </rPr>
      <t>+ 3 цепи для подвешивания.</t>
    </r>
  </si>
  <si>
    <r>
      <rPr>
        <sz val="10"/>
        <color rgb="FF000000"/>
        <rFont val="Times New Roman"/>
      </rPr>
      <t xml:space="preserve">522-101-1082-0002 - Мешок
</t>
    </r>
    <r>
      <rPr>
        <sz val="10"/>
        <color rgb="FF000000"/>
        <rFont val="Times New Roman"/>
      </rPr>
      <t>боксерский TM-2328. Размер мешка: 150 х 40 см. Вес мешка: 45 кг. Материал: натуральная кожа 2,5 мм и ПВХ</t>
    </r>
  </si>
  <si>
    <t>Мешок
боксерский TM-2328. Размер мешка: 150 х 40 см. Вес мешка: 45 кг. Материал: натуральная кожа 2,5 мм и ПВХ</t>
  </si>
  <si>
    <r>
      <rPr>
        <sz val="10"/>
        <color rgb="FF000000"/>
        <rFont val="Times New Roman"/>
      </rPr>
      <t xml:space="preserve">Мешок боксерский TM-2328. Размер мешка: 150 х 40 см. Вес мешка: 45 кг. Материал: натуральная кожа 2,5 мм и ПВХ. Наполнитель мешка: резиновая крошка, мелкий трикотажный лоскут. Размер 150 см, диаметр 40 см. В мешок крепится подвесное устройство, состоящее из металлического круга
</t>
    </r>
    <r>
      <rPr>
        <sz val="10"/>
        <color rgb="FF000000"/>
        <rFont val="Times New Roman"/>
      </rPr>
      <t>+ 3 цепи для подвешивания.</t>
    </r>
  </si>
  <si>
    <r>
      <rPr>
        <sz val="10"/>
        <color rgb="FF000000"/>
        <rFont val="Times New Roman"/>
      </rPr>
      <t xml:space="preserve">522-101-1082-0003 - Мешок
</t>
    </r>
    <r>
      <rPr>
        <sz val="10"/>
        <color rgb="FF000000"/>
        <rFont val="Times New Roman"/>
      </rPr>
      <t>боксерский TBX-18. Размер мешка: 180 х 40 см. Вес мешка: 65-75 кг. Материал: натуральная кожа 2.5 мм и ПВХ</t>
    </r>
  </si>
  <si>
    <t>Мешок
боксерский TBX-18. Размер мешка: 180 х 40 см. Вес мешка: 65-75 кг. Материал: натуральная кожа 2.5 мм и ПВХ</t>
  </si>
  <si>
    <r>
      <rPr>
        <sz val="10"/>
        <color theme="1"/>
        <rFont val="Times New Roman"/>
      </rPr>
      <t>Мешок боксерский TBX-18. Размер мешка: 180 х 40 см. Вес мешка: 65-75 кг. Материал: натуральная кожа 2.5 мм и ПВХ. Наполнитель мешка: резиновая крошка, мелкий трикотажный лоскут. Размер 180 см, диаметр 40 см. В мешок крепится подвесное устройство, состоящее из металлического круга + 3 цепи для подвешивания.</t>
    </r>
  </si>
  <si>
    <r>
      <rPr>
        <sz val="10"/>
        <color rgb="FF000000"/>
        <rFont val="Times New Roman"/>
      </rPr>
      <t xml:space="preserve">522-101-1082-0004 - Платформа с пневматической грушей TM-01.
</t>
    </r>
    <r>
      <rPr>
        <sz val="10"/>
        <color rgb="FF000000"/>
        <rFont val="Times New Roman"/>
      </rPr>
      <t>Изготовлена из кожзама</t>
    </r>
  </si>
  <si>
    <t>Платформа с пневматической грушей TM-01.
Изготовлена из кожзама</t>
  </si>
  <si>
    <r>
      <rPr>
        <sz val="10"/>
        <color theme="1"/>
        <rFont val="Times New Roman"/>
      </rPr>
      <t>Платформа с пневматической грушей TM-01.  Изготовлена из кожзама, длина основания 650мм, ширина 600мм, регулировка по высоте 30см, вес снаряда 1,5кг</t>
    </r>
  </si>
  <si>
    <r>
      <rPr>
        <sz val="10"/>
        <color theme="1"/>
        <rFont val="Times New Roman"/>
      </rPr>
      <t>522-101-1082-0005 - Борцовский снаряд одноногий 160см</t>
    </r>
  </si>
  <si>
    <r>
      <rPr>
        <sz val="10"/>
        <color rgb="FF000000"/>
        <rFont val="Times New Roman"/>
      </rPr>
      <t xml:space="preserve">Борцовский снаряд одноногий 160см. Одноногий борцовский снаряд - это классический снаряд для борьбы, предназначенный для отработки захватов и бросков. Кожзам с дополнительной разбивкой. Набивка резиновая и
</t>
    </r>
    <r>
      <rPr>
        <sz val="10"/>
        <color rgb="FF000000"/>
        <rFont val="Times New Roman"/>
      </rPr>
      <t>ПВВ-крошка, текстильные обрезки, кожзам дополнительно усилена тканью, которая защищает кожу от растяжения и деформации.Швы выполнены с использованием капроновой нити высокой прочности. Стандарт толщина до 2 мм.</t>
    </r>
  </si>
  <si>
    <r>
      <rPr>
        <sz val="10"/>
        <color theme="1"/>
        <rFont val="Times New Roman"/>
      </rPr>
      <t>522-101-1082-0006 - Борцовский снаряд двуногий 160см</t>
    </r>
  </si>
  <si>
    <r>
      <rPr>
        <sz val="10"/>
        <color rgb="FF000000"/>
        <rFont val="Times New Roman"/>
      </rPr>
      <t xml:space="preserve">Борцовский снаряд двуногий 160см. Двуногий борцовский снаряд - это классический манекен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
</t>
    </r>
    <r>
      <rPr>
        <sz val="10"/>
        <color rgb="FF000000"/>
        <rFont val="Times New Roman"/>
      </rPr>
      <t xml:space="preserve">Швы выполнены с использованием капроновой нити высокой прочности.
</t>
    </r>
    <r>
      <rPr>
        <sz val="10"/>
        <color rgb="FF000000"/>
        <rFont val="Times New Roman"/>
      </rPr>
      <t>Стандарт толщина до 2 мм.</t>
    </r>
  </si>
  <si>
    <r>
      <rPr>
        <sz val="10"/>
        <color rgb="FF000000"/>
        <rFont val="Times New Roman"/>
      </rPr>
      <t xml:space="preserve">522-101-1082-0007 - Тренажер
</t>
    </r>
    <r>
      <rPr>
        <sz val="10"/>
        <color rgb="FF000000"/>
        <rFont val="Times New Roman"/>
      </rPr>
      <t>водоналивной для отработки реакции</t>
    </r>
  </si>
  <si>
    <t>Тренажер
водоналивной для отработки реакции</t>
  </si>
  <si>
    <r>
      <rPr>
        <sz val="10"/>
        <color rgb="FF000000"/>
        <rFont val="Times New Roman"/>
      </rPr>
      <t xml:space="preserve">Водоналивной тренажер для отработки реакции. Тренажер позволит вам улучшить свою скорость, точность, уклоны, блокировку, защиту, удары. Поставляется в комплекте с резиновыми присосками в нижней части основания для дополнительной устойчивости. Основание не заполнено.
</t>
    </r>
    <r>
      <rPr>
        <sz val="10"/>
        <color rgb="FF000000"/>
        <rFont val="Times New Roman"/>
      </rPr>
      <t>Общий размер: регулируется от 150 см до 198см в высоту. Материал изготовления: Корпус и основание из прочного ударостойкого пластика (ПВХ/ABS), стойка из металлической трубы, присоски из резины, внутренний резервуар для заполнения водой или песком.</t>
    </r>
  </si>
  <si>
    <r>
      <rPr>
        <sz val="10"/>
        <color rgb="FF000000"/>
        <rFont val="Times New Roman"/>
      </rPr>
      <t xml:space="preserve">522-101-1082-0008 - Мешок
</t>
    </r>
    <r>
      <rPr>
        <sz val="10"/>
        <color rgb="FF000000"/>
        <rFont val="Times New Roman"/>
      </rPr>
      <t>боксерский водоналивной, напольный, кожзам</t>
    </r>
  </si>
  <si>
    <t>Мешок
боксерский водоналивной, напольный, кожзам</t>
  </si>
  <si>
    <r>
      <rPr>
        <sz val="10"/>
        <color theme="1"/>
        <rFont val="Times New Roman"/>
      </rPr>
      <t>Мешок боксерский водоналивной, напольный. Материал изготовления: Груша — кожзам (искусственная кожа), основание — ударопрочный пластик с водоналивным баком на 35 литров.</t>
    </r>
  </si>
  <si>
    <r>
      <rPr>
        <sz val="10"/>
        <color rgb="FF000000"/>
        <rFont val="Times New Roman"/>
      </rPr>
      <t xml:space="preserve">522-101-1082-0009 - Груша на
</t>
    </r>
    <r>
      <rPr>
        <sz val="10"/>
        <color rgb="FF000000"/>
        <rFont val="Times New Roman"/>
      </rPr>
      <t>растяжках, кожа</t>
    </r>
  </si>
  <si>
    <t>Груша на
растяжках, кожа</t>
  </si>
  <si>
    <r>
      <rPr>
        <sz val="10"/>
        <color theme="1"/>
        <rFont val="Times New Roman"/>
      </rPr>
      <t>Груша на растяжках. Кожа, цвет чёрный. Боксёрская груша на растяжках позволяет отрабатывать удары в движении. При отработке вырабатывается чувство дистанции, умение наносить чёткие акцентированные удары и отрабатывать защитные действия. Груша выполнена из высококачественной натуральной кожи. Внутри расположена латексная камера. Груша крепится к растяжкам с помощью двух крюков. Растяжки входят в комплект. Размеры: 100х120х120мм.</t>
    </r>
  </si>
  <si>
    <r>
      <rPr>
        <sz val="10"/>
        <color rgb="FF000000"/>
        <rFont val="Times New Roman"/>
      </rPr>
      <t xml:space="preserve">522-101-1082-0010 - Мешок
</t>
    </r>
    <r>
      <rPr>
        <sz val="10"/>
        <color rgb="FF000000"/>
        <rFont val="Times New Roman"/>
      </rPr>
      <t>болгарский 5 кг, кожзам</t>
    </r>
  </si>
  <si>
    <t>Мешок
болгарский 5 кг, кожзам</t>
  </si>
  <si>
    <r>
      <rPr>
        <sz val="10"/>
        <color theme="1"/>
        <rFont val="Times New Roman"/>
      </rPr>
      <t>Болгарский мешок  – 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</si>
  <si>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522-101-1082-0011 - Мешок
</t>
    </r>
    <r>
      <rPr>
        <sz val="10"/>
        <color rgb="FF000000"/>
        <rFont val="Times New Roman"/>
      </rPr>
      <t>болгарский 10 кг, кожзам</t>
    </r>
  </si>
  <si>
    <t>Мешок
болгарский 10 кг, кожзам</t>
  </si>
  <si>
    <r>
      <rPr>
        <sz val="10"/>
        <color theme="1"/>
        <rFont val="Times New Roman"/>
      </rPr>
      <t>Болгарский мешок  – 10кг.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</si>
  <si>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522-101-1082-0012 - Мешок
</t>
    </r>
    <r>
      <rPr>
        <sz val="10"/>
        <color rgb="FF000000"/>
        <rFont val="Times New Roman"/>
      </rPr>
      <t>болгарский 15 кг, кожзам</t>
    </r>
  </si>
  <si>
    <t>Мешок
болгарский 15 кг, кожзам</t>
  </si>
  <si>
    <r>
      <rPr>
        <sz val="10"/>
        <color theme="1"/>
        <rFont val="Times New Roman"/>
      </rPr>
      <t>Болгарский мешок – 15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</si>
  <si>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522-101-1082-0013 - Мешок
</t>
    </r>
    <r>
      <rPr>
        <sz val="10"/>
        <color rgb="FF000000"/>
        <rFont val="Times New Roman"/>
      </rPr>
      <t>болгарский 20 кг, кожзам</t>
    </r>
  </si>
  <si>
    <t>Мешок
болгарский 20 кг, кожзам</t>
  </si>
  <si>
    <r>
      <rPr>
        <sz val="10"/>
        <color theme="1"/>
        <rFont val="Times New Roman"/>
      </rPr>
      <t>Болгарский мешок – 20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</si>
  <si>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522-101-1082-0014 - Мешок
</t>
    </r>
    <r>
      <rPr>
        <sz val="10"/>
        <color rgb="FF000000"/>
        <rFont val="Times New Roman"/>
      </rPr>
      <t>болгарский 25 кг, кожзам</t>
    </r>
  </si>
  <si>
    <t>Мешок
болгарский 25 кг, кожзам</t>
  </si>
  <si>
    <r>
      <rPr>
        <sz val="10"/>
        <color theme="1"/>
        <rFont val="Times New Roman"/>
      </rPr>
      <t>Болгарский мешок – 25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r>
  </si>
  <si>
    <r>
      <rPr>
        <sz val="10"/>
        <color rgb="FF000000"/>
        <rFont val="Times New Roman"/>
      </rPr>
      <t xml:space="preserve">522-101-1082-0015 - Жгут
</t>
    </r>
    <r>
      <rPr>
        <sz val="10"/>
        <color rgb="FF000000"/>
        <rFont val="Times New Roman"/>
      </rPr>
      <t>борцовский резиновый 1 м с ручками и креплениями, диаметром 250 мм</t>
    </r>
  </si>
  <si>
    <t>Жгут
борцовский резиновый 1 м с ручками и креплениями, диаметром 250 мм</t>
  </si>
  <si>
    <r>
      <rPr>
        <sz val="10"/>
        <color theme="1"/>
        <rFont val="Times New Roman"/>
      </rPr>
      <t>Жгут борцовский 1 метр. Предназначен для отработки борцовской техники, выносливости, скорости и взрывной силы. Подойдет для тренировок по различным спортивным дисциплинам (таких как самбо, бокс, карате, борьба и др). Прочный эластичный латекс (резина), нейлоновые ручки и крепления. D=250мм</t>
    </r>
  </si>
  <si>
    <r>
      <rPr>
        <sz val="10"/>
        <color rgb="FF000000"/>
        <rFont val="Times New Roman"/>
      </rPr>
      <t xml:space="preserve">522-101-1083-0001 - Стойка для
</t>
    </r>
    <r>
      <rPr>
        <sz val="10"/>
        <color rgb="FF000000"/>
        <rFont val="Times New Roman"/>
      </rPr>
      <t>гантелей 3х рядная TFR-003. Рама: стальной профиль прямоугольного сечения. Размер в рабочем состоянии: габариты 1750мм х 850мм х 1000мм</t>
    </r>
  </si>
  <si>
    <t>Стойка для
гантелей 3х рядная TFR-003. Рама: стальной профиль прямоугольного сечения. Размер в рабочем состоянии: габариты 1750мм х 850мм х 1000мм</t>
  </si>
  <si>
    <r>
      <rPr>
        <sz val="10"/>
        <color theme="1"/>
        <rFont val="Times New Roman"/>
      </rPr>
      <t>Стойка для гантелей 3х рядная TFR-003. Рама: стальной профиль прямоугольного сечения. Размер в рабочем состоянии: Длина 175см, ширина 85см, высота 100см. Максимальная нагрузка 700кг.</t>
    </r>
  </si>
  <si>
    <r>
      <rPr>
        <sz val="10"/>
        <color rgb="FF000000"/>
        <rFont val="Times New Roman"/>
      </rPr>
      <t xml:space="preserve">522-101-1083-0002 - Стойка для
</t>
    </r>
    <r>
      <rPr>
        <sz val="10"/>
        <color rgb="FF000000"/>
        <rFont val="Times New Roman"/>
      </rPr>
      <t>гантелей горизонтальная, 2-х рядная на 10 пар F-A54, габариты: 2000мм х 650мм х 670мм</t>
    </r>
  </si>
  <si>
    <t>Стойка для
гантелей горизонтальная, 2-х рядная на 10 пар F-A54, габариты: 2000мм х 650мм х 670мм</t>
  </si>
  <si>
    <r>
      <rPr>
        <sz val="10"/>
        <color theme="1"/>
        <rFont val="Times New Roman"/>
      </rPr>
      <t>Стойка под гантели горизонтальная, двухъярусная на 10 пар  F-A54, габариты: 2000мм×650мм×670мм. Подставка под гантели на 10 пар: основа стоек выполнена из стального профиля.</t>
    </r>
  </si>
  <si>
    <r>
      <rPr>
        <sz val="10"/>
        <color rgb="FF000000"/>
        <rFont val="Times New Roman"/>
      </rPr>
      <t xml:space="preserve">522-101-1083-0003 - Стойка под
</t>
    </r>
    <r>
      <rPr>
        <sz val="10"/>
        <color rgb="FF000000"/>
        <rFont val="Times New Roman"/>
      </rPr>
      <t>гантели горизонтальная, 2-рядная на 5 пар F-A54A, габариты: 1000мм х 650мм х 670мм</t>
    </r>
  </si>
  <si>
    <t>Стойка под
гантели горизонтальная, 2-рядная на 5 пар F-A54A, габариты: 1000мм х 650мм х 670мм</t>
  </si>
  <si>
    <r>
      <rPr>
        <sz val="9"/>
        <color rgb="FF000000"/>
        <rFont val="Times New Roman"/>
      </rPr>
      <t>Стойка под гантели горизонтальная, двухъярусная на 5 пар F-A54A. Изготовленная из профилированной трубы большого сечения и утолщенной стенкой. Габариты</t>
    </r>
    <r>
      <rPr>
        <sz val="10"/>
        <color rgb="FF000000"/>
        <rFont val="MS UI Gothic"/>
      </rPr>
      <t>：</t>
    </r>
    <r>
      <rPr>
        <sz val="9"/>
        <color rgb="FF000000"/>
        <rFont val="Times New Roman"/>
      </rPr>
      <t>1000мм×650мм×670мм</t>
    </r>
  </si>
  <si>
    <r>
      <rPr>
        <sz val="10"/>
        <color theme="1"/>
        <rFont val="Times New Roman"/>
      </rPr>
      <t>522-101-1083-0004 - Подставка для гантелей Dumbbell Rush The Shoulder F-A62, габариты: 960мм х 700мм х 1450мм</t>
    </r>
  </si>
  <si>
    <r>
      <rPr>
        <sz val="9"/>
        <color rgb="FF000000"/>
        <rFont val="Times New Roman"/>
      </rPr>
      <t>"Подставка для гантелей Dumbbell Rush The Shoulder F-A62. Основа стоек выполнена из стального профиля, окрашенного методом трибостатического напыления. Габариты</t>
    </r>
    <r>
      <rPr>
        <sz val="10"/>
        <color rgb="FF000000"/>
        <rFont val="MS UI Gothic"/>
      </rPr>
      <t>：</t>
    </r>
    <r>
      <rPr>
        <sz val="9"/>
        <color rgb="FF000000"/>
        <rFont val="Times New Roman"/>
      </rPr>
      <t>960мм ×700мм ×1450мм "</t>
    </r>
  </si>
  <si>
    <r>
      <rPr>
        <sz val="10"/>
        <color rgb="FF000000"/>
        <rFont val="Times New Roman"/>
      </rPr>
      <t xml:space="preserve">522-101-1083-0005 - Стойка для
</t>
    </r>
    <r>
      <rPr>
        <sz val="10"/>
        <color rgb="FF000000"/>
        <rFont val="Times New Roman"/>
      </rPr>
      <t xml:space="preserve">гирь. Материал изготовления: сталь с антикорозийным покрытием, резиновые накладки с антискользящим покрытием.
</t>
    </r>
    <r>
      <rPr>
        <sz val="10"/>
        <color rgb="FF000000"/>
        <rFont val="Times New Roman"/>
      </rPr>
      <t>Размеры: 1030х690х170мм</t>
    </r>
  </si>
  <si>
    <t>Стойка для
гирь. Материал изготовления: сталь с антикорозийным покрытием, резиновые накладки с антискользящим покрытием.
Размеры: 1030х690х170мм</t>
  </si>
  <si>
    <r>
      <rPr>
        <sz val="10"/>
        <color theme="1"/>
        <rFont val="Times New Roman"/>
      </rPr>
      <t>Стойка для гирь выполнена из металокаркаса, покрытие порошковая краска. Полки оснащены резиновым антискользящим покрытием.</t>
    </r>
  </si>
  <si>
    <r>
      <rPr>
        <sz val="10"/>
        <color rgb="FF000000"/>
        <rFont val="Times New Roman"/>
      </rPr>
      <t xml:space="preserve">522-101-1084-0001 - Стойка для
</t>
    </r>
    <r>
      <rPr>
        <sz val="10"/>
        <color rgb="FF000000"/>
        <rFont val="Times New Roman"/>
      </rPr>
      <t>дисков TFR-680. Рама: холоднокатанная профильная сталь 5 х 5 см. Порошковая окраска стойки. Габариты: 680×650×1250мм</t>
    </r>
  </si>
  <si>
    <t>Стойка для
дисков TFR-680. Рама: холоднокатанная профильная сталь 5 х 5 см. Порошковая окраска стойки. Габариты: 680×650×1250мм</t>
  </si>
  <si>
    <r>
      <rPr>
        <sz val="10"/>
        <color theme="1"/>
        <rFont val="Times New Roman"/>
      </rPr>
      <t>Стойка для дисков TFR-680. Рама: холоднокатанная профильная сталь 5 х 5 см. Порошковая окраска стойки. Профиль рамы усиленный, способен выдержать нагрузку до 450 кг. Габариты: 680×650×1250мм.</t>
    </r>
  </si>
  <si>
    <r>
      <rPr>
        <sz val="10"/>
        <color rgb="FF000000"/>
        <rFont val="Times New Roman"/>
      </rPr>
      <t xml:space="preserve">522-101-1084-0002 - Стойка для
</t>
    </r>
    <r>
      <rPr>
        <sz val="10"/>
        <color rgb="FF000000"/>
        <rFont val="Times New Roman"/>
      </rPr>
      <t>дисков Barbell Disc Rack F-A63, габариты: 680мм х 650мм х 1250мм</t>
    </r>
  </si>
  <si>
    <t>Стойка для
дисков Barbell Disc Rack F-A63, габариты: 680мм х 650мм х 1250мм</t>
  </si>
  <si>
    <r>
      <rPr>
        <sz val="10"/>
        <color rgb="FF000000"/>
        <rFont val="Times New Roman"/>
      </rPr>
      <t xml:space="preserve">Стойка для дисков Barbell Disc Rack F-A63. Несущая конструкция - круглая труба сечения 60х60х2 мм. Тренажер покрашен с применением порошковой покраски. Максимальная нагрузка - 500кг. Габариты:
</t>
    </r>
    <r>
      <rPr>
        <sz val="10"/>
        <color rgb="FF000000"/>
        <rFont val="Times New Roman"/>
      </rPr>
      <t>680мм×650мм×1250мм.</t>
    </r>
  </si>
  <si>
    <r>
      <rPr>
        <sz val="10"/>
        <color theme="1"/>
        <rFont val="Times New Roman"/>
      </rPr>
      <t>522-101-1085-0001 - Тележка для матов TRA-2001. Размеры 1000х2000мм. Тележка для перевозки матов предназначена для перевозки гимнастических матов</t>
    </r>
  </si>
  <si>
    <r>
      <rPr>
        <sz val="10"/>
        <color theme="1"/>
        <rFont val="Times New Roman"/>
      </rPr>
      <t>Тележка для матов TRA-2001. Размеры 1000х2000мм. Тележка для перевозки матов предназначена для перевозки гимнастических матов. Тележка для перевозки матов изготовлена из металлического профиля 40х40 мм. Все детали тележки для перевозки матов окрашены порошковой краской. Для удобства перемещения оснащена съемной ручкой. Диаметр ручки – 20 мм. Профиль стоек ручки – 30х30 мм.</t>
    </r>
  </si>
  <si>
    <r>
      <rPr>
        <sz val="10"/>
        <color rgb="FF000000"/>
        <rFont val="Times New Roman"/>
      </rPr>
      <t xml:space="preserve">522-101-1086-0001 - Сетка для
</t>
    </r>
    <r>
      <rPr>
        <sz val="10"/>
        <color rgb="FF000000"/>
        <rFont val="Times New Roman"/>
      </rPr>
      <t>настольного тенниса sd-100, крепление винт. Изготовлена из нейлона  Размеры сетки: Длина: 183 см +/– 1 см. Высота: 15,25 см</t>
    </r>
  </si>
  <si>
    <t>Сетка для
настольного тенниса sd-100, крепление винт. Изготовлена из нейлона  Размеры сетки: Длина: 183 см +/– 1 см. Высота: 15,25 см</t>
  </si>
  <si>
    <r>
      <rPr>
        <sz val="10"/>
        <color theme="1"/>
        <rFont val="Times New Roman"/>
      </rPr>
      <t>Сетка для настольного тенниса sd-100, крепление винт. Изготовлена из нейлона  Размеры сетки: Длина: 183 см +/– 1 см. Высота: 15,25 см.</t>
    </r>
  </si>
  <si>
    <r>
      <rPr>
        <sz val="10"/>
        <color rgb="FF000000"/>
        <rFont val="Times New Roman"/>
      </rPr>
      <t xml:space="preserve">522-101-1087-0001 - Колодка
</t>
    </r>
    <r>
      <rPr>
        <sz val="10"/>
        <color rgb="FF000000"/>
        <rFont val="Times New Roman"/>
      </rPr>
      <t>стартовая TA-2126, с возможностью регулировки угла наклона и длины (шаг регулировки – 25 мм, длина – до 550 мм)</t>
    </r>
  </si>
  <si>
    <t>Колодка
стартовая TA-2126, с возможностью регулировки угла наклона и длины (шаг регулировки – 25 мм, длина – до 550 мм)</t>
  </si>
  <si>
    <r>
      <rPr>
        <sz val="10"/>
        <color theme="1"/>
        <rFont val="Times New Roman"/>
      </rPr>
      <t>Колодка стартовая TA-2126. Стальная основа выполнена из квадратного профиля. Возможность регулировки угла наклона и длины (шаг регулировки – 25 мм, длина – до 550 мм). Поверхность опор колодок покрыта специальным анти-скользящим резиновым слоем. Металлические опоры изготовлены из стали, обработаны гальваническим покрытием. Все металлические элементы оцинкованные.</t>
    </r>
  </si>
  <si>
    <r>
      <rPr>
        <sz val="10"/>
        <color rgb="FF000000"/>
        <rFont val="Times New Roman"/>
      </rPr>
      <t xml:space="preserve">522-101-1088-0001 - Перчатки
</t>
    </r>
    <r>
      <rPr>
        <sz val="10"/>
        <color rgb="FF000000"/>
        <rFont val="Times New Roman"/>
      </rPr>
      <t>боксерские тренировочные TBX-2369. Изготовлены из кожзама</t>
    </r>
  </si>
  <si>
    <t>Перчатки
боксерские тренировочные TBX-2369. Изготовлены из кожзама</t>
  </si>
  <si>
    <r>
      <rPr>
        <sz val="10"/>
        <color rgb="FF000000"/>
        <rFont val="Times New Roman"/>
      </rPr>
      <t xml:space="preserve">Перчатки боксерские тренировочные TBX-2369. Изготовлены из кожзама, застежка: липучки либо на резинке, вес от 4-18 унций,  Размеры: 18-31 см.
</t>
    </r>
    <r>
      <rPr>
        <sz val="10"/>
        <color rgb="FF000000"/>
        <rFont val="Times New Roman"/>
      </rPr>
      <t>Наполнитель: гель, полиуретан</t>
    </r>
  </si>
  <si>
    <r>
      <rPr>
        <sz val="10"/>
        <color rgb="FF000000"/>
        <rFont val="Times New Roman"/>
      </rPr>
      <t xml:space="preserve">522-101-1088-0002 - Перчатки
</t>
    </r>
    <r>
      <rPr>
        <sz val="10"/>
        <color rgb="FF000000"/>
        <rFont val="Times New Roman"/>
      </rPr>
      <t>боксерские TBX-2371. Изготовлены из натуральной кожи</t>
    </r>
  </si>
  <si>
    <t>Перчатки
боксерские TBX-2371. Изготовлены из натуральной кожи</t>
  </si>
  <si>
    <r>
      <rPr>
        <sz val="10"/>
        <color theme="1"/>
        <rFont val="Times New Roman"/>
      </rPr>
      <t>Перчатки боксерские кожаные TBX-2371. Изготовлены из натуральной кожи, застежка: на шнуровке либо на липучке, вес от 4-18 унций. Размеры по охвату кисти: 18-31 см. Наполнитель: гель, полиуретан</t>
    </r>
  </si>
  <si>
    <r>
      <rPr>
        <sz val="10"/>
        <color rgb="FF000000"/>
        <rFont val="Times New Roman"/>
      </rPr>
      <t xml:space="preserve">522-101-1088-0003 - Лапы
</t>
    </r>
    <r>
      <rPr>
        <sz val="10"/>
        <color rgb="FF000000"/>
        <rFont val="Times New Roman"/>
      </rPr>
      <t>боксерские TM-001</t>
    </r>
  </si>
  <si>
    <t>Лапы
боксерские TM-001</t>
  </si>
  <si>
    <r>
      <rPr>
        <sz val="10"/>
        <color theme="1"/>
        <rFont val="Times New Roman"/>
      </rPr>
      <t>Лапы боксерские TM-001. Размеры 32см x 21см. Материал верха - искусственная кожа, материал наполнителя - пенополиуретан.</t>
    </r>
  </si>
  <si>
    <r>
      <rPr>
        <sz val="10"/>
        <color rgb="FF000000"/>
        <rFont val="Times New Roman"/>
      </rPr>
      <t xml:space="preserve">522-101-1088-0004 - Шлем
</t>
    </r>
    <r>
      <rPr>
        <sz val="10"/>
        <color rgb="FF000000"/>
        <rFont val="Times New Roman"/>
      </rPr>
      <t>боксерский TFHM0238, из синтетической кожи</t>
    </r>
  </si>
  <si>
    <t>Шлем
боксерский TFHM0238, из синтетической кожи</t>
  </si>
  <si>
    <r>
      <rPr>
        <sz val="10"/>
        <color theme="1"/>
        <rFont val="Times New Roman"/>
      </rPr>
      <t>Шлем боксерский TFHM0238. Изготовлен из синтетической кожи.</t>
    </r>
  </si>
  <si>
    <r>
      <rPr>
        <sz val="10"/>
        <color rgb="FF000000"/>
        <rFont val="Times New Roman"/>
      </rPr>
      <t xml:space="preserve">522-101-1088-0005 - "Лапы для
</t>
    </r>
    <r>
      <rPr>
        <sz val="10"/>
        <color rgb="FF000000"/>
        <rFont val="Times New Roman"/>
      </rPr>
      <t>таэквондо TT-2372, изготовлены из натуральной кожи "</t>
    </r>
  </si>
  <si>
    <t>"Лапы для
таэквондо TT-2372, изготовлены из натуральной кожи "</t>
  </si>
  <si>
    <r>
      <rPr>
        <sz val="10"/>
        <color theme="1"/>
        <rFont val="Times New Roman"/>
      </rPr>
      <t>"Лапы для таэквондо TT-2372 (хлопушка).  Размеры: длина-400мм, ширина-230мм, толщина-50мм.  Изготовлены из натуральной кожи. "</t>
    </r>
  </si>
  <si>
    <r>
      <rPr>
        <sz val="10"/>
        <color rgb="FF000000"/>
        <rFont val="Times New Roman"/>
      </rPr>
      <t xml:space="preserve">522-101-1088-0006 - Шлем для
</t>
    </r>
    <r>
      <rPr>
        <sz val="10"/>
        <color rgb="FF000000"/>
        <rFont val="Times New Roman"/>
      </rPr>
      <t>рукопашного боя KHLT001</t>
    </r>
  </si>
  <si>
    <t>Шлем для
рукопашного боя KHLT001</t>
  </si>
  <si>
    <r>
      <rPr>
        <sz val="10"/>
        <color theme="1"/>
        <rFont val="Times New Roman"/>
      </rPr>
      <t>Шлем для рукопашного боя KHLT001. Внутренняя сторона изготовлена из искусственной замши, внешняя из искусственной кожи.</t>
    </r>
  </si>
  <si>
    <r>
      <rPr>
        <sz val="10"/>
        <color rgb="FF000000"/>
        <rFont val="Times New Roman"/>
      </rPr>
      <t xml:space="preserve">522-101-1088-0007 - Макивара
</t>
    </r>
    <r>
      <rPr>
        <sz val="10"/>
        <color rgb="FF000000"/>
        <rFont val="Times New Roman"/>
      </rPr>
      <t>большая TM-003 из искусственной кожи</t>
    </r>
  </si>
  <si>
    <t>Макивара
большая TM-003 из искусственной кожи</t>
  </si>
  <si>
    <r>
      <rPr>
        <sz val="10"/>
        <color rgb="FF000000"/>
        <rFont val="Times New Roman"/>
      </rPr>
      <t xml:space="preserve">Макивара большая TM-003. Материал - искусственная кожа (полиуретан).
</t>
    </r>
    <r>
      <rPr>
        <sz val="10"/>
        <color rgb="FF000000"/>
        <rFont val="Times New Roman"/>
      </rPr>
      <t>Наполнитель поролон 22кг/м.  Размеры: 680мм х 400мм х 100 мм.</t>
    </r>
  </si>
  <si>
    <r>
      <rPr>
        <sz val="10"/>
        <color rgb="FF000000"/>
        <rFont val="Times New Roman"/>
      </rPr>
      <t xml:space="preserve">522-101-1088-0008 - Макивара
</t>
    </r>
    <r>
      <rPr>
        <sz val="10"/>
        <color rgb="FF000000"/>
        <rFont val="Times New Roman"/>
      </rPr>
      <t>TM-002 из искусственной кожи</t>
    </r>
  </si>
  <si>
    <t>Макивара
TM-002 из искусственной кожи</t>
  </si>
  <si>
    <r>
      <rPr>
        <sz val="10"/>
        <color theme="1"/>
        <rFont val="Times New Roman"/>
      </rPr>
      <t>Макивара TM-002. Материал - искусственная кожа (полиуретан).  Двойное крепление руки.  Тренажер наполнен пенополиуретаном. Размеры: 450мм х 250мм х 150мм</t>
    </r>
  </si>
  <si>
    <r>
      <rPr>
        <sz val="10"/>
        <color rgb="FF000000"/>
        <rFont val="Times New Roman"/>
      </rPr>
      <t xml:space="preserve">522-101-1088-0009 - Макивара
</t>
    </r>
    <r>
      <rPr>
        <sz val="10"/>
        <color rgb="FF000000"/>
        <rFont val="Times New Roman"/>
      </rPr>
      <t>апперкотная настенная TBX-084,  из натуральной кожи</t>
    </r>
  </si>
  <si>
    <t>Макивара
апперкотная настенная TBX-084,  из натуральной кожи</t>
  </si>
  <si>
    <r>
      <rPr>
        <sz val="10"/>
        <color rgb="FF000000"/>
        <rFont val="Times New Roman"/>
      </rPr>
      <t xml:space="preserve">Макивара апперкотная настенная TBX-084  Материал: натуральная кожа.
</t>
    </r>
    <r>
      <rPr>
        <sz val="10"/>
        <color rgb="FF000000"/>
        <rFont val="Times New Roman"/>
      </rPr>
      <t>Набивка: изолон, синтипон, лоскут.</t>
    </r>
  </si>
  <si>
    <r>
      <rPr>
        <sz val="10"/>
        <color rgb="FF000000"/>
        <rFont val="Times New Roman"/>
      </rPr>
      <t xml:space="preserve">522-101-1089-0001 - Тренажер
</t>
    </r>
    <r>
      <rPr>
        <sz val="10"/>
        <color rgb="FF000000"/>
        <rFont val="Times New Roman"/>
      </rPr>
      <t xml:space="preserve">Силовая рама для приседаний
</t>
    </r>
    <r>
      <rPr>
        <sz val="10"/>
        <color rgb="FF000000"/>
        <rFont val="Times New Roman"/>
      </rPr>
      <t>F-A01, габариты: 2170мм х 1350мм х 2200мм</t>
    </r>
  </si>
  <si>
    <t>Тренажер
Силовая рама для приседаний
F-A01, габариты: 2170мм х 1350мм х 2200мм</t>
  </si>
  <si>
    <r>
      <rPr>
        <sz val="10"/>
        <color rgb="FF000000"/>
        <rFont val="Times New Roman"/>
      </rPr>
      <t xml:space="preserve">Тренажер Силовая рама для приседаний  F-A01. Габариты: 2170мм
</t>
    </r>
    <r>
      <rPr>
        <sz val="10"/>
        <color rgb="FF000000"/>
        <rFont val="Times New Roman"/>
      </rPr>
      <t>×1350мм ×2200мм. Сечение трубы профиля: 7 х 5 см. Толщина трубы профиля: 3 мм</t>
    </r>
  </si>
  <si>
    <r>
      <rPr>
        <sz val="10"/>
        <color rgb="FF000000"/>
        <rFont val="Times New Roman"/>
      </rPr>
      <t xml:space="preserve">522-101-1089-0002 - Тренажер
</t>
    </r>
    <r>
      <rPr>
        <sz val="10"/>
        <color rgb="FF000000"/>
        <rFont val="Times New Roman"/>
      </rPr>
      <t>Разгибание ног сидя F-A02, габариты: 1500мм х 1200мм х 1650мм</t>
    </r>
  </si>
  <si>
    <t>Тренажер
Разгибание ног сидя F-A02, габариты: 1500мм х 1200мм х 1650мм</t>
  </si>
  <si>
    <r>
      <rPr>
        <sz val="10"/>
        <color rgb="FF000000"/>
        <rFont val="Times New Roman"/>
      </rPr>
      <t xml:space="preserve">Тренажер Разгибание ног сидя  F-A02.Габариты: 1500мм ×1200мм
</t>
    </r>
    <r>
      <rPr>
        <sz val="10"/>
        <color rgb="FF000000"/>
        <rFont val="Times New Roman"/>
      </rPr>
      <t>×1650мм. Сиденье тренажера изготовлено из многослойной фанеры толщиной 15 мм. Искусственная кожа 18 группы толщины.</t>
    </r>
  </si>
  <si>
    <r>
      <rPr>
        <sz val="10"/>
        <color rgb="FF000000"/>
        <rFont val="Times New Roman"/>
      </rPr>
      <t xml:space="preserve">522-101-1089-0003 - Тренажер
</t>
    </r>
    <r>
      <rPr>
        <sz val="10"/>
        <color rgb="FF000000"/>
        <rFont val="Times New Roman"/>
      </rPr>
      <t>Сгибание ног лежа F-A03, габариты: 1600мм х 1200мм х 1650мм</t>
    </r>
  </si>
  <si>
    <t>Тренажер
Сгибание ног лежа F-A03, габариты: 1600мм х 1200мм х 1650мм</t>
  </si>
  <si>
    <r>
      <rPr>
        <sz val="10"/>
        <color theme="1"/>
        <rFont val="Times New Roman"/>
      </rPr>
      <t>Тренажер Сгибание ног лежа  F-03. Габариты:1600мм×1200мм×1650мм, искусственная кожа 18 группы толщины.</t>
    </r>
  </si>
  <si>
    <r>
      <rPr>
        <sz val="10"/>
        <color rgb="FF000000"/>
        <rFont val="Times New Roman"/>
      </rPr>
      <t xml:space="preserve">522-101-1089-0004 - Тренежер
</t>
    </r>
    <r>
      <rPr>
        <sz val="10"/>
        <color rgb="FF000000"/>
        <rFont val="Times New Roman"/>
      </rPr>
      <t>Сведение рук перед грудью  F-A04, габариты: 1600мм х 1200мм х 1650мм</t>
    </r>
  </si>
  <si>
    <t>Тренежер
Сведение рук перед грудью  F-A04, габариты: 1600мм х 1200мм х 1650мм</t>
  </si>
  <si>
    <r>
      <rPr>
        <sz val="10"/>
        <color theme="1"/>
        <rFont val="Times New Roman"/>
      </rPr>
      <t>Тренежер Сведение рук перед грудью  F-A04. Габариты тренажера: 1600мм×1200мм×1650мм, материал: металл, кожзам, параллон.</t>
    </r>
  </si>
  <si>
    <r>
      <rPr>
        <sz val="10"/>
        <color theme="1"/>
        <rFont val="Times New Roman"/>
      </rPr>
      <t>522-101-1089-0005 - Тренажер Жим сидя от груди F-A05габариты: 950мм х 1500мм х 1650мм</t>
    </r>
  </si>
  <si>
    <t>Тренажер Жим сидя от груди F-A05габариты: 950мм х 1500мм х 1650мм</t>
  </si>
  <si>
    <r>
      <rPr>
        <sz val="10"/>
        <color theme="1"/>
        <rFont val="Times New Roman"/>
      </rPr>
      <t>"Тренажер Жим сидя от груди F-A05. Габариты тренажера: 950мм×1500мм×1650мм, материал: металл, кожзам, параллон. "</t>
    </r>
  </si>
  <si>
    <r>
      <rPr>
        <sz val="10"/>
        <color rgb="FF000000"/>
        <rFont val="Times New Roman"/>
      </rPr>
      <t xml:space="preserve">522-101-1089-0006 - Тренажер
</t>
    </r>
    <r>
      <rPr>
        <sz val="10"/>
        <color rgb="FF000000"/>
        <rFont val="Times New Roman"/>
      </rPr>
      <t>Кроссовер F-A06, габариты: 3800мм х 830мм х 2300мм</t>
    </r>
  </si>
  <si>
    <t>Тренажер
Кроссовер F-A06, габариты: 3800мм х 830мм х 2300мм</t>
  </si>
  <si>
    <r>
      <rPr>
        <sz val="9"/>
        <color rgb="FF000000"/>
        <rFont val="Times New Roman"/>
      </rPr>
      <t xml:space="preserve">Тренажер Кроссовер F-A06, габариты тренажера </t>
    </r>
    <r>
      <rPr>
        <sz val="10"/>
        <color rgb="FF000000"/>
        <rFont val="MS UI Gothic"/>
      </rPr>
      <t>：</t>
    </r>
    <r>
      <rPr>
        <sz val="9"/>
        <color rgb="FF000000"/>
        <rFont val="Times New Roman"/>
      </rPr>
      <t>3800мм×830мм×2300мм. Грузоблочные плитки стальные весом 71кг х 2, грузоблочная нагрузка 76кг х 2.</t>
    </r>
  </si>
  <si>
    <r>
      <rPr>
        <sz val="10"/>
        <color rgb="FF000000"/>
        <rFont val="Times New Roman"/>
      </rPr>
      <t xml:space="preserve">522-101-1089-0007 - Тренажер
</t>
    </r>
    <r>
      <rPr>
        <sz val="10"/>
        <color rgb="FF000000"/>
        <rFont val="Times New Roman"/>
      </rPr>
      <t>Поворот туловища (для косых мышц живота) F-A08, габариты: 1200мм х 720мм х 1650мм</t>
    </r>
  </si>
  <si>
    <t>Тренажер
Поворот туловища (для косых мышц живота) F-A08, габариты: 1200мм х 720мм х 1650мм</t>
  </si>
  <si>
    <r>
      <rPr>
        <sz val="10"/>
        <color theme="1"/>
        <rFont val="Times New Roman"/>
      </rPr>
      <t>Тренажер Поворот туловища (для косых мышц живота) F-A08, габариты тренажера:1200мм×720мм×1650мм. Коленные валики-упоры подойдут  для пользователей разной комплекции. Боковые упоры обеспечивают достаточную стабильность и устойчивость.</t>
    </r>
  </si>
  <si>
    <r>
      <rPr>
        <sz val="10"/>
        <color rgb="FF000000"/>
        <rFont val="Times New Roman"/>
      </rPr>
      <t xml:space="preserve">522-101-1089-0008 - Тренажер
</t>
    </r>
    <r>
      <rPr>
        <sz val="10"/>
        <color rgb="FF000000"/>
        <rFont val="Times New Roman"/>
      </rPr>
      <t>Разгибание спины F-A09,  габариты: 1200мм х 720мм х 1650мм</t>
    </r>
  </si>
  <si>
    <t>Тренажер
Разгибание спины F-A09,  габариты: 1200мм х 720мм х 1650мм</t>
  </si>
  <si>
    <r>
      <rPr>
        <sz val="10"/>
        <color theme="1"/>
        <rFont val="Times New Roman"/>
      </rPr>
      <t>Тренажер Разгибание спины F-A09, габариты тренажера: 1200мм×720мм×1650мм, противовес составляет 54 кг.</t>
    </r>
  </si>
  <si>
    <r>
      <rPr>
        <sz val="10"/>
        <color rgb="FF000000"/>
        <rFont val="Times New Roman"/>
      </rPr>
      <t xml:space="preserve">522-101-1089-0009 - Тренажер
</t>
    </r>
    <r>
      <rPr>
        <sz val="10"/>
        <color rgb="FF000000"/>
        <rFont val="Times New Roman"/>
      </rPr>
      <t xml:space="preserve">Скручивание/Разгибание спины
</t>
    </r>
    <r>
      <rPr>
        <sz val="10"/>
        <color rgb="FF000000"/>
        <rFont val="Times New Roman"/>
      </rPr>
      <t>/Back Extension: F-A10, габариты: 1500мм х 1500мм х 1650мм</t>
    </r>
  </si>
  <si>
    <t>Тренажер
Скручивание/Разгибание спины
/Back Extension: F-A10, габариты: 1500мм х 1500мм х 1650мм</t>
  </si>
  <si>
    <r>
      <rPr>
        <sz val="10"/>
        <color theme="1"/>
        <rFont val="Times New Roman"/>
      </rPr>
      <t>Тренажер  Скручивание/Разгибание спины/Back Extension F-A10, габариты тренажера: 1500мм×1500мм×1650мм, противовес составляет 54 кг.</t>
    </r>
  </si>
  <si>
    <r>
      <rPr>
        <sz val="10"/>
        <color theme="1"/>
        <rFont val="Times New Roman"/>
      </rPr>
      <t>522-101-1089-0010 - Тренажер Жим вверх от плеч F-A11, габариты: 950мм х 1500мм х 1650мм</t>
    </r>
  </si>
  <si>
    <r>
      <rPr>
        <sz val="10"/>
        <color rgb="FF000000"/>
        <rFont val="Times New Roman"/>
      </rPr>
      <t xml:space="preserve">Тренажер Жим вверх от плеч F-A11, габариты тренажера: 950мм×1500мм×1650мм.  Состав: металл, пластик, экокожа, ПВВ. Материал рамы: Стальной профиль 100мм х 50мм, толщиной 3мм.
</t>
    </r>
    <r>
      <rPr>
        <sz val="10"/>
        <color rgb="FF000000"/>
        <rFont val="Times New Roman"/>
      </rPr>
      <t xml:space="preserve">Металлический трос с полиуретановым покрытием, максимальная нагрузка – 1000кг. Покрытие рамы: Порошковая покраска, наполнение подушек:
</t>
    </r>
    <r>
      <rPr>
        <sz val="10"/>
        <color rgb="FF000000"/>
        <rFont val="Times New Roman"/>
      </rPr>
      <t>ПВВ.</t>
    </r>
  </si>
  <si>
    <r>
      <rPr>
        <sz val="10"/>
        <color rgb="FF000000"/>
        <rFont val="Times New Roman"/>
      </rPr>
      <t xml:space="preserve">522-101-1089-0011 - Тренажер
</t>
    </r>
    <r>
      <rPr>
        <sz val="10"/>
        <color rgb="FF000000"/>
        <rFont val="Times New Roman"/>
      </rPr>
      <t>Силовой тренажер Multi-Hip F-A12, габариты: 950мм х 1500мм х 1650мм</t>
    </r>
  </si>
  <si>
    <t>Тренажер
Силовой тренажер Multi-Hip F-A12, габариты: 950мм х 1500мм х 1650мм</t>
  </si>
  <si>
    <r>
      <rPr>
        <sz val="10"/>
        <color theme="1"/>
        <rFont val="Times New Roman"/>
      </rPr>
      <t>Тренажер Силовой тренажер Multi-Hip F-A12, габариты тренажера: 950мм×1500мм×1650мм, вес стека: 77 кг.</t>
    </r>
  </si>
  <si>
    <r>
      <rPr>
        <sz val="10"/>
        <color rgb="FF000000"/>
        <rFont val="Times New Roman"/>
      </rPr>
      <t xml:space="preserve">522-101-1089-0012 - Тренажер
</t>
    </r>
    <r>
      <rPr>
        <sz val="10"/>
        <color rgb="FF000000"/>
        <rFont val="Times New Roman"/>
      </rPr>
      <t>Отведение бедра сидя F-A13, габариты: 1800мм х 1600мм х 1650мм</t>
    </r>
  </si>
  <si>
    <t>Тренажер
Отведение бедра сидя F-A13, габариты: 1800мм х 1600мм х 1650мм</t>
  </si>
  <si>
    <r>
      <rPr>
        <sz val="10"/>
        <color theme="1"/>
        <rFont val="Times New Roman"/>
      </rPr>
      <t>Тренажер Отведение бедра сидя F-A13, габариты тренажера: 1800мм×1600мм×1650мм. Изготовлен из искусственной кожи на натуральной подложке регулируется по вертикали, вес стека: 80 кг.</t>
    </r>
  </si>
  <si>
    <r>
      <rPr>
        <sz val="10"/>
        <color rgb="FF000000"/>
        <rFont val="Times New Roman"/>
      </rPr>
      <t xml:space="preserve">522-101-1089-0013 - Тренажер
</t>
    </r>
    <r>
      <rPr>
        <sz val="10"/>
        <color rgb="FF000000"/>
        <rFont val="Times New Roman"/>
      </rPr>
      <t>Гравитрон (турник-брусья) F-A14, габариты: 1800мм х 600мм хм1650мм</t>
    </r>
  </si>
  <si>
    <t>Тренажер
Гравитрон (турник-брусья) F-A14, габариты: 1800мм х 600мм хм1650мм</t>
  </si>
  <si>
    <r>
      <rPr>
        <sz val="10"/>
        <color theme="1"/>
        <rFont val="Times New Roman"/>
      </rPr>
      <t>Тренажер Гравитрон (турник-брусья) F-A14, габариты тренажера: 1800мм×1600мм×1650мм. Максимальный вес пользователя: 150 кг, рама: стальной профиль 50мм х 100мм, толщина стенки 3мм-2,5 мм.</t>
    </r>
  </si>
  <si>
    <r>
      <rPr>
        <sz val="10"/>
        <color rgb="FF000000"/>
        <rFont val="Times New Roman"/>
      </rPr>
      <t xml:space="preserve">522-101-1089-0014 - Тренажер
</t>
    </r>
    <r>
      <rPr>
        <sz val="10"/>
        <color rgb="FF000000"/>
        <rFont val="Times New Roman"/>
      </rPr>
      <t>Выгибание ног F-A15, габариты: 1800мм х 1600мм х 1650мм</t>
    </r>
  </si>
  <si>
    <t>Тренажер
Выгибание ног F-A15, габариты: 1800мм х 1600мм х 1650мм</t>
  </si>
  <si>
    <r>
      <rPr>
        <sz val="10"/>
        <color theme="1"/>
        <rFont val="Times New Roman"/>
      </rPr>
      <t>Тренажер Выгибание ног F-A15, габариты тренажера: 1800мм х 1600мм х 1650мм, максимальный вес пользователя:180 кг</t>
    </r>
  </si>
  <si>
    <r>
      <rPr>
        <sz val="10"/>
        <color rgb="FF000000"/>
        <rFont val="Times New Roman"/>
      </rPr>
      <t xml:space="preserve">522-101-1089-0015 - Тренажер
</t>
    </r>
    <r>
      <rPr>
        <sz val="10"/>
        <color rgb="FF000000"/>
        <rFont val="Times New Roman"/>
      </rPr>
      <t>Бицепс-машина F-A16, габариты: 950мм х 1200мм х 1650мм</t>
    </r>
  </si>
  <si>
    <t>Тренажер
Бицепс-машина F-A16, габариты: 950мм х 1200мм х 1650мм</t>
  </si>
  <si>
    <r>
      <rPr>
        <sz val="10"/>
        <color theme="1"/>
        <rFont val="Times New Roman"/>
      </rPr>
      <t>Тренажер Бицепс-машина F-A16 Габариты тренажера: 950мм×1200мм×1650мм, максимальный вес пользователя: 200 кг.</t>
    </r>
  </si>
  <si>
    <r>
      <rPr>
        <sz val="10"/>
        <color rgb="FF000000"/>
        <rFont val="Times New Roman"/>
      </rPr>
      <t xml:space="preserve">522-101-1089-0016 - Тренажер
</t>
    </r>
    <r>
      <rPr>
        <sz val="10"/>
        <color rgb="FF000000"/>
        <rFont val="Times New Roman"/>
      </rPr>
      <t>Сведение и разведение рук F-A17, габариты: 1340мм х 1600мм х 2010мм</t>
    </r>
  </si>
  <si>
    <t>Тренажер
Сведение и разведение рук F-A17, габариты: 1340мм х 1600мм х 2010мм</t>
  </si>
  <si>
    <r>
      <rPr>
        <sz val="10"/>
        <color theme="1"/>
        <rFont val="Times New Roman"/>
      </rPr>
      <t>Тренажер Сведение и разведение рук F-A17, габариты тренажера: 1340мм×1600мм×2010мм. Конструктивные элементы рамы изготовлены из высококачественной стали, покрытых высокопрочной износостойкой двухслойной полимерной краской.</t>
    </r>
  </si>
  <si>
    <r>
      <rPr>
        <sz val="10"/>
        <color theme="1"/>
        <rFont val="Times New Roman"/>
      </rPr>
      <t>522-101-1089-0017 - Тренажер для трицепсов F-A18, габариты тренажера: 950×1200×1650мм</t>
    </r>
  </si>
  <si>
    <r>
      <rPr>
        <sz val="10"/>
        <color theme="1"/>
        <rFont val="Times New Roman"/>
      </rPr>
      <t>Тренажер для трицепсов F-A18, габариты тренажера: 950мм×1200мм×1650мм. Рама изготовлена из сверхпрочных труб с профилем 100мм x 50мм, толщиной 2,5 мм, с применением высококачественной двухслойной порошковой окраски деталей.</t>
    </r>
  </si>
  <si>
    <r>
      <rPr>
        <sz val="10"/>
        <color theme="1"/>
        <rFont val="Times New Roman"/>
      </rPr>
      <t>522-101-1089-0018 - Блок для мышц спины (верхняя тяга) F-A19, габариты тренажера: 1200мм х 1200мм х 2100мм</t>
    </r>
  </si>
  <si>
    <r>
      <rPr>
        <sz val="10"/>
        <color rgb="FF000000"/>
        <rFont val="Times New Roman"/>
      </rPr>
      <t xml:space="preserve">Блок для мышц спины (верхняя тяга) F-A19, габариты тренажера: 1200мм×1200мм×2100мм. Вес стека наращивается до 141 кг.
</t>
    </r>
    <r>
      <rPr>
        <sz val="10"/>
        <color rgb="FF000000"/>
        <rFont val="Times New Roman"/>
      </rPr>
      <t>Направляющие хромированные. Сидение: утолщенное 50 мм.</t>
    </r>
  </si>
  <si>
    <r>
      <rPr>
        <sz val="10"/>
        <color rgb="FF000000"/>
        <rFont val="Times New Roman"/>
      </rPr>
      <t xml:space="preserve">522-101-1089-0019 - Тренажер в
</t>
    </r>
    <r>
      <rPr>
        <sz val="10"/>
        <color rgb="FF000000"/>
        <rFont val="Times New Roman"/>
      </rPr>
      <t>нижнем ряду сидения F-A20, габариты тренажера: 1500мм х 750мм х 2100мм</t>
    </r>
  </si>
  <si>
    <t>Тренажер в
нижнем ряду сидения F-A20, габариты тренажера: 1500мм х 750мм х 2100мм</t>
  </si>
  <si>
    <r>
      <rPr>
        <sz val="10"/>
        <color theme="1"/>
        <rFont val="Times New Roman"/>
      </rPr>
      <t>Тренажер в нижнем ряду сидения F-A20, габариты тренажера: 1500мм×750мм×2100мм, тренируемые группы мышц: бицепсы/трицепсы.</t>
    </r>
  </si>
  <si>
    <r>
      <rPr>
        <sz val="10"/>
        <color rgb="FF000000"/>
        <rFont val="Times New Roman"/>
      </rPr>
      <t xml:space="preserve">522-101-1089-0020 - Гребной
</t>
    </r>
    <r>
      <rPr>
        <sz val="10"/>
        <color rgb="FF000000"/>
        <rFont val="Times New Roman"/>
      </rPr>
      <t>тренажер для сидения F-A22, габариты: 1500мм х 750мм х 2100мм</t>
    </r>
  </si>
  <si>
    <t>Гребной
тренажер для сидения F-A22, габариты: 1500мм х 750мм х 2100мм</t>
  </si>
  <si>
    <r>
      <rPr>
        <sz val="10"/>
        <color theme="1"/>
        <rFont val="Times New Roman"/>
      </rPr>
      <t>Гребной тренажер для сидения F-A22, габариты тренажера: 1500×750×2100мм, рама: стальной профиль 50мм х 100 мм, толщина стенки 3-2,5 мм, максимальный вес пользователя: 150 кг.</t>
    </r>
  </si>
  <si>
    <r>
      <rPr>
        <sz val="10"/>
        <color rgb="FF000000"/>
        <rFont val="Times New Roman"/>
      </rPr>
      <t xml:space="preserve">522-101-1089-0021 - Силовой
</t>
    </r>
    <r>
      <rPr>
        <sz val="10"/>
        <color rgb="FF000000"/>
        <rFont val="Times New Roman"/>
      </rPr>
      <t>тренажер для жима ногами F-A49, габариты: 2300мм х 1600мм х 1400мм</t>
    </r>
  </si>
  <si>
    <t>Силовой
тренажер для жима ногами F-A49, габариты: 2300мм х 1600мм х 1400мм</t>
  </si>
  <si>
    <r>
      <rPr>
        <sz val="10"/>
        <color theme="1"/>
        <rFont val="Times New Roman"/>
      </rPr>
      <t>"Силовой тренажер для жима ногами  под углом 45º  F-A49, габариты тренажера: 2300мм×1600мм×1400мм.                             Напольные упоры тренажеров с вертикальной регулировкой устойчивости. Конструкция тренажеров выполнена из профиля круглого и овального сечения с толщиной стенки не менее 3 мм. Покрытие мягких частей - винилис-кожа на тканевой основе. "</t>
    </r>
  </si>
  <si>
    <r>
      <rPr>
        <sz val="10"/>
        <color theme="1"/>
        <rFont val="Times New Roman"/>
      </rPr>
      <t>522-101-1089-0022 - Скамья стойка для жима штанги лежа с уклоном F-A50, габариты: 1620мм х 1730мм х 1500мм</t>
    </r>
  </si>
  <si>
    <r>
      <rPr>
        <sz val="10"/>
        <color rgb="FF000000"/>
        <rFont val="Times New Roman"/>
      </rPr>
      <t xml:space="preserve">Скамья стойка для жима штанги лежа с уклоном F-A50, габариты тренажера1620×1730×1500мм. Конструкция рамы: стальные профильные трубы, размером 51х76х2,5 мм, 60х60х 2,5 мм. Обивка мягкой части скамьи: винилискожа. Максимальный вес пользователя: до 150 кг.
</t>
    </r>
    <r>
      <rPr>
        <sz val="10"/>
        <color rgb="FF000000"/>
        <rFont val="Times New Roman"/>
      </rPr>
      <t>Максимальная нагрузка: 200 кг.</t>
    </r>
  </si>
  <si>
    <r>
      <rPr>
        <sz val="10"/>
        <color theme="1"/>
        <rFont val="Times New Roman"/>
      </rPr>
      <t>522-101-1089-0023 - Скамья стойка для жима штанги лежа горизонтальная F-A52, габариты: 1720мм х 1730мм х 1160мм</t>
    </r>
  </si>
  <si>
    <r>
      <rPr>
        <sz val="10"/>
        <color theme="1"/>
        <rFont val="Times New Roman"/>
      </rPr>
      <t>Скамья стойка для жима штанги лежа горизонтальная F-A52, габариты тренажера: 1720мм×1730мм×1160мм. Мягкая часть скамьи обита винилискожей. Конструкция рамы изготовлена из стальной профильной трубы, размером: 51х76х 2,5 мм, 60х60х 2,5 мм. Максимальный вес пользователя: до 150 кг. Максимальная нагрузка: 200 кг.</t>
    </r>
  </si>
  <si>
    <r>
      <rPr>
        <sz val="10"/>
        <color theme="1"/>
        <rFont val="Times New Roman"/>
      </rPr>
      <t>522-101-1089-0024 - Горизонтальная скамья F-A53, габариты: 1720мм х 1730мм х 1160мм</t>
    </r>
  </si>
  <si>
    <r>
      <rPr>
        <sz val="10"/>
        <color theme="1"/>
        <rFont val="Times New Roman"/>
      </rPr>
      <t>Горизонтальная скамья  F-A53, габаритные размеры: 1720мм х 1730мм х 1160мм, Покраска рамы с пескоструйной обработкой металла. Мягкие части изготовлены из высокопрочного винила. Вес пользователя: до 150 кг.</t>
    </r>
  </si>
  <si>
    <r>
      <rPr>
        <sz val="10"/>
        <color theme="1"/>
        <rFont val="Times New Roman"/>
      </rPr>
      <t>522-101-1089-0025 - Скамья Скотта для прокачки бицепсов F-A54B, габариты: 970мм х 730мм х 900мм</t>
    </r>
  </si>
  <si>
    <t>Скамья Скотта для прокачки бицепсов F-A54B, габариты: 970мм х 730мм х 900мм</t>
  </si>
  <si>
    <r>
      <rPr>
        <sz val="10"/>
        <color theme="1"/>
        <rFont val="Times New Roman"/>
      </rPr>
      <t>Скамья Скотта для прокачки бицепсов F-A54B, габариты: 970×730×900мм. Изготовлена из высокопрочного стального профиля сечением 100мм х 50мм. с толщиной стенки 3 мм.</t>
    </r>
  </si>
  <si>
    <r>
      <rPr>
        <sz val="10"/>
        <color rgb="FF000000"/>
        <rFont val="Times New Roman"/>
      </rPr>
      <t xml:space="preserve">522-101-1089-0026 - Скамья для
</t>
    </r>
    <r>
      <rPr>
        <sz val="10"/>
        <color rgb="FF000000"/>
        <rFont val="Times New Roman"/>
      </rPr>
      <t>пресса регулируемая F-A56, габариты 1450мм х 660мм х 1000мм</t>
    </r>
  </si>
  <si>
    <t>Скамья для
пресса регулируемая F-A56, габариты 1450мм х 660мм х 1000мм</t>
  </si>
  <si>
    <r>
      <rPr>
        <sz val="10"/>
        <color rgb="FF000000"/>
        <rFont val="Times New Roman"/>
      </rPr>
      <t xml:space="preserve">Скамья для пресса регулируемая F-A56, габариты скамьи: 1450мм×660мм×1000мм. Рама изготовлена из толстостенной стальной трубы овального сечения: 50мм х 100мм.Толщина профиля 3мм.
</t>
    </r>
    <r>
      <rPr>
        <sz val="10"/>
        <color rgb="FF000000"/>
        <rFont val="Times New Roman"/>
      </rPr>
      <t>Регулировка сиденья: 8 положений регулировки наклона сиденья.</t>
    </r>
  </si>
  <si>
    <r>
      <rPr>
        <sz val="10"/>
        <color rgb="FF000000"/>
        <rFont val="Times New Roman"/>
      </rPr>
      <t xml:space="preserve">522-101-1089-0027 -
</t>
    </r>
    <r>
      <rPr>
        <sz val="10"/>
        <color rgb="FF000000"/>
        <rFont val="Times New Roman"/>
      </rPr>
      <t xml:space="preserve">Многофункциональная скамья
</t>
    </r>
    <r>
      <rPr>
        <sz val="10"/>
        <color rgb="FF000000"/>
        <rFont val="Times New Roman"/>
      </rPr>
      <t>F-A57, габариты: 1350мм х 660мм х 1320мм</t>
    </r>
  </si>
  <si>
    <t>522-101-1089-0027 -
Многофункциональная скамья
F-A57, габариты: 1350мм х 660мм х 1320мм</t>
  </si>
  <si>
    <r>
      <rPr>
        <sz val="10"/>
        <color theme="1"/>
        <rFont val="Times New Roman"/>
      </rPr>
      <t>"Многофункциональная скамья F-A57, габариты: 1350×660×1320мм. Форма сечения рамы: овальная, толщина стенки: 3 мм. Регулируемые элементы: 5 стеков для изменения угла наклона спинки, транспортировочные ролики. "</t>
    </r>
  </si>
  <si>
    <r>
      <rPr>
        <sz val="10"/>
        <color theme="1"/>
        <rFont val="Times New Roman"/>
      </rPr>
      <t>522-101-1089-0028 - Силовая рама для приседаний под штангу: F-A58, габариты: 1250мм х 1000мм х 2240мм</t>
    </r>
  </si>
  <si>
    <t>Силовая рама для приседаний под штангу: F-A58, габариты: 1250мм х 1000мм х 2240мм</t>
  </si>
  <si>
    <r>
      <rPr>
        <sz val="10"/>
        <color theme="1"/>
        <rFont val="Times New Roman"/>
      </rPr>
      <t>Силовая рама  для приседаний под штангу F-A58, габариты: 1250мм×1000мм×2240мм Профиль рамы: 120 х 80мм, 120 х 60мм и 60х60мм, толщина стенки 3 мм. Упоры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t>
    </r>
  </si>
  <si>
    <r>
      <rPr>
        <sz val="10"/>
        <color rgb="FF000000"/>
        <rFont val="Times New Roman"/>
      </rPr>
      <t xml:space="preserve">522-101-1089-0029 - Тренажер
</t>
    </r>
    <r>
      <rPr>
        <sz val="10"/>
        <color rgb="FF000000"/>
        <rFont val="Times New Roman"/>
      </rPr>
      <t xml:space="preserve">Римский стул (гиперэкстензия)
</t>
    </r>
    <r>
      <rPr>
        <sz val="10"/>
        <color rgb="FF000000"/>
        <rFont val="Times New Roman"/>
      </rPr>
      <t>F-A59, габариты тренажера: 1100мм х 780мм х 770мм</t>
    </r>
  </si>
  <si>
    <t>Тренажер
Римский стул (гиперэкстензия)
F-A59, габариты тренажера: 1100мм х 780мм х 770мм</t>
  </si>
  <si>
    <r>
      <rPr>
        <sz val="9"/>
        <color rgb="FF000000"/>
        <rFont val="Times New Roman"/>
      </rPr>
      <t xml:space="preserve">Тенажер Римский стул (гиперэкстензия) F-A59.                                Габариты тренажера </t>
    </r>
    <r>
      <rPr>
        <sz val="10"/>
        <color rgb="FF000000"/>
        <rFont val="MS UI Gothic"/>
      </rPr>
      <t>：</t>
    </r>
    <r>
      <rPr>
        <sz val="9"/>
        <color rgb="FF000000"/>
        <rFont val="Times New Roman"/>
      </rPr>
      <t>1100мм×780мм×770мм.  Максимальная нагрузка 159 кг.</t>
    </r>
  </si>
  <si>
    <r>
      <rPr>
        <sz val="10"/>
        <color rgb="FF000000"/>
        <rFont val="Times New Roman"/>
      </rPr>
      <t xml:space="preserve">522-101-1089-0030 - Тренажер
</t>
    </r>
    <r>
      <rPr>
        <sz val="10"/>
        <color rgb="FF000000"/>
        <rFont val="Times New Roman"/>
      </rPr>
      <t>Римский стул Икроножные мышцы сидя F-A60, габариты 1350мм х 660мм х 980 мм</t>
    </r>
  </si>
  <si>
    <t>Тренажер
Римский стул Икроножные мышцы сидя F-A60, габариты 1350мм х 660мм х 980 мм</t>
  </si>
  <si>
    <r>
      <rPr>
        <sz val="10"/>
        <color rgb="FF000000"/>
        <rFont val="Times New Roman"/>
      </rPr>
      <t xml:space="preserve">Тренажер Римский стул Икроножные мышцы сидя F-A60  Материал обивки сиденья и держателей для коленей используется износоустойчивая искусственная кожа. Изготовлен из профильной  рамы: 50 х 100 мм.
</t>
    </r>
    <r>
      <rPr>
        <sz val="10"/>
        <color rgb="FF000000"/>
        <rFont val="Times New Roman"/>
      </rPr>
      <t xml:space="preserve">Толщина стенки: 3-2.5 мм. Максимальный вес пользователя: 150 кг.
</t>
    </r>
    <r>
      <rPr>
        <sz val="10"/>
        <color rgb="FF000000"/>
        <rFont val="Times New Roman"/>
      </rPr>
      <t>Габариты: 1350мм х 660мм х 980мм</t>
    </r>
  </si>
  <si>
    <r>
      <rPr>
        <sz val="10"/>
        <color theme="1"/>
        <rFont val="Times New Roman"/>
      </rPr>
      <t>522-101-1089-0031 - Скамья-стул с вертикальной спинкой F-A61, габариты: 1130мм х 650мм х 1130мм</t>
    </r>
  </si>
  <si>
    <r>
      <rPr>
        <sz val="9"/>
        <color rgb="FF000000"/>
        <rFont val="Times New Roman"/>
      </rPr>
      <t>Скамья-стул с вертикальной спинкой F-A61 . Прочная устойчивая конструкция обеспечивает стабильность при выполнении упражнений с гантелями и штангой. Габариты</t>
    </r>
    <r>
      <rPr>
        <sz val="10"/>
        <color rgb="FF000000"/>
        <rFont val="MS UI Gothic"/>
      </rPr>
      <t>：</t>
    </r>
    <r>
      <rPr>
        <sz val="9"/>
        <color rgb="FF000000"/>
        <rFont val="Times New Roman"/>
      </rPr>
      <t>1130мм×650мм×1130мм</t>
    </r>
  </si>
  <si>
    <r>
      <rPr>
        <sz val="10"/>
        <color rgb="FF000000"/>
        <rFont val="Times New Roman"/>
      </rPr>
      <t xml:space="preserve">522-101-1089-0032 - Тренажер
</t>
    </r>
    <r>
      <rPr>
        <sz val="10"/>
        <color rgb="FF000000"/>
        <rFont val="Times New Roman"/>
      </rPr>
      <t>турник-брусья Dip Chin Ab F-A63, габариты: 1700мм х 1120мм х 2200мм</t>
    </r>
  </si>
  <si>
    <t>Тренажер
турник-брусья Dip Chin Ab F-A63, габариты: 1700мм х 1120мм х 2200мм</t>
  </si>
  <si>
    <r>
      <rPr>
        <sz val="9"/>
        <color rgb="FF000000"/>
        <rFont val="Times New Roman"/>
      </rPr>
      <t xml:space="preserve">Тренажер турник-брусья Dip Chin Ab F-A63. Прочная рама из стального профиля 50*50 мм. Габариты тренажера </t>
    </r>
    <r>
      <rPr>
        <sz val="10"/>
        <color rgb="FF000000"/>
        <rFont val="MS UI Gothic"/>
      </rPr>
      <t>：</t>
    </r>
    <r>
      <rPr>
        <sz val="9"/>
        <color rgb="FF000000"/>
        <rFont val="Times New Roman"/>
      </rPr>
      <t>1700мм×1120мм×2200мм</t>
    </r>
  </si>
  <si>
    <r>
      <rPr>
        <sz val="10"/>
        <color rgb="FF000000"/>
        <rFont val="Times New Roman"/>
      </rPr>
      <t xml:space="preserve">522-101-1089-0033 - Беговая
</t>
    </r>
    <r>
      <rPr>
        <sz val="10"/>
        <color rgb="FF000000"/>
        <rFont val="Times New Roman"/>
      </rPr>
      <t>дорожка 155D-C</t>
    </r>
  </si>
  <si>
    <t>Беговая
дорожка 155D-C</t>
  </si>
  <si>
    <r>
      <rPr>
        <sz val="10"/>
        <color rgb="FF000000"/>
        <rFont val="Times New Roman"/>
      </rPr>
      <t xml:space="preserve">Беговая дорожка 155D-C. Двигатель переменного тока: мощность: 3,5 л.с. Пиковая мощность: 6 л.с. Скорость: 1-22 км/ч. Рабочая поверхность (LW): 1550мм х 550мм Лезвие: 2,4 мм. Дека: 25 мм. Наклон: 0% -15%.
</t>
    </r>
    <r>
      <rPr>
        <sz val="10"/>
        <color rgb="FF000000"/>
        <rFont val="Times New Roman"/>
      </rPr>
      <t>Допустимый вес: не более 170 кг.</t>
    </r>
  </si>
  <si>
    <r>
      <rPr>
        <sz val="10"/>
        <color theme="1"/>
        <rFont val="Times New Roman"/>
      </rPr>
      <t>522-101-1089-0034 - Велотренажер TFO-120 со светодиодным дисплеем</t>
    </r>
  </si>
  <si>
    <r>
      <rPr>
        <sz val="10"/>
        <color theme="1"/>
        <rFont val="Times New Roman"/>
      </rPr>
      <t>Велотренажер TFO-120. Светодиодный дисплей 8718. Допустимый вес пользователя составляет 120 кг. Размеры в эксплуатации (LW B): 1950мм х 580мм х 1720мм.</t>
    </r>
  </si>
  <si>
    <r>
      <rPr>
        <sz val="10"/>
        <color rgb="FF000000"/>
        <rFont val="Times New Roman"/>
      </rPr>
      <t xml:space="preserve">522-101-1089-0035 -
</t>
    </r>
    <r>
      <rPr>
        <sz val="10"/>
        <color rgb="FF000000"/>
        <rFont val="Times New Roman"/>
      </rPr>
      <t>Степ-платформа размерами 950 х 350 х 150 мм TF-931</t>
    </r>
  </si>
  <si>
    <t>522-101-1089-0035 -
Степ-платформа размерами 950 х 350 х 150 мм TF-931</t>
  </si>
  <si>
    <r>
      <rPr>
        <sz val="10"/>
        <color theme="1"/>
        <rFont val="Times New Roman"/>
      </rPr>
      <t>Степплатформа TF-931. Степ-платформа из высокопрочного пластика. Форма - Прямоугольная. Максимальный вес пользователя 120 кг. Размеры: 95х35х15см</t>
    </r>
  </si>
  <si>
    <r>
      <rPr>
        <sz val="10"/>
        <color rgb="FF000000"/>
        <rFont val="Times New Roman"/>
      </rPr>
      <t xml:space="preserve">522-101-1089-0036 - Беговая
</t>
    </r>
    <r>
      <rPr>
        <sz val="10"/>
        <color rgb="FF000000"/>
        <rFont val="Times New Roman"/>
      </rPr>
      <t>дорожка 258A-B</t>
    </r>
  </si>
  <si>
    <t>Беговая
дорожка 258A-B</t>
  </si>
  <si>
    <r>
      <rPr>
        <sz val="10"/>
        <color theme="1"/>
        <rFont val="Times New Roman"/>
      </rPr>
      <t>Беговая дорожка 258A-B. Цвет: серебристо-серый. Двигатель переменного тока: мощность: 4,5 л.с. Пиковая мощность: 7 л.с. Скорость: 1-25 км / ч Рабочая поверхность (LW): 1660 * 580 мм Лезвие: 2,4 мм. Дека: 25 мм. Наклон: 0% -15%. Допустимый вес: не более 180 кг. Датчики частоты сердечных сокращений - датчики частоты сердечных сокращений на поручнях. 24 программы - 4 пользовательских, 16-дюймовый TFT-экран, подключение Wi-Fi, 6 скоростей, 6 градусов наклона, разъем для наушников / mp3 / ipod, стерео.</t>
    </r>
  </si>
  <si>
    <r>
      <rPr>
        <sz val="10"/>
        <color theme="1"/>
        <rFont val="Times New Roman"/>
      </rPr>
      <t>522-101-1089-0037 - Велотренажер TFK-900</t>
    </r>
  </si>
  <si>
    <r>
      <rPr>
        <sz val="10"/>
        <color rgb="FF000000"/>
        <rFont val="Times New Roman"/>
      </rPr>
      <t xml:space="preserve">Велотренажер. Светодиодный дисплей K9001RW. Магнитный маховик - 14 кг. Регулирование нагрузки - электромагнитное,  24 уровня нагрузки.
</t>
    </r>
    <r>
      <rPr>
        <sz val="10"/>
        <color rgb="FF000000"/>
        <rFont val="Times New Roman"/>
      </rPr>
      <t>Датчики сердечного ритма на руле. стерео, вентилятор. Допустимый вес пользователя составляет 150 кг.</t>
    </r>
  </si>
  <si>
    <r>
      <rPr>
        <sz val="10"/>
        <color rgb="FF000000"/>
        <rFont val="Times New Roman"/>
      </rPr>
      <t xml:space="preserve">522-101-1089-0038 - Велотренажер,
</t>
    </r>
    <r>
      <rPr>
        <sz val="10"/>
        <color rgb="FF000000"/>
        <rFont val="Times New Roman"/>
      </rPr>
      <t>размеры тренажёра: 1280×660×1230 мм. Сиденье имеет 4 уровня регулировки. Максимальный вес пользователя — 150 кг</t>
    </r>
  </si>
  <si>
    <t>Велотренажер,
размеры тренажёра: 1280×660×1230 мм. Сиденье имеет 4 уровня регулировки. Максимальный вес пользователя — 150 кг</t>
  </si>
  <si>
    <r>
      <rPr>
        <sz val="10"/>
        <color rgb="FF000000"/>
        <rFont val="Times New Roman"/>
      </rPr>
      <t xml:space="preserve">Велотренажер AirBike предназначен для высокоинтенсивных тренировок при минимальной ударной нагрузке на ноги. Оснащён монитором, отображающим все основные параметры тренировки: время, дистанцию, количество сожжённых калорий, затраченную энергию, режим зарядки и интервальные программы. Встроенный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t>
    </r>
    <r>
      <rPr>
        <sz val="10"/>
        <color rgb="FF000000"/>
        <rFont val="Times New Roman"/>
      </rPr>
      <t xml:space="preserve">Тренажёр позволяет регулировать интенсивность нагрузки; педали вращаются в обе стороны для проработки разных групп мышц. Материалы изготовления: прочная стальная рама, износостойкие пластиковые кожухи, металлические педали с антискользящим покрытием, сиденье из
</t>
    </r>
    <r>
      <rPr>
        <sz val="10"/>
        <color rgb="FF000000"/>
        <rFont val="Times New Roman"/>
      </rPr>
      <t>синтетической кожи с мягким наполнителем.</t>
    </r>
  </si>
  <si>
    <r>
      <rPr>
        <sz val="10"/>
        <color rgb="FF000000"/>
        <rFont val="Times New Roman"/>
      </rPr>
      <t xml:space="preserve">522-101-1089-0039 - Тренажер
</t>
    </r>
    <r>
      <rPr>
        <sz val="10"/>
        <color rgb="FF000000"/>
        <rFont val="Times New Roman"/>
      </rPr>
      <t xml:space="preserve">гребной, 10 уровней нагрузки, компенсаторы неровности пола и монохромный ЖК-дисплей.
</t>
    </r>
    <r>
      <rPr>
        <sz val="10"/>
        <color rgb="FF000000"/>
        <rFont val="Times New Roman"/>
      </rPr>
      <t>Максимальный вес пользователя — 150 кг. Размеры: 1270×26×900 мм</t>
    </r>
  </si>
  <si>
    <t>Тренажер
гребной, 10 уровней нагрузки, компенсаторы неровности пола и монохромный ЖК-дисплей.
Максимальный вес пользователя — 150 кг. Размеры: 1270×26×900 мм</t>
  </si>
  <si>
    <r>
      <rPr>
        <sz val="10"/>
        <color theme="1"/>
        <rFont val="Times New Roman"/>
      </rPr>
      <t>Гребной тренажёр K-Power задействует мышцы ног, корпуса и рук, создавая нагрузку за счёт воздушного сопротивления с плавной регулировкой. Тренировка максимально приближена к реальной гребле, способствуя развитию выносливости и укреплению сердечно-сосудистой системы. Тренажёр оснащён современным монитором, работает с минимальным шумом, складывается для удобства хранения и имеет цепной привод. Предусмотрено 10 уровней нагрузки, компенсаторы неровности пола и монохромный ЖК-дисплей. Максимальный вес пользователя — 150 кг. Материалы: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t>
    </r>
  </si>
  <si>
    <r>
      <rPr>
        <sz val="10"/>
        <color theme="1"/>
        <rFont val="Times New Roman"/>
      </rPr>
      <t>522-101-1089-0040 - Степбол Босу</t>
    </r>
  </si>
  <si>
    <r>
      <rPr>
        <sz val="10"/>
        <color theme="1"/>
        <rFont val="Times New Roman"/>
      </rPr>
      <t>Материал изготовления: купол — резиновый, жёсткое основание из ударопрочного ABS-пластика, противоскользящее покрытие, размеры 0,8х0,8х0,05м</t>
    </r>
  </si>
  <si>
    <r>
      <rPr>
        <sz val="10"/>
        <color rgb="FF000000"/>
        <rFont val="Times New Roman"/>
      </rPr>
      <t xml:space="preserve">522-101-1090-0001 - Гриф для
</t>
    </r>
    <r>
      <rPr>
        <sz val="10"/>
        <color rgb="FF000000"/>
        <rFont val="Times New Roman"/>
      </rPr>
      <t>штанги олимпийский TF-2250, длина 2200мм</t>
    </r>
  </si>
  <si>
    <t>Гриф для
штанги олимпийский TF-2250, длина 2200мм</t>
  </si>
  <si>
    <r>
      <rPr>
        <sz val="10"/>
        <color theme="1"/>
        <rFont val="Times New Roman"/>
      </rPr>
      <t>Гриф для штанги олимпийский TF-2250, хромированный, длина 2200мм, диаметр: 50 мм, максимальная нагрузка 220 кг.</t>
    </r>
  </si>
  <si>
    <r>
      <rPr>
        <sz val="10"/>
        <color rgb="FF000000"/>
        <rFont val="Times New Roman"/>
      </rPr>
      <t xml:space="preserve">522-101-1090-0002 - Изогнутый
</t>
    </r>
    <r>
      <rPr>
        <sz val="10"/>
        <color rgb="FF000000"/>
        <rFont val="Times New Roman"/>
      </rPr>
      <t>гриф TF-050, длина 1200мм</t>
    </r>
  </si>
  <si>
    <t>Изогнутый
гриф TF-050, длина 1200мм</t>
  </si>
  <si>
    <r>
      <rPr>
        <sz val="10"/>
        <color theme="1"/>
        <rFont val="Times New Roman"/>
      </rPr>
      <t>Изогнутый гриф TF-050. Гриф и замки хромированные. Длина грифа 1200мм, масса с замками 12,5 кг.</t>
    </r>
  </si>
  <si>
    <r>
      <rPr>
        <sz val="10"/>
        <color theme="1"/>
        <rFont val="Times New Roman"/>
      </rPr>
      <t>522-101-1090-0003 - Олимпийский диск евро-классик с тройным хватом TFO-0025 черный, 2,5 кг</t>
    </r>
  </si>
  <si>
    <r>
      <rPr>
        <sz val="10"/>
        <color rgb="FF000000"/>
        <rFont val="Times New Roman"/>
      </rPr>
      <t xml:space="preserve">Олимпийский диск евро-классик с тройным хватом TFO-0025 черный. Диаметр 51 мм. (отверстие под гриф). Материал: обрезиненная сталь 2,5 кг.
</t>
    </r>
    <r>
      <rPr>
        <sz val="10"/>
        <color rgb="FF000000"/>
        <rFont val="Times New Roman"/>
      </rPr>
      <t>Диаметр посадочного отверстия - 50 мм. Цвет - черный.</t>
    </r>
  </si>
  <si>
    <r>
      <rPr>
        <sz val="10"/>
        <color theme="1"/>
        <rFont val="Times New Roman"/>
      </rPr>
      <t>522-101-1090-0004 - Олимпийский диск евро-классик TFO-005 с тройным хватом черный, 5 кг</t>
    </r>
  </si>
  <si>
    <r>
      <rPr>
        <sz val="10"/>
        <color rgb="FF000000"/>
        <rFont val="Times New Roman"/>
      </rPr>
      <t xml:space="preserve">Олимпийский диск евро-классик TFO-005 с тройным хватом черный. Диаметр 51 мм. (отверстие под гриф). Материал: обрезиненная сталь 5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</si>
  <si>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522-101-1090-0005 - Олимпийский диск евро-классик TFO-075 с тройным хватом черный, 7,5 кг</t>
    </r>
  </si>
  <si>
    <r>
      <rPr>
        <sz val="10"/>
        <color rgb="FF000000"/>
        <rFont val="Times New Roman"/>
      </rPr>
      <t xml:space="preserve">Олимпийский диск евро-классик с тройным хватом черный TFO-075.
</t>
    </r>
    <r>
      <rPr>
        <sz val="10"/>
        <color rgb="FF000000"/>
        <rFont val="Times New Roman"/>
      </rPr>
      <t xml:space="preserve">Диаметр 51 мм. (отверстие под гриф). Материал: обрезиненная сталь 7,5 кг.
</t>
    </r>
    <r>
      <rPr>
        <sz val="10"/>
        <color rgb="FF000000"/>
        <rFont val="Times New Roman"/>
      </rPr>
      <t xml:space="preserve">Материал покрытия - резина. Диаметр посадочного отверстия - 50 мм.
</t>
    </r>
    <r>
      <rPr>
        <sz val="10"/>
        <color rgb="FF000000"/>
        <rFont val="Times New Roman"/>
      </rPr>
      <t>Цвет - черный.</t>
    </r>
  </si>
  <si>
    <r>
      <rPr>
        <sz val="10"/>
        <color theme="1"/>
        <rFont val="Times New Roman"/>
      </rPr>
      <t>522-101-1090-0006 - Олимпийский диск евро-классик FO-010 с тройным хватом черный, 10 кг</t>
    </r>
  </si>
  <si>
    <r>
      <rPr>
        <sz val="10"/>
        <color rgb="FF000000"/>
        <rFont val="Times New Roman"/>
      </rPr>
      <t xml:space="preserve">Олимпийский диск евро-классик с тройным хватом черный TFO-010.
</t>
    </r>
    <r>
      <rPr>
        <sz val="10"/>
        <color rgb="FF000000"/>
        <rFont val="Times New Roman"/>
      </rPr>
      <t xml:space="preserve">Диаметр 51 мм. (отверстие под гриф). Материал: обрезиненная сталь 10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</si>
  <si>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522-101-1090-0007 - Олимпийский диск евро-классик TFO-015 с тройным хватом, 15 кг</t>
    </r>
  </si>
  <si>
    <r>
      <rPr>
        <sz val="10"/>
        <color rgb="FF000000"/>
        <rFont val="Times New Roman"/>
      </rPr>
      <t xml:space="preserve">Олимпийский диск евро-классик с тройным хватом черный TFO-015.
</t>
    </r>
    <r>
      <rPr>
        <sz val="10"/>
        <color rgb="FF000000"/>
        <rFont val="Times New Roman"/>
      </rPr>
      <t xml:space="preserve">Диаметр 51 мм. (отверстие под гриф) Материал: обрезиненная сталь 15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</si>
  <si>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522-101-1090-0008 - Олимпийский диск евро-классик TFO-020 с тройным хватом черный, 20 кг</t>
    </r>
  </si>
  <si>
    <r>
      <rPr>
        <sz val="10"/>
        <color rgb="FF000000"/>
        <rFont val="Times New Roman"/>
      </rPr>
      <t xml:space="preserve">Олимпийский диск евро-классик с тройным хватом черный TFO-020.
</t>
    </r>
    <r>
      <rPr>
        <sz val="10"/>
        <color rgb="FF000000"/>
        <rFont val="Times New Roman"/>
      </rPr>
      <t xml:space="preserve">Диаметр 51 мм. (отверстие под гриф). Материал: обрезиненная сталь 20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</si>
  <si>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522-101-1090-0009 - Олимпийский диск евро-классик TFO-025 с тройным хватом черный, 25 кг</t>
    </r>
  </si>
  <si>
    <r>
      <rPr>
        <sz val="10"/>
        <color rgb="FF000000"/>
        <rFont val="Times New Roman"/>
      </rPr>
      <t xml:space="preserve">Олимпийский диск евро-классик с тройным хватом черный TFO-025.
</t>
    </r>
    <r>
      <rPr>
        <sz val="10"/>
        <color rgb="FF000000"/>
        <rFont val="Times New Roman"/>
      </rPr>
      <t xml:space="preserve">Диаметр 51 мм. (отверстие под гриф). Материал: обрезиненная сталь 25 кг. Материал покрытия - резина. Диаметр посадочного отверстия - 50 мм. Цвет
</t>
    </r>
    <r>
      <rPr>
        <sz val="10"/>
        <color rgb="FF000000"/>
        <rFont val="Times New Roman"/>
      </rPr>
      <t>- черный.</t>
    </r>
  </si>
  <si>
    <r>
      <rPr>
        <sz val="10"/>
        <color theme="1"/>
        <rFont val="Times New Roman"/>
      </rPr>
      <t>522-101-1090-0010 - Торсонатор двойной для грифа, высокопрочная сталь с порошковым антикоррозийным покрытием 200 × 220 × 180 мм</t>
    </r>
  </si>
  <si>
    <t>Торсонатор двойной для грифа, высокопрочная сталь с порошковым антикоррозийным покрытием 200 × 220 × 180 мм</t>
  </si>
  <si>
    <r>
      <rPr>
        <sz val="10"/>
        <color theme="1"/>
        <rFont val="Times New Roman"/>
      </rPr>
      <t>Двойной торсонатор для грифа служит для закрепления T-образного грифа, позволяет пользователям тренироваться сразу в нескольких плоскостях, разрабатывая разные группы мышц.</t>
    </r>
  </si>
  <si>
    <r>
      <rPr>
        <sz val="10"/>
        <color rgb="FF000000"/>
        <rFont val="Times New Roman"/>
      </rPr>
      <t xml:space="preserve">522-101-1091-0001 - Сетка
</t>
    </r>
    <r>
      <rPr>
        <sz val="10"/>
        <color rgb="FF000000"/>
        <rFont val="Times New Roman"/>
      </rPr>
      <t>заградительная, размер ячейки 100 х 100 мм</t>
    </r>
  </si>
  <si>
    <t>Сетка
заградительная, размер ячейки 100 х 100 мм</t>
  </si>
  <si>
    <r>
      <rPr>
        <sz val="10"/>
        <color theme="1"/>
        <rFont val="Times New Roman"/>
      </rPr>
      <t>Толщина нити 2,6мм. Ячейка 100х100мм. Безузловая. Сетка заградительная, толщина 2,6 мм, ячейка 100 х 100мм. Сетка изготовлена из полимерных материалов — полипропилена</t>
    </r>
  </si>
  <si>
    <r>
      <rPr>
        <sz val="10"/>
        <color rgb="FF000000"/>
        <rFont val="Times New Roman"/>
      </rPr>
      <t xml:space="preserve">522-101-1091-0002 - Сетка
</t>
    </r>
    <r>
      <rPr>
        <sz val="10"/>
        <color rgb="FF000000"/>
        <rFont val="Times New Roman"/>
      </rPr>
      <t>заградительная, размер ячейки 40х40мм RAC-040</t>
    </r>
  </si>
  <si>
    <t>Сетка
заградительная, размер ячейки 40х40мм RAC-040</t>
  </si>
  <si>
    <r>
      <rPr>
        <sz val="10"/>
        <color rgb="FF000000"/>
        <rFont val="Times New Roman"/>
      </rPr>
      <t xml:space="preserve">Сетка заградительная RAC-040. Толщина нити 2,2мм. Ячейка 40х40мм.
</t>
    </r>
    <r>
      <rPr>
        <sz val="10"/>
        <color rgb="FF000000"/>
        <rFont val="Times New Roman"/>
      </rPr>
      <t>Безузловая. Сетка изготовлена из полимерных материалов — полипропилена</t>
    </r>
  </si>
  <si>
    <r>
      <rPr>
        <sz val="10"/>
        <color rgb="FF000000"/>
        <rFont val="Times New Roman"/>
      </rPr>
      <t xml:space="preserve">522-101-1091-0003 - Стеновой
</t>
    </r>
    <r>
      <rPr>
        <sz val="10"/>
        <color rgb="FF000000"/>
        <rFont val="Times New Roman"/>
      </rPr>
      <t>протектор</t>
    </r>
  </si>
  <si>
    <t>Стеновой
протектор</t>
  </si>
  <si>
    <r>
      <rPr>
        <sz val="10"/>
        <color theme="1"/>
        <rFont val="Times New Roman"/>
      </rPr>
      <t>Толщина 30мм. Наполнение: НПЭ 20мм (маты из вспененного полиэтилена), размер одного листа 2000х1000х30мм. Обшивка: тентова ткань 610гр/м2. Подложка: фанера 2000х1000х10мм.</t>
    </r>
  </si>
  <si>
    <r>
      <rPr>
        <sz val="10"/>
        <color theme="1"/>
        <rFont val="Times New Roman"/>
      </rPr>
      <t>522-101-1092 - Измеритель высоты</t>
    </r>
  </si>
  <si>
    <r>
      <rPr>
        <sz val="10"/>
        <color theme="1"/>
        <rFont val="Times New Roman"/>
      </rPr>
      <t>Предназначен для определения разности высот между несколькими отметками на местности. Имеет миллиметровую шкалу и E-градуировку. Макс.высота не менее 300мм. Материал - алюминий. Миллиметровая шкала и E-градуировка. Тип - телескопическая. Усиленный профиль с ребрами жесткости. Габаритные размеры: длина: не менее 210мм, ширина: не менее 60мм, высота: не менее 160мм</t>
    </r>
  </si>
  <si>
    <r>
      <rPr>
        <sz val="10"/>
        <color rgb="FF000000"/>
        <rFont val="Times New Roman"/>
      </rPr>
      <t xml:space="preserve">522-101-1093-0001 - Пенек для
</t>
    </r>
    <r>
      <rPr>
        <sz val="10"/>
        <color rgb="FF000000"/>
        <rFont val="Times New Roman"/>
      </rPr>
      <t>равновесия, размеры: диаметр 220мм, высота 200мм</t>
    </r>
  </si>
  <si>
    <t>Пенек для
равновесия, размеры: диаметр 220мм, высота 200мм</t>
  </si>
  <si>
    <r>
      <rPr>
        <sz val="10"/>
        <color theme="1"/>
        <rFont val="Times New Roman"/>
      </rPr>
      <t>Пеньки для равновесия. Материал фанера.</t>
    </r>
  </si>
  <si>
    <r>
      <rPr>
        <sz val="10"/>
        <color rgb="FF000000"/>
        <rFont val="Times New Roman"/>
      </rPr>
      <t xml:space="preserve">522-101-1093-0002 - Пенек для
</t>
    </r>
    <r>
      <rPr>
        <sz val="10"/>
        <color rgb="FF000000"/>
        <rFont val="Times New Roman"/>
      </rPr>
      <t>равновесия, размеры: диаметр 220мм, высота 250мм</t>
    </r>
  </si>
  <si>
    <t>Пенек для
равновесия, размеры: диаметр 220мм, высота 250мм</t>
  </si>
  <si>
    <r>
      <rPr>
        <sz val="10"/>
        <color theme="1"/>
        <rFont val="Times New Roman"/>
      </rPr>
      <t>Пеньки для равновесия. Материал фанера.</t>
    </r>
  </si>
  <si>
    <r>
      <rPr>
        <sz val="10"/>
        <color rgb="FF000000"/>
        <rFont val="Times New Roman"/>
      </rPr>
      <t xml:space="preserve">522-101-1093-0003 - Пенек для
</t>
    </r>
    <r>
      <rPr>
        <sz val="10"/>
        <color rgb="FF000000"/>
        <rFont val="Times New Roman"/>
      </rPr>
      <t>равновесия, размеры: диаметр 220мм, высота 300мм</t>
    </r>
  </si>
  <si>
    <t>Пенек для
равновесия, размеры: диаметр 220мм, высота 300мм</t>
  </si>
  <si>
    <r>
      <rPr>
        <sz val="10"/>
        <color theme="1"/>
        <rFont val="Times New Roman"/>
      </rPr>
      <t>Пеньки для равновесия. Материал фанера.</t>
    </r>
  </si>
  <si>
    <r>
      <rPr>
        <sz val="10"/>
        <color rgb="FF000000"/>
        <rFont val="Times New Roman"/>
      </rPr>
      <t xml:space="preserve">522-101-1094-0001 - Ринг
</t>
    </r>
    <r>
      <rPr>
        <sz val="10"/>
        <color rgb="FF000000"/>
        <rFont val="Times New Roman"/>
      </rPr>
      <t>боксерский 4 х 4 м с помостом 5 х 5 м, помост 1м</t>
    </r>
  </si>
  <si>
    <t>Ринг
боксерский 4 х 4 м с помостом 5 х 5 м, помост 1м</t>
  </si>
  <si>
    <r>
      <rPr>
        <sz val="10"/>
        <color theme="1"/>
        <rFont val="Times New Roman"/>
      </rPr>
      <t>Ринг боксерский 4 х 4 м с помостом 5 х 5м, помост 1м. Комплектация и характеристика ринга: Металлические стойки, ферма подиума, настил фанерный, настил из матов плотностью не менее 120кДж/м3,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</si>
  <si>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522-101-1094-0002 - Ринг
</t>
    </r>
    <r>
      <rPr>
        <sz val="10"/>
        <color rgb="FF000000"/>
        <rFont val="Times New Roman"/>
      </rPr>
      <t>боксерский 4 х 4 м с помостом 5 х 5м, помост 0,5 м</t>
    </r>
  </si>
  <si>
    <t>Ринг
боксерский 4 х 4 м с помостом 5 х 5м, помост 0,5 м</t>
  </si>
  <si>
    <r>
      <rPr>
        <sz val="10"/>
        <color theme="1"/>
        <rFont val="Times New Roman"/>
      </rPr>
      <t>Ринг боксерский 4 х 4 м с помостом 5 х 5м,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</si>
  <si>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522-101-1094-0003 - Ринг
</t>
    </r>
    <r>
      <rPr>
        <sz val="10"/>
        <color rgb="FF000000"/>
        <rFont val="Times New Roman"/>
      </rPr>
      <t>боксерский 4 х 4 м напольный</t>
    </r>
  </si>
  <si>
    <t>Ринг
боксерский 4 х 4 м напольный</t>
  </si>
  <si>
    <r>
      <rPr>
        <sz val="10"/>
        <color theme="1"/>
        <rFont val="Times New Roman"/>
      </rPr>
      <t>Ринг боксерский 4 х 4 м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</si>
  <si>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522-101-1094-0004 - Ринг
</t>
    </r>
    <r>
      <rPr>
        <sz val="10"/>
        <color rgb="FF000000"/>
        <rFont val="Times New Roman"/>
      </rPr>
      <t xml:space="preserve">боксерский 5 х 5 м с помостом 6,1 х
</t>
    </r>
    <r>
      <rPr>
        <sz val="10"/>
        <color rgb="FF000000"/>
        <rFont val="Times New Roman"/>
      </rPr>
      <t>6,1 помост 1м</t>
    </r>
  </si>
  <si>
    <t>Ринг
боксерский 5 х 5 м с помостом 6,1 х
6,1 помост 1м</t>
  </si>
  <si>
    <r>
      <rPr>
        <sz val="10"/>
        <color theme="1"/>
        <rFont val="Times New Roman"/>
      </rPr>
      <t>Ринг боксерский 5 х 5 м с помостом 6,1 х 6,1 помост 1м.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</si>
  <si>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522-101-1094-0005 - Ринг
</t>
    </r>
    <r>
      <rPr>
        <sz val="10"/>
        <color rgb="FF000000"/>
        <rFont val="Times New Roman"/>
      </rPr>
      <t xml:space="preserve">боксерский 5 х 5 м с помостом 6,1 х
</t>
    </r>
    <r>
      <rPr>
        <sz val="10"/>
        <color rgb="FF000000"/>
        <rFont val="Times New Roman"/>
      </rPr>
      <t>6,1 помост 0,5м</t>
    </r>
  </si>
  <si>
    <t>Ринг
боксерский 5 х 5 м с помостом 6,1 х
6,1 помост 0,5м</t>
  </si>
  <si>
    <r>
      <rPr>
        <sz val="10"/>
        <color theme="1"/>
        <rFont val="Times New Roman"/>
      </rPr>
      <t>Ринг боксерский 5 х 5 м с помостом 6,1 х 6,1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</si>
  <si>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522-101-1094-0006 - Ринг
</t>
    </r>
    <r>
      <rPr>
        <sz val="10"/>
        <color rgb="FF000000"/>
        <rFont val="Times New Roman"/>
      </rPr>
      <t xml:space="preserve">боксерский 5 х 5 м с помостом 6,1 х
</t>
    </r>
    <r>
      <rPr>
        <sz val="10"/>
        <color rgb="FF000000"/>
        <rFont val="Times New Roman"/>
      </rPr>
      <t>6,1 напольный</t>
    </r>
  </si>
  <si>
    <t>Ринг
боксерский 5 х 5 м с помостом 6,1 х
6,1 напольный</t>
  </si>
  <si>
    <r>
      <rPr>
        <sz val="10"/>
        <color theme="1"/>
        <rFont val="Times New Roman"/>
      </rPr>
      <t>Ринг боксерский 5 х 5 м с помостом 6,1 х 6,1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r>
  </si>
  <si>
    <r>
      <rPr>
        <sz val="10"/>
        <color rgb="FF000000"/>
        <rFont val="Times New Roman"/>
      </rPr>
      <t xml:space="preserve">522-101-1094-0007 - Ринг
</t>
    </r>
    <r>
      <rPr>
        <sz val="10"/>
        <color rgb="FF000000"/>
        <rFont val="Times New Roman"/>
      </rPr>
      <t>боксерский 6,1 х 6,1 м с помостом 7,8 х 7,8м, помост 1м</t>
    </r>
  </si>
  <si>
    <t>Ринг
боксерский 6,1 х 6,1 м с помостом 7,8 х 7,8м, помост 1м</t>
  </si>
  <si>
    <r>
      <rPr>
        <sz val="10"/>
        <color rgb="FF000000"/>
        <rFont val="Times New Roman"/>
      </rPr>
      <t xml:space="preserve">Ринг боксерский 6,1 х 6,1 м с помостом 7,8 х 7,8м, помост 1м.
</t>
    </r>
    <r>
      <rPr>
        <sz val="10"/>
        <color rgb="FF000000"/>
        <rFont val="Times New Roman"/>
      </rPr>
      <t xml:space="preserve">Комплектация и характеристика ринга: Металлические стойки, ферма подиума, настил фанерный, настил ПВВ или ППЭ, покрывало (антискользящее ПВХ), угловые подушки, канаты в чехлах, перемычки, растяжки канатов, защита растяжек канатов, крепеж. Сборка ринга производится по принципу ось-втулка.Болтовые соединения отсутствуют.
</t>
    </r>
    <r>
      <rPr>
        <sz val="10"/>
        <color rgb="FF000000"/>
        <rFont val="Times New Roman"/>
      </rPr>
      <t xml:space="preserve">Канаты ринга имеют трехслойную конструкцию,не имеющию аналогов. Трос заключен в резиновый рукав для ацетиленовой сварки,на которой одета мягкая оболочка с чехлом. Угловые стойки,несущие основную нагрузку, выполнены с запасом прочности и окрашены порошковой краской промышленным способом. Помост: 7,8х7,8х1 м. Боевая зона:
</t>
    </r>
    <r>
      <rPr>
        <sz val="10"/>
        <color rgb="FF000000"/>
        <rFont val="Times New Roman"/>
      </rPr>
      <t>6,1х6,1 м. Три лестницы. Объем: 13 м3</t>
    </r>
  </si>
  <si>
    <r>
      <rPr>
        <sz val="10"/>
        <color rgb="FF000000"/>
        <rFont val="Times New Roman"/>
      </rPr>
      <t xml:space="preserve">522-101-1094-0008 - Октагон 5х5м,
</t>
    </r>
    <r>
      <rPr>
        <sz val="10"/>
        <color rgb="FF000000"/>
        <rFont val="Times New Roman"/>
      </rPr>
      <t>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r>
  </si>
  <si>
    <t>Октагон 5х5м,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</si>
  <si>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r>
      <rPr>
        <sz val="10"/>
        <color rgb="FF000000"/>
        <rFont val="Times New Roman"/>
      </rPr>
      <t xml:space="preserve">Октагон 5х5 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t>
    </r>
    <r>
      <rPr>
        <sz val="10"/>
        <color rgb="FF000000"/>
        <rFont val="Times New Roman"/>
      </rPr>
      <t>Высота октагона: 2348 мм, высота помоста: 500 мм. Боевая зона 3х3 м</t>
    </r>
  </si>
  <si>
    <r>
      <rPr>
        <sz val="10"/>
        <color rgb="FF000000"/>
        <rFont val="Times New Roman"/>
      </rPr>
      <t xml:space="preserve">522-101-1094-0009 - Октагон
</t>
    </r>
    <r>
      <rPr>
        <sz val="10"/>
        <color rgb="FF000000"/>
        <rFont val="Times New Roman"/>
      </rPr>
      <t>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r>
  </si>
  <si>
    <t>Октагон
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</si>
  <si>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r>
      <rPr>
        <sz val="10"/>
        <color rgb="FF000000"/>
        <rFont val="Times New Roman"/>
      </rPr>
      <t xml:space="preserve">Октагон 6.1х6.1м.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t>
    </r>
    <r>
      <rPr>
        <sz val="10"/>
        <color rgb="FF000000"/>
        <rFont val="Times New Roman"/>
      </rPr>
      <t>Высота октагона: 2348мм, высота помоста: 500мм. Боевая зона 4.1м</t>
    </r>
  </si>
  <si>
    <r>
      <rPr>
        <sz val="10"/>
        <color rgb="FF000000"/>
        <rFont val="Times New Roman"/>
      </rPr>
      <t xml:space="preserve">522-101-1094-0010 - Октагон
</t>
    </r>
    <r>
      <rPr>
        <sz val="10"/>
        <color rgb="FF000000"/>
        <rFont val="Times New Roman"/>
      </rPr>
      <t>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r>
  </si>
  <si>
    <t>Октагон
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</si>
  <si>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r>
      <rPr>
        <sz val="10"/>
        <color rgb="FF000000"/>
        <rFont val="Times New Roman"/>
      </rPr>
      <t xml:space="preserve">Октагон 7.3х7.3м.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t>
    </r>
    <r>
      <rPr>
        <sz val="10"/>
        <color rgb="FF000000"/>
        <rFont val="Times New Roman"/>
      </rPr>
      <t>Высота октагона: 2348мм, высота помоста: 500мм. Боевая зона 5.3м</t>
    </r>
  </si>
  <si>
    <r>
      <rPr>
        <sz val="10"/>
        <color rgb="FF000000"/>
        <rFont val="Times New Roman"/>
      </rPr>
      <t xml:space="preserve">522-101-1094-0011 - Октагон
</t>
    </r>
    <r>
      <rPr>
        <sz val="10"/>
        <color rgb="FF000000"/>
        <rFont val="Times New Roman"/>
      </rPr>
      <t>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r>
  </si>
  <si>
    <t>Октагон
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</si>
  <si>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r>
      <rPr>
        <sz val="10"/>
        <color rgb="FF000000"/>
        <rFont val="Times New Roman"/>
      </rPr>
      <t xml:space="preserve">Октагон 9.1х9.1м.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t>
    </r>
    <r>
      <rPr>
        <sz val="10"/>
        <color rgb="FF000000"/>
        <rFont val="Times New Roman"/>
      </rPr>
      <t>Высота октагона: 2348мм, высота помоста: 500мм. Боевая зона 7.1м</t>
    </r>
  </si>
  <si>
    <r>
      <rPr>
        <sz val="10"/>
        <color rgb="FF000000"/>
        <rFont val="Times New Roman"/>
      </rPr>
      <t xml:space="preserve">522-101-1095-0001 - Гиря 8 кг,
</t>
    </r>
    <r>
      <rPr>
        <sz val="10"/>
        <color rgb="FF000000"/>
        <rFont val="Times New Roman"/>
      </rPr>
      <t>материал изготовления: чугун, винил</t>
    </r>
  </si>
  <si>
    <t>Гиря 8 кг,
материал изготовления: чугун, винил</t>
  </si>
  <si>
    <r>
      <rPr>
        <sz val="10"/>
        <color rgb="FF000000"/>
        <rFont val="Times New Roman"/>
      </rPr>
      <t xml:space="preserve">Гиря 8кг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0,35х0,28х0,3 м</t>
    </r>
  </si>
  <si>
    <r>
      <rPr>
        <sz val="10"/>
        <color rgb="FF000000"/>
        <rFont val="Times New Roman"/>
      </rPr>
      <t xml:space="preserve">522-101-1095-0002 - Гиря 12 кг,
</t>
    </r>
    <r>
      <rPr>
        <sz val="10"/>
        <color rgb="FF000000"/>
        <rFont val="Times New Roman"/>
      </rPr>
      <t>материал изготовления: чугун, винил</t>
    </r>
  </si>
  <si>
    <t>Гиря 12 кг,
материал изготовления: чугун, винил</t>
  </si>
  <si>
    <r>
      <rPr>
        <sz val="10"/>
        <color rgb="FF000000"/>
        <rFont val="Times New Roman"/>
      </rPr>
      <t xml:space="preserve">Гиря 12кг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0,35х0,38х0,3 м</t>
    </r>
  </si>
  <si>
    <r>
      <rPr>
        <sz val="10"/>
        <color rgb="FF000000"/>
        <rFont val="Times New Roman"/>
      </rPr>
      <t xml:space="preserve">522-101-1095-0003 - Гиря 16 кг,
</t>
    </r>
    <r>
      <rPr>
        <sz val="10"/>
        <color rgb="FF000000"/>
        <rFont val="Times New Roman"/>
      </rPr>
      <t>материал изготовления: чугун, винил</t>
    </r>
  </si>
  <si>
    <t>Гиря 16 кг,
материал изготовления: чугун, винил</t>
  </si>
  <si>
    <r>
      <rPr>
        <sz val="10"/>
        <color rgb="FF000000"/>
        <rFont val="Times New Roman"/>
      </rPr>
      <t xml:space="preserve">Гиря 16кг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0,38х0,38х0,3 м</t>
    </r>
  </si>
  <si>
    <r>
      <rPr>
        <sz val="10"/>
        <color rgb="FF000000"/>
        <rFont val="Times New Roman"/>
      </rPr>
      <t xml:space="preserve">522-101-1095-0004 - Гиря 20 кг,
</t>
    </r>
    <r>
      <rPr>
        <sz val="10"/>
        <color rgb="FF000000"/>
        <rFont val="Times New Roman"/>
      </rPr>
      <t>материал изготовления: чугун, винил</t>
    </r>
  </si>
  <si>
    <t>Гиря 20 кг,
материал изготовления: чугун, винил</t>
  </si>
  <si>
    <r>
      <rPr>
        <sz val="10"/>
        <color rgb="FF000000"/>
        <rFont val="Times New Roman"/>
      </rPr>
      <t xml:space="preserve">Гиря 20кг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0,35х0,48х0,3 м</t>
    </r>
  </si>
  <si>
    <r>
      <rPr>
        <sz val="10"/>
        <color rgb="FF000000"/>
        <rFont val="Times New Roman"/>
      </rPr>
      <t xml:space="preserve">522-101-1095-0005 - Гиря 24 кг,
</t>
    </r>
    <r>
      <rPr>
        <sz val="10"/>
        <color rgb="FF000000"/>
        <rFont val="Times New Roman"/>
      </rPr>
      <t>материал изготовления: чугун, винил</t>
    </r>
  </si>
  <si>
    <t>Гиря 24 кг,
материал изготовления: чугун, винил</t>
  </si>
  <si>
    <r>
      <rPr>
        <sz val="10"/>
        <color rgb="FF000000"/>
        <rFont val="Times New Roman"/>
      </rPr>
      <t xml:space="preserve">Гиря 24кг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0,38х0,48х0,3 м</t>
    </r>
  </si>
  <si>
    <r>
      <rPr>
        <sz val="10"/>
        <color rgb="FF000000"/>
        <rFont val="Times New Roman"/>
      </rPr>
      <t xml:space="preserve">522-101-1095-0006 - Гиря 32 кг,
</t>
    </r>
    <r>
      <rPr>
        <sz val="10"/>
        <color rgb="FF000000"/>
        <rFont val="Times New Roman"/>
      </rPr>
      <t>материал изготовления: чугун, винил</t>
    </r>
  </si>
  <si>
    <t>Гиря 32 кг,
материал изготовления: чугун, винил</t>
  </si>
  <si>
    <r>
      <rPr>
        <sz val="10"/>
        <color rgb="FF000000"/>
        <rFont val="Times New Roman"/>
      </rPr>
      <t xml:space="preserve">Гиря 32кг - спортивный снаряд для силовых упражнений. Гиря тежелоатлетическая изготовленный из серого чугуна и покрытый винилом.
</t>
    </r>
    <r>
      <rPr>
        <sz val="10"/>
        <color rgb="FF000000"/>
        <rFont val="Times New Roman"/>
      </rPr>
      <t>Размеры 0,4х0,48х0,32 м</t>
    </r>
  </si>
  <si>
    <r>
      <rPr>
        <sz val="10"/>
        <color rgb="FF000000"/>
        <rFont val="Times New Roman"/>
      </rPr>
      <t xml:space="preserve">522-101-1096-0001 - Доска для
</t>
    </r>
    <r>
      <rPr>
        <sz val="10"/>
        <color rgb="FF000000"/>
        <rFont val="Times New Roman"/>
      </rPr>
      <t>плавания, размеры: 650х400х200мм</t>
    </r>
  </si>
  <si>
    <t>Доска для
плавания, размеры: 650х400х200мм</t>
  </si>
  <si>
    <r>
      <rPr>
        <sz val="10"/>
        <color rgb="FF000000"/>
        <rFont val="Times New Roman"/>
      </rPr>
      <t xml:space="preserve">Приспособление для плавания, представляющее собой поплавок обычно плоской прямоугольной формы со скруглениями для уменьшения сопротивления воды. Предназначена для удержания верхней части туловища и рук на поверхности воды для отрабатывания техники движения ногами. Материал изготовления: вспененный полиэтилен (EPE) или
</t>
    </r>
    <r>
      <rPr>
        <sz val="10"/>
        <color rgb="FF000000"/>
        <rFont val="Times New Roman"/>
      </rPr>
      <t>EVA-пена — лёгкий, водонепроницаемый и плавучий материал.</t>
    </r>
  </si>
  <si>
    <r>
      <rPr>
        <sz val="10"/>
        <color theme="1"/>
        <rFont val="Times New Roman"/>
      </rPr>
      <t>522-101-1096-0003 - Лопатка для плавания, материал изготовления прочный пластик (PP или ABS), ремешки — мягкий эластичный силикон. Размеры: 200х150х10мм</t>
    </r>
  </si>
  <si>
    <r>
      <rPr>
        <sz val="10"/>
        <color rgb="FF000000"/>
        <rFont val="Times New Roman"/>
      </rPr>
      <t xml:space="preserve">Лопатки для плавания предназначены для развития мощности гребка и совершенствования силовой выносливости спортсмена. Поверхность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t>
    </r>
    <r>
      <rPr>
        <sz val="10"/>
        <color rgb="FF000000"/>
        <rFont val="Times New Roman"/>
      </rPr>
      <t>Мягкие силиконовые ремешки обеспечивают отличную фиксацию лопаток на руках, а их расположение каждый спортсмен может настроить индивидуально.</t>
    </r>
  </si>
  <si>
    <r>
      <rPr>
        <sz val="10"/>
        <color theme="1"/>
        <rFont val="Times New Roman"/>
      </rPr>
      <t>522-101-1096-0004 - Фиксатор ног для плавания, материал изготовления нейлон, размеры 0,08х0,05х0,05м</t>
    </r>
  </si>
  <si>
    <r>
      <rPr>
        <sz val="10"/>
        <color theme="1"/>
        <rFont val="Times New Roman"/>
      </rPr>
      <t>Контролирует ваши ноги во время тренировок. Ремень крепится на щиколотки, не нарушая вашего комфорта и не отвлекая от тренировок. Материал изготовления: нейлоновый ремень с мягкими неопреновыми вставками, пластиковые регулировочные пряжки.</t>
    </r>
  </si>
  <si>
    <r>
      <rPr>
        <sz val="10"/>
        <color rgb="FF000000"/>
        <rFont val="Times New Roman"/>
      </rPr>
      <t xml:space="preserve">522-101-1096-0005 - Мяч для
</t>
    </r>
    <r>
      <rPr>
        <sz val="10"/>
        <color rgb="FF000000"/>
        <rFont val="Times New Roman"/>
      </rPr>
      <t>водного поло №3, внешняя оболочка — прочная резина с нескользящим рельефным покрытием, внутренняя камера — бутилкаучук</t>
    </r>
  </si>
  <si>
    <t>Мяч для
водного поло №3, внешняя оболочка — прочная резина с нескользящим рельефным покрытием, внутренняя камера — бутилкаучук</t>
  </si>
  <si>
    <r>
      <rPr>
        <sz val="10"/>
        <color theme="1"/>
        <rFont val="Times New Roman"/>
      </rPr>
      <t>Предназначен для тренировок и соревнований по водному поло. Размеры 0,38х0,38х0,38м</t>
    </r>
  </si>
  <si>
    <r>
      <rPr>
        <sz val="10"/>
        <color rgb="FF000000"/>
        <rFont val="Times New Roman"/>
      </rPr>
      <t xml:space="preserve">522-101-1096-0006 - Мяч для
</t>
    </r>
    <r>
      <rPr>
        <sz val="10"/>
        <color rgb="FF000000"/>
        <rFont val="Times New Roman"/>
      </rPr>
      <t>водного поло №5, внешняя оболочка — прочная резина с нескользящим рельефным покрытием, внутренняя камера — бутилкаучук</t>
    </r>
  </si>
  <si>
    <t>Мяч для
водного поло №5, внешняя оболочка — прочная резина с нескользящим рельефным покрытием, внутренняя камера — бутилкаучук</t>
  </si>
  <si>
    <r>
      <rPr>
        <sz val="10"/>
        <color theme="1"/>
        <rFont val="Times New Roman"/>
      </rPr>
      <t>Предназначен для тренировок и соревнований по водному поло. Размеры 0,38х0,38х0,38м</t>
    </r>
  </si>
  <si>
    <r>
      <rPr>
        <sz val="10"/>
        <color rgb="FF000000"/>
        <rFont val="Times New Roman"/>
      </rPr>
      <t xml:space="preserve">522-101-1096-0007 - Ласты
</t>
    </r>
    <r>
      <rPr>
        <sz val="10"/>
        <color rgb="FF000000"/>
        <rFont val="Times New Roman"/>
      </rPr>
      <t>короткие. Материал: мягкий силикон. Размер: 360×200×30 мм</t>
    </r>
  </si>
  <si>
    <t>Ласты
короткие. Материал: мягкий силикон. Размер: 360×200×30 мм</t>
  </si>
  <si>
    <r>
      <rPr>
        <sz val="10"/>
        <color theme="1"/>
        <rFont val="Times New Roman"/>
      </rPr>
      <t>Ласты выполнены из мягкого и прочного силикона, комфортны в носке, не натирают и не сдавливают стопу. Обладают лёгким весом и хорошим сцеплением, снижают риск соскальзывания. Открытый мысок и закрытая пятка обеспечивают удобную посадку.</t>
    </r>
  </si>
  <si>
    <r>
      <rPr>
        <sz val="10"/>
        <color rgb="FF000000"/>
        <rFont val="Times New Roman"/>
      </rPr>
      <t xml:space="preserve">522-101-1096-0009 - Пояс для
</t>
    </r>
    <r>
      <rPr>
        <sz val="10"/>
        <color rgb="FF000000"/>
        <rFont val="Times New Roman"/>
      </rPr>
      <t xml:space="preserve">аквааэробики. Вспененный EVA-материал (этиленвинилацетат).
</t>
    </r>
    <r>
      <rPr>
        <sz val="10"/>
        <color rgb="FF000000"/>
        <rFont val="Times New Roman"/>
      </rPr>
      <t>Размеры: 800х280х35мм</t>
    </r>
  </si>
  <si>
    <t>Пояс для
аквааэробики. Вспененный EVA-материал (этиленвинилацетат).
Размеры: 800х280х35мм</t>
  </si>
  <si>
    <r>
      <rPr>
        <sz val="10"/>
        <color rgb="FF000000"/>
        <rFont val="Times New Roman"/>
      </rPr>
      <t xml:space="preserve">Пояс для аквааэробики и плавания это средство для поддержки баланса на воде. Применяется для занятий аквафитнесом, обучению плаванию.
</t>
    </r>
    <r>
      <rPr>
        <sz val="10"/>
        <color rgb="FF000000"/>
        <rFont val="Times New Roman"/>
      </rPr>
      <t>Вспененный EVA-материал (этиленвинилацетат) — лёгкий, плавучий, водонепроницаемый и устойчивый к деформации.</t>
    </r>
  </si>
  <si>
    <r>
      <rPr>
        <sz val="10"/>
        <color theme="1"/>
        <rFont val="Times New Roman"/>
      </rPr>
      <t>522-101-1096-0010 - 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r>
  </si>
  <si>
    <r>
      <rPr>
        <sz val="10"/>
        <color theme="1"/>
        <rFont val="Times New Roman"/>
      </rPr>
      <t>Круг служит для оказания помощи человеку, оказавшемуся в воде. Имеются светоотражающие полоски и веревка для удержания.</t>
    </r>
  </si>
  <si>
    <r>
      <rPr>
        <sz val="10"/>
        <color theme="1"/>
        <rFont val="Times New Roman"/>
      </rPr>
      <t>522-101-1112-0001 - Доска классная с нотным станом</t>
    </r>
  </si>
  <si>
    <r>
      <rPr>
        <sz val="10"/>
        <color theme="1"/>
        <rFont val="Times New Roman"/>
      </rPr>
      <t>Доска классная "Нотный стан". Размер не менее 900х1200 мм. Настенная магнитно-маркерная доска с нотным станом и знаками музыкальной нотации, размер 860х750мм, с магнитными карточками.</t>
    </r>
  </si>
  <si>
    <r>
      <rPr>
        <sz val="10"/>
        <color rgb="FF000000"/>
        <rFont val="Times New Roman"/>
      </rPr>
      <t xml:space="preserve">522-101-1201-0001 - Стол
</t>
    </r>
    <r>
      <rPr>
        <sz val="10"/>
        <color rgb="FF000000"/>
        <rFont val="Times New Roman"/>
      </rPr>
      <t>компьютерный с выдвижной полкой. ЛДСП 16мм, размеры 800х600х750 мм.</t>
    </r>
  </si>
  <si>
    <t>Стол
компьютерный с выдвижной полкой. ЛДСП 16мм, размеры 800х600х750 мм.</t>
  </si>
  <si>
    <r>
      <rPr>
        <sz val="10"/>
        <color theme="1"/>
        <rFont val="Times New Roman"/>
      </rPr>
      <t>Стол компьютерный с выдвижной полкой. ЛДСП 16мм, размеры 800х600х750 мм. Боковые стенки имеют полимерные не регулируемые подпятники.</t>
    </r>
  </si>
  <si>
    <r>
      <rPr>
        <sz val="10"/>
        <color rgb="FF000000"/>
        <rFont val="Times New Roman"/>
      </rPr>
      <t xml:space="preserve">522-101-1201-0002 - Стол
</t>
    </r>
    <r>
      <rPr>
        <sz val="10"/>
        <color rgb="FF000000"/>
        <rFont val="Times New Roman"/>
      </rPr>
      <t xml:space="preserve">компьютерный с выдвижной полкой и отсеком под системный блок.
</t>
    </r>
    <r>
      <rPr>
        <sz val="10"/>
        <color rgb="FF000000"/>
        <rFont val="Times New Roman"/>
      </rPr>
      <t>ЛДСП 16мм, размеры 1000х600х750 мм</t>
    </r>
  </si>
  <si>
    <t>Стол
компьютерный с выдвижной полкой и отсеком под системный блок.
ЛДСП 16мм, размеры 1000х600х750 мм</t>
  </si>
  <si>
    <r>
      <rPr>
        <sz val="10"/>
        <color rgb="FF000000"/>
        <rFont val="Times New Roman"/>
      </rPr>
      <t xml:space="preserve">Стол компьютерный с выдвижной полкой и отсеком под системный блок.
</t>
    </r>
    <r>
      <rPr>
        <sz val="10"/>
        <color rgb="FF000000"/>
        <rFont val="Times New Roman"/>
      </rPr>
      <t>ЛДСП 16мм, размеры 1000х600х750 мм. Боковые стенки имеют полимерные не регулируемые подпятники.</t>
    </r>
  </si>
  <si>
    <r>
      <rPr>
        <sz val="10"/>
        <color rgb="FF000000"/>
        <rFont val="Times New Roman"/>
      </rPr>
      <t xml:space="preserve">522-101-1201-0003 - Стол
</t>
    </r>
    <r>
      <rPr>
        <sz val="10"/>
        <color rgb="FF000000"/>
        <rFont val="Times New Roman"/>
      </rPr>
      <t>компьютерный с выдвижной полкой, отсеком под системный блок, тумбой с дверцей. ЛДСП 16мм, размеры 1400х650х750 мм</t>
    </r>
  </si>
  <si>
    <t>Стол
компьютерный с выдвижной полкой, отсеком под системный блок, тумбой с дверцей. ЛДСП 16мм, размеры 1400х650х750 мм</t>
  </si>
  <si>
    <r>
      <rPr>
        <sz val="10"/>
        <color theme="1"/>
        <rFont val="Times New Roman"/>
      </rPr>
      <t>Стол компьютерный с выдвижной полкой, отсеком под системный блок, тумбой с дверцей. ЛДСП 16мм, размеры1400х650х750 мм</t>
    </r>
  </si>
  <si>
    <r>
      <rPr>
        <sz val="10"/>
        <color rgb="FF000000"/>
        <rFont val="Times New Roman"/>
      </rPr>
      <t xml:space="preserve">522-101-1201-0004 - Стол
</t>
    </r>
    <r>
      <rPr>
        <sz val="10"/>
        <color rgb="FF000000"/>
        <rFont val="Times New Roman"/>
      </rPr>
      <t>компьютерный с выдвижной полкой и тумбой с дверцей. ЛДСП 16мм, размеры 1200х600х750 мм</t>
    </r>
  </si>
  <si>
    <t>Стол
компьютерный с выдвижной полкой и тумбой с дверцей. ЛДСП 16мм, размеры 1200х600х750 мм</t>
  </si>
  <si>
    <r>
      <rPr>
        <sz val="10"/>
        <color theme="1"/>
        <rFont val="Times New Roman"/>
      </rPr>
      <t>Стол компьютерный с выдвижной полкой и тумбой с дверцей. ЛДСП 16мм, размеры 1200х600х750 мм</t>
    </r>
  </si>
  <si>
    <r>
      <rPr>
        <sz val="10"/>
        <color rgb="FF000000"/>
        <rFont val="Times New Roman"/>
      </rPr>
      <t xml:space="preserve">522-101-1201-0005 - Стол
</t>
    </r>
    <r>
      <rPr>
        <sz val="10"/>
        <color rgb="FF000000"/>
        <rFont val="Times New Roman"/>
      </rPr>
      <t>компьютерный выдвижной полкой и отсеком под системный блок. ЛДСП 16мм, размеры 900х600х760мм</t>
    </r>
  </si>
  <si>
    <t>Стол
компьютерный выдвижной полкой и отсеком под системный блок. ЛДСП 16мм, размеры 900х600х760мм</t>
  </si>
  <si>
    <r>
      <rPr>
        <sz val="10"/>
        <color rgb="FF000000"/>
        <rFont val="Times New Roman"/>
      </rPr>
      <t xml:space="preserve">Стол компьютерный выдвижной полкой и отсеком под системный блок.
</t>
    </r>
    <r>
      <rPr>
        <sz val="10"/>
        <color rgb="FF000000"/>
        <rFont val="Times New Roman"/>
      </rPr>
      <t>ЛДСП 16мм, размеры 900х600х760мм</t>
    </r>
  </si>
  <si>
    <r>
      <rPr>
        <sz val="10"/>
        <color rgb="FF000000"/>
        <rFont val="Times New Roman"/>
      </rPr>
      <t xml:space="preserve">522-101-1201-0006 - Стол с
</t>
    </r>
    <r>
      <rPr>
        <sz val="10"/>
        <color rgb="FF000000"/>
        <rFont val="Times New Roman"/>
      </rPr>
      <t>выдвижной полкой и отсеком под системный блок, закрытый с трех сторон, спереди оргстекло, размер 900х600х750мм</t>
    </r>
  </si>
  <si>
    <t>Стол с
выдвижной полкой и отсеком под системный блок, закрытый с трех сторон, спереди оргстекло, размер 900х600х750мм</t>
  </si>
  <si>
    <r>
      <rPr>
        <sz val="10"/>
        <color theme="1"/>
        <rFont val="Times New Roman"/>
      </rPr>
      <t>Стол для лингафонного кабинета. Ширина - 900мм, глубина - 600мм, высота - 750мм. Столешница - толщина 22мм, выполнен из ЛДСП. Торцы облицованы ударопрочной кромкой ПВХ толщиной 2мм. Столы учащихся выполнен как в виде кабин закрытых с трех сторон (спереди оргстекло), так и в виде парт без высоких перегородок.</t>
    </r>
  </si>
  <si>
    <r>
      <rPr>
        <sz val="10"/>
        <color rgb="FF000000"/>
        <rFont val="Times New Roman"/>
      </rPr>
      <t xml:space="preserve">522-101-1201-0007 - Стол
</t>
    </r>
    <r>
      <rPr>
        <sz val="10"/>
        <color rgb="FF000000"/>
        <rFont val="Times New Roman"/>
      </rPr>
      <t>компьютерный двухместный, ЛДСП 32мм, каркас металлический, с полками для системного блока и розетками, размер 1300х600х750 мм</t>
    </r>
  </si>
  <si>
    <t>Стол
компьютерный двухместный, ЛДСП 32мм, каркас металлический, с полками для системного блока и розетками, размер 1300х600х750 мм</t>
  </si>
  <si>
    <r>
      <rPr>
        <sz val="10"/>
        <color rgb="FF000000"/>
        <rFont val="Times New Roman"/>
      </rPr>
      <t xml:space="preserve">Столешница выполненая из ЛДСП, толщиной 32 мм с закругленными углами. Оборудован четырьмя розетками на задней панели - по две для каждого пользователя. Под столешницей предусмотрены полки для системных блоков miniPC. Кромки деталей облицованы полимерным кромочным материалам (ПВХ), толщиной 2 мм.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и интернет кабеля.
</t>
    </r>
    <r>
      <rPr>
        <sz val="10"/>
        <color rgb="FF000000"/>
        <rFont val="Times New Roman"/>
      </rPr>
      <t>В столе отверстие для провода на каждого пользователя.</t>
    </r>
  </si>
  <si>
    <r>
      <rPr>
        <sz val="10"/>
        <color rgb="FF000000"/>
        <rFont val="Times New Roman"/>
      </rPr>
      <t xml:space="preserve">522-101-1201-0008 - Стол
</t>
    </r>
    <r>
      <rPr>
        <sz val="10"/>
        <color rgb="FF000000"/>
        <rFont val="Times New Roman"/>
      </rPr>
      <t>компьютерный ученический, столешница ЛДСП 32мм, каркас металлический, с полкой для системного блока и розетками, размер 800х600х750мм</t>
    </r>
  </si>
  <si>
    <t>Стол
компьютерный ученический, столешница ЛДСП 32мм, каркас металлический, с полкой для системного блока и розетками, размер 800х600х750мм</t>
  </si>
  <si>
    <r>
      <rPr>
        <sz val="10"/>
        <color theme="1"/>
        <rFont val="Times New Roman"/>
      </rPr>
      <t>На металлической основе с возможностью скрытой проводки электрических и интернет кабелей, с креплением к полу, с двумя встроенными розетками со шторками. Розетки располагаются на внутренней стороне металлических опор. Столешница изготавливается из ЛДСП 32 мм с закругленными углами, предусмотрены отверстия для проводов. Под столешницей полка для системного блока miniPC. Кромки деталей облицованы полимерным кромочным материалом (ПВХ), толщиной 1,5 мм. На металлической основе с лицевой стороны имеется крючок для портфелей.</t>
    </r>
  </si>
  <si>
    <r>
      <rPr>
        <sz val="10"/>
        <color rgb="FF000000"/>
        <rFont val="Times New Roman"/>
      </rPr>
      <t xml:space="preserve">522-101-1201-0009 - Стол
</t>
    </r>
    <r>
      <rPr>
        <sz val="10"/>
        <color rgb="FF000000"/>
        <rFont val="Times New Roman"/>
      </rPr>
      <t xml:space="preserve">компьютерный с выдвижной полкой и отсеком под системный блок.
</t>
    </r>
    <r>
      <rPr>
        <sz val="10"/>
        <color rgb="FF000000"/>
        <rFont val="Times New Roman"/>
      </rPr>
      <t>ЛДСП 16мм, размеры 1200х700х750мм</t>
    </r>
  </si>
  <si>
    <t>Стол
компьютерный с выдвижной полкой и отсеком под системный блок.
ЛДСП 16мм, размеры 1200х700х750мм</t>
  </si>
  <si>
    <r>
      <rPr>
        <sz val="10"/>
        <color theme="1"/>
        <rFont val="Times New Roman"/>
      </rPr>
      <t>Ширина - 1200мм, глубина - 700мм, высота - 750мм. Столешница из ЛДСП 16мм, каркас выполнен из ЛДСП 16мм. Торцы облицованы  кромкой ПВХ толщиной 2мм.</t>
    </r>
  </si>
  <si>
    <r>
      <rPr>
        <sz val="10"/>
        <color rgb="FF000000"/>
        <rFont val="Times New Roman"/>
      </rPr>
      <t xml:space="preserve">522-101-1201-0010 - Стол
</t>
    </r>
    <r>
      <rPr>
        <sz val="10"/>
        <color rgb="FF000000"/>
        <rFont val="Times New Roman"/>
      </rPr>
      <t>компьютерный одноместный 900х650х760мм. Столешница ЛДСП 22 мм, кромка ПВХ 2 мм</t>
    </r>
  </si>
  <si>
    <t>Стол
компьютерный одноместный 900х650х760мм. Столешница ЛДСП 22 мм, кромка ПВХ 2 мм</t>
  </si>
  <si>
    <r>
      <rPr>
        <sz val="10"/>
        <color theme="1"/>
        <rFont val="Times New Roman"/>
      </rPr>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размеры глубина 456 мм, ширина 200 мм. Имеются технологические отверстия для крепежа системного блока ПК к полке с помощью ремней.</t>
    </r>
  </si>
  <si>
    <r>
      <rPr>
        <sz val="10"/>
        <color rgb="FF000000"/>
        <rFont val="Times New Roman"/>
      </rPr>
      <t xml:space="preserve">522-101-1201-0011 - Стол
</t>
    </r>
    <r>
      <rPr>
        <sz val="10"/>
        <color rgb="FF000000"/>
        <rFont val="Times New Roman"/>
      </rPr>
      <t>компьютерный с выдвижной полкой, отсеком под системный блок, тумбой с дверцей. ЛДСП 32 мм, размеры 1400х650х750мм</t>
    </r>
  </si>
  <si>
    <t>Стол
компьютерный с выдвижной полкой, отсеком под системный блок, тумбой с дверцей. ЛДСП 32 мм, размеры 1400х650х750мм</t>
  </si>
  <si>
    <r>
      <rPr>
        <sz val="10"/>
        <color theme="1"/>
        <rFont val="Times New Roman"/>
      </rPr>
      <t>Стол компьютерный с выдвижной полкой, отсеком под системный блок, тумбой с дверцей и выдвижным ящиком. Материал корпуса, выдвижных ящкиов ЛДСП, толщина материала 32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ля предотвращения воздействия воды и влаги боковые стенки имеют полимерные не регулируемые подпятники. Размеры 1400х650х750 мм</t>
    </r>
  </si>
  <si>
    <r>
      <rPr>
        <sz val="10"/>
        <color rgb="FF000000"/>
        <rFont val="Times New Roman"/>
      </rPr>
      <t xml:space="preserve">522-101-1205-0001 - Стол
</t>
    </r>
    <r>
      <rPr>
        <sz val="10"/>
        <color rgb="FF000000"/>
        <rFont val="Times New Roman"/>
      </rPr>
      <t>преподавателя 1350х650х750 мм с мобильной тумбой. Столешница ЛДСП, основание металлокаркас</t>
    </r>
  </si>
  <si>
    <t>Стол
преподавателя 1350х650х750 мм с мобильной тумбой. Столешница ЛДСП, основание металлокаркас</t>
  </si>
  <si>
    <r>
      <rPr>
        <sz val="10"/>
        <color theme="1"/>
        <rFont val="Times New Roman"/>
      </rPr>
      <t>Стол преподавателя 1350х650х750 мм с мобильной тумбой размером 400x500x750мм и 3 выдвижными ящиками. Столешница ЛДСП 22мм, основание металлокаркас</t>
    </r>
  </si>
  <si>
    <r>
      <rPr>
        <sz val="10"/>
        <color rgb="FF000000"/>
        <rFont val="Times New Roman"/>
      </rPr>
      <t xml:space="preserve">522-101-1205-0002 - Стол
</t>
    </r>
    <r>
      <rPr>
        <sz val="10"/>
        <color rgb="FF000000"/>
        <rFont val="Times New Roman"/>
      </rPr>
      <t>преподавателя 1350х650х750 мм с полиуретановой кромкой с мобильной тумбой. Столешница ЛСДП, основание металлокаркас</t>
    </r>
  </si>
  <si>
    <t>Стол
преподавателя 1350х650х750 мм с полиуретановой кромкой с мобильной тумбой. Столешница ЛСДП, основание металлокаркас</t>
  </si>
  <si>
    <r>
      <rPr>
        <sz val="10"/>
        <color rgb="FF000000"/>
        <rFont val="Times New Roman"/>
      </rPr>
      <t xml:space="preserve">Стол преподавателя 1350х650х750 мм с полиуретановой кромкой с мобильной тумбой размером 400x500x750мм и 3 выдвижными ящиками.
</t>
    </r>
    <r>
      <rPr>
        <sz val="10"/>
        <color rgb="FF000000"/>
        <rFont val="Times New Roman"/>
      </rPr>
      <t>Столешница ЛДСП 22мм, основание металлокаркас</t>
    </r>
  </si>
  <si>
    <r>
      <rPr>
        <sz val="10"/>
        <color rgb="FF000000"/>
        <rFont val="Times New Roman"/>
      </rPr>
      <t xml:space="preserve">522-101-1205-0003 - Стол
</t>
    </r>
    <r>
      <rPr>
        <sz val="10"/>
        <color rgb="FF000000"/>
        <rFont val="Times New Roman"/>
      </rPr>
      <t>преподавателя 1600х600х760мм/1600х650х760мм с мобильной тумбой. Столешница ЛДСП, основание металлокаркас</t>
    </r>
  </si>
  <si>
    <t>Стол
преподавателя 1600х600х760мм/1600х650х760мм с мобильной тумбой. Столешница ЛДСП, основание металлокаркас</t>
  </si>
  <si>
    <r>
      <rPr>
        <sz val="10"/>
        <color theme="1"/>
        <rFont val="Times New Roman"/>
      </rPr>
      <t>Стол преподавателя 1600х600х760мм/1600х650х760мм с мобильной тумбой. Столешница ЛДСП, основание металлокаркас</t>
    </r>
  </si>
  <si>
    <r>
      <rPr>
        <sz val="10"/>
        <color rgb="FF000000"/>
        <rFont val="Times New Roman"/>
      </rPr>
      <t xml:space="preserve">522-101-1205-0004 - Стол
</t>
    </r>
    <r>
      <rPr>
        <sz val="10"/>
        <color rgb="FF000000"/>
        <rFont val="Times New Roman"/>
      </rPr>
      <t>преподавателя 1500х700х750 мм с мобильной тумбой. Материал ЛДСП</t>
    </r>
  </si>
  <si>
    <t>Стол
преподавателя 1500х700х750 мм с мобильной тумбой. Материал ЛДСП</t>
  </si>
  <si>
    <r>
      <rPr>
        <sz val="10"/>
        <color theme="1"/>
        <rFont val="Times New Roman"/>
      </rPr>
      <t>Стол преподавателя 1500х700х750 мм с мобильной тумбой. Материал ЛДСП 16мм. Столешница ЛДСП 32мм.</t>
    </r>
  </si>
  <si>
    <r>
      <rPr>
        <sz val="10"/>
        <color rgb="FF000000"/>
        <rFont val="Times New Roman"/>
      </rPr>
      <t xml:space="preserve">522-101-1205-0005 - Стол
</t>
    </r>
    <r>
      <rPr>
        <sz val="10"/>
        <color rgb="FF000000"/>
        <rFont val="Times New Roman"/>
      </rPr>
      <t>преподавателя 2340х1500х750 мм с тумбой. Материал ЛДСП</t>
    </r>
  </si>
  <si>
    <t>Стол
преподавателя 2340х1500х750 мм с тумбой. Материал ЛДСП</t>
  </si>
  <si>
    <r>
      <rPr>
        <sz val="10"/>
        <color theme="1"/>
        <rFont val="Times New Roman"/>
      </rPr>
      <t>Стол преподавателя 2340х1500х750 мм с тумбой. Тумба  стационарная имеет выдвижные ящики. Материал ЛДСП 16мм, столешница 25мм.</t>
    </r>
  </si>
  <si>
    <r>
      <rPr>
        <sz val="10"/>
        <color rgb="FF000000"/>
        <rFont val="Times New Roman"/>
      </rPr>
      <t xml:space="preserve">522-101-1205-0006 - Стол
</t>
    </r>
    <r>
      <rPr>
        <sz val="10"/>
        <color rgb="FF000000"/>
        <rFont val="Times New Roman"/>
      </rPr>
      <t>письменный для преподавателя, тумба с двумя выдвижными ящиками, размер 1200х600мм</t>
    </r>
  </si>
  <si>
    <t>Стол
письменный для преподавателя, тумба с двумя выдвижными ящиками, размер 1200х600мм</t>
  </si>
  <si>
    <r>
      <rPr>
        <sz val="10"/>
        <color rgb="FF000000"/>
        <rFont val="Times New Roman"/>
      </rPr>
      <t xml:space="preserve">Габаритные размеры: высота:750мм длина:1200мм ширина:600мм. Столешница – ЛДСП белого цвета толщиной 22 мм. Несущие части, различные элементы – ЛДСП белого цвета толщиной не менее 16 мм. Под столешницей - выкатная панель для
</t>
    </r>
    <r>
      <rPr>
        <sz val="10"/>
        <color rgb="FF000000"/>
        <rFont val="Times New Roman"/>
      </rPr>
      <t xml:space="preserve">клавиатуры. Слева тумба с двумя выдвижными ящиками. Размер тумбы 384х540 мм. Иммется полка для блока питания с отверстием Ф60мм под кабелегон размером 1120х200мм. Лицевая сторона стола закрыта царгой.
</t>
    </r>
    <r>
      <rPr>
        <sz val="10"/>
        <color rgb="FF000000"/>
        <rFont val="Times New Roman"/>
      </rPr>
      <t>Царга перфорированная размером 1610х620 мм. В правом углу столешницы предусмотрено отверстие с крышкой для соединительных проводов. Тумба под оргтехнику  прикреплена к основной части.</t>
    </r>
  </si>
  <si>
    <r>
      <rPr>
        <sz val="10"/>
        <color rgb="FF000000"/>
        <rFont val="Times New Roman"/>
      </rPr>
      <t xml:space="preserve">522-101-1205-0007 - Стол
</t>
    </r>
    <r>
      <rPr>
        <sz val="10"/>
        <color rgb="FF000000"/>
        <rFont val="Times New Roman"/>
      </rPr>
      <t>преподавателя 1650х800х750 мм со встроенной тумбой. Столешница ЛДСП типа EGGER, основание металлокаркас</t>
    </r>
  </si>
  <si>
    <t>Стол
преподавателя 1650х800х750 мм со встроенной тумбой. Столешница ЛДСП типа EGGER, основание металлокаркас</t>
  </si>
  <si>
    <r>
      <rPr>
        <sz val="10"/>
        <color rgb="FF000000"/>
        <rFont val="Times New Roman"/>
      </rPr>
      <t xml:space="preserve">Размер 1650*800*750 мм. Цвет по согласованию. Материал - ЛДСП. Каркас
</t>
    </r>
    <r>
      <rPr>
        <sz val="10"/>
        <color rgb="FF000000"/>
        <rFont val="Times New Roman"/>
      </rPr>
      <t>- металл. Каркас разборный.  Цвет каркаса белый (порошковая краска для запекания в печи). Каркас из профильной трубы размером 80*25*2,0мм и 25*25*1,5мм. Толщина столешницы 32мм (двойной лист ЛДСП типа EGGER). Кромка ПВХ. Количество ящиков - 3 (встроенная тумба с ящиками).</t>
    </r>
  </si>
  <si>
    <r>
      <rPr>
        <sz val="10"/>
        <color rgb="FF000000"/>
        <rFont val="Times New Roman"/>
      </rPr>
      <t xml:space="preserve">522-101-1205-0008 - Стол
</t>
    </r>
    <r>
      <rPr>
        <sz val="10"/>
        <color rgb="FF000000"/>
        <rFont val="Times New Roman"/>
      </rPr>
      <t>преподавателя, подвесная тумба с выдвижными ящиками, металлический каркас, размер 1600х700х750мм</t>
    </r>
  </si>
  <si>
    <t>Стол
преподавателя, подвесная тумба с выдвижными ящиками, металлический каркас, размер 1600х700х750мм</t>
  </si>
  <si>
    <r>
      <rPr>
        <sz val="10"/>
        <color rgb="FF000000"/>
        <rFont val="Times New Roman"/>
      </rPr>
      <t xml:space="preserve">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Царга металлическая изготовлена из квадратного перфорационного листа, толщиной 1,2мм. Толщина столешницы 25 мм. Торцы закатаны кромочным материалом ПВХ 1,5 мм, столешница без острых углов. Тумба подвесная имеет выдвижные ящики.
</t>
    </r>
    <r>
      <rPr>
        <sz val="10"/>
        <color rgb="FF000000"/>
        <rFont val="Times New Roman"/>
      </rPr>
      <t xml:space="preserve">Размер тумбы 400х450х400мм. Материал: ЛДСП, толщиной 16 мм. Фурнитура: конфирмат, стяжка типа BLUM, роликовые направляющие,
</t>
    </r>
    <r>
      <rPr>
        <sz val="10"/>
        <color rgb="FF000000"/>
        <rFont val="Times New Roman"/>
      </rPr>
      <t>ручка вырезная без острых углов, навес мебельный типа.</t>
    </r>
  </si>
  <si>
    <r>
      <rPr>
        <sz val="10"/>
        <color rgb="FF000000"/>
        <rFont val="Times New Roman"/>
      </rPr>
      <t xml:space="preserve">522-101-1205-0009 - Стол
</t>
    </r>
    <r>
      <rPr>
        <sz val="10"/>
        <color rgb="FF000000"/>
        <rFont val="Times New Roman"/>
      </rPr>
      <t>преподавателя 1400х720х750 мм с мобильной тумбой, кромка ПВХ. Столешница ЛСДП 16мм, каркас из ЛДСП 16мм</t>
    </r>
  </si>
  <si>
    <t>Стол
преподавателя 1400х720х750 мм с мобильной тумбой, кромка ПВХ. Столешница ЛСДП 16мм, каркас из ЛДСП 16мм</t>
  </si>
  <si>
    <r>
      <rPr>
        <sz val="10"/>
        <color rgb="FF000000"/>
        <rFont val="Times New Roman"/>
      </rPr>
      <t xml:space="preserve">Размеры стола учителя: ширина - 1400мм, глубина - 720мм, высота - 750мм.
</t>
    </r>
    <r>
      <rPr>
        <sz val="10"/>
        <color rgb="FF000000"/>
        <rFont val="Times New Roman"/>
      </rPr>
      <t xml:space="preserve">Столешница из ЛДСП 16мм, каркас выполнен из ЛДСП 16мм. Торцы облицованы  кромкой ПВХ толщиной 2мм. Размеры тумбы мобильной: 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t>
    </r>
    <r>
      <rPr>
        <sz val="10"/>
        <color rgb="FF000000"/>
        <rFont val="Times New Roman"/>
      </rPr>
      <t>Ручки металлические.</t>
    </r>
  </si>
  <si>
    <r>
      <rPr>
        <sz val="10"/>
        <color rgb="FF000000"/>
        <rFont val="Times New Roman"/>
      </rPr>
      <t xml:space="preserve">522-101-1205-0010 - Стол
</t>
    </r>
    <r>
      <rPr>
        <sz val="10"/>
        <color rgb="FF000000"/>
        <rFont val="Times New Roman"/>
      </rPr>
      <t>преподавателя угловой 1800*1600х600х750мм со встроенной тумбой с выдвижными ящиками. Материал ЛДСП 16мм</t>
    </r>
  </si>
  <si>
    <t>Стол
преподавателя угловой 1800*1600х600х750мм со встроенной тумбой с выдвижными ящиками. Материал ЛДСП 16мм</t>
  </si>
  <si>
    <r>
      <rPr>
        <sz val="10"/>
        <color theme="1"/>
        <rFont val="Times New Roman"/>
      </rPr>
      <t>Стол преподавателя угловой 1800*1600х600х750мм. Столешница из ЛДСП 16 мм, торцы обрамлены кантом из ПВХ толщина 1мм. Габаритные размеры: 1800*1600х600х750мм. Конструкцией стола предусмотрена полка на роликовых направляющих под клавиатуру, а также встроенную тумбу с выдвижными ящиками. На столешнице имеется отверстие с заглушкой под кабель-канал. Вертикальные стенки стола имеет полимерные подпятники, предотвращающие повреждение поверхности напольных покрытий.</t>
    </r>
  </si>
  <si>
    <r>
      <rPr>
        <sz val="10"/>
        <color rgb="FF000000"/>
        <rFont val="Times New Roman"/>
      </rPr>
      <t xml:space="preserve">522-101-1205-0012 - Стол
</t>
    </r>
    <r>
      <rPr>
        <sz val="10"/>
        <color rgb="FF000000"/>
        <rFont val="Times New Roman"/>
      </rPr>
      <t>преподавателя с тумбой и 4 выдвижными ящиками, размеры 1600х650х760 мм, столешница из ЛДСП 22 мм, кромка ПВХ</t>
    </r>
  </si>
  <si>
    <t>Стол
преподавателя с тумбой и 4 выдвижными ящиками, размеры 1600х650х760 мм, столешница из ЛДСП 22 мм, кромка ПВХ</t>
  </si>
  <si>
    <r>
      <rPr>
        <sz val="10"/>
        <color theme="1"/>
        <rFont val="Times New Roman"/>
      </rPr>
      <t>Материал столешницы ЛДСП толщиной не менее 22 мм, торцы отделаны кромкой ПВХ толщиной 2 мм. Столешница крепится к металлокаркасу саморезами. Стол состоит из двух боковых опор, которые представляют собой прямоугольник, изготовленный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Лицевая сторона стола закрыта царгой. В правом углу столешницы предусмотрено отверстие с крышкой для соединительных проводов. Tумба габаритные размеры: глубина 507 мм х ширина 424 мм х высота 650 мм, с 4 выдвижными ящиками на направляющих полного выдвижения. Боковые опоры  изготовлены с применением технологии исключающейобразования видимых стыков профильной трубы.</t>
    </r>
  </si>
  <si>
    <r>
      <rPr>
        <sz val="10"/>
        <color rgb="FF000000"/>
        <rFont val="Times New Roman"/>
      </rPr>
      <t xml:space="preserve">522-101-1206-0001 - Стол
</t>
    </r>
    <r>
      <rPr>
        <sz val="10"/>
        <color rgb="FF000000"/>
        <rFont val="Times New Roman"/>
      </rPr>
      <t>однотумбовый с 3 ящиками и нишей. Размер 1200х650х750 мм</t>
    </r>
  </si>
  <si>
    <t>Стол
однотумбовый с 3 ящиками и нишей. Размер 1200х650х750 мм</t>
  </si>
  <si>
    <r>
      <rPr>
        <sz val="10"/>
        <color theme="1"/>
        <rFont val="Times New Roman"/>
      </rPr>
      <t>Стол однотумбовый с 3 ящиками и нишей. Размер 1200х650х750 мм. ЛДСП 16мм.</t>
    </r>
  </si>
  <si>
    <r>
      <rPr>
        <sz val="10"/>
        <color rgb="FF000000"/>
        <rFont val="Times New Roman"/>
      </rPr>
      <t xml:space="preserve">522-101-1206-0002 - Стол
</t>
    </r>
    <r>
      <rPr>
        <sz val="10"/>
        <color rgb="FF000000"/>
        <rFont val="Times New Roman"/>
      </rPr>
      <t>однотумбовый с 3 направляющими выдвижными ящиками. Размер 1400х700х750 мм</t>
    </r>
  </si>
  <si>
    <t>Стол
однотумбовый с 3 направляющими выдвижными ящиками. Размер 1400х700х750 мм</t>
  </si>
  <si>
    <r>
      <rPr>
        <sz val="10"/>
        <color theme="1"/>
        <rFont val="Times New Roman"/>
      </rPr>
      <t>Стол однотумбовый с 3 направляющими выдвижными ящиками. Размер 1400х700х750 мм. ЛДСП 16мм</t>
    </r>
  </si>
  <si>
    <r>
      <rPr>
        <sz val="10"/>
        <color rgb="FF000000"/>
        <rFont val="Times New Roman"/>
      </rPr>
      <t xml:space="preserve">522-101-1206-0003 - Стол
</t>
    </r>
    <r>
      <rPr>
        <sz val="10"/>
        <color rgb="FF000000"/>
        <rFont val="Times New Roman"/>
      </rPr>
      <t xml:space="preserve">однотумбовый с направляющим выдвижным ящиком и тумбой.
</t>
    </r>
    <r>
      <rPr>
        <sz val="10"/>
        <color rgb="FF000000"/>
        <rFont val="Times New Roman"/>
      </rPr>
      <t>Размер 1200х600х750 мм, ЛДСП 16 мм</t>
    </r>
  </si>
  <si>
    <t>Стол
однотумбовый с направляющим выдвижным ящиком и тумбой.
Размер 1200х600х750 мм, ЛДСП 16 мм</t>
  </si>
  <si>
    <r>
      <rPr>
        <sz val="10"/>
        <color rgb="FF000000"/>
        <rFont val="Times New Roman"/>
      </rPr>
      <t xml:space="preserve">Стол однотумбовый с направляющим выдвижным ящиком и тумбой.
</t>
    </r>
    <r>
      <rPr>
        <sz val="10"/>
        <color rgb="FF000000"/>
        <rFont val="Times New Roman"/>
      </rPr>
      <t>Размер 1200х600х750 мм. ЛДСП 16мм</t>
    </r>
  </si>
  <si>
    <r>
      <rPr>
        <sz val="10"/>
        <color rgb="FF000000"/>
        <rFont val="Times New Roman"/>
      </rPr>
      <t xml:space="preserve">522-101-1206-0004 - Стол
</t>
    </r>
    <r>
      <rPr>
        <sz val="10"/>
        <color rgb="FF000000"/>
        <rFont val="Times New Roman"/>
      </rPr>
      <t>однотумбовый с 2 выдвижными ящиками, ЛДСП 16 мм, размер 1200х600х760мм</t>
    </r>
  </si>
  <si>
    <t>Стол
однотумбовый с 2 выдвижными ящиками, ЛДСП 16 мм, размер 1200х600х760мм</t>
  </si>
  <si>
    <r>
      <rPr>
        <sz val="10"/>
        <color theme="1"/>
        <rFont val="Times New Roman"/>
      </rPr>
      <t>Стол однотумбовым с 2 выдвижными полками, ЛДСП 16 мм, размер 1200х600х760мм</t>
    </r>
  </si>
  <si>
    <r>
      <rPr>
        <sz val="10"/>
        <color rgb="FF000000"/>
        <rFont val="Times New Roman"/>
      </rPr>
      <t xml:space="preserve">522-101-1206-0005 - Стол
</t>
    </r>
    <r>
      <rPr>
        <sz val="10"/>
        <color rgb="FF000000"/>
        <rFont val="Times New Roman"/>
      </rPr>
      <t>однотумбовый с 2 направляющими выдвижными ящиками. Размер 1500х700х750 мм. ЛДСП 18мм</t>
    </r>
  </si>
  <si>
    <t>Стол
однотумбовый с 2 направляющими выдвижными ящиками. Размер 1500х700х750 мм. ЛДСП 18мм</t>
  </si>
  <si>
    <r>
      <rPr>
        <sz val="10"/>
        <color theme="1"/>
        <rFont val="Times New Roman"/>
      </rPr>
      <t>Стол однотумбовый с 2 направляющими выдвижными ящиками. Размер 1500х700х750 мм. ЛДСП 18мм, облицованной кромкой ПВХ толщиной 1,5мм.</t>
    </r>
  </si>
  <si>
    <r>
      <rPr>
        <sz val="10"/>
        <color rgb="FF000000"/>
        <rFont val="Times New Roman"/>
      </rPr>
      <t xml:space="preserve">522-101-1206-0006 - Стол
</t>
    </r>
    <r>
      <rPr>
        <sz val="10"/>
        <color rgb="FF000000"/>
        <rFont val="Times New Roman"/>
      </rPr>
      <t xml:space="preserve">однотумбовый с направляющим выдвижным ящиком и тумбой.
</t>
    </r>
    <r>
      <rPr>
        <sz val="10"/>
        <color rgb="FF000000"/>
        <rFont val="Times New Roman"/>
      </rPr>
      <t>Размер 1200х600х750 мм, ЛДСП 16 мм, столешница 32 мм</t>
    </r>
  </si>
  <si>
    <t>Стол
однотумбовый с направляющим выдвижным ящиком и тумбой.
Размер 1200х600х750 мм, ЛДСП 16 мм, столешница 32 мм</t>
  </si>
  <si>
    <r>
      <rPr>
        <sz val="10"/>
        <color theme="1"/>
        <rFont val="Times New Roman"/>
      </rPr>
      <t>ЛДСП толщиной 16мм., столешница 32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Фурнитура: конфирмат, стяжка типа BLUM, полкодержатель металлический (без пластиковых элементов), роликовые направляющие, ручка, навес мебельный типа BLUM.</t>
    </r>
  </si>
  <si>
    <r>
      <rPr>
        <sz val="10"/>
        <color rgb="FF000000"/>
        <rFont val="Times New Roman"/>
      </rPr>
      <t xml:space="preserve">522-101-1206-0007 - Стол
</t>
    </r>
    <r>
      <rPr>
        <sz val="10"/>
        <color rgb="FF000000"/>
        <rFont val="Times New Roman"/>
      </rPr>
      <t xml:space="preserve">однотумбовый с направляющим выдвижным ящиком и дверью.
</t>
    </r>
    <r>
      <rPr>
        <sz val="10"/>
        <color rgb="FF000000"/>
        <rFont val="Times New Roman"/>
      </rPr>
      <t>Размер 1500х600х750мм</t>
    </r>
  </si>
  <si>
    <t>Стол
однотумбовый с направляющим выдвижным ящиком и дверью.
Размер 1500х600х750мм</t>
  </si>
  <si>
    <r>
      <rPr>
        <sz val="10"/>
        <color rgb="FF000000"/>
        <rFont val="Times New Roman"/>
      </rPr>
      <t xml:space="preserve">Материал: ЛДСП толщиной 16мм., столешница не менее 25 мм. Кромки деталей облицованы полимерным кромочным материалам (ПВХ), толщиной 1,5 мм. Тумба  стационарная имеет выдвижной ящик и дверцу.
</t>
    </r>
    <r>
      <rPr>
        <sz val="10"/>
        <color rgb="FF000000"/>
        <rFont val="Times New Roman"/>
      </rPr>
      <t>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на 128 мм (без острых углов), навес мебельный типа BLUM.</t>
    </r>
  </si>
  <si>
    <r>
      <rPr>
        <sz val="10"/>
        <color rgb="FF000000"/>
        <rFont val="Times New Roman"/>
      </rPr>
      <t xml:space="preserve">522-101-1206-0008 - Стол
</t>
    </r>
    <r>
      <rPr>
        <sz val="10"/>
        <color rgb="FF000000"/>
        <rFont val="Times New Roman"/>
      </rPr>
      <t>однотумбовый с 3 выджвижными ящиками и нишей. Размер 1200х680х750мм, ЛДСП 16мм</t>
    </r>
  </si>
  <si>
    <t>Стол
однотумбовый с 3 выджвижными ящиками и нишей. Размер 1200х680х750мм, ЛДСП 16мм</t>
  </si>
  <si>
    <r>
      <rPr>
        <sz val="10"/>
        <color theme="1"/>
        <rFont val="Times New Roman"/>
      </rPr>
      <t>Стол однотумбовый с 3 выджвижными ящиками и нишей. Материал корпуса, выдвижных ящиков ЛДСП, толщина материала 16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Имеются пластиковые подпятники. Габариты 1200х680х750 мм</t>
    </r>
  </si>
  <si>
    <r>
      <rPr>
        <sz val="10"/>
        <color rgb="FF000000"/>
        <rFont val="Times New Roman"/>
      </rPr>
      <t xml:space="preserve">522-101-1206-0009 - Стол
</t>
    </r>
    <r>
      <rPr>
        <sz val="10"/>
        <color rgb="FF000000"/>
        <rFont val="Times New Roman"/>
      </rPr>
      <t>однотумбовый с 2 выдвижными ящиками, ЛДСП 16 мм, размер 1200х700х750мм</t>
    </r>
  </si>
  <si>
    <t>Стол
однотумбовый с 2 выдвижными ящиками, ЛДСП 16 мм, размер 1200х700х750мм</t>
  </si>
  <si>
    <r>
      <rPr>
        <sz val="10"/>
        <color rgb="FF000000"/>
        <rFont val="Times New Roman"/>
      </rPr>
      <t xml:space="preserve">Стол письменный 1-тумбовый с замком. Ширина - 1200мм, глубина - 700мм, высота - 750мм. Столешница из ЛДСП 16мм, каркас выполнен из ЛДСП 16мм. Торцы облицованы  кромкой ПВХ толщиной 2мм.
</t>
    </r>
    <r>
      <rPr>
        <sz val="10"/>
        <color rgb="FF000000"/>
        <rFont val="Times New Roman"/>
      </rPr>
      <t>Предусмотрены 2 выдвижных ящика на шариковых направляющих.Предусмотрен замок на верхнем ящике. Ручки металлические.</t>
    </r>
  </si>
  <si>
    <r>
      <rPr>
        <sz val="10"/>
        <color rgb="FF000000"/>
        <rFont val="Times New Roman"/>
      </rPr>
      <t xml:space="preserve">522-101-1206-0010 - Стол
</t>
    </r>
    <r>
      <rPr>
        <sz val="10"/>
        <color rgb="FF000000"/>
        <rFont val="Times New Roman"/>
      </rPr>
      <t xml:space="preserve">однотумбовый с подвесной тумбой и открытой нишей, ЛДСП 16мм.
</t>
    </r>
    <r>
      <rPr>
        <sz val="10"/>
        <color rgb="FF000000"/>
        <rFont val="Times New Roman"/>
      </rPr>
      <t>Размер 1200х600х750мм</t>
    </r>
  </si>
  <si>
    <t>Стол
однотумбовый с подвесной тумбой и открытой нишей, ЛДСП 16мм.
Размер 1200х600х750мм</t>
  </si>
  <si>
    <r>
      <rPr>
        <sz val="10"/>
        <color rgb="FF000000"/>
        <rFont val="Times New Roman"/>
      </rPr>
      <t xml:space="preserve">Стол учителя письменный 1200х600х750мм.       Ширина - 1200мм, глубина
</t>
    </r>
    <r>
      <rPr>
        <sz val="10"/>
        <color rgb="FF000000"/>
        <rFont val="Times New Roman"/>
      </rPr>
      <t>- 600мм, высота - 750мм.Столешница из ЛДСП 16мм, каркас выполнен из ЛДСП 16мм. Торцы облицованы  кромкой ПВХ толщиной 2мм.</t>
    </r>
  </si>
  <si>
    <r>
      <rPr>
        <sz val="10"/>
        <color rgb="FF000000"/>
        <rFont val="Times New Roman"/>
      </rPr>
      <t xml:space="preserve">522-101-1206-0011 - Стол
</t>
    </r>
    <r>
      <rPr>
        <sz val="10"/>
        <color rgb="FF000000"/>
        <rFont val="Times New Roman"/>
      </rPr>
      <t>однотумбовый с 2 выдвижными ящиками и нишей, ЛДСП 16 мм, размер 1200х600х750мм</t>
    </r>
  </si>
  <si>
    <t>Стол
однотумбовый с 2 выдвижными ящиками и нишей, ЛДСП 16 мм, размер 1200х600х750мм</t>
  </si>
  <si>
    <r>
      <rPr>
        <sz val="10"/>
        <color theme="1"/>
        <rFont val="Times New Roman"/>
      </rPr>
      <t>Стол однотумбовый с 2 выдвижными ящиками и нишей, ЛДСП 16 мм, размер 1200х600х750мм</t>
    </r>
  </si>
  <si>
    <r>
      <rPr>
        <sz val="10"/>
        <color rgb="FF000000"/>
        <rFont val="Times New Roman"/>
      </rPr>
      <t xml:space="preserve">522-101-1206-0012 - Стол
</t>
    </r>
    <r>
      <rPr>
        <sz val="10"/>
        <color rgb="FF000000"/>
        <rFont val="Times New Roman"/>
      </rPr>
      <t>однотумбовый с 3 направляющими выдвижными ящиками. Размер 1500х700х750 мм. ЛДСП 16мм</t>
    </r>
  </si>
  <si>
    <t>Стол
однотумбовый с 3 направляющими выдвижными ящиками. Размер 1500х700х750 мм. ЛДСП 16мм</t>
  </si>
  <si>
    <r>
      <rPr>
        <sz val="10"/>
        <color theme="1"/>
        <rFont val="Times New Roman"/>
      </rPr>
      <t>Стол однотумбовый с 3 направляющими выдвижными ящиками. Размер 1500х700х750 мм. ЛДСП 16мм</t>
    </r>
  </si>
  <si>
    <r>
      <rPr>
        <sz val="10"/>
        <color rgb="FF000000"/>
        <rFont val="Times New Roman"/>
      </rPr>
      <t xml:space="preserve">522-101-1206-0015 - Стол для
</t>
    </r>
    <r>
      <rPr>
        <sz val="10"/>
        <color rgb="FF000000"/>
        <rFont val="Times New Roman"/>
      </rPr>
      <t>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r>
  </si>
  <si>
    <t>Стол для
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</si>
  <si>
    <r>
      <rPr>
        <sz val="10"/>
        <color theme="1"/>
        <rFont val="Times New Roman"/>
      </rPr>
      <t>Габаритные размеры столешницы 1200х750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одной боковой опоры, которая представляет из себя прямоугольник, изготовленный из профильной трубы прямоугольного сечения 50х25х1,2 мм.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тремя выдвижными ящиками на направляющих полного выдвижения, габаритные размеры: глубина 660 мм х ширина 500 мм х высота 605 мм. К тумбе прикреплена секция под системный блок шириной не менее 220 мм. На тумбе расположена опора под столешницу, которая представляет из себя прямоугольник, изготовленный из профильной трубы прямоугольного сечения 50х25х1,2 мм.</t>
    </r>
  </si>
  <si>
    <r>
      <rPr>
        <sz val="10"/>
        <color theme="1"/>
        <rFont val="Times New Roman"/>
      </rPr>
      <t>522-101-1206-0016 - Стол рабочий с парящей подставкой для системного блока, столешница ЛДСП 22 мм, кромка ПВХ, размеры 1800х700х760 мм</t>
    </r>
  </si>
  <si>
    <r>
      <rPr>
        <sz val="10"/>
        <color rgb="FF000000"/>
        <rFont val="Times New Roman"/>
      </rPr>
      <t xml:space="preserve">Высота верхнего края столешницы над уровнем пола 760 мм. Материал столешницы ЛДСП толщиной не менее 22 мм, торцы отделаны кромкой ПВХ толщиной 2мм. Столешница крепится к металлокаркасу саморезами.
</t>
    </r>
    <r>
      <rPr>
        <sz val="10"/>
        <color rgb="FF000000"/>
        <rFont val="Times New Roman"/>
      </rPr>
      <t>Стол состоит из двух боковых опор, которые представляют собой трапецию, изготовленные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В правом и левом углу столешницы предусмотрено отверстие с крышкой для соединительных проводов. Tумба габаритные размеры: глубина 500 мм х ширина 420 мм х высота 610 мм, с тремя выдвижными ящиками на направляющих полного выдвижения. С левой стороны стола расположена подставка под системный блок, размерами 200х460х508 мм выполнена из прямоугольной трубы 50х25х1,2 и лпсп 22 мм. Монтаж которой осуществляется с помощью саморезов к столешнице и боковой опоре. Боковые опоры и каркас подставки под системный блок изготовлены с применением технологии исключающейобразования видимых стыков профильной трубы.</t>
    </r>
  </si>
  <si>
    <r>
      <rPr>
        <sz val="10"/>
        <color rgb="FF000000"/>
        <rFont val="Times New Roman"/>
      </rPr>
      <t xml:space="preserve">522-101-1206-0017 - Стол с
</t>
    </r>
    <r>
      <rPr>
        <sz val="10"/>
        <color rgb="FF000000"/>
        <rFont val="Times New Roman"/>
      </rPr>
      <t>приставной тумбой, столешница из ЛДСП 22мм, кромка ПВХ, металлокаркас из прямоугольной профильной трубы, размеры 1800х1700х760 мм</t>
    </r>
  </si>
  <si>
    <t>Стол с
приставной тумбой, столешница из ЛДСП 22мм, кромка ПВХ, металлокаркас из прямоугольной профильной трубы, размеры 1800х1700х760 мм</t>
  </si>
  <si>
    <r>
      <rPr>
        <sz val="10"/>
        <color rgb="FF000000"/>
        <rFont val="Times New Roman"/>
      </rPr>
      <t xml:space="preserve">Столешница выполнена из ЛДСП не менее 22 мм, торцы отделаны кромкой ПВХ толщиной 2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сложной формы, скрепленных между собой 3 усилителя траверсы из профильной трубы 50х25 мм. толщиной не менее 1,2 мм, между опорами. В основании конструкции установлены регулируемые опоры. На столе имеется трапецевидная царга из ЛДСП 16 мм с кромкой ПВХ толщиной 0,4мм. К столу с левой стороны приставляется тумба. Габаритные размеры 900х500х760 мм. Тумба двухсекционная, одна секция с глухой дверью, за которой находится полка. Вторая секция состоит из 4 выдвижных ящиков.
</t>
    </r>
    <r>
      <rPr>
        <sz val="10"/>
        <color rgb="FF000000"/>
        <rFont val="Times New Roman"/>
      </rPr>
      <t xml:space="preserve">Тумба выполнена из ЛДСП толщиной 16мм. Кромка ПВХ 0,4мм. Крышка из ЛДСП толщиной не менее 22 мм. Кромка ПВХ 2 мм.Сборка должна производиться с помощью конфирматов 6,3х50 и эксцентриковых стяжек.
</t>
    </r>
    <r>
      <rPr>
        <sz val="10"/>
        <color rgb="FF000000"/>
        <rFont val="Times New Roman"/>
      </rPr>
      <t xml:space="preserve">Петля для дверок должна быть внешняя с европланкой и функцией
</t>
    </r>
    <r>
      <rPr>
        <sz val="10"/>
        <color rgb="FF000000"/>
        <rFont val="Times New Roman"/>
      </rPr>
      <t>«softclose».</t>
    </r>
  </si>
  <si>
    <r>
      <rPr>
        <sz val="10"/>
        <color rgb="FF000000"/>
        <rFont val="Times New Roman"/>
      </rPr>
      <t xml:space="preserve">522-101-1207-0001 - Стол
</t>
    </r>
    <r>
      <rPr>
        <sz val="10"/>
        <color rgb="FF000000"/>
        <rFont val="Times New Roman"/>
      </rPr>
      <t xml:space="preserve">руководителя угловой с мобильной тумбой, компьютерной приставкой 2200х1500х750 мм. ЛДСП 16мм,
</t>
    </r>
    <r>
      <rPr>
        <sz val="10"/>
        <color rgb="FF000000"/>
        <rFont val="Times New Roman"/>
      </rPr>
      <t>столешница ЛДСП 32мм.</t>
    </r>
  </si>
  <si>
    <t>Стол
руководителя угловой с мобильной тумбой, компьютерной приставкой 2200х1500х750 мм. ЛДСП 16мм,
столешница ЛДСП 32мм.</t>
  </si>
  <si>
    <r>
      <rPr>
        <sz val="10"/>
        <color theme="1"/>
        <rFont val="Times New Roman"/>
      </rPr>
      <t>Стол руководителя угловой с мобильной тумбой, компьютерной приставкой 2200х1500х750 мм. Тумба  430*600-630. Столешница из ЛДСП 32 мм, корпус и тумба из ЛДСП 16 мм.  кромка ПВХ с исполькозованием высокотемпературного клея. Ящики собраны на роликовых направляющих с колесиками. направляющие окрашены порошковой электростатической краской.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 Тумба на ножках-колесиках.</t>
    </r>
  </si>
  <si>
    <r>
      <rPr>
        <sz val="10"/>
        <color rgb="FF000000"/>
        <rFont val="Times New Roman"/>
      </rPr>
      <t xml:space="preserve">522-101-1207-0002 - Стол для
</t>
    </r>
    <r>
      <rPr>
        <sz val="10"/>
        <color rgb="FF000000"/>
        <rFont val="Times New Roman"/>
      </rPr>
      <t>конференций 4-х местный. Основание металлокаркас, столешница ЛДСП 25мм, лючки для проводов. Размеры 1380х1380х750мм</t>
    </r>
  </si>
  <si>
    <t>Стол для
конференций 4-х местный. Основание металлокаркас, столешница ЛДСП 25мм, лючки для проводов. Размеры 1380х1380х750мм</t>
  </si>
  <si>
    <r>
      <rPr>
        <sz val="10"/>
        <color theme="1"/>
        <rFont val="Times New Roman"/>
      </rPr>
      <t>Стол для конференций 4-х местный. Основание металлокаркас, столешница ЛДСП 25мм, лючки для проводов. Размеры 1380х1380х750мм</t>
    </r>
  </si>
  <si>
    <r>
      <rPr>
        <sz val="10"/>
        <color rgb="FF000000"/>
        <rFont val="Times New Roman"/>
      </rPr>
      <t xml:space="preserve">522-101-1207-0003 - Стол для
</t>
    </r>
    <r>
      <rPr>
        <sz val="10"/>
        <color rgb="FF000000"/>
        <rFont val="Times New Roman"/>
      </rPr>
      <t>конференций 8-ми местный. Основание металлокаркас, столешница ЛДСП 25мм, лючки для проводов. Размеры 2760х1380х750 мм</t>
    </r>
  </si>
  <si>
    <t>Стол для
конференций 8-ми местный. Основание металлокаркас, столешница ЛДСП 25мм, лючки для проводов. Размеры 2760х1380х750 мм</t>
  </si>
  <si>
    <r>
      <rPr>
        <sz val="10"/>
        <color theme="1"/>
        <rFont val="Times New Roman"/>
      </rPr>
      <t>Стол для конференций 8-ми местный. Основание металлокаркас, столешница ЛДСП 25мм, лючки для проводов. Размеры 2760х1380х750 мм</t>
    </r>
  </si>
  <si>
    <r>
      <rPr>
        <sz val="10"/>
        <color rgb="FF000000"/>
        <rFont val="Times New Roman"/>
      </rPr>
      <t xml:space="preserve">522-101-1207-0004 - Стол для
</t>
    </r>
    <r>
      <rPr>
        <sz val="10"/>
        <color rgb="FF000000"/>
        <rFont val="Times New Roman"/>
      </rPr>
      <t>конференций 12-ти местный. Основание металлокаркас, столешница ЛДСП 25мм, лючки для проводов. Размеры  4140х1380х750 мм</t>
    </r>
  </si>
  <si>
    <t>Стол для
конференций 12-ти местный. Основание металлокаркас, столешница ЛДСП 25мм, лючки для проводов. Размеры  4140х1380х750 мм</t>
  </si>
  <si>
    <r>
      <rPr>
        <sz val="10"/>
        <color theme="1"/>
        <rFont val="Times New Roman"/>
      </rPr>
      <t>Стол для конференций 12-ти местный. Основание металлокаркас, столешница ЛДСП 25мм, лючки для проводов. Размеры  4140х1380х750 мм</t>
    </r>
  </si>
  <si>
    <r>
      <rPr>
        <sz val="10"/>
        <color rgb="FF000000"/>
        <rFont val="Times New Roman"/>
      </rPr>
      <t xml:space="preserve">522-101-1207-0005 - Стол для
</t>
    </r>
    <r>
      <rPr>
        <sz val="10"/>
        <color rgb="FF000000"/>
        <rFont val="Times New Roman"/>
      </rPr>
      <t>конференций 16-ти местный. Основание металлокаркас, столешница ЛДСП 25мм, лючки для проводов. Размеры 5520х1380х750 мм</t>
    </r>
  </si>
  <si>
    <t>Стол для
конференций 16-ти местный. Основание металлокаркас, столешница ЛДСП 25мм, лючки для проводов. Размеры 5520х1380х750 мм</t>
  </si>
  <si>
    <r>
      <rPr>
        <sz val="10"/>
        <color theme="1"/>
        <rFont val="Times New Roman"/>
      </rPr>
      <t>Стол для конференций 16-ти местный. Основание металлокаркас, столешница ЛДСП 25мм, лючки для проводов. Размеры 5520х1380х750 мм</t>
    </r>
  </si>
  <si>
    <r>
      <rPr>
        <sz val="10"/>
        <color rgb="FF000000"/>
        <rFont val="Times New Roman"/>
      </rPr>
      <t xml:space="preserve">522-101-1207-0006 - Стол для
</t>
    </r>
    <r>
      <rPr>
        <sz val="10"/>
        <color rgb="FF000000"/>
        <rFont val="Times New Roman"/>
      </rPr>
      <t>конференций 20-ти местный. Основание металлокаркас, столешница ЛДСП 25мм, лючки для проводов. Размеры  6900х1380х750 мм</t>
    </r>
  </si>
  <si>
    <t>Стол для
конференций 20-ти местный. Основание металлокаркас, столешница ЛДСП 25мм, лючки для проводов. Размеры  6900х1380х750 мм</t>
  </si>
  <si>
    <r>
      <rPr>
        <sz val="10"/>
        <color theme="1"/>
        <rFont val="Times New Roman"/>
      </rPr>
      <t>Стол для конференций 20-ти местный. Основание металлокаркас, столешница ЛДСП 25мм, лючки для проводов. Размеры  6900х1380х750 мм</t>
    </r>
  </si>
  <si>
    <r>
      <rPr>
        <sz val="10"/>
        <color rgb="FF000000"/>
        <rFont val="Times New Roman"/>
      </rPr>
      <t xml:space="preserve">522-101-1207-0007 - Стол для
</t>
    </r>
    <r>
      <rPr>
        <sz val="10"/>
        <color rgb="FF000000"/>
        <rFont val="Times New Roman"/>
      </rPr>
      <t>конференций 2500х1100х750мм, ЛДСП 16мм</t>
    </r>
  </si>
  <si>
    <t>Стол для
конференций 2500х1100х750мм, ЛДСП 16мм</t>
  </si>
  <si>
    <r>
      <rPr>
        <sz val="10"/>
        <color theme="1"/>
        <rFont val="Times New Roman"/>
      </rPr>
      <t>Размер: 2500х1100х750мм. Толщина: 16мм. Материал: ЛДСП</t>
    </r>
  </si>
  <si>
    <r>
      <rPr>
        <sz val="10"/>
        <color rgb="FF000000"/>
        <rFont val="Times New Roman"/>
      </rPr>
      <t xml:space="preserve">522-101-1207-0008 - Стол
</t>
    </r>
    <r>
      <rPr>
        <sz val="10"/>
        <color rgb="FF000000"/>
        <rFont val="Times New Roman"/>
      </rPr>
      <t>эргономичный с мобильной тумбой 2200/1400х600х750 мм</t>
    </r>
  </si>
  <si>
    <t>Стол
эргономичный с мобильной тумбой 2200/1400х600х750 мм</t>
  </si>
  <si>
    <r>
      <rPr>
        <sz val="10"/>
        <color rgb="FF000000"/>
        <rFont val="Times New Roman"/>
      </rPr>
      <t xml:space="preserve">Стол угловой 2200/1400х600х750 мм с мобильной тумбой. Материал: ЛДСП толщиной 16 мм, столешница 32 мм. Кромки деталей облицованы полимерным кромочным материалам (ПВХ), толщиной 1,5 мм.
</t>
    </r>
    <r>
      <rPr>
        <sz val="10"/>
        <color rgb="FF000000"/>
        <rFont val="Times New Roman"/>
      </rPr>
      <t>Столешница  имеет эргономичную форму. Фурнитура: конфирматы, стяжка типа BLUM</t>
    </r>
  </si>
  <si>
    <r>
      <rPr>
        <sz val="10"/>
        <color rgb="FF000000"/>
        <rFont val="Times New Roman"/>
      </rPr>
      <t xml:space="preserve">522-101-1207-0009 - Стол
</t>
    </r>
    <r>
      <rPr>
        <sz val="10"/>
        <color rgb="FF000000"/>
        <rFont val="Times New Roman"/>
      </rPr>
      <t>приставной 1600х600х750 мм</t>
    </r>
  </si>
  <si>
    <t>Стол
приставной 1600х600х750 мм</t>
  </si>
  <si>
    <r>
      <rPr>
        <sz val="10"/>
        <color theme="1"/>
        <rFont val="Times New Roman"/>
      </rPr>
      <t>Материал: ЛДСП 16 мм, столешница 32 мм. Кромки деталей облицованы полимерным кромочным материалам (ПВХ), толщиной 1,5 мм. Стяжка типа BLUM.</t>
    </r>
  </si>
  <si>
    <r>
      <rPr>
        <sz val="10"/>
        <color rgb="FF000000"/>
        <rFont val="Times New Roman"/>
      </rPr>
      <t xml:space="preserve">522-101-1207-0010 - Стол для
</t>
    </r>
    <r>
      <rPr>
        <sz val="10"/>
        <color rgb="FF000000"/>
        <rFont val="Times New Roman"/>
      </rPr>
      <t>совещаний 2400х800х750 мм</t>
    </r>
  </si>
  <si>
    <t>Стол для
совещаний 2400х800х750 мм</t>
  </si>
  <si>
    <r>
      <rPr>
        <sz val="10"/>
        <color theme="1"/>
        <rFont val="Times New Roman"/>
      </rPr>
      <t>Материал: ЛДСП 16 мм, столешница 32 мм. Кромки деталей облицованы полимерным кромочным материалам (ПВХ), толщиной 1,5 мм. Стяжка типа BLUM.</t>
    </r>
  </si>
  <si>
    <r>
      <rPr>
        <sz val="10"/>
        <color rgb="FF000000"/>
        <rFont val="Times New Roman"/>
      </rPr>
      <t xml:space="preserve">522-101-1207-0011 - Стол
</t>
    </r>
    <r>
      <rPr>
        <sz val="10"/>
        <color rgb="FF000000"/>
        <rFont val="Times New Roman"/>
      </rPr>
      <t>руководителя угловой со встроенной тумбой, компьютерной приставкой. ЛДСП 16мм, столешница из МДФ 16мм. Размер 1600х600х760мм</t>
    </r>
  </si>
  <si>
    <t>Стол
руководителя угловой со встроенной тумбой, компьютерной приставкой. ЛДСП 16мм, столешница из МДФ 16мм. Размер 1600х600х760мм</t>
  </si>
  <si>
    <r>
      <rPr>
        <sz val="10"/>
        <color theme="1"/>
        <rFont val="Times New Roman"/>
      </rPr>
      <t>Стол руководителя угловой встроенной тумбой, компьютерной приставкой 1600х600х760 мм. Угловая тумба 1200х500х650мм. Столешница из ламинированного МДФ 16 мм, материал корпуса, выдвижных ящиков из ЛДСП 16 мм. Нижняя часть выдвижных ящиков и задней стенки тумбы из ламинированного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тумбы фрезеруется канал, в которую монтируется задняя стенка.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Ножки и каркас столешницы крепящийся к тумбе, изготавлены из профиля толщиной 2 мм. Окраска изделий производится методом электростатического порошкового напыления. Пластиковык ножки стола высотой 50 мм</t>
    </r>
  </si>
  <si>
    <r>
      <rPr>
        <sz val="10"/>
        <color rgb="FF000000"/>
        <rFont val="Times New Roman"/>
      </rPr>
      <t xml:space="preserve">522-101-1207-0012 - Стол
</t>
    </r>
    <r>
      <rPr>
        <sz val="10"/>
        <color rgb="FF000000"/>
        <rFont val="Times New Roman"/>
      </rPr>
      <t>приставной, размеры не менее 1100х500х700мм</t>
    </r>
  </si>
  <si>
    <t>Стол
приставной, размеры не менее 1100х500х700мм</t>
  </si>
  <si>
    <r>
      <rPr>
        <sz val="10"/>
        <color theme="1"/>
        <rFont val="Times New Roman"/>
      </rPr>
      <t>Столешница из ЛДСП 32мм, каркас выполнен из ЛДСП 16мм. Торцы облицованы  кромкой ПВХ толщиной 2мм.</t>
    </r>
  </si>
  <si>
    <r>
      <rPr>
        <sz val="10"/>
        <color rgb="FF000000"/>
        <rFont val="Times New Roman"/>
      </rPr>
      <t xml:space="preserve">522-101-1207-0013 - Стол
</t>
    </r>
    <r>
      <rPr>
        <sz val="10"/>
        <color rgb="FF000000"/>
        <rFont val="Times New Roman"/>
      </rPr>
      <t>руководителя 1800х820х775мм. ЛДСП 16мм, столешница ЛДСП 32мм</t>
    </r>
  </si>
  <si>
    <t>Стол
руководителя 1800х820х775мм. ЛДСП 16мм, столешница ЛДСП 32мм</t>
  </si>
  <si>
    <r>
      <rPr>
        <sz val="10"/>
        <color theme="1"/>
        <rFont val="Times New Roman"/>
      </rPr>
      <t>Стол руководителя. Ширина - 1800мм, глубина - 820мм, высота - 775мм. Столешница из ЛДСП 32мм, каркас выполнен из ЛДСП 16мм. Торцы облицованы  кромкой ПВХ толщиной 2мм.</t>
    </r>
  </si>
  <si>
    <r>
      <rPr>
        <sz val="10"/>
        <color rgb="FF000000"/>
        <rFont val="Times New Roman"/>
      </rPr>
      <t xml:space="preserve">522-101-1207-0014 - Стол
</t>
    </r>
    <r>
      <rPr>
        <sz val="10"/>
        <color rgb="FF000000"/>
        <rFont val="Times New Roman"/>
      </rPr>
      <t>2300х900х750мм. Каркас металлический, столешница из ЛДСП 16мм</t>
    </r>
  </si>
  <si>
    <t>Стол
2300х900х750мм. Каркас металлический, столешница из ЛДСП 16мм</t>
  </si>
  <si>
    <r>
      <rPr>
        <sz val="10"/>
        <color theme="1"/>
        <rFont val="Times New Roman"/>
      </rPr>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2300х900х750мм.</t>
    </r>
  </si>
  <si>
    <r>
      <rPr>
        <sz val="10"/>
        <color rgb="FF000000"/>
        <rFont val="Times New Roman"/>
      </rPr>
      <t xml:space="preserve">522-101-1207-0015 - Стол
</t>
    </r>
    <r>
      <rPr>
        <sz val="10"/>
        <color rgb="FF000000"/>
        <rFont val="Times New Roman"/>
      </rPr>
      <t>2300х1200х750мм. Каркас металлический, столешница из ЛДСП 16мм</t>
    </r>
  </si>
  <si>
    <t>Стол
2300х1200х750мм. Каркас металлический, столешница из ЛДСП 16мм</t>
  </si>
  <si>
    <r>
      <rPr>
        <sz val="10"/>
        <color theme="1"/>
        <rFont val="Times New Roman"/>
      </rPr>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2300х1200х750мм.</t>
    </r>
  </si>
  <si>
    <r>
      <rPr>
        <sz val="10"/>
        <color rgb="FF000000"/>
        <rFont val="Times New Roman"/>
      </rPr>
      <t xml:space="preserve">522-101-1207-0016 - Стол для
</t>
    </r>
    <r>
      <rPr>
        <sz val="10"/>
        <color rgb="FF000000"/>
        <rFont val="Times New Roman"/>
      </rPr>
      <t>совещаний 2000х900х760мм. Столешница из ЛДСП 22мм, основание металлического профиля</t>
    </r>
  </si>
  <si>
    <t>Стол для
совещаний 2000х900х760мм. Столешница из ЛДСП 22мм, основание металлического профиля</t>
  </si>
  <si>
    <r>
      <rPr>
        <sz val="10"/>
        <color theme="1"/>
        <rFont val="Times New Roman"/>
      </rPr>
      <t>Стол для совещаний 2000х900х760мм. Столешница из ЛДСП 22мм, основание металлического профиля</t>
    </r>
  </si>
  <si>
    <r>
      <rPr>
        <sz val="10"/>
        <color rgb="FF000000"/>
        <rFont val="Times New Roman"/>
      </rPr>
      <t xml:space="preserve">522-101-1207-0019 - Стол для
</t>
    </r>
    <r>
      <rPr>
        <sz val="10"/>
        <color rgb="FF000000"/>
        <rFont val="Times New Roman"/>
      </rPr>
      <t>конференций на 12 человек, размеры 3700х1300х760 мм, столешница из ЛДСП 22мм, кромка ПВХ</t>
    </r>
  </si>
  <si>
    <t>Стол для
конференций на 12 человек, размеры 3700х1300х760 мм, столешница из ЛДСП 22мм, кромка ПВХ</t>
  </si>
  <si>
    <r>
      <rPr>
        <sz val="10"/>
        <color rgb="FF000000"/>
        <rFont val="Times New Roman"/>
      </rPr>
      <t xml:space="preserve">Должен быть рассчитан на 10-12 человек и конструктивно собран из шести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t>
    </r>
    <r>
      <rPr>
        <sz val="10"/>
        <color rgb="FF000000"/>
        <rFont val="Times New Roman"/>
      </rPr>
      <t xml:space="preserve">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t>
    </r>
    <r>
      <rPr>
        <sz val="10"/>
        <color rgb="FF000000"/>
        <rFont val="Times New Roman"/>
      </rPr>
      <t>быть пластиковые подпятники.</t>
    </r>
  </si>
  <si>
    <r>
      <rPr>
        <sz val="10"/>
        <color rgb="FF000000"/>
        <rFont val="Times New Roman"/>
      </rPr>
      <t xml:space="preserve">522-101-1207-0020 - Стол для
</t>
    </r>
    <r>
      <rPr>
        <sz val="10"/>
        <color rgb="FF000000"/>
        <rFont val="Times New Roman"/>
      </rPr>
      <t>конференций  на 16 человек, размеры 4900х1300х760 мм, столешница из ЛДСП 22мм, кромка ПВХ</t>
    </r>
  </si>
  <si>
    <t>Стол для
конференций  на 16 человек, размеры 4900х1300х760 мм, столешница из ЛДСП 22мм, кромка ПВХ</t>
  </si>
  <si>
    <r>
      <rPr>
        <sz val="10"/>
        <color rgb="FF000000"/>
        <rFont val="Times New Roman"/>
      </rPr>
      <t xml:space="preserve">Должен быть конструктивно собран из восьми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t>
    </r>
    <r>
      <rPr>
        <sz val="10"/>
        <color rgb="FF000000"/>
        <rFont val="Times New Roman"/>
      </rPr>
      <t xml:space="preserve">Ширина стола должна быть не менее 1300 мм. Вторая. Форма столешницы должна представлять из себя прямоугольник размером 1200х600 мм.
</t>
    </r>
    <r>
      <rPr>
        <sz val="10"/>
        <color rgb="FF000000"/>
        <rFont val="Times New Roman"/>
      </rPr>
      <t>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r>
  </si>
  <si>
    <r>
      <rPr>
        <sz val="10"/>
        <color rgb="FF000000"/>
        <rFont val="Times New Roman"/>
      </rPr>
      <t xml:space="preserve">522-101-1207-0021 - Стол для
</t>
    </r>
    <r>
      <rPr>
        <sz val="10"/>
        <color rgb="FF000000"/>
        <rFont val="Times New Roman"/>
      </rPr>
      <t>конференций  на 20 человек, размеры 6100х1300х760 мм, столешница из ЛДСП 22мм, кромка ПВХ</t>
    </r>
  </si>
  <si>
    <t>Стол для
конференций  на 20 человек, размеры 6100х1300х760 мм, столешница из ЛДСП 22мм, кромка ПВХ</t>
  </si>
  <si>
    <r>
      <rPr>
        <sz val="10"/>
        <color theme="1"/>
        <rFont val="Times New Roman"/>
      </rPr>
      <t>Должен быть конструктивно собран из десяти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r>
  </si>
  <si>
    <r>
      <rPr>
        <sz val="10"/>
        <color rgb="FF000000"/>
        <rFont val="Times New Roman"/>
      </rPr>
      <t xml:space="preserve">522-101-1207-0022 - Стол для
</t>
    </r>
    <r>
      <rPr>
        <sz val="10"/>
        <color rgb="FF000000"/>
        <rFont val="Times New Roman"/>
      </rPr>
      <t>президиума, размеры 3600х800х760 мм, внешняя опора и столешница из ЛДСП 22 мм, внутренняя опора 16 мм</t>
    </r>
  </si>
  <si>
    <t>Стол для
президиума, размеры 3600х800х760 мм, внешняя опора и столешница из ЛДСП 22 мм, внутренняя опора 16 мм</t>
  </si>
  <si>
    <r>
      <rPr>
        <sz val="10"/>
        <color rgb="FF000000"/>
        <rFont val="Times New Roman"/>
      </rPr>
      <t xml:space="preserve">Стол выполнен из 2х частей 1800х800х760 мм внешняя опора и столешница выполнены из ЛДСП не менее 22 мм, внутренняя опора 16 мм. На царге расположены декоративные панели в количестве 4 шт так же 16 мм.
</t>
    </r>
    <r>
      <rPr>
        <sz val="10"/>
        <color rgb="FF000000"/>
        <rFont val="Times New Roman"/>
      </rPr>
      <t>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r>
  </si>
  <si>
    <r>
      <rPr>
        <sz val="10"/>
        <color rgb="FF000000"/>
        <rFont val="Times New Roman"/>
      </rPr>
      <t xml:space="preserve">522-101-1207-0023 - Стол для
</t>
    </r>
    <r>
      <rPr>
        <sz val="10"/>
        <color rgb="FF000000"/>
        <rFont val="Times New Roman"/>
      </rPr>
      <t>конференций, столешница из щита дуба, металлокаркас из прямоугольной профильной трубы, размеры 2000х900х760 мм</t>
    </r>
  </si>
  <si>
    <t>Стол для
конференций, столешница из щита дуба, металлокаркас из прямоугольной профильной трубы, размеры 2000х900х760 мм</t>
  </si>
  <si>
    <r>
      <rPr>
        <sz val="10"/>
        <color rgb="FF000000"/>
        <rFont val="Times New Roman"/>
      </rPr>
      <t xml:space="preserve">Столешница выполнена из щита дуба и покрыта защитным составом.
</t>
    </r>
    <r>
      <rPr>
        <sz val="10"/>
        <color rgb="FF000000"/>
        <rFont val="Times New Roman"/>
      </rPr>
      <t>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имеются 3 усилителя траверсы из профильной трубы 40х25 мм, толщиной не менее 1,2 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r>
  </si>
  <si>
    <r>
      <rPr>
        <sz val="10"/>
        <color rgb="FF000000"/>
        <rFont val="Times New Roman"/>
      </rPr>
      <t xml:space="preserve">522-101-1207-0024 - Стол для
</t>
    </r>
    <r>
      <rPr>
        <sz val="10"/>
        <color rgb="FF000000"/>
        <rFont val="Times New Roman"/>
      </rPr>
      <t>конференций, столешница из ЛДСП 22мм, кромка ПВХ, металлокаркас из прямоугольной профильной трубы, размеры 2200х800х760 мм</t>
    </r>
  </si>
  <si>
    <t>Стол для
конференций, столешница из ЛДСП 22мм, кромка ПВХ, металлокаркас из прямоугольной профильной трубы, размеры 2200х800х760 мм</t>
  </si>
  <si>
    <r>
      <rPr>
        <sz val="10"/>
        <color theme="1"/>
        <rFont val="Times New Roman"/>
      </rPr>
      <t>Столешница выполнена из ЛДСП не менее 22мм, торцы отделаны кромкой ПВХ толщиной 2мм. Столешница установлена на металлокаркас из прямоугольной профильной трубы 50х25мм толщиной не менее 1,2мм,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иметься 3 усилителя траверсы из профильной трубы 40х25мм. толщиной не менее 1,2мм,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r>
  </si>
  <si>
    <r>
      <rPr>
        <sz val="10"/>
        <color rgb="FF000000"/>
        <rFont val="Times New Roman"/>
      </rPr>
      <t xml:space="preserve">522-101-1208-0001 - Стол
</t>
    </r>
    <r>
      <rPr>
        <sz val="10"/>
        <color rgb="FF000000"/>
        <rFont val="Times New Roman"/>
      </rPr>
      <t>преподавателя 1200х600х750 мм марки СУ 07-19</t>
    </r>
  </si>
  <si>
    <t>Стол
преподавателя 1200х600х750 мм марки СУ 07-19</t>
  </si>
  <si>
    <r>
      <rPr>
        <sz val="10"/>
        <color theme="1"/>
        <rFont val="Times New Roman"/>
      </rPr>
      <t>Стол однотумбовый. Каркас цельносварная рамочная конструкция. Столешница и тумба из ЛДСП 16 мм. Размеры: 1200х600х750мм.</t>
    </r>
  </si>
  <si>
    <r>
      <rPr>
        <sz val="10"/>
        <color rgb="FF000000"/>
        <rFont val="Times New Roman"/>
      </rPr>
      <t xml:space="preserve">522-101-1208-0002 - Стол
</t>
    </r>
    <r>
      <rPr>
        <sz val="10"/>
        <color rgb="FF000000"/>
        <rFont val="Times New Roman"/>
      </rPr>
      <t>преподавателя 1200х600х750 мм марки СУ 07-18</t>
    </r>
  </si>
  <si>
    <t>Стол
преподавателя 1200х600х750 мм марки СУ 07-18</t>
  </si>
  <si>
    <r>
      <rPr>
        <sz val="10"/>
        <color theme="1"/>
        <rFont val="Times New Roman"/>
      </rPr>
      <t>Стол однотумбовый. Каркас цельносварная рамочная конструкция. Столешница и тумба из ЛДСП 16 мм. Размеры: 1200х600х750мм.</t>
    </r>
  </si>
  <si>
    <r>
      <rPr>
        <sz val="10"/>
        <color rgb="FF000000"/>
        <rFont val="Times New Roman"/>
      </rPr>
      <t xml:space="preserve">522-101-1208-0003 - Стол
</t>
    </r>
    <r>
      <rPr>
        <sz val="10"/>
        <color rgb="FF000000"/>
        <rFont val="Times New Roman"/>
      </rPr>
      <t>преподавателя размер с ПВХ кромкой 1350х650х750 мм</t>
    </r>
  </si>
  <si>
    <t>Стол
преподавателя размер с ПВХ кромкой 1350х650х750 мм</t>
  </si>
  <si>
    <r>
      <rPr>
        <sz val="10"/>
        <color theme="1"/>
        <rFont val="Times New Roman"/>
      </rPr>
      <t>Стол преподавателя с ПВХ кромкой размер 1350х650х750 мм на 2-х металлических боковинах. Основание металлокаркас</t>
    </r>
  </si>
  <si>
    <r>
      <rPr>
        <sz val="10"/>
        <color rgb="FF000000"/>
        <rFont val="Times New Roman"/>
      </rPr>
      <t xml:space="preserve">522-101-1208-0004 - Стол
</t>
    </r>
    <r>
      <rPr>
        <sz val="10"/>
        <color rgb="FF000000"/>
        <rFont val="Times New Roman"/>
      </rPr>
      <t>преподавателя с полиуретановой кромкой размерами 1350х650х750 мм</t>
    </r>
  </si>
  <si>
    <t>Стол
преподавателя с полиуретановой кромкой размерами 1350х650х750 мм</t>
  </si>
  <si>
    <r>
      <rPr>
        <sz val="10"/>
        <color theme="1"/>
        <rFont val="Times New Roman"/>
      </rPr>
      <t>Стол на 2-х металлических боковинах, 1350*650*750мм, соединенных между собой столешницей и царгой, изготовленных из ЛДСП. Облицованные полиуретановой кромкой между двумя боковыми опорами, изготовленные из плоскоовальной трубы 50х25х1,4 мм и круглой трубы диаметром 25х1,4 мм основного стола устанавливается царга</t>
    </r>
  </si>
  <si>
    <r>
      <rPr>
        <sz val="10"/>
        <color theme="1"/>
        <rFont val="Times New Roman"/>
      </rPr>
      <t>522-101-1208-0005 - Стол учителя 1350х650х760мм, столешница ЛДСП 22мм, каркас из профильной трубы 40х40мм, кромка ПВХ</t>
    </r>
  </si>
  <si>
    <r>
      <rPr>
        <sz val="10"/>
        <color theme="1"/>
        <rFont val="Times New Roman"/>
      </rPr>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40х40мм. покрытие полимернопорошковое.</t>
    </r>
  </si>
  <si>
    <r>
      <rPr>
        <sz val="10"/>
        <color theme="1"/>
        <rFont val="Times New Roman"/>
      </rPr>
      <t>522-101-1208-0006 - Стол учителя 1350х650х760мм, столешница ЛДСП 22мм, каркас из профильной трубы 60х15мм, кромка ПВХ</t>
    </r>
  </si>
  <si>
    <r>
      <rPr>
        <sz val="10"/>
        <color theme="1"/>
        <rFont val="Times New Roman"/>
      </rPr>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60х15мм. покрытие полимернопорошковое.</t>
    </r>
  </si>
  <si>
    <r>
      <rPr>
        <sz val="10"/>
        <color theme="1"/>
        <rFont val="Times New Roman"/>
      </rPr>
      <t>522-101-1208-0007 - Стол учителя 1350х650х760мм, столешница ЛДСП 22мм, каркас цельносварной из квадратной профильной трубы 25х25мм, кромка ПВХ</t>
    </r>
  </si>
  <si>
    <r>
      <rPr>
        <sz val="10"/>
        <color theme="1"/>
        <rFont val="Times New Roman"/>
      </rPr>
      <t>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Царга состоит из 3-х частей. Имеется кабельканал. На столешнице углы закруглены. Каркас стола цельносварной изготовлен из профильной трубы 25х25мм. покрытие полимернопорошковое.</t>
    </r>
  </si>
  <si>
    <r>
      <rPr>
        <sz val="10"/>
        <color theme="1"/>
        <rFont val="Times New Roman"/>
      </rPr>
      <t>522-101-1208-0008 - Стол учителя 1350х650х760мм, столешница ЛДСП 22мм, каркас из квадратной профильной трубы 30х30мм, кромка ПВХ</t>
    </r>
  </si>
  <si>
    <r>
      <rPr>
        <sz val="10"/>
        <color theme="1"/>
        <rFont val="Times New Roman"/>
      </rPr>
      <t>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Царга изготовлена из МДФ толщиной 16мм и обтянута пленкой ПВХ.Имеется кабельканал. На столешнице углы закруглены. Каркас стола цельносварной изготовлен из профильной трубы 30х30мм. покрытие полимернопорошковое.</t>
    </r>
  </si>
  <si>
    <r>
      <rPr>
        <sz val="10"/>
        <color theme="1"/>
        <rFont val="Times New Roman"/>
      </rPr>
      <t>522-101-1208-0009 - Стол учителя 1300х650х760 мм. Столешница ЛДСП 22 мм, кромка ПВХ 2 мм</t>
    </r>
  </si>
  <si>
    <t>Стол учителя 1300х650х760 мм. Столешница ЛДСП 22 мм, кромка ПВХ 2 мм</t>
  </si>
  <si>
    <r>
      <rPr>
        <sz val="10"/>
        <color theme="1"/>
        <rFont val="Times New Roman"/>
      </rPr>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r>
  </si>
  <si>
    <r>
      <rPr>
        <sz val="10"/>
        <color theme="1"/>
        <rFont val="Times New Roman"/>
      </rPr>
      <t>522-101-1208-0010 - Стол учителя с полкой для ПК 1300х650х760мм. Столешница ЛДСП 22 мм, кромка ПВХ 2 мм</t>
    </r>
  </si>
  <si>
    <r>
      <rPr>
        <sz val="10"/>
        <color theme="1"/>
        <rFont val="Times New Roman"/>
      </rPr>
      <t>Стол учительский с полкой для ПК. 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 глубина 456 мм, ширина 200 мм. Имеются технологические отверстия для крепежа системного блока ПК к полке с помощью ремней.</t>
    </r>
  </si>
  <si>
    <r>
      <rPr>
        <sz val="10"/>
        <color theme="1"/>
        <rFont val="Times New Roman"/>
      </rPr>
      <t>522-101-1208-0011 - Стол учителя 1200х600х750мм. Столешница и полки из ЛДСП 16 мм, кромка ПВХ 1мм. Полка под процессор</t>
    </r>
  </si>
  <si>
    <r>
      <rPr>
        <sz val="10"/>
        <color theme="1"/>
        <rFont val="Times New Roman"/>
      </rPr>
      <t>Стол учителя. Стол размером 1200х600х750мм. Столешница стола и полки из ЛДСП 16 мм. Боковые торцы стола облицована кромкой ПВХ 1 мм. Установлена полка под процессор. Каркас и ножки стола изготовлены из профильной трубы окрашенные в полимерно-порошковую краску.</t>
    </r>
  </si>
  <si>
    <r>
      <rPr>
        <sz val="10"/>
        <color rgb="FF000000"/>
        <rFont val="Times New Roman"/>
      </rPr>
      <t xml:space="preserve">522-101-1208-0012 - Стол с
</t>
    </r>
    <r>
      <rPr>
        <sz val="10"/>
        <color rgb="FF000000"/>
        <rFont val="Times New Roman"/>
      </rPr>
      <t>подвесной тумбой, размеры 1200х650х750 мм, столешница из ЛДСП толщиной 22мм, металлический цельносварной каркас</t>
    </r>
  </si>
  <si>
    <t>Стол с
подвесной тумбой, размеры 1200х650х750 мм, столешница из ЛДСП толщиной 22мм, металлический цельносварной каркас</t>
  </si>
  <si>
    <r>
      <rPr>
        <sz val="10"/>
        <color rgb="FF000000"/>
        <rFont val="Times New Roman"/>
      </rPr>
      <t xml:space="preserve">Стол с подвесной тумбой 1200х650х750 мм. Габаритные размеры 1200х650х760 мм, столешница ЛДСП не менее 22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Имеется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t>
    </r>
    <r>
      <rPr>
        <sz val="10"/>
        <color rgb="FF000000"/>
        <rFont val="Times New Roman"/>
      </rPr>
      <t xml:space="preserve">В опорах установлены регулируемые опоры для избежание повреждения
</t>
    </r>
    <r>
      <rPr>
        <sz val="10"/>
        <color rgb="FF000000"/>
        <rFont val="Times New Roman"/>
      </rPr>
      <t>полового покрытия.</t>
    </r>
  </si>
  <si>
    <r>
      <rPr>
        <sz val="10"/>
        <color rgb="FF000000"/>
        <rFont val="Times New Roman"/>
      </rPr>
      <t xml:space="preserve">522-101-1208-0013 - Стол
</t>
    </r>
    <r>
      <rPr>
        <sz val="10"/>
        <color rgb="FF000000"/>
        <rFont val="Times New Roman"/>
      </rPr>
      <t>преподавателя, размеры 1800х800х780 мм, столешница из ЛДСП толщиной 22мм, металлический каркас</t>
    </r>
  </si>
  <si>
    <t>Стол
преподавателя, размеры 1800х800х780 мм, столешница из ЛДСП толщиной 22мм, металлический каркас</t>
  </si>
  <si>
    <r>
      <rPr>
        <sz val="10"/>
        <color theme="1"/>
        <rFont val="Times New Roman"/>
      </rPr>
      <t>Габаритные размеры столешницы 1800х800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г-образной угловой формы, изготовленный из профильной трубы квадратного сечения 40х40х1,2 мм. Также имеется металлическая опора под тумбой.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4 выдвижными ящиками на направляющих полного выдвижения, габаритные размеры: глубина 700 мм х ширина 450 мм. На тумбе расположена опора под столешницу.</t>
    </r>
  </si>
  <si>
    <r>
      <rPr>
        <sz val="10"/>
        <color rgb="FF000000"/>
        <rFont val="Times New Roman"/>
      </rPr>
      <t xml:space="preserve">522-101-1209-0001 - Стол
</t>
    </r>
    <r>
      <rPr>
        <sz val="10"/>
        <color rgb="FF000000"/>
        <rFont val="Times New Roman"/>
      </rPr>
      <t>ученический одноместный регулируемый по высоте 700х500х580/760мм ШК 85-13 Р-1</t>
    </r>
  </si>
  <si>
    <t>Стол
ученический одноместный регулируемый по высоте 700х500х580/760мм ШК 85-13 Р-1</t>
  </si>
  <si>
    <r>
      <rPr>
        <sz val="10"/>
        <color theme="1"/>
        <rFont val="Times New Roman"/>
      </rPr>
      <t>Стол ученический одноместный регулируемый по высоте. Размер 700х500х580/760мм. Столешница ЛДСП 16мм. Основание металлокаркас.</t>
    </r>
  </si>
  <si>
    <r>
      <rPr>
        <sz val="10"/>
        <color rgb="FF000000"/>
        <rFont val="Times New Roman"/>
      </rPr>
      <t xml:space="preserve">522-101-1209-0002 - Стол
</t>
    </r>
    <r>
      <rPr>
        <sz val="10"/>
        <color rgb="FF000000"/>
        <rFont val="Times New Roman"/>
      </rPr>
      <t xml:space="preserve">ученический одноместный 700х500х760мм (тр20х20) ШК
</t>
    </r>
    <r>
      <rPr>
        <sz val="10"/>
        <color rgb="FF000000"/>
        <rFont val="Times New Roman"/>
      </rPr>
      <t>85-13-1</t>
    </r>
  </si>
  <si>
    <t>Стол
ученический одноместный 700х500х760мм (тр20х20) ШК
85-13-1</t>
  </si>
  <si>
    <r>
      <rPr>
        <sz val="10"/>
        <color theme="1"/>
        <rFont val="Times New Roman"/>
      </rPr>
      <t>Стол ученический одноместный. Размер 700х500х760мм. Столешница ЛДСП 16мм. Основание металлокаркас.</t>
    </r>
  </si>
  <si>
    <r>
      <rPr>
        <sz val="10"/>
        <color rgb="FF000000"/>
        <rFont val="Times New Roman"/>
      </rPr>
      <t xml:space="preserve">522-101-1209-0003 - Стол
</t>
    </r>
    <r>
      <rPr>
        <sz val="10"/>
        <color rgb="FF000000"/>
        <rFont val="Times New Roman"/>
      </rPr>
      <t>ученический одноместный регулируемый по высоте с ПВХ кромкой. Столешница ЛДСП 22мм, основание металлокаркас. Размер столешницы 600х500мм</t>
    </r>
  </si>
  <si>
    <t>Стол
ученический одноместный регулируемый по высоте с ПВХ кромкой. Столешница ЛДСП 22мм, основание металлокаркас. Размер столешницы 600х500мм</t>
  </si>
  <si>
    <r>
      <rPr>
        <sz val="10"/>
        <color theme="1"/>
        <rFont val="Times New Roman"/>
      </rPr>
      <t>Стол состоит сборно-разборного каркаса плоскоовальной трубы 50*25*1,2мм и 40*25*1,4мм регулируемые по высоте и столешницы из ЛДСП толщиной не менее 22 мм с кромкой ПВХ. Столешница имеет размеры 600х500мм. Торцевые края должны быть облицованы материалом кромочным из ПВХ. Окрашена полимерное (порошковая краска) любого цвета.</t>
    </r>
  </si>
  <si>
    <r>
      <rPr>
        <sz val="10"/>
        <color rgb="FF000000"/>
        <rFont val="Times New Roman"/>
      </rPr>
      <t xml:space="preserve">522-101-1209-0004 - Стол
</t>
    </r>
    <r>
      <rPr>
        <sz val="10"/>
        <color rgb="FF000000"/>
        <rFont val="Times New Roman"/>
      </rPr>
      <t>ученический одноместный регулируемый по высоте с полиуретановой кромкой. Столешница ЛДСП 22мм, основание металлокаркас. Размер столешницы 600х500мм</t>
    </r>
  </si>
  <si>
    <t>Стол
ученический одноместный регулируемый по высоте с полиуретановой кромкой. Столешница ЛДСП 22мм, основание металлокаркас. Размер столешницы 600х500мм</t>
  </si>
  <si>
    <r>
      <rPr>
        <sz val="10"/>
        <color rgb="FF000000"/>
        <rFont val="Times New Roman"/>
      </rPr>
      <t xml:space="preserve">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600х500мм.
</t>
    </r>
    <r>
      <rPr>
        <sz val="10"/>
        <color rgb="FF000000"/>
        <rFont val="Times New Roman"/>
      </rPr>
      <t xml:space="preserve">Торцевые края должны быть облицованы полиуретановым материалом.
</t>
    </r>
    <r>
      <rPr>
        <sz val="10"/>
        <color rgb="FF000000"/>
        <rFont val="Times New Roman"/>
      </rPr>
      <t>Окрашена полимерное (порошковая краска) любого цвета.</t>
    </r>
  </si>
  <si>
    <r>
      <rPr>
        <sz val="10"/>
        <color rgb="FF000000"/>
        <rFont val="Times New Roman"/>
      </rPr>
      <t xml:space="preserve">522-101-1209-0005 - Стол
</t>
    </r>
    <r>
      <rPr>
        <sz val="10"/>
        <color rgb="FF000000"/>
        <rFont val="Times New Roman"/>
      </rPr>
      <t xml:space="preserve">ученический одноместный не регулируемый. Столешница ЛДСП 32мм, основание металлокаркас.
</t>
    </r>
    <r>
      <rPr>
        <sz val="10"/>
        <color rgb="FF000000"/>
        <rFont val="Times New Roman"/>
      </rPr>
      <t>Размер столешницы 700х500х640/710/760 мм</t>
    </r>
  </si>
  <si>
    <t>Стол
ученический одноместный не регулируемый. Столешница ЛДСП 32мм, основание металлокаркас.
Размер столешницы 700х500х640/710/760 мм</t>
  </si>
  <si>
    <r>
      <rPr>
        <sz val="10"/>
        <color theme="1"/>
        <rFont val="Times New Roman"/>
      </rPr>
      <t>Стол ученический одноместный не регулируемый. Столешница ЛДСП 32мм, основание металлокаркас. Размер столешницы 700х500х640/710/760 мм</t>
    </r>
  </si>
  <si>
    <r>
      <rPr>
        <sz val="10"/>
        <color rgb="FF000000"/>
        <rFont val="Times New Roman"/>
      </rPr>
      <t xml:space="preserve">522-101-1209-0006 - Стол
</t>
    </r>
    <r>
      <rPr>
        <sz val="10"/>
        <color rgb="FF000000"/>
        <rFont val="Times New Roman"/>
      </rPr>
      <t>ученический одноместный регулируемый по высоте с ПВХ кромкой. Столешница ЛДСП 16мм, основание металлокаркас. Размер столешницы 630*450мм.</t>
    </r>
  </si>
  <si>
    <t>Стол
ученический одноместный регулируемый по высоте с ПВХ кромкой. Столешница ЛДСП 16мм, основание металлокаркас. Размер столешницы 630*450мм.</t>
  </si>
  <si>
    <r>
      <rPr>
        <sz val="10"/>
        <color theme="1"/>
        <rFont val="Times New Roman"/>
      </rPr>
      <t>Стол ученический одноместный регулируемый по высоте с ПВХ кромкой. Столешница ЛДСП 16мм, основание металлокаркас. Размер столешницы 630*450мм.</t>
    </r>
  </si>
  <si>
    <r>
      <rPr>
        <sz val="10"/>
        <color rgb="FF000000"/>
        <rFont val="Times New Roman"/>
      </rPr>
      <t xml:space="preserve">522-101-1209-0007 - Стол
</t>
    </r>
    <r>
      <rPr>
        <sz val="10"/>
        <color rgb="FF000000"/>
        <rFont val="Times New Roman"/>
      </rPr>
      <t xml:space="preserve">ученический одноместный не регулируемый с ПВХ кромкой.
</t>
    </r>
    <r>
      <rPr>
        <sz val="10"/>
        <color rgb="FF000000"/>
        <rFont val="Times New Roman"/>
      </rPr>
      <t>Столешница ЛДСП 16мм, основание металлокаркас. Размер столешницы 630*450мм</t>
    </r>
  </si>
  <si>
    <t>Стол
ученический одноместный не регулируемый с ПВХ кромкой.
Столешница ЛДСП 16мм, основание металлокаркас. Размер столешницы 630*450мм</t>
  </si>
  <si>
    <r>
      <rPr>
        <sz val="10"/>
        <color rgb="FF000000"/>
        <rFont val="Times New Roman"/>
      </rPr>
      <t xml:space="preserve">Стол ученический одноместный не регулируемый с ПВХ кромкой.
</t>
    </r>
    <r>
      <rPr>
        <sz val="10"/>
        <color rgb="FF000000"/>
        <rFont val="Times New Roman"/>
      </rPr>
      <t>Столешница ЛДСП 16мм, основание металлокаркас. Размер столешницы 630*450мм</t>
    </r>
  </si>
  <si>
    <r>
      <rPr>
        <sz val="10"/>
        <color rgb="FF000000"/>
        <rFont val="Times New Roman"/>
      </rPr>
      <t xml:space="preserve">522-101-1209-0008 - Стол
</t>
    </r>
    <r>
      <rPr>
        <sz val="10"/>
        <color rgb="FF000000"/>
        <rFont val="Times New Roman"/>
      </rPr>
      <t>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r>
  </si>
  <si>
    <t>Стол
ученический одноместный для групповых работ. Столешница 690*590мм, ЛДСП 22мм. Каркас</t>
  </si>
  <si>
    <t>цельносварная металлическая труба диаметром 50х25х1,5мм, труба усилитель 25х20х1мм.</t>
  </si>
  <si>
    <r>
      <rPr>
        <sz val="10"/>
        <color theme="1"/>
        <rFont val="Times New Roman"/>
      </rPr>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r>
  </si>
  <si>
    <r>
      <rPr>
        <sz val="10"/>
        <color rgb="FF000000"/>
        <rFont val="Times New Roman"/>
      </rPr>
      <t xml:space="preserve">522-101-1209-0009 - Стол
</t>
    </r>
    <r>
      <rPr>
        <sz val="10"/>
        <color rgb="FF000000"/>
        <rFont val="Times New Roman"/>
      </rPr>
      <t>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r>
  </si>
  <si>
    <t>Стол
ученический одноместный для групповых работ. Столешница 730*790мм, ЛДСП 22мм. Каркас</t>
  </si>
  <si>
    <t>цельносварная металлическая круглая труба диаметром 32х1,2мм, труба-усилитель 40х20х1,5мм.</t>
  </si>
  <si>
    <r>
      <rPr>
        <sz val="10"/>
        <color theme="1"/>
        <rFont val="Times New Roman"/>
      </rPr>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r>
  </si>
  <si>
    <r>
      <rPr>
        <sz val="10"/>
        <color rgb="FF000000"/>
        <rFont val="Times New Roman"/>
      </rPr>
      <t xml:space="preserve">522-101-1209-0010 - Стол
</t>
    </r>
    <r>
      <rPr>
        <sz val="10"/>
        <color rgb="FF000000"/>
        <rFont val="Times New Roman"/>
      </rPr>
      <t>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r>
  </si>
  <si>
    <t>Стол
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</si>
  <si>
    <r>
      <rPr>
        <sz val="10"/>
        <color rgb="FF000000"/>
        <rFont val="Times New Roman"/>
      </rPr>
      <t xml:space="preserve">Стол ученический одноместный в основе имеет полностью сварной металлический каркас. Размер столешницы 700х500мм. Высота стола регулируемая не менее 700-760мм и 580-640 мм.  Столешница из ЛДСП имеет размеры 700х500мм и высоту 22 мм , цвет по согласованию с заказчиком. Торцевые части выполнены из полипропиленового пластика серого цвета и толщиной не менее 4 мм, а так же имеет встроенный пенал для карандашей. Вся кромка и пенал имеют монолитную форму без стыков.
</t>
    </r>
    <r>
      <rPr>
        <sz val="10"/>
        <color rgb="FF000000"/>
        <rFont val="Times New Roman"/>
      </rPr>
      <t xml:space="preserve">Имеются ударопрочные пластиковые подпятники на основание стола.
</t>
    </r>
    <r>
      <rPr>
        <sz val="10"/>
        <color rgb="FF000000"/>
        <rFont val="Times New Roman"/>
      </rPr>
      <t xml:space="preserve">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t>
    </r>
    <r>
      <rPr>
        <sz val="10"/>
        <color rgb="FF000000"/>
        <rFont val="Times New Roman"/>
      </rPr>
      <t>Полка сетчатая корзинка комплектуется по запросу заказчика .</t>
    </r>
  </si>
  <si>
    <r>
      <rPr>
        <sz val="10"/>
        <color rgb="FF000000"/>
        <rFont val="Times New Roman"/>
      </rPr>
      <t xml:space="preserve">522-101-1209-0011 - Стол
</t>
    </r>
    <r>
      <rPr>
        <sz val="10"/>
        <color rgb="FF000000"/>
        <rFont val="Times New Roman"/>
      </rPr>
      <t>ученический одноместный регулируемый по высоте с ПВХ кромкой. Столешница ЛДСП 18мм, основание металлокаркас. Размер столешницы 600х500мм</t>
    </r>
  </si>
  <si>
    <t>Стол
ученический одноместный регулируемый по высоте с ПВХ кромкой. Столешница ЛДСП 18мм, основание металлокаркас. Размер столешницы 600х500мм</t>
  </si>
  <si>
    <r>
      <rPr>
        <sz val="10"/>
        <color rgb="FF000000"/>
        <rFont val="Times New Roman"/>
      </rPr>
      <t xml:space="preserve">Стол ученический одноместный в основе имеет сварной металлический каркас. Размер столешницы 600х500мм. Высота стола регулируемая.
</t>
    </r>
    <r>
      <rPr>
        <sz val="10"/>
        <color rgb="FF000000"/>
        <rFont val="Times New Roman"/>
      </rPr>
      <t>Столешница из ЛДСП имеет размеры 600х500мм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r>
  </si>
  <si>
    <r>
      <rPr>
        <sz val="10"/>
        <color rgb="FF000000"/>
        <rFont val="Times New Roman"/>
      </rPr>
      <t xml:space="preserve">522-101-1209-0012 - Стол
</t>
    </r>
    <r>
      <rPr>
        <sz val="10"/>
        <color rgb="FF000000"/>
        <rFont val="Times New Roman"/>
      </rPr>
      <t xml:space="preserve">ученический одноместный, с сиденьем, не регулируемый по высоте с ПВХ кромкой.
</t>
    </r>
    <r>
      <rPr>
        <sz val="10"/>
        <color rgb="FF000000"/>
        <rFont val="Times New Roman"/>
      </rPr>
      <t>Столешница ЛДСП 16мм, основание металлокаркас. Размер столешницы 600х500мм, сиденья 600х275мм, спинки 600х250мм</t>
    </r>
  </si>
  <si>
    <t>Стол
ученический одноместный, с сиденьем, не регулируемый по высоте с ПВХ кромкой.
Столешница ЛДСП 16мм, основание металлокаркас. Размер столешницы 600х500мм, сиденья 600х275мм, спинки 600х250мм</t>
  </si>
  <si>
    <r>
      <rPr>
        <sz val="10"/>
        <color theme="1"/>
        <rFont val="Times New Roman"/>
      </rPr>
      <t>Стол ученический одноместный, с сиденьем, в основе имеет сварной металлический каркас. Размер столешницы 600х500мм.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600х275мм. Спинка изготовлена из ЛДСП 16 мм, размер 600х250мм.</t>
    </r>
  </si>
  <si>
    <r>
      <rPr>
        <sz val="10"/>
        <color rgb="FF000000"/>
        <rFont val="Times New Roman"/>
      </rPr>
      <t xml:space="preserve">522-101-1209-0013 - Стол
</t>
    </r>
    <r>
      <rPr>
        <sz val="10"/>
        <color rgb="FF000000"/>
        <rFont val="Times New Roman"/>
      </rPr>
      <t>ученический одноместный не регулируемый по высоте с ПВХ кромкой. Столешница ЛДСП типа EGGER 32мм, основание металлокаркас. Размер столешницы 700х600 мм</t>
    </r>
  </si>
  <si>
    <t>Стол
ученический одноместный не регулируемый по высоте с ПВХ кромкой. Столешница ЛДСП типа EGGER 32мм, основание металлокаркас. Размер столешницы 700х600 мм</t>
  </si>
  <si>
    <r>
      <rPr>
        <sz val="10"/>
        <color theme="1"/>
        <rFont val="Times New Roman"/>
      </rPr>
      <t>Размер 700х600х750 мм. Цвет бежевый. Материал - ЛДСП  типа EGGER. Каркас - металл.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Кромка ПВХ. Клепки из нержавейки.</t>
    </r>
  </si>
  <si>
    <r>
      <rPr>
        <sz val="10"/>
        <color rgb="FF000000"/>
        <rFont val="Times New Roman"/>
      </rPr>
      <t xml:space="preserve">522-101-1209-0014 - Стол
</t>
    </r>
    <r>
      <rPr>
        <sz val="10"/>
        <color rgb="FF000000"/>
        <rFont val="Times New Roman"/>
      </rPr>
      <t xml:space="preserve">ученический одноместный регулируемый по высоте от 640 до 760 мм, с ПВХ кромкой.
</t>
    </r>
    <r>
      <rPr>
        <sz val="10"/>
        <color rgb="FF000000"/>
        <rFont val="Times New Roman"/>
      </rPr>
      <t>Столешница ЛДСП 22мм, основание металлокаркас. Размер столешницы 700х500мм</t>
    </r>
  </si>
  <si>
    <t>Стол
ученический одноместный регулируемый по высоте от 640 до 760 мм, с ПВХ кромкой.
Столешница ЛДСП 22мм, основание металлокаркас. Размер столешницы 700х500мм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</si>
  <si>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700х500мм. Высота стола регулируемая от 640 до 760 мм . Столешница из ЛДСП имеет размеры 700х500мм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t>
    </r>
    <r>
      <rPr>
        <sz val="10"/>
        <color rgb="FF000000"/>
        <rFont val="Times New Roman"/>
      </rPr>
      <t>черного цвета.</t>
    </r>
  </si>
  <si>
    <r>
      <rPr>
        <sz val="10"/>
        <color rgb="FF000000"/>
        <rFont val="Times New Roman"/>
      </rPr>
      <t xml:space="preserve">522-101-1209-0015 - Стол
</t>
    </r>
    <r>
      <rPr>
        <sz val="10"/>
        <color rgb="FF000000"/>
        <rFont val="Times New Roman"/>
      </rPr>
      <t>ученический одноместный регулируемый по высоте. Столешница верзалит 23мм, основание металлокаркас. Размер столешницы 600*450мм</t>
    </r>
  </si>
  <si>
    <t>Стол
ученический одноместный регулируемый по высоте. Столешница верзалит 23мм, основание металлокаркас. Размер столешницы 600*450мм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</si>
  <si>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600*450мм. Высота стола регулируемая от 640 до 760 мм.
</t>
    </r>
    <r>
      <rPr>
        <sz val="10"/>
        <color rgb="FF000000"/>
        <rFont val="Times New Roman"/>
      </rPr>
      <t xml:space="preserve">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</si>
  <si>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522-101-1209-0016 - Стол
</t>
    </r>
    <r>
      <rPr>
        <sz val="10"/>
        <color rgb="FF000000"/>
        <rFont val="Times New Roman"/>
      </rPr>
      <t xml:space="preserve">ученический одноместный регулируемый по высоте и наклону столешницы. Столешница верзалит 23мм, основание металлокаркас.
</t>
    </r>
    <r>
      <rPr>
        <sz val="10"/>
        <color rgb="FF000000"/>
        <rFont val="Times New Roman"/>
      </rPr>
      <t>Размер столешницы 600*450мм</t>
    </r>
  </si>
  <si>
    <t>Стол
ученический одноместный регулируемый по высоте и наклону столешницы. Столешница верзалит 23мм, основание металлокаркас.
Размер столешницы 600*450мм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</si>
  <si>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</si>
  <si>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522-101-1209-0017 - Стол
</t>
    </r>
    <r>
      <rPr>
        <sz val="10"/>
        <color rgb="FF000000"/>
        <rFont val="Times New Roman"/>
      </rPr>
      <t xml:space="preserve">ученический одноместный регулируемый по высоте и наклону столешницы с ПВХ кромкой.
</t>
    </r>
    <r>
      <rPr>
        <sz val="10"/>
        <color rgb="FF000000"/>
        <rFont val="Times New Roman"/>
      </rPr>
      <t>Столешница ЛДСП 22мм, основание металлокаркас. Размер столешницы 600*500мм</t>
    </r>
  </si>
  <si>
    <t>Стол
ученический одноместный регулируемый по высоте и наклону столешницы с ПВХ кромкой.
Столешница ЛДСП 22мм, основание металлокаркас. Размер столешницы 600*500мм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</si>
  <si>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t>
    </r>
    <r>
      <rPr>
        <sz val="10"/>
        <color rgb="FF000000"/>
        <rFont val="Times New Roman"/>
      </rPr>
      <t xml:space="preserve">Столешница из ЛДСП имеет размеры 600*500мм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t>
    </r>
    <r>
      <rPr>
        <sz val="10"/>
        <color rgb="FF000000"/>
        <rFont val="Times New Roman"/>
      </rPr>
      <t>запросу заказчика.</t>
    </r>
  </si>
  <si>
    <r>
      <rPr>
        <sz val="10"/>
        <color rgb="FF000000"/>
        <rFont val="Times New Roman"/>
      </rPr>
      <t xml:space="preserve">522-101-1209-0018 - Стол
</t>
    </r>
    <r>
      <rPr>
        <sz val="10"/>
        <color rgb="FF000000"/>
        <rFont val="Times New Roman"/>
      </rPr>
      <t>ученический одноместный регулируемый по высоте с ABS кромкой. Столешница МДФ 18мм, основание металлокаркас. Размер столешницы 600*500мм</t>
    </r>
  </si>
  <si>
    <t>Стол
ученический одноместный регулируемый по высоте с ABS кромкой. Столешница МДФ 18мм, основание металлокаркас. Размер столешницы 600*500мм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</si>
  <si>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600*500мм. Высота стола регулируемая от 640 до 760 мм.
</t>
    </r>
    <r>
      <rPr>
        <sz val="10"/>
        <color rgb="FF000000"/>
        <rFont val="Times New Roman"/>
      </rPr>
      <t>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r>
  </si>
  <si>
    <r>
      <rPr>
        <sz val="10"/>
        <color rgb="FF000000"/>
        <rFont val="Times New Roman"/>
      </rPr>
      <t xml:space="preserve">522-101-1209-0019 - Стол
</t>
    </r>
    <r>
      <rPr>
        <sz val="10"/>
        <color rgb="FF000000"/>
        <rFont val="Times New Roman"/>
      </rPr>
      <t xml:space="preserve">ученический одноместный регулируемый по высоте и наклону столешницы с ABS кромкой.
</t>
    </r>
    <r>
      <rPr>
        <sz val="10"/>
        <color rgb="FF000000"/>
        <rFont val="Times New Roman"/>
      </rPr>
      <t>Столешница МДФ 18мм, основание металлокаркас. Размер столешницы 600*500мм</t>
    </r>
  </si>
  <si>
    <t>Стол
ученический одноместный регулируемый по высоте и наклону столешницы с ABS кромкой.
Столешница МДФ 18мм, основание металлокаркас. Размер столешницы 600*500мм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</si>
  <si>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t>
    </r>
    <r>
      <rPr>
        <sz val="10"/>
        <color rgb="FF000000"/>
        <rFont val="Times New Roman"/>
      </rPr>
      <t xml:space="preserve">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t>
    </r>
    <r>
      <rPr>
        <sz val="10"/>
        <color rgb="FF000000"/>
        <rFont val="Times New Roman"/>
      </rPr>
      <t>запросу заказчика.</t>
    </r>
  </si>
  <si>
    <r>
      <rPr>
        <sz val="10"/>
        <color rgb="FF000000"/>
        <rFont val="Times New Roman"/>
      </rPr>
      <t xml:space="preserve">522-101-1209-0020 - Стол
</t>
    </r>
    <r>
      <rPr>
        <sz val="10"/>
        <color rgb="FF000000"/>
        <rFont val="Times New Roman"/>
      </rPr>
      <t xml:space="preserve">ученический одноместный регулируемый по высоте.
</t>
    </r>
    <r>
      <rPr>
        <sz val="10"/>
        <color rgb="FF000000"/>
        <rFont val="Times New Roman"/>
      </rPr>
      <t>Столешница HPL 16мм, основание металлокаркас. Размер столешницы 600*450мм</t>
    </r>
  </si>
  <si>
    <t>Стол
ученический одноместный регулируемый по высоте.
Столешница HPL 16мм, основание металлокаркас. Размер столешницы 600*450мм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</si>
  <si>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600*450мм. Высота стола регулируемая от 640 до 760 мм.
</t>
    </r>
    <r>
      <rPr>
        <sz val="10"/>
        <color rgb="FF000000"/>
        <rFont val="Times New Roman"/>
      </rPr>
      <t xml:space="preserve">Столешница из HPL имеет размеры 600*500мм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</si>
  <si>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522-101-1209-0021 - Стол
</t>
    </r>
    <r>
      <rPr>
        <sz val="10"/>
        <color rgb="FF000000"/>
        <rFont val="Times New Roman"/>
      </rPr>
      <t xml:space="preserve">ученический одноместный регулируемый по высоте и наклону столешницы. Столешница HPL 16мм, основание металлокаркас.
</t>
    </r>
    <r>
      <rPr>
        <sz val="10"/>
        <color rgb="FF000000"/>
        <rFont val="Times New Roman"/>
      </rPr>
      <t>Размер столешницы 600*450мм</t>
    </r>
  </si>
  <si>
    <t>Стол
ученический одноместный регулируемый по высоте и наклону столешницы. Столешница HPL 16мм, основание металлокаркас.
Размер столешницы 600*450мм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</si>
  <si>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HPL имеет размеры 600*450мм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</si>
  <si>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522-101-1209-0022 - Стол
</t>
    </r>
    <r>
      <rPr>
        <sz val="10"/>
        <color rgb="FF000000"/>
        <rFont val="Times New Roman"/>
      </rPr>
      <t>ученический одноместный регулируемый по высоте с полиуретановой кромкой. Столешница ЛДСП 22мм, основание металлокаркас. Размер столешницы 600х450мм</t>
    </r>
  </si>
  <si>
    <t>Стол
ученический одноместный регулируемый по высоте с полиуретановой кромкой. Столешница ЛДСП 22мм, основание металлокаркас. Размер столешницы 600х450мм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</si>
  <si>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600х450мм. Высота стола регулируемая согласно 4-6 ростовой группе.  Столешница из ЛДСП имеет размеры 600х450мм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полиуретановой кромкой.
</t>
    </r>
    <r>
      <rPr>
        <sz val="10"/>
        <color rgb="FF000000"/>
        <rFont val="Times New Roman"/>
      </rPr>
      <t xml:space="preserve">Имеется корзина или пенал для школьных принадлежностей.
</t>
    </r>
    <r>
      <rPr>
        <sz val="10"/>
        <color rgb="FF000000"/>
        <rFont val="Times New Roman"/>
      </rPr>
      <t>Комплектуется по запросу заказчика.</t>
    </r>
  </si>
  <si>
    <r>
      <rPr>
        <sz val="10"/>
        <color rgb="FF000000"/>
        <rFont val="Times New Roman"/>
      </rPr>
      <t xml:space="preserve">522-101-1209-0023 - Стол
</t>
    </r>
    <r>
      <rPr>
        <sz val="10"/>
        <color rgb="FF000000"/>
        <rFont val="Times New Roman"/>
      </rPr>
      <t>ученический одноместный регулируемый по высоте с ПВХ кромкой. Столешница из МДФ 18мм, основание металлокаркас. Размер столешницы 800х500мм</t>
    </r>
  </si>
  <si>
    <t>Стол
ученический одноместный регулируемый по высоте с ПВХ кромкой. Столешница из МДФ 18мм, основание металлокаркас. Размер столешницы 800х500мм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</si>
  <si>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800х500мм. Высота стола регулируемая от 700 до 760 мм.
</t>
    </r>
    <r>
      <rPr>
        <sz val="10"/>
        <color rgb="FF000000"/>
        <rFont val="Times New Roman"/>
      </rPr>
      <t>Столешница из ламинированного МДФ имеет размеры 800х500мм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r>
  </si>
  <si>
    <r>
      <rPr>
        <sz val="10"/>
        <color rgb="FF000000"/>
        <rFont val="Times New Roman"/>
      </rPr>
      <t xml:space="preserve">522-101-1209-0024 - Стол
</t>
    </r>
    <r>
      <rPr>
        <sz val="10"/>
        <color rgb="FF000000"/>
        <rFont val="Times New Roman"/>
      </rPr>
      <t>ученический одноместный для групповых работ. Столешница 730*790мм, ламинированный МДФ 18мм. Каркас из стального профиля 30х30мм</t>
    </r>
  </si>
  <si>
    <t>Стол
ученический одноместный для групповых работ. Столешница 730*790мм, ламинированный МДФ 18мм. Каркас из стального профиля 30х30мм</t>
  </si>
  <si>
    <r>
      <rPr>
        <sz val="10"/>
        <color theme="1"/>
        <rFont val="Times New Roman"/>
      </rPr>
      <t>Стол ученический одноместный для групповых работ. Изделие состоит из столешницы и четырех отдельных опор. Каркас -Ножки стола изготовлены из стального профиля 30х30 мм с толщиной стенки 1,5 мм, окрашенного полимерно-порошковой краской. Ножки стола закрываются пластиковыми заглушками. Ножки соединяются со столешницей через крепления с помощью саморезов Ø4x16 мм. Столешница 730*790 мм выполнена из ламинированного МДФ толщиной 18 мм, кромка ПВХ с использованием высокотемпературного клея.</t>
    </r>
  </si>
  <si>
    <r>
      <rPr>
        <sz val="10"/>
        <color rgb="FF000000"/>
        <rFont val="Times New Roman"/>
      </rPr>
      <t xml:space="preserve">522-101-1209-0025 - Стол
</t>
    </r>
    <r>
      <rPr>
        <sz val="10"/>
        <color rgb="FF000000"/>
        <rFont val="Times New Roman"/>
      </rPr>
      <t xml:space="preserve">ученический одноместный регулируемый по высоте и наклону столешницы, ПВХ кромка.
</t>
    </r>
    <r>
      <rPr>
        <sz val="10"/>
        <color rgb="FF000000"/>
        <rFont val="Times New Roman"/>
      </rPr>
      <t>Столешница ЛДСП 22мм, основание металлокаркас. Размер столешницы 600х500мм</t>
    </r>
  </si>
  <si>
    <t>Стол
ученический одноместный регулируемый по высоте и наклону столешницы, ПВХ кромка.
Столешница ЛДСП 22мм, основание металлокаркас. Размер столешницы 600х500мм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</si>
  <si>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положения.Столешница из ЛДСП имеет размеры 600х500мм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материалом кромочным из ПВХ, в цвет ЛДСП. Имеется корзина для школьных принадлежностей,
</t>
    </r>
    <r>
      <rPr>
        <sz val="10"/>
        <color rgb="FF000000"/>
        <rFont val="Times New Roman"/>
      </rPr>
      <t>выполненная из металла, ввиде сетки. Комплектуется по запросу заказчика .</t>
    </r>
  </si>
  <si>
    <r>
      <rPr>
        <sz val="10"/>
        <color rgb="FF000000"/>
        <rFont val="Times New Roman"/>
      </rPr>
      <t xml:space="preserve">522-101-1209-0026 - Стол
</t>
    </r>
    <r>
      <rPr>
        <sz val="10"/>
        <color rgb="FF000000"/>
        <rFont val="Times New Roman"/>
      </rPr>
      <t xml:space="preserve">ученический одноместный регулируемый по высоте и наклону столешницы, полиуретановая антивандальная кромка.
</t>
    </r>
    <r>
      <rPr>
        <sz val="10"/>
        <color rgb="FF000000"/>
        <rFont val="Times New Roman"/>
      </rPr>
      <t>Столешница ЛДСП 22мм, основание металлокаркас. Размер столешницы 600х500мм</t>
    </r>
  </si>
  <si>
    <t>Стол
ученический одноместный регулируемый по высоте и наклону столешницы, полиуретановая антивандальная кромка.
Столешница ЛДСП 22мм, основание металлокаркас. Размер столешницы 600х500мм</t>
  </si>
  <si>
    <r>
      <rPr>
        <sz val="10"/>
        <color rgb="FF000000"/>
        <rFont val="Times New Roman"/>
      </rPr>
      <t xml:space="preserve">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 Столешница из ЛДСП имеет размеры 600х500мм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t>
    </r>
    <r>
      <rPr>
        <sz val="10"/>
        <color rgb="FF000000"/>
        <rFont val="Times New Roman"/>
      </rPr>
      <t xml:space="preserve">Торцевые края должны быть облицованы полиуретановым материалом. Имеется корзина для школьных принадлежностей,
</t>
    </r>
    <r>
      <rPr>
        <sz val="10"/>
        <color rgb="FF000000"/>
        <rFont val="Times New Roman"/>
      </rPr>
      <t>выполненная из металла, ввиде сетки. Комплектуется по запросу заказчика.</t>
    </r>
  </si>
  <si>
    <r>
      <rPr>
        <sz val="10"/>
        <color rgb="FF000000"/>
        <rFont val="Times New Roman"/>
      </rPr>
      <t xml:space="preserve">522-101-1209-0027 - Стол
</t>
    </r>
    <r>
      <rPr>
        <sz val="10"/>
        <color rgb="FF000000"/>
        <rFont val="Times New Roman"/>
      </rPr>
      <t>ученический одноместный 600х500х760мм. Столешница ЛДСП 22мм, царга ЛДСП 16мм, каркас цельносварной из квадратной профильной трубы 25х25мм, кромка ПВХ</t>
    </r>
  </si>
  <si>
    <t>Стол
ученический одноместный 600х500х760мм. Столешница ЛДСП 22мм, царга ЛДСП 16мм, каркас цельносварной из квадратной профильной трубы 25х25мм, кромка ПВХ</t>
  </si>
  <si>
    <r>
      <rPr>
        <sz val="10"/>
        <color theme="1"/>
        <rFont val="Times New Roman"/>
      </rPr>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r>
  </si>
  <si>
    <r>
      <rPr>
        <sz val="10"/>
        <color rgb="FF000000"/>
        <rFont val="Times New Roman"/>
      </rPr>
      <t xml:space="preserve">522-101-1209-0028 - Стол
</t>
    </r>
    <r>
      <rPr>
        <sz val="10"/>
        <color rgb="FF000000"/>
        <rFont val="Times New Roman"/>
      </rPr>
      <t>ученический одноместный 600х500х760мм. Столешница ЛДСП 22мм, царга из МДФ, каркас из квадратной профильной трубы 30х30мм, кромка ПВХ</t>
    </r>
  </si>
  <si>
    <t>Стол
ученический одноместный 600х500х760мм. Столешница ЛДСП 22мм, царга из МДФ, каркас из квадратной профильной трубы 30х30мм, кромка ПВХ</t>
  </si>
  <si>
    <r>
      <rPr>
        <sz val="10"/>
        <color theme="1"/>
        <rFont val="Times New Roman"/>
      </rPr>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r>
  </si>
  <si>
    <r>
      <rPr>
        <sz val="10"/>
        <color rgb="FF000000"/>
        <rFont val="Times New Roman"/>
      </rPr>
      <t xml:space="preserve">522-101-1209-0029 - Стол
</t>
    </r>
    <r>
      <rPr>
        <sz val="10"/>
        <color rgb="FF000000"/>
        <rFont val="Times New Roman"/>
      </rPr>
      <t xml:space="preserve">модульный 995х561х760мм.
</t>
    </r>
    <r>
      <rPr>
        <sz val="10"/>
        <color rgb="FF000000"/>
        <rFont val="Times New Roman"/>
      </rPr>
      <t>Столешница ЛДСП 22мм, кромка ПВХ, металлический каркас труба круглая</t>
    </r>
  </si>
  <si>
    <t>Стол
модульный 995х561х760мм.
Столешница ЛДСП 22мм, кромка ПВХ, металлический каркас труба круглая</t>
  </si>
  <si>
    <r>
      <rPr>
        <sz val="10"/>
        <color theme="1"/>
        <rFont val="Times New Roman"/>
      </rPr>
      <t>Можно составлять в круг или в волну. В круг собирается 8 столов, диаметр стола 2600мм.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2мм. Каркас труба круглая d-60 мм, покрытие полимерно-порошковое</t>
    </r>
  </si>
  <si>
    <r>
      <rPr>
        <sz val="10"/>
        <color rgb="FF000000"/>
        <rFont val="Times New Roman"/>
      </rPr>
      <t xml:space="preserve">522-101-1209-0030 - Стол
</t>
    </r>
    <r>
      <rPr>
        <sz val="10"/>
        <color rgb="FF000000"/>
        <rFont val="Times New Roman"/>
      </rPr>
      <t xml:space="preserve">модульный 815х500х760мм.
</t>
    </r>
    <r>
      <rPr>
        <sz val="10"/>
        <color rgb="FF000000"/>
        <rFont val="Times New Roman"/>
      </rPr>
      <t>Столешница ЛДСП 16мм, кромка ПВХ, каркас стола цельносварной, труба профильная 25х25мм</t>
    </r>
  </si>
  <si>
    <t>Стол
модульный 815х500х760мм.
Столешница ЛДСП 16мм, кромка ПВХ, каркас стола цельносварной, труба профильная 25х25мм</t>
  </si>
  <si>
    <r>
      <rPr>
        <sz val="10"/>
        <color rgb="FF000000"/>
        <rFont val="Times New Roman"/>
      </rPr>
      <t xml:space="preserve">Можно составлять в круг или в волну. В круг собирается 12 столов, диаметр стола 3040мм. Стол выполнен из высококачественного ЛДСтП, толщиной не менее 16 мм, на основе термореактивных полимеров, класс эмиссии формальдегид Е-1, 1 сорт. Кромка ПВХ толщиной 2мм. Имеет закругление.
</t>
    </r>
    <r>
      <rPr>
        <sz val="10"/>
        <color rgb="FF000000"/>
        <rFont val="Times New Roman"/>
      </rPr>
      <t>Каркас стола цельносварной,  труба профильная 25*25*1,2мм, покрытие полимерно-порошковое.</t>
    </r>
  </si>
  <si>
    <r>
      <rPr>
        <sz val="10"/>
        <color rgb="FF000000"/>
        <rFont val="Times New Roman"/>
      </rPr>
      <t xml:space="preserve">522-101-1209-0031 - Стол
</t>
    </r>
    <r>
      <rPr>
        <sz val="10"/>
        <color rgb="FF000000"/>
        <rFont val="Times New Roman"/>
      </rPr>
      <t>модульный для груп 950х950х760мм. Столешница круглая ЛДСП 16мм, кромка ПВХ, металлический каркас труба профильная</t>
    </r>
  </si>
  <si>
    <t>Стол
модульный для груп 950х950х760мм. Столешница круглая ЛДСП 16мм, кромка ПВХ, металлический каркас труба профильная</t>
  </si>
  <si>
    <r>
      <rPr>
        <sz val="10"/>
        <color rgb="FF000000"/>
        <rFont val="Times New Roman"/>
      </rPr>
      <t xml:space="preserve">Столешница круглая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саморезов.Каркас- труба профильная  d-60
</t>
    </r>
    <r>
      <rPr>
        <sz val="10"/>
        <color rgb="FF000000"/>
        <rFont val="Times New Roman"/>
      </rPr>
      <t>,покрытие полимерно-порошковое цвет.</t>
    </r>
  </si>
  <si>
    <r>
      <rPr>
        <sz val="10"/>
        <color rgb="FF000000"/>
        <rFont val="Times New Roman"/>
      </rPr>
      <t xml:space="preserve">522-101-1209-0032 - Стол
</t>
    </r>
    <r>
      <rPr>
        <sz val="10"/>
        <color rgb="FF000000"/>
        <rFont val="Times New Roman"/>
      </rPr>
      <t>модульный для груп 600х600х760мм. Столешница квадратная ЛДСП 22мм, кромка ПВХ, металлический каркас труба круглая</t>
    </r>
  </si>
  <si>
    <t>Стол
модульный для груп 600х600х760мм. Столешница квадратная ЛДСП 22мм, кромка ПВХ, металлический каркас труба круглая</t>
  </si>
  <si>
    <r>
      <rPr>
        <sz val="10"/>
        <color theme="1"/>
        <rFont val="Times New Roman"/>
      </rPr>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r>
  </si>
  <si>
    <r>
      <rPr>
        <sz val="10"/>
        <color rgb="FF000000"/>
        <rFont val="Times New Roman"/>
      </rPr>
      <t xml:space="preserve">522-101-1209-0033 - Стол
</t>
    </r>
    <r>
      <rPr>
        <sz val="10"/>
        <color rgb="FF000000"/>
        <rFont val="Times New Roman"/>
      </rPr>
      <t>модульный для груп 600х600х760мм. Столешница круглая ЛДСП 22мм, кромка ПВХ, металлический каркас труба круглая</t>
    </r>
  </si>
  <si>
    <t>Стол
модульный для груп 600х600х760мм. Столешница круглая ЛДСП 22мм, кромка ПВХ, металлический каркас труба круглая</t>
  </si>
  <si>
    <r>
      <rPr>
        <sz val="10"/>
        <color theme="1"/>
        <rFont val="Times New Roman"/>
      </rPr>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r>
  </si>
  <si>
    <r>
      <rPr>
        <sz val="10"/>
        <color rgb="FF000000"/>
        <rFont val="Times New Roman"/>
      </rPr>
      <t xml:space="preserve">522-101-1209-0034 - Стол
</t>
    </r>
    <r>
      <rPr>
        <sz val="10"/>
        <color rgb="FF000000"/>
        <rFont val="Times New Roman"/>
      </rPr>
      <t>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r>
  </si>
  <si>
    <t>Стол
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</si>
  <si>
    <r>
      <rPr>
        <sz val="10"/>
        <color rgb="FF000000"/>
        <rFont val="Times New Roman"/>
      </rPr>
      <t xml:space="preserve">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t>
    </r>
    <r>
      <rPr>
        <sz val="10"/>
        <color rgb="FF000000"/>
        <rFont val="Times New Roman"/>
      </rPr>
      <t xml:space="preserve">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t>
    </r>
    <r>
      <rPr>
        <sz val="10"/>
        <color rgb="FF000000"/>
        <rFont val="Times New Roman"/>
      </rPr>
      <t>из металла, ввиде сетки. Комплектуется по запросу заказчика.</t>
    </r>
  </si>
  <si>
    <r>
      <rPr>
        <sz val="10"/>
        <color rgb="FF000000"/>
        <rFont val="Times New Roman"/>
      </rPr>
      <t xml:space="preserve">522-101-1209-0035 - Стол
</t>
    </r>
    <r>
      <rPr>
        <sz val="10"/>
        <color rgb="FF000000"/>
        <rFont val="Times New Roman"/>
      </rPr>
      <t>ученический одноместный нерегулируемый по высоте с ПВХ кромкой. Столешница ЛДСП 22мм, основание металлокаркас. Размер 700х500х760мм</t>
    </r>
  </si>
  <si>
    <t>Стол
ученический одноместный нерегулируемый по высоте с ПВХ кромкой. Столешница ЛДСП 22мм, основание металлокаркас. Размер 700х500х760мм</t>
  </si>
  <si>
    <r>
      <rPr>
        <sz val="10"/>
        <color rgb="FF000000"/>
        <rFont val="Times New Roman"/>
      </rPr>
      <t xml:space="preserve">Размер столешницы 700х500мм,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</si>
  <si>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522-101-1209-0036 - Стол
</t>
    </r>
    <r>
      <rPr>
        <sz val="10"/>
        <color rgb="FF000000"/>
        <rFont val="Times New Roman"/>
      </rPr>
      <t xml:space="preserve">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t>
    </r>
    <r>
      <rPr>
        <sz val="10"/>
        <color rgb="FF000000"/>
        <rFont val="Times New Roman"/>
      </rPr>
      <t>Размер столешницы 700х500мм</t>
    </r>
  </si>
  <si>
    <t>Стол
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Размер столешницы 700х500мм</t>
  </si>
  <si>
    <r>
      <rPr>
        <sz val="10"/>
        <color rgb="FF000000"/>
        <rFont val="Times New Roman"/>
      </rPr>
      <t xml:space="preserve">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t>
    </r>
    <r>
      <rPr>
        <sz val="10"/>
        <color rgb="FF000000"/>
        <rFont val="Times New Roman"/>
      </rPr>
      <t>Комплектуется по запросу заказчика.</t>
    </r>
  </si>
  <si>
    <r>
      <rPr>
        <sz val="10"/>
        <color rgb="FF000000"/>
        <rFont val="Times New Roman"/>
      </rPr>
      <t xml:space="preserve">522-101-1209-0037 - Стол
</t>
    </r>
    <r>
      <rPr>
        <sz val="10"/>
        <color rgb="FF000000"/>
        <rFont val="Times New Roman"/>
      </rPr>
      <t>ученический одноместный регулируемый по высоте с ПВХ кромкой. Столешница ЛДСП 22мм с наклоном, основание металлокаркас. Размер столешницы 700х500мм</t>
    </r>
  </si>
  <si>
    <t>Стол
ученический одноместный регулируемый по высоте с ПВХ кромкой. Столешница ЛДСП 22мм с наклоном, основание металлокаркас. Размер столешницы 700х500мм</t>
  </si>
  <si>
    <r>
      <rPr>
        <sz val="10"/>
        <color rgb="FF000000"/>
        <rFont val="Times New Roman"/>
      </rPr>
      <t xml:space="preserve">Размер столешницы 700х500мм,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t>
    </r>
    <r>
      <rPr>
        <sz val="10"/>
        <color rgb="FF000000"/>
        <rFont val="Times New Roman"/>
      </rPr>
      <t xml:space="preserve">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t>
    </r>
    <r>
      <rPr>
        <sz val="10"/>
        <color rgb="FF000000"/>
        <rFont val="Times New Roman"/>
      </rPr>
      <t xml:space="preserve">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t>
    </r>
    <r>
      <rPr>
        <sz val="10"/>
        <color rgb="FF000000"/>
        <rFont val="Times New Roman"/>
      </rPr>
      <t>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r>
  </si>
  <si>
    <r>
      <rPr>
        <sz val="10"/>
        <color rgb="FF000000"/>
        <rFont val="Times New Roman"/>
      </rPr>
      <t xml:space="preserve">522-101-1209-0038 - Стол
</t>
    </r>
    <r>
      <rPr>
        <sz val="10"/>
        <color rgb="FF000000"/>
        <rFont val="Times New Roman"/>
      </rPr>
      <t>ученический одноместный нерегулируемый по высоте с ПВХ кромкой. Столешница ЛДСП 22мм, основание металлокаркас. Размер 700х600х760мм</t>
    </r>
  </si>
  <si>
    <t>Стол
ученический одноместный нерегулируемый по высоте с ПВХ кромкой. Столешница ЛДСП 22мм, основание металлокаркас. Размер 700х600х760мм</t>
  </si>
  <si>
    <r>
      <rPr>
        <sz val="10"/>
        <color theme="1"/>
        <rFont val="Times New Roman"/>
      </rPr>
      <t>Размер столешницы 700х600мм,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r>
  </si>
  <si>
    <r>
      <rPr>
        <sz val="10"/>
        <color rgb="FF000000"/>
        <rFont val="Times New Roman"/>
      </rPr>
      <t xml:space="preserve">522-101-1209-0039 - Стол
</t>
    </r>
    <r>
      <rPr>
        <sz val="10"/>
        <color rgb="FF000000"/>
        <rFont val="Times New Roman"/>
      </rPr>
      <t>ученический с перегородкой для индивидуальных занятий. Размеры 600х500х750мм. Бенч система с 3х сторон.</t>
    </r>
  </si>
  <si>
    <t>Стол
ученический с перегородкой для индивидуальных занятий. Размеры 600х500х750мм. Бенч система с 3х сторон.</t>
  </si>
  <si>
    <r>
      <rPr>
        <sz val="10"/>
        <color theme="1"/>
        <rFont val="Times New Roman"/>
      </rPr>
      <t>Основные элементы стола изготовлены из ДСП толщиной 16 мм с износостойким покрытием, края деталей облицованы кромкой ПВХ 0,8 мм. Металлокаркас изготовлен из электросварной трубы квадратного сечения 25х25 мм с толщиной стенки 1,5 мм. Покрыт полимерно-порошковой краской светло-серого цвета. Торцевые проемы закрываются пластиковыми опорами (заглушками) черного цвета. Перегородка из стекла, толщина стекла - 4 мм. Размер стеклянной перегородки 600х500 мм.  Размеры стола: ширина - 600 мм, глубина - 500 мм, высота - 750 мм</t>
    </r>
  </si>
  <si>
    <r>
      <rPr>
        <sz val="10"/>
        <color rgb="FF000000"/>
        <rFont val="Times New Roman"/>
      </rPr>
      <t xml:space="preserve">522-101-1209-0042 - Стол
</t>
    </r>
    <r>
      <rPr>
        <sz val="10"/>
        <color rgb="FF000000"/>
        <rFont val="Times New Roman"/>
      </rPr>
      <t xml:space="preserve">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t>
    </r>
    <r>
      <rPr>
        <sz val="10"/>
        <color rgb="FF000000"/>
        <rFont val="Times New Roman"/>
      </rPr>
      <t>Размер столешницы 700х500мм</t>
    </r>
  </si>
  <si>
    <t>Стол
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Размер столешницы 700х500мм</t>
  </si>
  <si>
    <r>
      <rPr>
        <sz val="10"/>
        <color rgb="FF000000"/>
        <rFont val="Times New Roman"/>
      </rPr>
      <t xml:space="preserve">4-6 ростовая группа на круглой трубе. Кромка ПВХ 2 мм. Металлический каркас состоит из двух боковых опор, верхней рамки и нижней царги.
</t>
    </r>
    <r>
      <rPr>
        <sz val="10"/>
        <color rgb="FF000000"/>
        <rFont val="Times New Roman"/>
      </rPr>
      <t xml:space="preserve">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 мм, толщиной не менее 1,2 мм и верхним подстольем.
</t>
    </r>
    <r>
      <rPr>
        <sz val="10"/>
        <color rgb="FF000000"/>
        <rFont val="Times New Roman"/>
      </rPr>
      <t xml:space="preserve">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600х300 мм.
</t>
    </r>
    <r>
      <rPr>
        <sz val="10"/>
        <color rgb="FF000000"/>
        <rFont val="Times New Roman"/>
      </rPr>
      <t xml:space="preserve">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t>
    </r>
    <r>
      <rPr>
        <sz val="10"/>
        <color rgb="FF000000"/>
        <rFont val="Times New Roman"/>
      </rPr>
      <t>Столешница крепиться к каркасу методом скрытого соединения.</t>
    </r>
  </si>
  <si>
    <r>
      <rPr>
        <sz val="10"/>
        <color rgb="FF000000"/>
        <rFont val="Times New Roman"/>
      </rPr>
      <t xml:space="preserve">522-101-1209-0043 - Стол
</t>
    </r>
    <r>
      <rPr>
        <sz val="10"/>
        <color rgb="FF000000"/>
        <rFont val="Times New Roman"/>
      </rPr>
      <t>модульный овальный 4-х секционный на 10 учеников, размеры 2600х1300х750 мм, столешница каждого модульного стола из ЛДСП 22мм, кромка ПВХ</t>
    </r>
  </si>
  <si>
    <t>Стол
модульный овальный 4-х секционный на 10 учеников, размеры 2600х1300х750 мм, столешница каждого модульного стола из ЛДСП 22мм, кромка ПВХ</t>
  </si>
  <si>
    <r>
      <rPr>
        <sz val="10"/>
        <color rgb="FF000000"/>
        <rFont val="Times New Roman"/>
      </rPr>
      <t xml:space="preserve">Стол рассчитан на 8-10 учеников и конструктивно собран из четырех модульных столов двух типов. В комплекте два одинаковых модульных стола с двумя разными формами столешниц. Первая столешница в форме полукруга с радиусом 650 мм с одной стороны и волнообразной кривой с сопряженными по центру радиусами 650 мм, с другой стороны. Ширина 1300 мм. Вторая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Ширина 1300 мм. Две другие стороны стола прямые длиной 650 мм. Указанные формы столешниц позволяют производить модульную стыковку столов двух форм без видимых зазоров. Столешница каждого модульного стола изготовлена из ЛДСП толщиной 22 мм. Торцы облицованы кромкой ПВХ толщиной 2 мм.
</t>
    </r>
    <r>
      <rPr>
        <sz val="10"/>
        <color rgb="FF000000"/>
        <rFont val="Times New Roman"/>
      </rPr>
      <t xml:space="preserve">Каждый стол имеет по 4 опоры, которые изготовлены из металлических профильных труб круглого сечения диаметром 40 мм и 51 мм с толщиной стенки не менее 1,2 мм. К трубе диаметром 40 мм приварен фланец диаметром 80 мм для крепления к столешнице. Труба диаметром 51 мм. оснащена регулируемым пластиковым подпятником с высотой регулировки 0-50 мм. Труба диаметром 40 мм центрируется в трубе диаметром 51 мм при помощи пластиковой втулки. Изменение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640/700/760 мм. Металлический каркас покрыт полимерной краской. Цвет
</t>
    </r>
    <r>
      <rPr>
        <sz val="10"/>
        <color rgb="FF000000"/>
        <rFont val="Times New Roman"/>
      </rPr>
      <t>металлокаркаса по каталогу RAL.</t>
    </r>
  </si>
  <si>
    <r>
      <rPr>
        <sz val="10"/>
        <color rgb="FF000000"/>
        <rFont val="Times New Roman"/>
      </rPr>
      <t xml:space="preserve">522-101-1209-0044 - Стол
</t>
    </r>
    <r>
      <rPr>
        <sz val="10"/>
        <color rgb="FF000000"/>
        <rFont val="Times New Roman"/>
      </rPr>
      <t>модульный трапеция одноместный регулируемый, размеры 970х760х750 мм, столешница из ЛДСП 22мм, кромка ПВХ</t>
    </r>
  </si>
  <si>
    <t>Стол
модульный трапеция одноместный регулируемый, размеры 970х760х750 мм, столешница из ЛДСП 22мм, кромка ПВХ</t>
  </si>
  <si>
    <r>
      <rPr>
        <sz val="10"/>
        <color rgb="FF000000"/>
        <rFont val="Times New Roman"/>
      </rPr>
      <t xml:space="preserve">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трапеции, в которой основания имеют радиусные изгибы 1200 мм и 520 мм и расположены на расстоянии 650 мм. Боковые стороны в основании должны быть расположены на расстоянии 970 мм и иметь угол наклона 67,5 градусов. При составлении восьми столов должен образоваться замкнутый круг. Основание стола должно состоять их четырех независимых регулируемых телескопических опор.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t>
    </r>
    <r>
      <rPr>
        <sz val="10"/>
        <color rgb="FF000000"/>
        <rFont val="Times New Roman"/>
      </rPr>
      <t xml:space="preserve">Опоры должны быть окрашены порошковой краской, стойкой к
</t>
    </r>
    <r>
      <rPr>
        <sz val="10"/>
        <color rgb="FF000000"/>
        <rFont val="Times New Roman"/>
      </rPr>
      <t>механическим повреждениям, ультрафиолетовому излучению и атмосферным воздействиям.</t>
    </r>
  </si>
  <si>
    <r>
      <rPr>
        <sz val="10"/>
        <color rgb="FF000000"/>
        <rFont val="Times New Roman"/>
      </rPr>
      <t xml:space="preserve">522-101-1209-0045 - Стол
</t>
    </r>
    <r>
      <rPr>
        <sz val="10"/>
        <color rgb="FF000000"/>
        <rFont val="Times New Roman"/>
      </rPr>
      <t xml:space="preserve">модульный трехсторонний
</t>
    </r>
    <r>
      <rPr>
        <sz val="10"/>
        <color rgb="FF000000"/>
        <rFont val="Times New Roman"/>
      </rPr>
      <t>3-местный регулируемый, размеры 1200х1300х750 мм, столешница из ЛДСП 22мм, кромка ПВХ</t>
    </r>
  </si>
  <si>
    <t>Стол
модульный трехсторонний
3-местный регулируемый, размеры 1200х1300х750 мм, столешница из ЛДСП 22мм, кромка ПВХ</t>
  </si>
  <si>
    <r>
      <rPr>
        <sz val="10"/>
        <color rgb="FF000000"/>
        <rFont val="Times New Roman"/>
      </rPr>
      <t xml:space="preserve">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Основание стола должно состоять из шести регулируемых телескопических опор, которые связываются между собой профильной трубой 20х20 мм толщиной не менее 1,2 мм.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t>
    </r>
    <r>
      <rPr>
        <sz val="10"/>
        <color rgb="FF000000"/>
        <rFont val="Times New Roman"/>
      </rPr>
      <t xml:space="preserve">Должна быть предусмотрена возможность регулировки высоты стола
</t>
    </r>
    <r>
      <rPr>
        <sz val="10"/>
        <color rgb="FF000000"/>
        <rFont val="Times New Roman"/>
      </rPr>
      <t>640/700/760 мм. Опоры должны быть окрашены порошковой краской, стойкой к механическим повреждениям, ультрафиолетовому излучению и атмосферным воздействиям.</t>
    </r>
  </si>
  <si>
    <r>
      <rPr>
        <sz val="10"/>
        <color rgb="FF000000"/>
        <rFont val="Times New Roman"/>
      </rPr>
      <t xml:space="preserve">522-101-1209-0046 - Стол
</t>
    </r>
    <r>
      <rPr>
        <sz val="10"/>
        <color rgb="FF000000"/>
        <rFont val="Times New Roman"/>
      </rPr>
      <t>модульный четырехлистник одноместный регулируемый, размеры 810х950х750 мм, столешница из ЛДСП 22 мм, кромка ПВХ</t>
    </r>
  </si>
  <si>
    <t>Стол
модульный четырехлистник одноместный регулируемый, размеры 810х950х750 мм, столешница из ЛДСП 22 мм, кромка ПВХ</t>
  </si>
  <si>
    <r>
      <rPr>
        <sz val="10"/>
        <color theme="1"/>
        <rFont val="Times New Roman"/>
      </rPr>
      <t>Регулируемая 4-6 ростовая группа. Столешница должна быть изготовлена из ЛДСП не менее 22 мм. Торцы должны быть оклеены ударопрочной кромкой ПВХ толщиной не менее 2,0 мм. Столешница должна быть выполнена в форме круга диаметром 950 мм и иметь на расстоянии 140 мм от края вырез в форме полумесяца с радиусом 450 мм. При стыковке четырех столов должна образоваться фигура четырехлистника. Основание стола должна представлять из себя четыре независимые регулируемые телескопические опоры. Опоры должны быть изготовлены из двух труб: диаметром 40 мм и 51 мм, толщиной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припомощи пластиковой втулки. Изменение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r>
  </si>
  <si>
    <r>
      <rPr>
        <sz val="10"/>
        <color rgb="FF000000"/>
        <rFont val="Times New Roman"/>
      </rPr>
      <t xml:space="preserve">522-101-1209-0047 - Стол
</t>
    </r>
    <r>
      <rPr>
        <sz val="10"/>
        <color rgb="FF000000"/>
        <rFont val="Times New Roman"/>
      </rPr>
      <t>ученический одноместный пятиугольный, столешница из ЛДСП 22 мм, кромка ПВХ, размеры 703х603х760 мм, основание металлокаркас</t>
    </r>
  </si>
  <si>
    <t>Стол
ученический одноместный пятиугольный, столешница из ЛДСП 22 мм, кромка ПВХ, размеры 703х603х760 мм, основание металлокаркас</t>
  </si>
  <si>
    <r>
      <rPr>
        <sz val="10"/>
        <color rgb="FF000000"/>
        <rFont val="Times New Roman"/>
      </rPr>
      <t xml:space="preserve">Для изготовления стола должна использоваться ЛДСП толщиной не менее 22 мм. Торцы столешницы должны быть отделаны кромкой ПВХ не менее 2 мм. Столешница должна быть выполнена в форме пятиугольника.
</t>
    </r>
    <r>
      <rPr>
        <sz val="10"/>
        <color rgb="FF000000"/>
        <rFont val="Times New Roman"/>
      </rPr>
      <t xml:space="preserve">Габаритные размеры стола должны быть, не менее 703х603х760 мм.
</t>
    </r>
    <r>
      <rPr>
        <sz val="10"/>
        <color rgb="FF000000"/>
        <rFont val="Times New Roman"/>
      </rPr>
      <t>Основание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1,2мм и окрашена полимерной краской. Две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t>
    </r>
  </si>
  <si>
    <r>
      <rPr>
        <sz val="10"/>
        <color rgb="FF000000"/>
        <rFont val="Times New Roman"/>
      </rPr>
      <t xml:space="preserve">522-101-1209-0048 - Стол
</t>
    </r>
    <r>
      <rPr>
        <sz val="10"/>
        <color rgb="FF000000"/>
        <rFont val="Times New Roman"/>
      </rPr>
      <t xml:space="preserve">лингафонный, размеры 700х540х1000 мм, ЛДСП 16 мм,
</t>
    </r>
    <r>
      <rPr>
        <sz val="10"/>
        <color rgb="FF000000"/>
        <rFont val="Times New Roman"/>
      </rPr>
      <t>столешница закреплена двумя боковыми опорами, отверстие с пластиковой заглушкой для соединительных проводов</t>
    </r>
  </si>
  <si>
    <t>Стол
лингафонный, размеры 700х540х1000 мм, ЛДСП 16 мм,
столешница закреплена двумя боковыми опорами, отверстие с пластиковой заглушкой для соединительных проводов</t>
  </si>
  <si>
    <r>
      <rPr>
        <sz val="10"/>
        <color rgb="FF000000"/>
        <rFont val="Times New Roman"/>
      </rPr>
      <t xml:space="preserve">Размеры столешницы должны быть, не менее 668х505 мм. Высота верхнего края столешницы должна быть над полом не менее 760 мм. Столешница должна быть из ЛДСП толщиной не менее 16 мм. Кромка из ПВХ должна быть толщиной не менее 2 мм. В правом углу столешницы должно быть предусмотрено отверстие с пластиковой заглушкой для соединительных проводов. Столешница должна быть закреплена между двумя боковыми опорами на высоте не менее 760 мм от пола и притоплена относительно верхнего края опор на 248 мм. Для изготовления несущих частей и различных элементов используется ЛДСП толщиной не менее 16 мм.
</t>
    </r>
    <r>
      <rPr>
        <sz val="10"/>
        <color rgb="FF000000"/>
        <rFont val="Times New Roman"/>
      </rPr>
      <t xml:space="preserve">Кромка из ПВХ должна быть толщиной не менее 0,4 мм. Боковые опоры с рабочей стороны должны иметь радиусное закругление. Лицевая сторона стола должна быть закрыта царгой 668х416 мм. Между боковыми опорами над столешницей установлено оргстекло 244х662 толщиной 4 мм, фиксируется на стеклодержатели.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t>
    </r>
    <r>
      <rPr>
        <sz val="10"/>
        <color rgb="FF000000"/>
        <rFont val="Times New Roman"/>
      </rPr>
      <t>заглушками. В основании опор должны быть пластиковые подпятники.</t>
    </r>
  </si>
  <si>
    <r>
      <rPr>
        <sz val="10"/>
        <color rgb="FF000000"/>
        <rFont val="Times New Roman"/>
      </rPr>
      <t xml:space="preserve">522-101-1209-0049 - Стол для
</t>
    </r>
    <r>
      <rPr>
        <sz val="10"/>
        <color rgb="FF000000"/>
        <rFont val="Times New Roman"/>
      </rPr>
      <t xml:space="preserve">занятий с выдвижным ящиком, размеры 900х600х830 мм.
</t>
    </r>
    <r>
      <rPr>
        <sz val="10"/>
        <color rgb="FF000000"/>
        <rFont val="Times New Roman"/>
      </rPr>
      <t>Столешница из ЛДСП 16 мм, кромка ПВХ, верхняя планка выступает на 80 мм над столешницей</t>
    </r>
  </si>
  <si>
    <t>Стол для
занятий с выдвижным ящиком, размеры 900х600х830 мм.
Столешница из ЛДСП 16 мм, кромка ПВХ, верхняя планка выступает на 80 мм над столешницей</t>
  </si>
  <si>
    <r>
      <rPr>
        <sz val="10"/>
        <color rgb="FF000000"/>
        <rFont val="Times New Roman"/>
      </rPr>
      <t xml:space="preserve">Размеры столешницы должны быть, не менее 900х600 мм. Высота верхнего края столешницы должна быть над полом не менее 760 мм. Столешница должна быть из ЛДСП толщиной не менее 16 мм с кромкой из ПВХ толщиной не менее 2 мм. Для изготовления несущих частей и различных элементов используется ЛДСП толщиной не менее 16 мм. Кромка из ПВХ должна быть толщиной не менее 0,4 мм. Под столешницей располагается выдвижной ящик на шариковых направляющих. Фасад ящика должен быть высотой 120 мм, и иметь сверху эргономичный вырез, используемый для открывания ящика. По заднему краю столешницы крепится две планки высотой 250 мм. Верхняя планка выступает на 80 мм над столешницей.
</t>
    </r>
    <r>
      <rPr>
        <sz val="10"/>
        <color rgb="FF000000"/>
        <rFont val="Times New Roman"/>
      </rPr>
      <t xml:space="preserve">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t>
    </r>
    <r>
      <rPr>
        <sz val="10"/>
        <color rgb="FF000000"/>
        <rFont val="Times New Roman"/>
      </rPr>
      <t>опор должны быть пластиковые подпятники.</t>
    </r>
  </si>
  <si>
    <r>
      <rPr>
        <sz val="10"/>
        <color rgb="FF000000"/>
        <rFont val="Times New Roman"/>
      </rPr>
      <t xml:space="preserve">522-101-1210-0001 - Стол
</t>
    </r>
    <r>
      <rPr>
        <sz val="10"/>
        <color rgb="FF000000"/>
        <rFont val="Times New Roman"/>
      </rPr>
      <t>ученический двухместный регулируемый по высоте 1200х500х580/760,ШК 85-13 Р</t>
    </r>
  </si>
  <si>
    <t>Стол
ученический двухместный регулируемый по высоте 1200х500х580/760,ШК 85-13 Р</t>
  </si>
  <si>
    <r>
      <rPr>
        <sz val="10"/>
        <color theme="1"/>
        <rFont val="Times New Roman"/>
      </rPr>
      <t>Стол  ученический двухместный регулируемый по высоте. Размер 1200х500х580/760мм. Основание металлокаркас. Столешница ЛДСП 16мм.</t>
    </r>
  </si>
  <si>
    <r>
      <rPr>
        <sz val="10"/>
        <color rgb="FF000000"/>
        <rFont val="Times New Roman"/>
      </rPr>
      <t xml:space="preserve">522-101-1210-0002 - Стол
</t>
    </r>
    <r>
      <rPr>
        <sz val="10"/>
        <color rgb="FF000000"/>
        <rFont val="Times New Roman"/>
      </rPr>
      <t>ученический двухместный 1200х500х760 марки ШК 85-13</t>
    </r>
  </si>
  <si>
    <t>Стол
ученический двухместный 1200х500х760 марки ШК 85-13</t>
  </si>
  <si>
    <r>
      <rPr>
        <sz val="10"/>
        <color theme="1"/>
        <rFont val="Times New Roman"/>
      </rPr>
      <t>Стол  ученический двухместный. Размер 1200х500х760мм. Основание металлокаркас квадратного сечения. Столешница ЛДСП 16мм.</t>
    </r>
  </si>
  <si>
    <r>
      <rPr>
        <sz val="10"/>
        <color rgb="FF000000"/>
        <rFont val="Times New Roman"/>
      </rPr>
      <t xml:space="preserve">522-101-1210-0003 - Стол
</t>
    </r>
    <r>
      <rPr>
        <sz val="10"/>
        <color rgb="FF000000"/>
        <rFont val="Times New Roman"/>
      </rPr>
      <t>ученический двухместный 1200х500х760 марки ШК 01-14</t>
    </r>
  </si>
  <si>
    <t>Стол
ученический двухместный 1200х500х760 марки ШК 01-14</t>
  </si>
  <si>
    <r>
      <rPr>
        <sz val="10"/>
        <color theme="1"/>
        <rFont val="Times New Roman"/>
      </rPr>
      <t>Стол  ученический двухместный. Размер 1200х500х760мм. Основание металлокаркас круглого сечения. Столешница ЛДСП 16мм.</t>
    </r>
  </si>
  <si>
    <r>
      <rPr>
        <sz val="10"/>
        <color rgb="FF000000"/>
        <rFont val="Times New Roman"/>
      </rPr>
      <t xml:space="preserve">522-101-1210-0004 - Стол
</t>
    </r>
    <r>
      <rPr>
        <sz val="10"/>
        <color rgb="FF000000"/>
        <rFont val="Times New Roman"/>
      </rPr>
      <t>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r>
  </si>
  <si>
    <t>Стол
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</si>
  <si>
    <r>
      <rPr>
        <sz val="10"/>
        <color theme="1"/>
        <rFont val="Times New Roman"/>
      </rPr>
      <t>Стол состоит сборно-разборного каркаса плоскоовальной трубы 50*25*1,2мм и 40*20*1,4мм регулируемые по высоте и столешницы из ЛДСП толщиной не менее 22 мм с кромкой ПВХ. Столешница имеет размеры 1200х500мм. Торцевые края должны быть облицованы материалом кромочным из ПВХ. Окрашена полимерное (порошковая краска) любого цвета.</t>
    </r>
  </si>
  <si>
    <r>
      <rPr>
        <sz val="10"/>
        <color rgb="FF000000"/>
        <rFont val="Times New Roman"/>
      </rPr>
      <t xml:space="preserve">522-101-1210-0005 - Стол
</t>
    </r>
    <r>
      <rPr>
        <sz val="10"/>
        <color rgb="FF000000"/>
        <rFont val="Times New Roman"/>
      </rPr>
      <t>ученический двухместный регулируемый по высоте с полиуретановой кромкой. Столешница ЛДСП 22мм, основание металлокаркас. Размер столешницы 1200х500мм</t>
    </r>
  </si>
  <si>
    <t>Стол
ученический двухместный регулируемый по высоте с полиуретановой кромкой. Столешница ЛДСП 22мм, основание металлокаркас. Размер столешницы 1200х500мм</t>
  </si>
  <si>
    <r>
      <rPr>
        <sz val="10"/>
        <color rgb="FF000000"/>
        <rFont val="Times New Roman"/>
      </rPr>
      <t xml:space="preserve">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1200х500мм.
</t>
    </r>
    <r>
      <rPr>
        <sz val="10"/>
        <color rgb="FF000000"/>
        <rFont val="Times New Roman"/>
      </rPr>
      <t>Торцевые края должны быть облицованы полиуретановым материалом Окрашена полимерное (порошковая краска) любого цвета.</t>
    </r>
  </si>
  <si>
    <r>
      <rPr>
        <sz val="10"/>
        <color rgb="FF000000"/>
        <rFont val="Times New Roman"/>
      </rPr>
      <t xml:space="preserve">522-101-1210-0006 - Стол
</t>
    </r>
    <r>
      <rPr>
        <sz val="10"/>
        <color rgb="FF000000"/>
        <rFont val="Times New Roman"/>
      </rPr>
      <t xml:space="preserve">ученический двухместный не регулируемый. Столешница ЛДСП 32мм, основание металлокаркас.
</t>
    </r>
    <r>
      <rPr>
        <sz val="10"/>
        <color rgb="FF000000"/>
        <rFont val="Times New Roman"/>
      </rPr>
      <t>Размер столешницы 1200х500х640/710/760 мм</t>
    </r>
  </si>
  <si>
    <t>Стол
ученический двухместный не регулируемый. Столешница ЛДСП 32мм, основание металлокаркас.
Размер столешницы 1200х500х640/710/760 мм</t>
  </si>
  <si>
    <r>
      <rPr>
        <sz val="10"/>
        <color theme="1"/>
        <rFont val="Times New Roman"/>
      </rPr>
      <t>Стол ученический двухместный не регулируемый. Столешница ЛДСП 32мм, основание металлокаркас. Размер столешницы 1200х500х640/710/760 мм</t>
    </r>
  </si>
  <si>
    <r>
      <rPr>
        <sz val="10"/>
        <color rgb="FF000000"/>
        <rFont val="Times New Roman"/>
      </rPr>
      <t xml:space="preserve">522-101-1210-0007 - Стол
</t>
    </r>
    <r>
      <rPr>
        <sz val="10"/>
        <color rgb="FF000000"/>
        <rFont val="Times New Roman"/>
      </rPr>
      <t>ученический двухместный регулируемый по высоте с ПВХ кромкой. Столешница ЛДСП 16 мм, основание металлокаркас. Размер столешницы 1200*500мм.</t>
    </r>
  </si>
  <si>
    <t>Стол
ученический двухместный регулируемый по высоте с ПВХ кромкой. Столешница ЛДСП 16 мм, основание металлокаркас. Размер столешницы 1200*500мм.</t>
  </si>
  <si>
    <r>
      <rPr>
        <sz val="10"/>
        <color theme="1"/>
        <rFont val="Times New Roman"/>
      </rPr>
      <t>Стол ученический двухместный регулируемый по высоте с ПВХ кромкой. Столешница ЛДСП 16 мм, основание металлокаркас. Размер столешницы 1200*500мм.</t>
    </r>
  </si>
  <si>
    <r>
      <rPr>
        <sz val="10"/>
        <color rgb="FF000000"/>
        <rFont val="Times New Roman"/>
      </rPr>
      <t xml:space="preserve">522-101-1210-0008 - Стол
</t>
    </r>
    <r>
      <rPr>
        <sz val="10"/>
        <color rgb="FF000000"/>
        <rFont val="Times New Roman"/>
      </rPr>
      <t>ученический двухместный не регулируемый. Столешница 1200*500мм, ЛДСП 16 мм.</t>
    </r>
  </si>
  <si>
    <t>Стол
ученический двухместный не регулируемый. Столешница 1200*500мм, ЛДСП 16 мм.</t>
  </si>
  <si>
    <r>
      <rPr>
        <sz val="10"/>
        <color theme="1"/>
        <rFont val="Times New Roman"/>
      </rPr>
      <t>Стол ученический двухместный не регулируемый. Столешница 1200*500мм, ЛДСП 16 мм. Основание металлокаркас</t>
    </r>
  </si>
  <si>
    <r>
      <rPr>
        <sz val="10"/>
        <color rgb="FF000000"/>
        <rFont val="Times New Roman"/>
      </rPr>
      <t xml:space="preserve">522-101-1210-0009 - Стол
</t>
    </r>
    <r>
      <rPr>
        <sz val="10"/>
        <color rgb="FF000000"/>
        <rFont val="Times New Roman"/>
      </rPr>
      <t>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r>
  </si>
  <si>
    <t>Стол
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</si>
  <si>
    <r>
      <rPr>
        <sz val="10"/>
        <color rgb="FF000000"/>
        <rFont val="Times New Roman"/>
      </rPr>
      <t xml:space="preserve">Стол ученический двухместный в основе имеет полностью сварной металлический каркас. Размер столешницы 1200х500мм. Высота стола регулируемая не менее 700-760мм и 580-640 мм.  Столешница из ЛДСП имеет размеры 1200х500мм и высоту 22 мм , цвет по согласованию с заказчиком.  Торцевые части выполнены из полипропиленового пластика серого цвета и толщиной не менее 4 мм , а так же имеет встроенный  пенал для карандашей . Вся кромка и пенал имеют монолитную форму без стыков
</t>
    </r>
    <r>
      <rPr>
        <sz val="10"/>
        <color rgb="FF000000"/>
        <rFont val="Times New Roman"/>
      </rPr>
      <t xml:space="preserve">. Имеются ударопрочные пластиковые подпятники на основание стола.
</t>
    </r>
    <r>
      <rPr>
        <sz val="10"/>
        <color rgb="FF000000"/>
        <rFont val="Times New Roman"/>
      </rPr>
      <t xml:space="preserve">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t>
    </r>
    <r>
      <rPr>
        <sz val="10"/>
        <color rgb="FF000000"/>
        <rFont val="Times New Roman"/>
      </rPr>
      <t>Полка сетчатая корзинка комплектуется по запросу зказкачика .</t>
    </r>
  </si>
  <si>
    <r>
      <rPr>
        <sz val="10"/>
        <color rgb="FF000000"/>
        <rFont val="Times New Roman"/>
      </rPr>
      <t xml:space="preserve">522-101-1210-0010 - Стол
</t>
    </r>
    <r>
      <rPr>
        <sz val="10"/>
        <color rgb="FF000000"/>
        <rFont val="Times New Roman"/>
      </rPr>
      <t>ученический двухместный регулируемый по высоте с полиуретановой кромкой. Столешница ЛДСП 16мм, основание металлокаркас. Размер столешницы 1200х500мм</t>
    </r>
  </si>
  <si>
    <t>Стол
ученический двухместный регулируемый по высоте с полиуретановой кромкой. Столешница ЛДСП 16мм, основание металлокаркас. Размер столешницы 1200х500мм</t>
  </si>
  <si>
    <r>
      <rPr>
        <sz val="10"/>
        <color rgb="FF000000"/>
        <rFont val="Times New Roman"/>
      </rPr>
      <t xml:space="preserve">Парта (стол) ученическая двухместная. Столешница ЛДСП, толщина 16мм.
</t>
    </r>
    <r>
      <rPr>
        <sz val="10"/>
        <color rgb="FF000000"/>
        <rFont val="Times New Roman"/>
      </rPr>
      <t>Регулируемый по высоте. Торцы из литого полиуретана. Опора регулируемая, имеет три положения по высоте. Нижняя часть опоры защищена пластиковыми наконечниками. Габаритные размеры: Высота: 760мм, Длина:1200мм, Ширина:500мм</t>
    </r>
  </si>
  <si>
    <r>
      <rPr>
        <sz val="10"/>
        <color rgb="FF000000"/>
        <rFont val="Times New Roman"/>
      </rPr>
      <t xml:space="preserve">522-101-1210-0011 - Стол
</t>
    </r>
    <r>
      <rPr>
        <sz val="10"/>
        <color rgb="FF000000"/>
        <rFont val="Times New Roman"/>
      </rPr>
      <t>ученический двухместный регулируемый по высоте с ПВХ кромкой. Столешница ЛДСП 18мм, основание металлокаркас. Размер столешницы 1200х500мм</t>
    </r>
  </si>
  <si>
    <t>Стол
ученический двухместный регулируемый по высоте с ПВХ кромкой. Столешница ЛДСП 18мм, основание металлокаркас. Размер столешницы 1200х500мм</t>
  </si>
  <si>
    <r>
      <rPr>
        <sz val="10"/>
        <color theme="1"/>
        <rFont val="Times New Roman"/>
      </rPr>
      <t>Стол ученический двухместный в основе имеет сварной металлический каркас. Размер столешницы 1200х500мм. Высота стола регулируемая. Столешница из ЛДСП имеет размеры 1200х500мм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r>
  </si>
  <si>
    <r>
      <rPr>
        <sz val="10"/>
        <color rgb="FF000000"/>
        <rFont val="Times New Roman"/>
      </rPr>
      <t xml:space="preserve">522-101-1210-0012 - Стол
</t>
    </r>
    <r>
      <rPr>
        <sz val="10"/>
        <color rgb="FF000000"/>
        <rFont val="Times New Roman"/>
      </rPr>
      <t xml:space="preserve">ученический двухместный, с сиденьем, не регулируемый по высоте с ПВХ кромкой.
</t>
    </r>
    <r>
      <rPr>
        <sz val="10"/>
        <color rgb="FF000000"/>
        <rFont val="Times New Roman"/>
      </rPr>
      <t>Столешница ЛДСП 16мм, основание металлокаркас. Размер столешницы 1200х500мм, сиденья 1200х275мм, спинки 1200х250мм</t>
    </r>
  </si>
  <si>
    <t>Стол
ученический двухместный, с сиденьем, не регулируемый по высоте с ПВХ кромкой.
Столешница ЛДСП 16мм, основание металлокаркас. Размер столешницы 1200х500мм, сиденья 1200х275мм, спинки 1200х250мм</t>
  </si>
  <si>
    <r>
      <rPr>
        <sz val="10"/>
        <color theme="1"/>
        <rFont val="Times New Roman"/>
      </rPr>
      <t>Стол ученический двухместный, с сиденьем, в основе имеет сварной металлический каркас. Размер столешницы 1200х500мм.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1200х275мм. Спинка изготовлена из ЛДСП 16 мм, размер 1200х250мм.</t>
    </r>
  </si>
  <si>
    <r>
      <rPr>
        <sz val="10"/>
        <color rgb="FF000000"/>
        <rFont val="Times New Roman"/>
      </rPr>
      <t xml:space="preserve">522-101-1210-0013 - Стол
</t>
    </r>
    <r>
      <rPr>
        <sz val="10"/>
        <color rgb="FF000000"/>
        <rFont val="Times New Roman"/>
      </rPr>
      <t>ученический двухместный не регулируемый по высоте с ПВХ кромкой. Столешница ЛДСП типа EGGER 32мм, основание металлокаркас. Размер столешницы 1200х600 мм</t>
    </r>
  </si>
  <si>
    <t>Стол
ученический двухместный не регулируемый по высоте с ПВХ кромкой. Столешница ЛДСП типа EGGER 32мм, основание металлокаркас. Размер столешницы 1200х600 мм</t>
  </si>
  <si>
    <r>
      <rPr>
        <sz val="10"/>
        <color theme="1"/>
        <rFont val="Times New Roman"/>
      </rPr>
      <t>Размер 1200х600х750 мм. Цвет бежевый. Материал - ЛДСП  типа EGGER. Каркас - металл. Цвет каркаса белый.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 Кромка ПВХ. Клепки из нержавейки.</t>
    </r>
  </si>
  <si>
    <r>
      <rPr>
        <sz val="10"/>
        <color rgb="FF000000"/>
        <rFont val="Times New Roman"/>
      </rPr>
      <t xml:space="preserve">522-101-1210-0014 - Стол
</t>
    </r>
    <r>
      <rPr>
        <sz val="10"/>
        <color rgb="FF000000"/>
        <rFont val="Times New Roman"/>
      </rPr>
      <t>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r>
  </si>
  <si>
    <t>Стол
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</si>
  <si>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1200х500мм. Высота стола регулируемая от 640 до 760 мм. Столешница из ЛДСП имеет размеры 1200х500мм и толщину 22 мм, цвет по согласованию с заказчиком.
</t>
    </r>
    <r>
      <rPr>
        <sz val="10"/>
        <color rgb="FF000000"/>
        <rFont val="Times New Roman"/>
      </rPr>
      <t xml:space="preserve">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t>
    </r>
    <r>
      <rPr>
        <sz val="10"/>
        <color rgb="FF000000"/>
        <rFont val="Times New Roman"/>
      </rPr>
      <t>черного цвета.</t>
    </r>
  </si>
  <si>
    <r>
      <rPr>
        <sz val="10"/>
        <color rgb="FF000000"/>
        <rFont val="Times New Roman"/>
      </rPr>
      <t xml:space="preserve">522-101-1210-0015 - Стол
</t>
    </r>
    <r>
      <rPr>
        <sz val="10"/>
        <color rgb="FF000000"/>
        <rFont val="Times New Roman"/>
      </rPr>
      <t>ученический двухместный регулируемый по высоте. Столешница верзалит 23мм, основание металлокаркас. Размер столешницы 1200*450мм</t>
    </r>
  </si>
  <si>
    <t>Стол
ученический двухместный регулируемый по высоте. Столешница верзалит 23мм, основание металлокаркас. Размер столешницы 1200*450мм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</si>
  <si>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t>
    </r>
    <r>
      <rPr>
        <sz val="10"/>
        <color rgb="FF000000"/>
        <rFont val="Times New Roman"/>
      </rPr>
      <t xml:space="preserve">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</si>
  <si>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522-101-1210-0016 - Стол
</t>
    </r>
    <r>
      <rPr>
        <sz val="10"/>
        <color rgb="FF000000"/>
        <rFont val="Times New Roman"/>
      </rPr>
      <t xml:space="preserve">ученический двухместный регулируемый по высоте и наклону столешницы. Столешница верзалит 23мм, основание металлокаркас.
</t>
    </r>
    <r>
      <rPr>
        <sz val="10"/>
        <color rgb="FF000000"/>
        <rFont val="Times New Roman"/>
      </rPr>
      <t>Размер столешницы 1200*450мм</t>
    </r>
  </si>
  <si>
    <t>Стол
ученический двухместный регулируемый по высоте и наклону столешницы. Столешница верзалит 23мм, основание металлокаркас.
Размер столешницы 1200*450мм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</si>
  <si>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</si>
  <si>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522-101-1210-0017 - Стол
</t>
    </r>
    <r>
      <rPr>
        <sz val="10"/>
        <color rgb="FF000000"/>
        <rFont val="Times New Roman"/>
      </rPr>
      <t xml:space="preserve">ученический двухместный регулируемый по высоте и наклону столешницы с ПВХ кромкой.
</t>
    </r>
    <r>
      <rPr>
        <sz val="10"/>
        <color rgb="FF000000"/>
        <rFont val="Times New Roman"/>
      </rPr>
      <t>Столешница ЛДСП 22мм, основание металлокаркас. Размер столешницы 1200*500мм</t>
    </r>
  </si>
  <si>
    <t>Стол
ученический двухместный регулируемый по высоте и наклону столешницы с ПВХ кромкой.
Столешница ЛДСП 22мм, основание металлокаркас. Размер столешницы 1200*500мм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</si>
  <si>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1200*500мм. Высота стола регулируемая от 640 до 760 мм. Наклон столешницы регулируется от 0 до 45 градусов.
</t>
    </r>
    <r>
      <rPr>
        <sz val="10"/>
        <color rgb="FF000000"/>
        <rFont val="Times New Roman"/>
      </rPr>
      <t xml:space="preserve">Столешница из ЛДСП имеет размеры 1200*500мм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t>
    </r>
    <r>
      <rPr>
        <sz val="10"/>
        <color rgb="FF000000"/>
        <rFont val="Times New Roman"/>
      </rPr>
      <t>запросу заказчика .</t>
    </r>
  </si>
  <si>
    <r>
      <rPr>
        <sz val="10"/>
        <color rgb="FF000000"/>
        <rFont val="Times New Roman"/>
      </rPr>
      <t xml:space="preserve">522-101-1210-0018 - Стол
</t>
    </r>
    <r>
      <rPr>
        <sz val="10"/>
        <color rgb="FF000000"/>
        <rFont val="Times New Roman"/>
      </rPr>
      <t>ученический двухместный регулируемый по высоте с ABS кромкой. Столешница МДФ 18мм, основание металлокаркас. Размер столешницы 1200*500мм</t>
    </r>
  </si>
  <si>
    <t>Стол
ученический двухместный регулируемый по высоте с ABS кромкой. Столешница МДФ 18мм, основание металлокаркас. Размер столешницы 1200*500мм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</si>
  <si>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t>
    </r>
    <r>
      <rPr>
        <sz val="10"/>
        <color rgb="FF000000"/>
        <rFont val="Times New Roman"/>
      </rPr>
      <t>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r>
  </si>
  <si>
    <r>
      <rPr>
        <sz val="10"/>
        <color rgb="FF000000"/>
        <rFont val="Times New Roman"/>
      </rPr>
      <t xml:space="preserve">522-101-1210-0019 - Стол
</t>
    </r>
    <r>
      <rPr>
        <sz val="10"/>
        <color rgb="FF000000"/>
        <rFont val="Times New Roman"/>
      </rPr>
      <t xml:space="preserve">ученический двухместный регулируемый по высоте и наклону столешницы с ABS кромкой.
</t>
    </r>
    <r>
      <rPr>
        <sz val="10"/>
        <color rgb="FF000000"/>
        <rFont val="Times New Roman"/>
      </rPr>
      <t>Столешница МДФ 18мм, основание металлокаркас. Размер столешницы 1200*500мм</t>
    </r>
  </si>
  <si>
    <t>Стол
ученический двухместный регулируемый по высоте и наклону столешницы с ABS кромкой.
Столешница МДФ 18мм, основание металлокаркас. Размер столешницы 1200*500мм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</si>
  <si>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t>
    </r>
    <r>
      <rPr>
        <sz val="10"/>
        <color rgb="FF000000"/>
        <rFont val="Times New Roman"/>
      </rPr>
      <t>запросу заказчика.</t>
    </r>
  </si>
  <si>
    <r>
      <rPr>
        <sz val="10"/>
        <color rgb="FF000000"/>
        <rFont val="Times New Roman"/>
      </rPr>
      <t xml:space="preserve">522-101-1210-0020 - Стол
</t>
    </r>
    <r>
      <rPr>
        <sz val="10"/>
        <color rgb="FF000000"/>
        <rFont val="Times New Roman"/>
      </rPr>
      <t xml:space="preserve">ученический двухместный регулируемый по высоте.
</t>
    </r>
    <r>
      <rPr>
        <sz val="10"/>
        <color rgb="FF000000"/>
        <rFont val="Times New Roman"/>
      </rPr>
      <t>Столешница HPL 16мм, основание металлокаркас. Размер столешницы 1200*450мм</t>
    </r>
  </si>
  <si>
    <t>Стол
ученический двухместный регулируемый по высоте.
Столешница HPL 16мм, основание металлокаркас. Размер столешницы 1200*450мм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</si>
  <si>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t>
    </r>
    <r>
      <rPr>
        <sz val="10"/>
        <color rgb="FF000000"/>
        <rFont val="Times New Roman"/>
      </rPr>
      <t xml:space="preserve">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</si>
  <si>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522-101-1210-0021 - Стол
</t>
    </r>
    <r>
      <rPr>
        <sz val="10"/>
        <color rgb="FF000000"/>
        <rFont val="Times New Roman"/>
      </rPr>
      <t xml:space="preserve">ученический двухместный регулируемый по высоте и наклону столешницы. Столешница HPL 16мм, основание металлокаркас.
</t>
    </r>
    <r>
      <rPr>
        <sz val="10"/>
        <color rgb="FF000000"/>
        <rFont val="Times New Roman"/>
      </rPr>
      <t>Размер столешницы 1200*450мм</t>
    </r>
  </si>
  <si>
    <t>Стол
ученический двухместный регулируемый по высоте и наклону столешницы. Столешница HPL 16мм, основание металлокаркас.
Размер столешницы 1200*450мм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</si>
  <si>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t>
    </r>
    <r>
      <rPr>
        <sz val="10"/>
        <color rgb="FF000000"/>
        <rFont val="Times New Roman"/>
      </rPr>
      <t xml:space="preserve">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</si>
  <si>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522-101-1210-0022 - Стол
</t>
    </r>
    <r>
      <rPr>
        <sz val="10"/>
        <color rgb="FF000000"/>
        <rFont val="Times New Roman"/>
      </rPr>
      <t>ученический двухместный регулируемый по высоте с ПВХ кромкой. Столешница из МДФ 18мм, основание металлокаркас. Размер столешницы 1200х500мм</t>
    </r>
  </si>
  <si>
    <t>Стол
ученический двухместный регулируемый по высоте с ПВХ кромкой. Столешница из МДФ 18мм, основание металлокаркас. Размер столешницы 1200х500мм</t>
  </si>
  <si>
    <r>
      <rPr>
        <sz val="10"/>
        <color rgb="FF000000"/>
        <rFont val="Times New Roman"/>
      </rPr>
      <t xml:space="preserve">Стол ученический двухместный в основе имеет сборно-разборный металлический каркас. Размер столешницы 1200х500мм. Высота стола регулируемая от 700 до 760 мм.
</t>
    </r>
    <r>
      <rPr>
        <sz val="10"/>
        <color rgb="FF000000"/>
        <rFont val="Times New Roman"/>
      </rPr>
      <t>Столешница из ламинированного МДФ имеет размеры 1200х500мм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r>
  </si>
  <si>
    <r>
      <rPr>
        <sz val="10"/>
        <color rgb="FF000000"/>
        <rFont val="Times New Roman"/>
      </rPr>
      <t xml:space="preserve">522-101-1210-0023 - Стол
</t>
    </r>
    <r>
      <rPr>
        <sz val="10"/>
        <color rgb="FF000000"/>
        <rFont val="Times New Roman"/>
      </rPr>
      <t>ученический двухместный 1200х500х760мм. Столешница ЛДСП 22мм, царга ЛДСП 16мм, каркас цельносварной из квадратной профильной трубы 25х25мм, кромка ПВХ</t>
    </r>
  </si>
  <si>
    <t>Стол
ученический двухместный 1200х500х760мм. Столешница ЛДСП 22мм, царга ЛДСП 16мм, каркас цельносварной из квадратной профильной трубы 25х25мм, кромка ПВХ</t>
  </si>
  <si>
    <r>
      <rPr>
        <sz val="10"/>
        <color theme="1"/>
        <rFont val="Times New Roman"/>
      </rPr>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r>
  </si>
  <si>
    <r>
      <rPr>
        <sz val="10"/>
        <color rgb="FF000000"/>
        <rFont val="Times New Roman"/>
      </rPr>
      <t xml:space="preserve">522-101-1210-0024 - Стол
</t>
    </r>
    <r>
      <rPr>
        <sz val="10"/>
        <color rgb="FF000000"/>
        <rFont val="Times New Roman"/>
      </rPr>
      <t>ученический двухместный 1200х500х760мм. Столешница ЛДСП 22мм, царга из МДФ, каркас из квадратной профильной трубы 30х30мм, кромка ПВХ</t>
    </r>
  </si>
  <si>
    <t>Стол
ученический двухместный 1200х500х760мм. Столешница ЛДСП 22мм, царга из МДФ, каркас из квадратной профильной трубы 30х30мм, кромка ПВХ</t>
  </si>
  <si>
    <r>
      <rPr>
        <sz val="10"/>
        <color theme="1"/>
        <rFont val="Times New Roman"/>
      </rPr>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r>
  </si>
  <si>
    <r>
      <rPr>
        <sz val="10"/>
        <color rgb="FF000000"/>
        <rFont val="Times New Roman"/>
      </rPr>
      <t xml:space="preserve">522-101-1210-0025 - Стол
</t>
    </r>
    <r>
      <rPr>
        <sz val="10"/>
        <color rgb="FF000000"/>
        <rFont val="Times New Roman"/>
      </rPr>
      <t>модульный 1400х950х760мм. Столешница ЛДСП 16мм, кромка ПВХ, металлический каркас труба профильная</t>
    </r>
  </si>
  <si>
    <t>Стол
модульный 1400х950х760мм. Столешница ЛДСП 16мм, кромка ПВХ, металлический каркас труба профильная</t>
  </si>
  <si>
    <r>
      <rPr>
        <sz val="10"/>
        <color rgb="FF000000"/>
        <rFont val="Times New Roman"/>
      </rPr>
      <t xml:space="preserve">Столешница фигурная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 Каркас- труба профильная
</t>
    </r>
    <r>
      <rPr>
        <sz val="10"/>
        <color rgb="FF000000"/>
        <rFont val="Times New Roman"/>
      </rPr>
      <t>d-60, покрытие полимерно-порошковое цвет.</t>
    </r>
  </si>
  <si>
    <r>
      <rPr>
        <sz val="10"/>
        <color rgb="FF000000"/>
        <rFont val="Times New Roman"/>
      </rPr>
      <t xml:space="preserve">522-101-1210-0026 - Стол
</t>
    </r>
    <r>
      <rPr>
        <sz val="10"/>
        <color rgb="FF000000"/>
        <rFont val="Times New Roman"/>
      </rPr>
      <t>ученический двухместный регулируемый по высоте с ПВХ кромкой. Столешница ЛДСП 16 мм, основание металлокаркас. Размер столешницы 1200х500мм</t>
    </r>
  </si>
  <si>
    <t>Стол
ученический двухместный регулируемый по высоте с ПВХ кромкой. Столешница ЛДСП 16 мм, основание металлокаркас. Размер столешницы 1200х500мм</t>
  </si>
  <si>
    <r>
      <rPr>
        <sz val="10"/>
        <color rgb="FF000000"/>
        <rFont val="Times New Roman"/>
      </rPr>
      <t xml:space="preserve">Столешница и царга выполнены из ЛДСП 16мм. Торцы обрамлены кромкой ПВХ толщиной 2мм. Каркас на прямоугольной трубе.
</t>
    </r>
    <r>
      <rPr>
        <sz val="10"/>
        <color rgb="FF000000"/>
        <rFont val="Times New Roman"/>
      </rPr>
      <t>Предусмотрены крючки для сумок. Регулировка высоты осуществляется в соответствие с ростовой группой №1-4: 460/520/580/640мм, №4-6: 640/700/760мм, №5-7: 700/760/820мм</t>
    </r>
  </si>
  <si>
    <r>
      <rPr>
        <sz val="10"/>
        <color rgb="FF000000"/>
        <rFont val="Times New Roman"/>
      </rPr>
      <t xml:space="preserve">522-101-1210-0027 - Стол
</t>
    </r>
    <r>
      <rPr>
        <sz val="10"/>
        <color rgb="FF000000"/>
        <rFont val="Times New Roman"/>
      </rPr>
      <t>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r>
  </si>
  <si>
    <t>Стол
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</si>
  <si>
    <r>
      <rPr>
        <sz val="10"/>
        <color theme="1"/>
        <rFont val="Times New Roman"/>
      </rPr>
      <t>Столешница и царга выполнена из ЛДСП 16мм. Торцы обрамлены кромкой ПВХ толщиной 2мм. Наклон столешницы (0-24°), выемка для ручек, углы столешницы закруглены. Каркас на  прямоугольной трубе, цвет: коричневый. Регулировка высоты осуществляется в соответствие с ростовой группой №2-4: 520/580/640мм</t>
    </r>
  </si>
  <si>
    <r>
      <rPr>
        <sz val="10"/>
        <color rgb="FF000000"/>
        <rFont val="Times New Roman"/>
      </rPr>
      <t xml:space="preserve">522-101-1210-0028 - Стол
</t>
    </r>
    <r>
      <rPr>
        <sz val="10"/>
        <color rgb="FF000000"/>
        <rFont val="Times New Roman"/>
      </rPr>
      <t xml:space="preserve">ученический двухместный нерегулируемый трапеция с ПВХ кромкой. Столешница 1300х590х760мм, ЛДСП 16мм,
</t>
    </r>
    <r>
      <rPr>
        <sz val="10"/>
        <color rgb="FF000000"/>
        <rFont val="Times New Roman"/>
      </rPr>
      <t>основание металлокаркас</t>
    </r>
  </si>
  <si>
    <t>Стол
ученический двухместный нерегулируемый трапеция с ПВХ кромкой. Столешница 1300х590х760мм, ЛДСП 16мм,
основание металлокаркас</t>
  </si>
  <si>
    <r>
      <rPr>
        <sz val="10"/>
        <color theme="1"/>
        <rFont val="Times New Roman"/>
      </rPr>
      <t>Стол-трапеция нерегулируемый, группа роста №6 (760мм). Каркас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Столешница выполнена из ЛДСП 16 мм в виде трапеции, облицована кромкой ПВХ 2 мм. Все углы закруглены.</t>
    </r>
  </si>
  <si>
    <r>
      <rPr>
        <sz val="10"/>
        <color rgb="FF000000"/>
        <rFont val="Times New Roman"/>
      </rPr>
      <t xml:space="preserve">522-101-1210-0029 - Стол
</t>
    </r>
    <r>
      <rPr>
        <sz val="10"/>
        <color rgb="FF000000"/>
        <rFont val="Times New Roman"/>
      </rPr>
      <t xml:space="preserve">ученический двухместный регулируемый по высоте 580-700мм, с ПВХ кромкой.
</t>
    </r>
    <r>
      <rPr>
        <sz val="10"/>
        <color rgb="FF000000"/>
        <rFont val="Times New Roman"/>
      </rPr>
      <t>Столешница ЛДСП 22мм, основание металлокаркас, размер плоскоовальных труб 50x30x2мм и 45x25x1,5мм. Размер столешницы 1200х500мм</t>
    </r>
  </si>
  <si>
    <t>Стол
ученический двухместный регулируемый по высоте 580-700мм, с ПВХ кромкой.
Столешница ЛДСП 22мм, основание металлокаркас, размер плоскоовальных труб 50x30x2мм и 45x25x1,5мм. Размер столешницы 1200х500мм</t>
  </si>
  <si>
    <r>
      <rPr>
        <sz val="10"/>
        <color rgb="FF000000"/>
        <rFont val="Times New Roman"/>
      </rPr>
      <t xml:space="preserve">Размер столешницы 1200х500мм, толщина ЛДСП 22мм. Высота стола регулируемая 580-700мм.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t>
    </r>
    <r>
      <rPr>
        <sz val="10"/>
        <color rgb="FF000000"/>
        <rFont val="Times New Roman"/>
      </rPr>
      <t xml:space="preserve">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t>
    </r>
    <r>
      <rPr>
        <sz val="10"/>
        <color rgb="FF000000"/>
        <rFont val="Times New Roman"/>
      </rPr>
      <t xml:space="preserve">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t>
    </r>
    <r>
      <rPr>
        <sz val="10"/>
        <color rgb="FF000000"/>
        <rFont val="Times New Roman"/>
      </rPr>
      <t>сетки. Комплектуется по запросу заказчика.</t>
    </r>
  </si>
  <si>
    <r>
      <rPr>
        <sz val="10"/>
        <color rgb="FF000000"/>
        <rFont val="Times New Roman"/>
      </rPr>
      <t xml:space="preserve">522-101-1210-0030 - Стол
</t>
    </r>
    <r>
      <rPr>
        <sz val="10"/>
        <color rgb="FF000000"/>
        <rFont val="Times New Roman"/>
      </rPr>
      <t>ученический двухместный нерегулируемый по высоте с ПВХ кромкой. Столешница ЛДСП 22мм, основание металлокаркас. Размер 1200х500х760мм</t>
    </r>
  </si>
  <si>
    <t>Стол
ученический двухместный нерегулируемый по высоте с ПВХ кромкой. Столешница ЛДСП 22мм, основание металлокаркас. Размер 1200х500х760мм</t>
  </si>
  <si>
    <r>
      <rPr>
        <sz val="10"/>
        <color rgb="FF000000"/>
        <rFont val="Times New Roman"/>
      </rPr>
      <t xml:space="preserve">Размер столешницы 1200х500мм,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t>
    </r>
    <r>
      <rPr>
        <sz val="10"/>
        <color rgb="FF000000"/>
        <rFont val="Times New Roman"/>
      </rPr>
      <t xml:space="preserve">Имеется корзина для школьных принадлежностей, выполненная из металла,
</t>
    </r>
    <r>
      <rPr>
        <sz val="10"/>
        <color rgb="FF000000"/>
        <rFont val="Times New Roman"/>
      </rPr>
      <t>ввиде сетки. Комплектуется по запросу заказчика.</t>
    </r>
  </si>
  <si>
    <r>
      <rPr>
        <sz val="10"/>
        <color rgb="FF000000"/>
        <rFont val="Times New Roman"/>
      </rPr>
      <t xml:space="preserve">522-101-1210-0031 - Стол
</t>
    </r>
    <r>
      <rPr>
        <sz val="10"/>
        <color rgb="FF000000"/>
        <rFont val="Times New Roman"/>
      </rPr>
      <t xml:space="preserve">ученический двухместный регулируемый по высоте
</t>
    </r>
    <r>
      <rPr>
        <sz val="10"/>
        <color rgb="FF000000"/>
        <rFont val="Times New Roman"/>
      </rPr>
      <t xml:space="preserve">580-700-820мм, с ПВХ кромкой.
</t>
    </r>
    <r>
      <rPr>
        <sz val="10"/>
        <color rgb="FF000000"/>
        <rFont val="Times New Roman"/>
      </rPr>
      <t>Столешница ЛДСП 22мм, основание металлокаркас, размер плоскоовальных труб 50x30x2мм и 45x25x1,5мм. Размер столешницы 1200х500мм</t>
    </r>
  </si>
  <si>
    <t>Стол
ученический двухместный регулируемый по высоте
580-700-820мм, с ПВХ кромкой.
Столешница ЛДСП 22мм, основание металлокаркас, размер плоскоовальных труб 50x30x2мм и 45x25x1,5мм. Размер столешницы 1200х500мм</t>
  </si>
  <si>
    <r>
      <rPr>
        <sz val="10"/>
        <color rgb="FF000000"/>
        <rFont val="Times New Roman"/>
      </rPr>
      <t xml:space="preserve">Размер столешницы 1200х500мм,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t>
    </r>
    <r>
      <rPr>
        <sz val="10"/>
        <color rgb="FF000000"/>
        <rFont val="Times New Roman"/>
      </rPr>
      <t>Комплектуется по запросу заказчика.</t>
    </r>
  </si>
  <si>
    <r>
      <rPr>
        <sz val="10"/>
        <color rgb="FF000000"/>
        <rFont val="Times New Roman"/>
      </rPr>
      <t xml:space="preserve">522-101-1210-0032 - Стол
</t>
    </r>
    <r>
      <rPr>
        <sz val="10"/>
        <color rgb="FF000000"/>
        <rFont val="Times New Roman"/>
      </rPr>
      <t>ученический двухместный регулируемый по высоте с ПВХ кромкой. Столешница ЛДСП 22мм с наклоном, основание металлокаркас. Размер столешницы 1200х500мм</t>
    </r>
  </si>
  <si>
    <t>Стол
ученический двухместный регулируемый по высоте с ПВХ кромкой. Столешница ЛДСП 22мм с наклоном, основание металлокаркас. Размер столешницы 1200х500мм</t>
  </si>
  <si>
    <r>
      <rPr>
        <sz val="10"/>
        <color rgb="FF000000"/>
        <rFont val="Times New Roman"/>
      </rPr>
      <t xml:space="preserve">Размер столешницы 1200х500мм,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t>
    </r>
    <r>
      <rPr>
        <sz val="10"/>
        <color rgb="FF000000"/>
        <rFont val="Times New Roman"/>
      </rPr>
      <t xml:space="preserve">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t>
    </r>
    <r>
      <rPr>
        <sz val="10"/>
        <color rgb="FF000000"/>
        <rFont val="Times New Roman"/>
      </rPr>
      <t xml:space="preserve">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t>
    </r>
    <r>
      <rPr>
        <sz val="10"/>
        <color rgb="FF000000"/>
        <rFont val="Times New Roman"/>
      </rPr>
      <t>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r>
  </si>
  <si>
    <r>
      <rPr>
        <sz val="10"/>
        <color rgb="FF000000"/>
        <rFont val="Times New Roman"/>
      </rPr>
      <t xml:space="preserve">522-101-1210-0033 - Стол
</t>
    </r>
    <r>
      <rPr>
        <sz val="10"/>
        <color rgb="FF000000"/>
        <rFont val="Times New Roman"/>
      </rPr>
      <t>ученический двухместный с бортиками, размер 1100х520х700мм, основание металлокаркас</t>
    </r>
  </si>
  <si>
    <t>Стол
ученический двухместный с бортиками, размер 1100х520х700мм, основание металлокаркас</t>
  </si>
  <si>
    <r>
      <rPr>
        <sz val="10"/>
        <color theme="1"/>
        <rFont val="Times New Roman"/>
      </rPr>
      <t>Каркас выполнен из профильной трубы, сечением 25х25мм, окрашенной в порошковую краску. Столешница выполнена из ЛДСП, толщиной 16мм, кромка ПВХ. Царга выполнена из ЛДСП. Маталлические части стола изготовлены из профиля 25x25x1,5мм,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стола 1100х520х700мм</t>
    </r>
  </si>
  <si>
    <r>
      <rPr>
        <sz val="10"/>
        <color rgb="FF000000"/>
        <rFont val="Times New Roman"/>
      </rPr>
      <t xml:space="preserve">522-101-1210-0037 - Стол
</t>
    </r>
    <r>
      <rPr>
        <sz val="10"/>
        <color rgb="FF000000"/>
        <rFont val="Times New Roman"/>
      </rPr>
      <t>ученический двухместный регулируемый по высоте с ПВХ кромкой. Столешница ЛДСП 22 мм, основание металлокаркас. Размер столешницы 1200х500 мм</t>
    </r>
  </si>
  <si>
    <t>Стол
ученический двухместный регулируемый по высоте с ПВХ кромкой. Столешница ЛДСП 22 мм, основание металлокаркас. Размер столешницы 1200х500 мм</t>
  </si>
  <si>
    <r>
      <rPr>
        <sz val="10"/>
        <color rgb="FF000000"/>
        <rFont val="Times New Roman"/>
      </rPr>
      <t xml:space="preserve">4-6 ростовая группа на круглой трубе. Кромка ПВХ 2мм.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25мм, толщиной не менее 1,2 мм и верхним подстольем.
</t>
    </r>
    <r>
      <rPr>
        <sz val="10"/>
        <color rgb="FF000000"/>
        <rFont val="Times New Roman"/>
      </rPr>
      <t xml:space="preserve">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1000х300мм.
</t>
    </r>
    <r>
      <rPr>
        <sz val="10"/>
        <color rgb="FF000000"/>
        <rFont val="Times New Roman"/>
      </rPr>
      <t xml:space="preserve">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t>
    </r>
    <r>
      <rPr>
        <sz val="10"/>
        <color rgb="FF000000"/>
        <rFont val="Times New Roman"/>
      </rPr>
      <t>Столешница крепиться к каркасу методом скрытого соединения.</t>
    </r>
  </si>
  <si>
    <r>
      <rPr>
        <sz val="10"/>
        <color rgb="FF000000"/>
        <rFont val="Times New Roman"/>
      </rPr>
      <t xml:space="preserve">522-101-1210-0038 - Стол
</t>
    </r>
    <r>
      <rPr>
        <sz val="10"/>
        <color rgb="FF000000"/>
        <rFont val="Times New Roman"/>
      </rPr>
      <t>ученический двухместный нерегулируемый по высоте с ПВХ кромкой. Столешница ЛДСП 22 мм, основание металлокаркас. Размер столешницы 1200х600 мм</t>
    </r>
  </si>
  <si>
    <t>Стол
ученический двухместный нерегулируемый по высоте с ПВХ кромкой. Столешница ЛДСП 22 мм, основание металлокаркас. Размер столешницы 1200х600 мм</t>
  </si>
  <si>
    <r>
      <rPr>
        <sz val="10"/>
        <color rgb="FF000000"/>
        <rFont val="Times New Roman"/>
      </rPr>
      <t xml:space="preserve">Высота верхнего края столешницы над полом должна быть 760 мм.
</t>
    </r>
    <r>
      <rPr>
        <sz val="10"/>
        <color rgb="FF000000"/>
        <rFont val="Times New Roman"/>
      </rPr>
      <t xml:space="preserve">Столешница должна быть эргономичной формы и изготовлена из ЛДСП не менее 22 мм, с кромкой ПВХ не менее 2 мм. Все углы должны иметь радиусные закругления радиусом 50 мм. С посадочной стороны столешница должна иметь вид равнобедренной трапеции с основанием в 400 мм и ребра под углом 170 градусов. С фасадной стороны на всю длину должна быть царга из ЛДСП толщиной не менее 16 мм, шириной не менее 260 мм, с кромкой ПВХ 0,4 мм. Металлический каркас должен быть из профильной трубы круглого сечения диаметром 32 мм, толщиной не менее 1,2мм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t>
    </r>
    <r>
      <rPr>
        <sz val="10"/>
        <color rgb="FF000000"/>
        <rFont val="Times New Roman"/>
      </rPr>
      <t xml:space="preserve">К опорам изнутри приварены кронштейны, к которым в свою очередь крепятся с помощью болтов М6 с плоской головкой траверсы выполненные из квадратной трубы сечением 25х25х1,2 мм, которые соединяют боковые опоры и служат элементом усиления. Столешница монтируется на траверсы и находится выше боковых опор в горизонтальной плоскости. Также к опорам приварены пластины эргономичной формы размером 200х30мм к которым крепиться царга с помощью болтов М6 с плоской головкой и футорок. На каждой опоре должен быть травмобезопасный крючок для портфеля. В основаниях опор должен быть пластиковый подпятник.
</t>
    </r>
    <r>
      <rPr>
        <sz val="10"/>
        <color rgb="FF000000"/>
        <rFont val="Times New Roman"/>
      </rPr>
      <t xml:space="preserve">Крепление столешницы и царги должно осуществляться через монтажные пластины из металлической полосы шириной 30 мм и толщиной 2 мм саморезами 4,0х16 мм. Металлический каркас должен быть с полимерным
</t>
    </r>
    <r>
      <rPr>
        <sz val="10"/>
        <color rgb="FF000000"/>
        <rFont val="Times New Roman"/>
      </rPr>
      <t>покрытием по каталогу RAL.</t>
    </r>
  </si>
  <si>
    <r>
      <rPr>
        <sz val="10"/>
        <color rgb="FF000000"/>
        <rFont val="Times New Roman"/>
      </rPr>
      <t xml:space="preserve">522-101-1210-0039 - Стол
</t>
    </r>
    <r>
      <rPr>
        <sz val="10"/>
        <color rgb="FF000000"/>
        <rFont val="Times New Roman"/>
      </rPr>
      <t>ученический двухместный нерегулируемый по высоте. Столешница ЛДСП 22 мм, основание металлокаркас. Размер столешницы 1200х500 мм</t>
    </r>
  </si>
  <si>
    <t>Стол
ученический двухместный нерегулируемый по высоте. Столешница ЛДСП 22 мм, основание металлокаркас. Размер столешницы 1200х500 мм</t>
  </si>
  <si>
    <r>
      <rPr>
        <sz val="10"/>
        <color theme="1"/>
        <rFont val="Times New Roman"/>
      </rPr>
      <t>Стол ученический нерегулируемый 2-местный перфорированный усилитель 1200х500х760 мм. 6 ростовая группа. Состоит из металлического каркаса и столешницы из ЛДСП 22мм. Каркас парты изготавливается из стальных плоскоовальных труб 50х25х1,2 мм, и представляет собой две боковые стойки с-образной формы, согнутых под углом 105 градусов и 75 градусов, и траверсып-образной формы гнутой под прямым углом. Боковые стойки гнутся по узкой стороне трубы, а траверсы по широкой стороне. Траверсы крепятся к боковым стойкам посредством болтового соединения. Открытые концы труб закрыты пластиковыми заглушками. На концах боковых опор имеются пластиковые торцевые заглушки, а на сгибе трубы пластиковая опора, устанавливаемая во фронтальной части. На фронтальной части каркаса расположена царга из металлического перфорированного листа толщиной не менее 1,2 мм 1000х290 мм. Для крепления столешницы используются металлические пластины. Металлический каркас окрашен эпоксидно-полиэфирной порошковой краской. Цвет по согласованию с заказчиком по каталогу RAL.</t>
    </r>
  </si>
  <si>
    <r>
      <rPr>
        <sz val="10"/>
        <color rgb="FF000000"/>
        <rFont val="Times New Roman"/>
      </rPr>
      <t xml:space="preserve">522-101-1210-0040 - Стол с
</t>
    </r>
    <r>
      <rPr>
        <sz val="10"/>
        <color rgb="FF000000"/>
        <rFont val="Times New Roman"/>
      </rPr>
      <t>бортиками двухместный, столешница из ЛДСП 22 мм, кромка ПВХ, металлический каркас, размеры 1300х600х760 мм</t>
    </r>
  </si>
  <si>
    <t>Стол с
бортиками двухместный, столешница из ЛДСП 22 мм, кромка ПВХ, металлический каркас, размеры 1300х600х760 мм</t>
  </si>
  <si>
    <r>
      <rPr>
        <sz val="10"/>
        <color rgb="FF000000"/>
        <rFont val="Times New Roman"/>
      </rPr>
      <t xml:space="preserve">Стол должен быть рассчитан на 2 посадочных места. Размер столешницы должен быть не менее 1300х600 мм. Высота верхнего края столешницы над полом должна быть 760 мм. Столешница должна быть изготовлена из ЛДСП не менее 22 мм с кромкой ПВХ не менее 2 мм. Столешница должна быть эргономичной формы, все углы должны иметь радиусные закругления радиусом 50 мм. С фронтальной стороны столешница должна иметь вид равнобедренной трапеции с основанием в 900 мм и ребра под углом 135 градусов. На столешнице по периметру, в виде трапеции, должны быть размещены бортики высотой не менее 60 мм. Отступ от края столешницы должен быть не более 30 мм. Бортики должны располагаться с трех сторон, на стороне ученика углы бортиков должны иметь радиусное закругление радиусом 50 мм. Крепление к столешнице должно производиться конфирматами. Металлический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50х25х1,2 мм. Вертикальные стойки должны быть высотой не менее 730 мм. Горизонтальные стойки должны быть длиной не менее 400 мм. Должны быть предусмотрены регулируемые подпятники для компенсации неровностей пола. С фронтальной стороны боковые опоры должны быть соединены между собой болтовыми соединениями, двумя царгами 1060х150 мм. Крепление столешницы к боковым опорам осуществляется саморезами путем скрытого монтажа.
</t>
    </r>
    <r>
      <rPr>
        <sz val="10"/>
        <color rgb="FF000000"/>
        <rFont val="Times New Roman"/>
      </rPr>
      <t>Металлокаркас должен быть с полимерным покрытием.</t>
    </r>
  </si>
  <si>
    <r>
      <rPr>
        <sz val="10"/>
        <color rgb="FF000000"/>
        <rFont val="Times New Roman"/>
      </rPr>
      <t xml:space="preserve">522-101-1211-0001 - Стол
</t>
    </r>
    <r>
      <rPr>
        <sz val="10"/>
        <color rgb="FF000000"/>
        <rFont val="Times New Roman"/>
      </rPr>
      <t xml:space="preserve">ученический лабораторный с розетками и УЗО автоматом.
</t>
    </r>
    <r>
      <rPr>
        <sz val="10"/>
        <color rgb="FF000000"/>
        <rFont val="Times New Roman"/>
      </rPr>
      <t xml:space="preserve">Столешница из химически стойкого монолитного пластика Labgrade 16мм. Основание разборный каркас из стальных прямоугольных труб.
</t>
    </r>
    <r>
      <rPr>
        <sz val="10"/>
        <color rgb="FF000000"/>
        <rFont val="Times New Roman"/>
      </rPr>
      <t xml:space="preserve">Вся проводка изолирована в металл
</t>
    </r>
    <r>
      <rPr>
        <sz val="10"/>
        <color rgb="FF000000"/>
        <rFont val="Times New Roman"/>
      </rPr>
      <t>рукаве. Размер стола 1200х750х750мм.</t>
    </r>
  </si>
  <si>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</si>
  <si>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r>
      <rPr>
        <sz val="10"/>
        <color rgb="FF000000"/>
        <rFont val="Times New Roman"/>
      </rPr>
      <t xml:space="preserve">Стол ученический лабораторный с розетками и УЗО автоматом.
</t>
    </r>
    <r>
      <rPr>
        <sz val="10"/>
        <color rgb="FF000000"/>
        <rFont val="Times New Roman"/>
      </rPr>
      <t xml:space="preserve">Столешница из химически стойкого монолитного пластика Labgrade 16мм.
</t>
    </r>
    <r>
      <rPr>
        <sz val="10"/>
        <color rgb="FF000000"/>
        <rFont val="Times New Roman"/>
      </rPr>
      <t>Основание разборный каркас из стальных прямоугольных труб. Вся проводка изолирована в металл рукаве. Размер стола 1200х750х750мм.</t>
    </r>
  </si>
  <si>
    <r>
      <rPr>
        <sz val="10"/>
        <color rgb="FF000000"/>
        <rFont val="Times New Roman"/>
      </rPr>
      <t xml:space="preserve">522-101-1211-0002 - Стол
</t>
    </r>
    <r>
      <rPr>
        <sz val="10"/>
        <color rgb="FF000000"/>
        <rFont val="Times New Roman"/>
      </rPr>
      <t>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r>
  </si>
  <si>
    <t>Стол
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</si>
  <si>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r>
      <rPr>
        <sz val="10"/>
        <color rgb="FF000000"/>
        <rFont val="Times New Roman"/>
      </rPr>
      <t xml:space="preserve">Стол ученический двухместный лабораторный 1400*600*750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t>
    </r>
    <r>
      <rPr>
        <sz val="10"/>
        <color rgb="FF000000"/>
        <rFont val="Times New Roman"/>
      </rPr>
      <t>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К парте подведены две розетки.</t>
    </r>
  </si>
  <si>
    <r>
      <rPr>
        <sz val="10"/>
        <color rgb="FF000000"/>
        <rFont val="Times New Roman"/>
      </rPr>
      <t xml:space="preserve">522-101-1211-0003 - Стол
</t>
    </r>
    <r>
      <rPr>
        <sz val="10"/>
        <color rgb="FF000000"/>
        <rFont val="Times New Roman"/>
      </rPr>
      <t xml:space="preserve">ученический лабораторный с розетками, двумя боковыми опорами. Столешница из химически стойкой плиты постформинг 25 мм.
</t>
    </r>
    <r>
      <rPr>
        <sz val="10"/>
        <color rgb="FF000000"/>
        <rFont val="Times New Roman"/>
      </rPr>
      <t>Основание металлокаркас, размер стола 1200х600х750мм.</t>
    </r>
  </si>
  <si>
    <t>Стол
ученический лабораторный с розетками, двумя боковыми опорами. Столешница из химически стойкой плиты постформинг 25 мм.
Основание металлокаркас, размер стола 1200х600х750мм.</t>
  </si>
  <si>
    <r>
      <rPr>
        <sz val="10"/>
        <color rgb="FF000000"/>
        <rFont val="Times New Roman"/>
      </rPr>
      <t xml:space="preserve">Стол лабораторный учинический двухместный. Размер столешницы 1200х600мм.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t>
    </r>
    <r>
      <rPr>
        <sz val="10"/>
        <color rgb="FF000000"/>
        <rFont val="Times New Roman"/>
      </rPr>
      <t xml:space="preserve">Имеются подпятники для компенсации неровностей пола. К столу
</t>
    </r>
    <r>
      <rPr>
        <sz val="10"/>
        <color rgb="FF000000"/>
        <rFont val="Times New Roman"/>
      </rPr>
      <t>подведены розетки IP56 с защитной шторкой.</t>
    </r>
  </si>
  <si>
    <r>
      <rPr>
        <sz val="10"/>
        <color rgb="FF000000"/>
        <rFont val="Times New Roman"/>
      </rPr>
      <t xml:space="preserve">522-101-1211-0004 - Стол
</t>
    </r>
    <r>
      <rPr>
        <sz val="10"/>
        <color rgb="FF000000"/>
        <rFont val="Times New Roman"/>
      </rPr>
      <t>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r>
  </si>
  <si>
    <t>Стол
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</si>
  <si>
    <r>
      <rPr>
        <sz val="10"/>
        <color theme="1"/>
        <rFont val="Times New Roman"/>
      </rPr>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Лицевая сторона стола закрыта царгой. Царга перфорированная размером 1350х350 мм. В середине стола имеется тумба размером 728х380мм. Закрывается на ключ.</t>
    </r>
  </si>
  <si>
    <r>
      <rPr>
        <sz val="10"/>
        <color rgb="FF000000"/>
        <rFont val="Times New Roman"/>
      </rPr>
      <t xml:space="preserve">522-101-1211-0005 - Стол
</t>
    </r>
    <r>
      <rPr>
        <sz val="10"/>
        <color rgb="FF000000"/>
        <rFont val="Times New Roman"/>
      </rPr>
      <t xml:space="preserve">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t>
    </r>
    <r>
      <rPr>
        <sz val="10"/>
        <color rgb="FF000000"/>
        <rFont val="Times New Roman"/>
      </rPr>
      <t>Каркас металлический, размер 1200х600х750 мм</t>
    </r>
  </si>
  <si>
    <t>Стол
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</si>
  <si>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r>
      <rPr>
        <sz val="10"/>
        <color theme="1"/>
        <rFont val="Times New Roman"/>
      </rPr>
      <t>С бортиками с трёх сторон. Столешница из химически стойкой плиты постформинг 25 мм, бортики из ЛДСП 16 мм, отверстия для проводов. С внутренних сторон опор розетки с защитными шторками 2 шт. Подвод электричества скрыт в коробе опор. Кромки деталей облицованы полимерным кромочным материалам (ПВХ), толщиной 1,5 мм. Фурнитура: конфирмат, стяжка BLUM, розетки со шторкой. Каркас металлический состоит из двух опор. Покраска полимерно-порошковая краска.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t>
    </r>
  </si>
  <si>
    <r>
      <rPr>
        <sz val="10"/>
        <color rgb="FF000000"/>
        <rFont val="Times New Roman"/>
      </rPr>
      <t xml:space="preserve">522-101-1211-0006 - Стол
</t>
    </r>
    <r>
      <rPr>
        <sz val="10"/>
        <color rgb="FF000000"/>
        <rFont val="Times New Roman"/>
      </rPr>
      <t xml:space="preserve">ученический лабораторный с розетками, двумя боковыми опорами. Столешница из химстойкой панели HPL12 мм.
</t>
    </r>
    <r>
      <rPr>
        <sz val="10"/>
        <color rgb="FF000000"/>
        <rFont val="Times New Roman"/>
      </rPr>
      <t>Основание металлокаркас, размер стола 1400х600х750мм.</t>
    </r>
  </si>
  <si>
    <t>Стол
ученический лабораторный с розетками, двумя боковыми опорами. Столешница из химстойкой панели HPL12 мм.
Основание металлокаркас, размер стола 1400х600х750мм.</t>
  </si>
  <si>
    <r>
      <rPr>
        <sz val="10"/>
        <color theme="1"/>
        <rFont val="Times New Roman"/>
      </rPr>
      <t>Стол лабораторный 2-х местный. На столешнице расположен лючок на 3 модуля: 2 розетки IP 44 и сетевой разъем. Столешница выполнена из химстойкой панели HPL12 мм. Металлические опоры выполнены из овального профиля толщиной 1,5 мм,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В нижней части гибкий кабель канал для скрытия кабелей. Поверхность стола крепится к металлическому каркасу на евровинты.</t>
    </r>
  </si>
  <si>
    <r>
      <rPr>
        <sz val="10"/>
        <color rgb="FF000000"/>
        <rFont val="Times New Roman"/>
      </rPr>
      <t xml:space="preserve">522-101-1211-0009 - Стол
</t>
    </r>
    <r>
      <rPr>
        <sz val="10"/>
        <color rgb="FF000000"/>
        <rFont val="Times New Roman"/>
      </rPr>
      <t>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r>
  </si>
  <si>
    <t>Стол
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</si>
  <si>
    <r>
      <rPr>
        <sz val="10"/>
        <color theme="1"/>
        <rFont val="Times New Roman"/>
      </rPr>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t>
    </r>
  </si>
  <si>
    <r>
      <rPr>
        <sz val="10"/>
        <color rgb="FF000000"/>
        <rFont val="Times New Roman"/>
      </rPr>
      <t xml:space="preserve">522-101-1211-0010 - Стол
</t>
    </r>
    <r>
      <rPr>
        <sz val="10"/>
        <color rgb="FF000000"/>
        <rFont val="Times New Roman"/>
      </rPr>
      <t>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r>
  </si>
  <si>
    <t>Стол
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</si>
  <si>
    <r>
      <rPr>
        <sz val="10"/>
        <color rgb="FF000000"/>
        <rFont val="Times New Roman"/>
      </rPr>
      <t xml:space="preserve">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25х25х1,2 мм, стянутых между собой двумя ребрами жесткости путем болтового соединения. Ребра жесткости должны быть изготовлены из профильной трубы квадратного сечения 25х25х1,2 мм на всю длину стола.
</t>
    </r>
    <r>
      <rPr>
        <sz val="10"/>
        <color rgb="FF000000"/>
        <rFont val="Times New Roman"/>
      </rPr>
      <t xml:space="preserve">На высоте 400 и 700 мм на них должны крепиться две полки размером
</t>
    </r>
    <r>
      <rPr>
        <sz val="10"/>
        <color rgb="FF000000"/>
        <rFont val="Times New Roman"/>
      </rPr>
      <t>1200х200 мм, изготовленные из ЛДСП толщиной не менее 16 мм. Торцы полок должны быть отделаны кромкой ПВХ толщиной не менее 0,4 мм. Полки должны крепиться к металлокаркасу саморезами методом скрытого соединения.</t>
    </r>
  </si>
  <si>
    <r>
      <rPr>
        <sz val="10"/>
        <color rgb="FF000000"/>
        <rFont val="Times New Roman"/>
      </rPr>
      <t xml:space="preserve">522-101-1212-0015 - Угловой
</t>
    </r>
    <r>
      <rPr>
        <sz val="10"/>
        <color rgb="FF000000"/>
        <rFont val="Times New Roman"/>
      </rPr>
      <t>сегмент 700х700х750мм, ЛДСП 16мм</t>
    </r>
  </si>
  <si>
    <t>Угловой
сегмент 700х700х750мм, ЛДСП 16мм</t>
  </si>
  <si>
    <r>
      <rPr>
        <sz val="10"/>
        <color theme="1"/>
        <rFont val="Times New Roman"/>
      </rPr>
      <t>Столешница из ЛДСП 16мм, каркас выполнен из ЛДСП ированной ДСП 16мм. Торцы облицованы  кромкой ПВХ толщиной 2мм.</t>
    </r>
  </si>
  <si>
    <r>
      <rPr>
        <sz val="10"/>
        <color rgb="FF000000"/>
        <rFont val="Times New Roman"/>
      </rPr>
      <t xml:space="preserve">522-101-1212-0016 - Стол
</t>
    </r>
    <r>
      <rPr>
        <sz val="10"/>
        <color rgb="FF000000"/>
        <rFont val="Times New Roman"/>
      </rPr>
      <t xml:space="preserve">гримировальный с зеркалом 1200х600х750/1200мм. ЛДСП 16мм,
</t>
    </r>
    <r>
      <rPr>
        <sz val="10"/>
        <color rgb="FF000000"/>
        <rFont val="Times New Roman"/>
      </rPr>
      <t>2 выдвижных ящика</t>
    </r>
  </si>
  <si>
    <t>Стол
гримировальный с зеркалом 1200х600х750/1200мм. ЛДСП 16мм,
2 выдвижных ящика</t>
  </si>
  <si>
    <r>
      <rPr>
        <sz val="10"/>
        <color theme="1"/>
        <rFont val="Times New Roman"/>
      </rPr>
      <t>Гримировальный стол. Габаритные размеры: 1200х600х750/1200мм. Выполнен из ЛДСП толщиной 16мм, торцы обработаны кромкой ПВХ толщиной 2мм. Предусмотрены 2 выдвижных ящика на шариковых направляющих, зеркало 1100х450мм, ручки металлические.</t>
    </r>
  </si>
  <si>
    <r>
      <rPr>
        <sz val="10"/>
        <color rgb="FF000000"/>
        <rFont val="Times New Roman"/>
      </rPr>
      <t xml:space="preserve">522-101-1212-0017 - Стол
</t>
    </r>
    <r>
      <rPr>
        <sz val="10"/>
        <color rgb="FF000000"/>
        <rFont val="Times New Roman"/>
      </rPr>
      <t xml:space="preserve">гримировальный с зеркалом 1200х600х875мм. Столешница из ЛДСП 16мм, основание
</t>
    </r>
    <r>
      <rPr>
        <sz val="10"/>
        <color rgb="FF000000"/>
        <rFont val="Times New Roman"/>
      </rPr>
      <t>металло-каркас, выдвижной ящик</t>
    </r>
  </si>
  <si>
    <t>Стол
гримировальный с зеркалом 1200х600х875мм. Столешница из ЛДСП 16мм, основание
металло-каркас, выдвижной ящик</t>
  </si>
  <si>
    <r>
      <rPr>
        <sz val="10"/>
        <color theme="1"/>
        <rFont val="Times New Roman"/>
      </rPr>
      <t>Основание металло-каркас, покрашенный в полимерно порошковую краску по выбору. Столешница ЛДСП 16 мм с кромкой ПВХ 1200х600х875мм. Размер зеркала 800х900мм. Металлические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r>
  </si>
  <si>
    <r>
      <rPr>
        <sz val="10"/>
        <color rgb="FF000000"/>
        <rFont val="Times New Roman"/>
      </rPr>
      <t xml:space="preserve">522-101-1213-0001 - Стол
</t>
    </r>
    <r>
      <rPr>
        <sz val="10"/>
        <color rgb="FF000000"/>
        <rFont val="Times New Roman"/>
      </rPr>
      <t>читательский одноместный 900х600х870 мм. Материал ЛДСП 16 мм</t>
    </r>
  </si>
  <si>
    <t>Стол
читательский одноместный 900х600х870 мм. Материал ЛДСП 16 мм</t>
  </si>
  <si>
    <r>
      <rPr>
        <sz val="10"/>
        <color theme="1"/>
        <rFont val="Times New Roman"/>
      </rPr>
      <t>Стол читательский одноместный. Материал ЛДСП 16 мм. Боковые стенки имеют полимерные не регулируемые подпятники. Размеры: 900х600х870мм</t>
    </r>
  </si>
  <si>
    <r>
      <rPr>
        <sz val="10"/>
        <color rgb="FF000000"/>
        <rFont val="Times New Roman"/>
      </rPr>
      <t xml:space="preserve">522-101-1213-0002 - Стол
</t>
    </r>
    <r>
      <rPr>
        <sz val="10"/>
        <color rgb="FF000000"/>
        <rFont val="Times New Roman"/>
      </rPr>
      <t>читательский, ЛДСП 16мм, размеры 1400х500х750мм</t>
    </r>
  </si>
  <si>
    <t>Стол
читательский, ЛДСП 16мм, размеры 1400х500х750мм</t>
  </si>
  <si>
    <r>
      <rPr>
        <sz val="10"/>
        <color theme="1"/>
        <rFont val="Times New Roman"/>
      </rPr>
      <t>Стол читательский, ЛДСП 16мм. Размеры 1400х500х750мм. Стол имеет подпятники. Материал ЛДСП. Основание ЛДСП/металлокаркас, толщина стенки не менее 1,0 мм. Без острых углов. Торцы закатаны кромочным материалом ПВХ не менее 1,0 мм.</t>
    </r>
  </si>
  <si>
    <r>
      <rPr>
        <sz val="10"/>
        <color rgb="FF000000"/>
        <rFont val="Times New Roman"/>
      </rPr>
      <t xml:space="preserve">522-101-1213-0003 - Стол
</t>
    </r>
    <r>
      <rPr>
        <sz val="10"/>
        <color rgb="FF000000"/>
        <rFont val="Times New Roman"/>
      </rPr>
      <t>читательский 2-местный, ЛДСП 32мм, каркас металлический, розетки, размер 1800х800х750 мм</t>
    </r>
  </si>
  <si>
    <t>Стол
читательский 2-местный, ЛДСП 32мм, каркас металлический, розетки, размер 1800х800х750 мм</t>
  </si>
  <si>
    <r>
      <rPr>
        <sz val="10"/>
        <color theme="1"/>
        <rFont val="Times New Roman"/>
      </rPr>
      <t>Столешница выполненая из ЛДСП с закругленными углами, толщиной 32 мм. Оборудован двумя розетками (двух групповая) - по две на каждой из металлических опор на внутренней стороне. Кромки деталей облицованы полимерным кромочным материалам (ПВХ), толщиной 1,5 мм. Карас металлический состоит из двух зеркально изготовленных опор (левой и правой). Покраска полимерно-порошковой краской. Опорная площадка имеет отверстие для возможности подведения электрического и интернет кабеля. В столе отверстие для провода на каждого пользователя.</t>
    </r>
  </si>
  <si>
    <r>
      <rPr>
        <sz val="10"/>
        <color rgb="FF000000"/>
        <rFont val="Times New Roman"/>
      </rPr>
      <t xml:space="preserve">522-101-1214-0001 - Стол
</t>
    </r>
    <r>
      <rPr>
        <sz val="10"/>
        <color rgb="FF000000"/>
        <rFont val="Times New Roman"/>
      </rPr>
      <t xml:space="preserve">ученический лабораторный с раковиной, розетками и автоматическим выключателем дифференциального тока.
</t>
    </r>
    <r>
      <rPr>
        <sz val="10"/>
        <color rgb="FF000000"/>
        <rFont val="Times New Roman"/>
      </rPr>
      <t xml:space="preserve">Столешница из химически стойкого монолитного пластика Labgrade 16мм. Основание разборный каркас, сталь листовая, стальные прямоугольные трубы. Размер стола
</t>
    </r>
    <r>
      <rPr>
        <sz val="10"/>
        <color rgb="FF000000"/>
        <rFont val="Times New Roman"/>
      </rPr>
      <t>1200х750х750мм.</t>
    </r>
  </si>
  <si>
    <t>Стол
ученический лабораторный с раковиной, розетками и автоматическим выключателем дифференциального тока.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</si>
  <si>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r>
      <rPr>
        <sz val="10"/>
        <color theme="1"/>
        <rFont val="Times New Roman"/>
      </rPr>
      <t>Стол ученический лабораторный с раковиной, розетками и автоматическим выключателем дифференциального тока. Вся проводка изолирована в металл рукаве.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r>
  </si>
  <si>
    <r>
      <rPr>
        <sz val="10"/>
        <color rgb="FF000000"/>
        <rFont val="Times New Roman"/>
      </rPr>
      <t xml:space="preserve">522-101-1214-0002 - Стол
</t>
    </r>
    <r>
      <rPr>
        <sz val="10"/>
        <color rgb="FF000000"/>
        <rFont val="Times New Roman"/>
      </rPr>
      <t>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r>
  </si>
  <si>
    <t>Стол
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</si>
  <si>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r>
      <rPr>
        <sz val="10"/>
        <color rgb="FF000000"/>
        <rFont val="Times New Roman"/>
      </rPr>
      <t xml:space="preserve">Стол ученический двухместный лабораторный 1400*600*750мм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t>
    </r>
    <r>
      <rPr>
        <sz val="10"/>
        <color rgb="FF000000"/>
        <rFont val="Times New Roman"/>
      </rPr>
      <t xml:space="preserve">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Раковина сделана из полипропилена,
</t>
    </r>
    <r>
      <rPr>
        <sz val="10"/>
        <color rgb="FF000000"/>
        <rFont val="Times New Roman"/>
      </rPr>
      <t>размером 300х150мм.</t>
    </r>
  </si>
  <si>
    <r>
      <rPr>
        <sz val="10"/>
        <color rgb="FF000000"/>
        <rFont val="Times New Roman"/>
      </rPr>
      <t xml:space="preserve">522-101-1214-0003 - Стол
</t>
    </r>
    <r>
      <rPr>
        <sz val="10"/>
        <color rgb="FF000000"/>
        <rFont val="Times New Roman"/>
      </rPr>
      <t xml:space="preserve">ученический лабораторный с раковиной, розетками, двумя боковыми опорами и тумбой для скрытия коммуникаций.
</t>
    </r>
    <r>
      <rPr>
        <sz val="10"/>
        <color rgb="FF000000"/>
        <rFont val="Times New Roman"/>
      </rPr>
      <t xml:space="preserve">Столешница из химически стойкой плиты постформинг 25 мм.
</t>
    </r>
    <r>
      <rPr>
        <sz val="10"/>
        <color rgb="FF000000"/>
        <rFont val="Times New Roman"/>
      </rPr>
      <t>Основание металлокаркас, размер стола 1200х600х750мм.</t>
    </r>
  </si>
  <si>
    <t>Стол
ученический лабораторный с раковиной, розетками, двумя боковыми опорами и тумбой для скрытия коммуникаций.
Столешница из химически стойкой плиты постформинг 25 мм.
Основание металлокаркас, размер стола 1200х600х750мм.</t>
  </si>
  <si>
    <r>
      <rPr>
        <sz val="10"/>
        <color rgb="FF000000"/>
        <rFont val="Times New Roman"/>
      </rPr>
      <t xml:space="preserve">Стол ученический лабораторный двухместный с мойкой и лабораторным краном 1200х600х750 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t>
    </r>
    <r>
      <rPr>
        <sz val="10"/>
        <color rgb="FF000000"/>
        <rFont val="Times New Roman"/>
      </rPr>
      <t xml:space="preserve">Имеются подпятники для компенсации неровностей пола. К столу
</t>
    </r>
    <r>
      <rPr>
        <sz val="10"/>
        <color rgb="FF000000"/>
        <rFont val="Times New Roman"/>
      </rPr>
      <t>подведены все коммуникации, розетки IP56 с защитной шторкой, с краном и раковиной.</t>
    </r>
  </si>
  <si>
    <r>
      <rPr>
        <sz val="10"/>
        <color rgb="FF000000"/>
        <rFont val="Times New Roman"/>
      </rPr>
      <t xml:space="preserve">522-101-1214-0004 - Стол
</t>
    </r>
    <r>
      <rPr>
        <sz val="10"/>
        <color rgb="FF000000"/>
        <rFont val="Times New Roman"/>
      </rPr>
      <t xml:space="preserve">ученический лабораторный с раковиной, розетками, двумя боковыми опорами и тумбой для скрытия коммуникаций.
</t>
    </r>
    <r>
      <rPr>
        <sz val="10"/>
        <color rgb="FF000000"/>
        <rFont val="Times New Roman"/>
      </rPr>
      <t>Столешница из ЛДСП 22 мм. Основание металлокаркас, размер стола 1500х600*750мм</t>
    </r>
  </si>
  <si>
    <t>Стол
ученический лабораторный с раковиной, розетками, двумя боковыми опорами и тумбой для скрытия коммуникаций.
Столешница из ЛДСП 22 мм. Основание металлокаркас, размер стола 1500х600*750мм</t>
  </si>
  <si>
    <r>
      <rPr>
        <sz val="10"/>
        <color theme="1"/>
        <rFont val="Times New Roman"/>
      </rPr>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Раковина установлена по центру, вровень со столешницей с сифоном и гибким гофрированным шлангом для подключения к канализации квадратной формы. Специальный кран для холодной воды. Лицевая сторона стола закрыта царгой. Царга перфорированная размером 1350х350 мм. В середине стола имеется тумба размером 728х380. Закрывается на ключ.</t>
    </r>
  </si>
  <si>
    <r>
      <rPr>
        <sz val="10"/>
        <color rgb="FF000000"/>
        <rFont val="Times New Roman"/>
      </rPr>
      <t xml:space="preserve">522-101-1214-0005 - Стол
</t>
    </r>
    <r>
      <rPr>
        <sz val="10"/>
        <color rgb="FF000000"/>
        <rFont val="Times New Roman"/>
      </rPr>
      <t xml:space="preserve">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t>
    </r>
    <r>
      <rPr>
        <sz val="10"/>
        <color rgb="FF000000"/>
        <rFont val="Times New Roman"/>
      </rPr>
      <t>Каркас металлический, размер 1200х600х750 мм</t>
    </r>
  </si>
  <si>
    <t>Стол
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</si>
  <si>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r>
      <rPr>
        <sz val="10"/>
        <color theme="1"/>
        <rFont val="Times New Roman"/>
      </rPr>
      <t>Стол ученический лабораторный 1200х600х750 мм. Материал: столешница выполнена из химически стойкой плиты постформинг, толщиной 25 мм, предусмотрены отверстия для проводов для каждого пользователя. Кромки деталей облицованы полимерным кромочным материалом (ПВХ), толщиной 1,5 мм. По центру столешницы имеется смеситель с раковиной из химически стойкого пластика диаметром 14 см, глубиной (до сливного отверстия) 12 см. Для скрытия коммуникаций снизу предусмотрен короб с мебельным замком. Фурнитура: конфирмат, стяжка BLUM, розетка со шторкой на каждого пользователя, кран лабораторный, мойка дабораторная.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кабеля.</t>
    </r>
  </si>
  <si>
    <r>
      <rPr>
        <sz val="10"/>
        <color rgb="FF000000"/>
        <rFont val="Times New Roman"/>
      </rPr>
      <t xml:space="preserve">522-101-1214-0006 - Стол
</t>
    </r>
    <r>
      <rPr>
        <sz val="10"/>
        <color rgb="FF000000"/>
        <rFont val="Times New Roman"/>
      </rPr>
      <t xml:space="preserve">ученический лабораторный с раковиной, розетками, двумя боковыми опорами и коробом для скрытия коммуникаций.
</t>
    </r>
    <r>
      <rPr>
        <sz val="10"/>
        <color rgb="FF000000"/>
        <rFont val="Times New Roman"/>
      </rPr>
      <t>Столешница из химически стойкой плиты постформинг 25мм, с бортиками. Основание металлокаркас, размер стола 1200х600х700/760мм</t>
    </r>
  </si>
  <si>
    <t>Стол
ученический лабораторный с раковиной, розетками, двумя боковыми опорами и коробом для скрытия коммуникаций.
Столешница из химически стойкой плиты постформинг 25мм, с бортиками. Основание металлокаркас, размер стола 1200х600х700/760мм</t>
  </si>
  <si>
    <r>
      <rPr>
        <sz val="10"/>
        <color theme="1"/>
        <rFont val="Times New Roman"/>
      </rPr>
      <t>Столешница выполнена из химически стойкой плиты постформиг, толщиной 25 мм. Оборудован двумя розетками со шторками. Кромки деталей облицованы полимерным кромочным материалам (ПВХ), толшиной 1.5 мм. Каркас металлический состоит из двух зеркально изготовленных опор (левой и правой), покрытый полимерно-порошковой краской.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Высота стола зависит от группы роста и соответствует следующим значениям: группа роста 5: высота 700мм, группа роста 6: высота 760мм</t>
    </r>
  </si>
  <si>
    <r>
      <rPr>
        <sz val="10"/>
        <color rgb="FF000000"/>
        <rFont val="Times New Roman"/>
      </rPr>
      <t xml:space="preserve">522-101-1214-0007 - Стол
</t>
    </r>
    <r>
      <rPr>
        <sz val="10"/>
        <color rgb="FF000000"/>
        <rFont val="Times New Roman"/>
      </rPr>
      <t xml:space="preserve">ученический лабораторный с раковиной, розетками, двумя боковыми опорами и тумбой для скрытия коммуникаций.
</t>
    </r>
    <r>
      <rPr>
        <sz val="10"/>
        <color rgb="FF000000"/>
        <rFont val="Times New Roman"/>
      </rPr>
      <t>Столешница из химического стойкого пластика HPL панели12 мм. Основание металлокаркас, размер стола1400х600х750мм.</t>
    </r>
  </si>
  <si>
    <t>Стол
ученический лабораторный с раковиной, розетками, двумя боковыми опорами и тумбой для скрытия коммуникаций.
Столешница из химического стойкого пластика HPL панели12 мм. Основание металлокаркас, размер стола1400х600х750мм.</t>
  </si>
  <si>
    <r>
      <rPr>
        <sz val="10"/>
        <color rgb="FF000000"/>
        <rFont val="Times New Roman"/>
      </rPr>
      <t xml:space="preserve">Стол лабораторный 2-х местный.  Лабораторный стол ученика с раковиной, смесителем, с розеткой, двумя боковыми опорами и шкафом для скрытия коммуникаций.  - Электрическая панель с 2 розетками 220 В (IP54, с закрытым корпусом, с защитой контактов);  Раковина  из полипропилена (установлена по центру переда стола ). размерами 180*180*220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 замок 1 шт ( ключ универсальный). Лабораторный смеситель: твердый латунный химически стойкий кран с одним выходом, покрытый полимерно-порошковой краской Столешница выполнена из химстойкой панели HPL Fundermax12 мм для лабораторных поверхностей.
</t>
    </r>
    <r>
      <rPr>
        <sz val="10"/>
        <color rgb="FF000000"/>
        <rFont val="Times New Roman"/>
      </rPr>
      <t xml:space="preserve">Металлические детали выполнены из овального профиля толщиной 1,5 мм. Металлические детали окрашены электростатической порошковой краской. Для предотвращения дефектов из-за дефектов пола под ножки подложены
</t>
    </r>
    <r>
      <rPr>
        <sz val="10"/>
        <color rgb="FF000000"/>
        <rFont val="Times New Roman"/>
      </rPr>
      <t>пластиковые регулируемые подпятники. Размеры стола составляют 1400х600х750 мм.</t>
    </r>
  </si>
  <si>
    <r>
      <rPr>
        <sz val="10"/>
        <color rgb="FF000000"/>
        <rFont val="Times New Roman"/>
      </rPr>
      <t xml:space="preserve">522-101-1214-0009 - Стол
</t>
    </r>
    <r>
      <rPr>
        <sz val="10"/>
        <color rgb="FF000000"/>
        <rFont val="Times New Roman"/>
      </rPr>
      <t>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r>
  </si>
  <si>
    <t>Стол
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</si>
  <si>
    <r>
      <rPr>
        <sz val="10"/>
        <color rgb="FF000000"/>
        <rFont val="Times New Roman"/>
      </rPr>
      <t xml:space="preserve">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На столешнице должен быть вырез диаметром 140мм, для установки раковины полипропиленовой.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t>
    </r>
    <r>
      <rPr>
        <sz val="10"/>
        <color rgb="FF000000"/>
        <rFont val="Times New Roman"/>
      </rPr>
      <t xml:space="preserve">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Под столешницей должен располагаться короб для скрытия коммуникаций размером 200х330 мм, с глухой дверкой и врезным замком.
</t>
    </r>
    <r>
      <rPr>
        <sz val="10"/>
        <color rgb="FF000000"/>
        <rFont val="Times New Roman"/>
      </rPr>
      <t xml:space="preserve">Должны быть регулируемые металлические подпятники для компенсации
</t>
    </r>
    <r>
      <rPr>
        <sz val="10"/>
        <color rgb="FF000000"/>
        <rFont val="Times New Roman"/>
      </rPr>
      <t>неровностей пола.</t>
    </r>
  </si>
  <si>
    <r>
      <rPr>
        <sz val="10"/>
        <color rgb="FF000000"/>
        <rFont val="Times New Roman"/>
      </rPr>
      <t xml:space="preserve">522-101-1215-0001 - Стол
</t>
    </r>
    <r>
      <rPr>
        <sz val="10"/>
        <color rgb="FF000000"/>
        <rFont val="Times New Roman"/>
      </rPr>
      <t xml:space="preserve">демонстрационный без раковины, составной из двух столов однотумбовых, с бортом, розеткой.
</t>
    </r>
    <r>
      <rPr>
        <sz val="10"/>
        <color rgb="FF000000"/>
        <rFont val="Times New Roman"/>
      </rPr>
      <t>Столешница, тумбы и стенки ЛДСП 16мм. Размер 2400х750х900 мм.</t>
    </r>
  </si>
  <si>
    <t>Стол
демонстрационный без раковины, составной из двух столов однотумбовых, с бортом, розеткой.
Столешница, тумбы и стенки ЛДСП 16мм. Размер 2400х750х900 мм.</t>
  </si>
  <si>
    <r>
      <rPr>
        <sz val="10"/>
        <color theme="1"/>
        <rFont val="Times New Roman"/>
      </rPr>
      <t>Стол демонстрационный без раковины, составной из двух столов однотумбовых, с бортом, розеткой. Столешница, тумбы и стенки ЛДСП 16мм. Размер 2400х750х900 мм.</t>
    </r>
  </si>
  <si>
    <r>
      <rPr>
        <sz val="10"/>
        <color rgb="FF000000"/>
        <rFont val="Times New Roman"/>
      </rPr>
      <t xml:space="preserve">522-101-1215-0002 - Стол без
</t>
    </r>
    <r>
      <rPr>
        <sz val="10"/>
        <color rgb="FF000000"/>
        <rFont val="Times New Roman"/>
      </rPr>
      <t xml:space="preserve">раковины массивный двухтумбовый с розеткой. Столешница ДСП 16мм с декоративно-пластиковым покрытием, тумбы и стенки ЛДСП 16мм, боковины металлокаркас.
</t>
    </r>
    <r>
      <rPr>
        <sz val="10"/>
        <color rgb="FF000000"/>
        <rFont val="Times New Roman"/>
      </rPr>
      <t>Размер  1500х800х800 мм</t>
    </r>
  </si>
  <si>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</si>
  <si>
    <r>
      <rPr>
        <sz val="10"/>
        <color theme="1"/>
        <rFont val="Times New Roman"/>
      </rPr>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r>
  </si>
  <si>
    <r>
      <rPr>
        <sz val="10"/>
        <color rgb="FF000000"/>
        <rFont val="Times New Roman"/>
      </rPr>
      <t xml:space="preserve">522-101-1215-0003 - Стол
</t>
    </r>
    <r>
      <rPr>
        <sz val="10"/>
        <color rgb="FF000000"/>
        <rFont val="Times New Roman"/>
      </rPr>
      <t xml:space="preserve">демонстрационный без раковины, состоит из двух частей, с бортом и розеткой, однотумбовый.
</t>
    </r>
    <r>
      <rPr>
        <sz val="10"/>
        <color rgb="FF000000"/>
        <rFont val="Times New Roman"/>
      </rPr>
      <t xml:space="preserve">Столешница ДСП 16мм с декоративно-пластиковым покрытием, ящики и стенки ЛДСП 16мм, основание металлокаркас.
</t>
    </r>
    <r>
      <rPr>
        <sz val="10"/>
        <color rgb="FF000000"/>
        <rFont val="Times New Roman"/>
      </rPr>
      <t>Размер 2400х700х900мм</t>
    </r>
  </si>
  <si>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</si>
  <si>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r>
      <rPr>
        <sz val="10"/>
        <color rgb="FF000000"/>
        <rFont val="Times New Roman"/>
      </rPr>
      <t xml:space="preserve">Стол демонстрационный без раковины, состоит из двух частей, с бортом и розеткой, однотумбовый. Столешница ДСП 16мм с
</t>
    </r>
    <r>
      <rPr>
        <sz val="10"/>
        <color rgb="FF000000"/>
        <rFont val="Times New Roman"/>
      </rPr>
      <t>декоративно-пластиковым покрытием, ящики и стенки ЛДСП 16мм, основание металлокаркас. Размер 2400х700х900мм</t>
    </r>
  </si>
  <si>
    <r>
      <rPr>
        <sz val="10"/>
        <color rgb="FF000000"/>
        <rFont val="Times New Roman"/>
      </rPr>
      <t xml:space="preserve">522-101-1215-0004 - Стол
</t>
    </r>
    <r>
      <rPr>
        <sz val="10"/>
        <color rgb="FF000000"/>
        <rFont val="Times New Roman"/>
      </rPr>
      <t xml:space="preserve">демонстрационный лабораторный без раковины со встроенными тумбами и двумя розетками.
</t>
    </r>
    <r>
      <rPr>
        <sz val="10"/>
        <color rgb="FF000000"/>
        <rFont val="Times New Roman"/>
      </rPr>
      <t>Столешница из химического стойкого пластика 16мм, основание металлокаркас, размер 1800х750х900мм.</t>
    </r>
  </si>
  <si>
    <t>Стол
демонстрационный лабораторный без раковины со встроенными тумбами и двумя розетками.
Столешница из химического стойкого пластика 16мм, основание металлокаркас, размер 1800х750х900мм.</t>
  </si>
  <si>
    <r>
      <rPr>
        <sz val="10"/>
        <color theme="1"/>
        <rFont val="Times New Roman"/>
      </rPr>
      <t>Стол демонстрационный для кабинета физики 1800*750*900мм.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химически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в столе установлены 2 розетки на боковой панели</t>
    </r>
  </si>
  <si>
    <r>
      <rPr>
        <sz val="10"/>
        <color rgb="FF000000"/>
        <rFont val="Times New Roman"/>
      </rPr>
      <t xml:space="preserve">522-101-1215-0005 - Стол
</t>
    </r>
    <r>
      <rPr>
        <sz val="10"/>
        <color rgb="FF000000"/>
        <rFont val="Times New Roman"/>
      </rPr>
      <t>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r>
  </si>
  <si>
    <t>Стол
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</si>
  <si>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r>
      <rPr>
        <sz val="10"/>
        <color rgb="FF000000"/>
        <rFont val="Times New Roman"/>
      </rPr>
      <t xml:space="preserve">Рабочая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Цельсию. На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230V, система индивидуального включения/отключения подачи напряжения к столам учителя и учащихся.
</t>
    </r>
    <r>
      <rPr>
        <sz val="10"/>
        <color rgb="FF000000"/>
        <rFont val="Times New Roman"/>
      </rPr>
      <t xml:space="preserve">Рабочая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Х/К толщина 0,8 мм окрашенные порошковым методом эпоксиполиэфирной краской пепельного цвета RAL 7035. Сервисные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RAL
</t>
    </r>
    <r>
      <rPr>
        <sz val="10"/>
        <color rgb="FF000000"/>
        <rFont val="Times New Roman"/>
      </rPr>
      <t>7035</t>
    </r>
  </si>
  <si>
    <r>
      <rPr>
        <sz val="10"/>
        <color rgb="FF000000"/>
        <rFont val="Times New Roman"/>
      </rPr>
      <t xml:space="preserve">522-101-1215-0008 - Стол
</t>
    </r>
    <r>
      <rPr>
        <sz val="10"/>
        <color rgb="FF000000"/>
        <rFont val="Times New Roman"/>
      </rPr>
      <t>демонстрационный размеры 1600х750х910 мм, столешница из ЛДСП толщиной 22 мм</t>
    </r>
  </si>
  <si>
    <t>Стол
демонстрационный размеры 1600х750х910 мм, столешница из ЛДСП толщиной 22 мм</t>
  </si>
  <si>
    <r>
      <rPr>
        <sz val="10"/>
        <color rgb="FF000000"/>
        <rFont val="Times New Roman"/>
      </rPr>
      <t xml:space="preserve">Высота верхнего края столешницы над уровнем пола должна быть не менее 900 мм. Материал столешницы должен быть ЛДСП толщиной не менее 22 мм, покрытая пластиком толщиной не менее 0,5 мм. Кромка должна быть из ПВХ не менее 2 мм. Должны быть две боковые опоры, глухая передняя панель. Внутренние полки должны быть изготовлены из ЛДСП толщиной не менее 16 мм. Дверцы должны быть изготовлены из цветного ЛДСП толщиной не менее 16 мм. Внутри стола должна быть полка и вертикальная перегородка на всю высоту. Внутреннее пространство стола должно быть поделено на 4 отдела. Дверцы должны быть раздвижные на направляющих.
</t>
    </r>
    <r>
      <rPr>
        <sz val="10"/>
        <color rgb="FF000000"/>
        <rFont val="Times New Roman"/>
      </rPr>
      <t xml:space="preserve">Дверцы должны быть с ручками. Мебельные ножки должны регулироваться
</t>
    </r>
    <r>
      <rPr>
        <sz val="10"/>
        <color rgb="FF000000"/>
        <rFont val="Times New Roman"/>
      </rPr>
      <t>по высоте для компенсации неровностей пола.</t>
    </r>
  </si>
  <si>
    <r>
      <rPr>
        <sz val="10"/>
        <color rgb="FF000000"/>
        <rFont val="Times New Roman"/>
      </rPr>
      <t xml:space="preserve">522-101-1215-0009 - Стол
</t>
    </r>
    <r>
      <rPr>
        <sz val="10"/>
        <color rgb="FF000000"/>
        <rFont val="Times New Roman"/>
      </rPr>
      <t>демонстрационный мобильный на колесах, размеры 1500х640х900 мм, столешница ЛДСП 22мм, кромка ПВХ</t>
    </r>
  </si>
  <si>
    <t>Стол
демонстрационный мобильный на колесах, размеры 1500х640х900 мм, столешница ЛДСП 22мм, кромка ПВХ</t>
  </si>
  <si>
    <r>
      <rPr>
        <sz val="10"/>
        <color theme="1"/>
        <rFont val="Times New Roman"/>
      </rPr>
      <t>Высота верхнего края столешницы над уровнем пола должна быть 900 мм. Материал столешницы ЛДСП должен быть толщиной не менее 22 мм, покрытая пластиком толщиной не менее 0,5 мм. Кромка должна быть из ПВХ не менее 2 мм. Каркас стола должен состоять из двух боковых опор, изготовленных из труб квадратного сечения 40х40, толщиной не менее 1,2мм,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Дверцы должны быть изготовлены из цветного ЛДСП толщиной не менее 16 мм. Фасады должны быть снабжены металлическими ручками и петлями с быстросъемным механизмом, и функцией «softclose».</t>
    </r>
  </si>
  <si>
    <r>
      <rPr>
        <sz val="10"/>
        <color rgb="FF000000"/>
        <rFont val="Times New Roman"/>
      </rPr>
      <t xml:space="preserve">522-101-1216-0001 - Стол
</t>
    </r>
    <r>
      <rPr>
        <sz val="10"/>
        <color rgb="FF000000"/>
        <rFont val="Times New Roman"/>
      </rPr>
      <t>лабораторный, столешница постформинг 28мм, основание металлокаркас, ящики, размер 1000х600х850мм (постформиг) СЛ-2</t>
    </r>
  </si>
  <si>
    <t>Стол
лабораторный, столешница постформинг 28мм, основание металлокаркас, ящики, размер 1000х600х850мм (постформиг) СЛ-2</t>
  </si>
  <si>
    <r>
      <rPr>
        <sz val="10"/>
        <color theme="1"/>
        <rFont val="Times New Roman"/>
      </rPr>
      <t>Стол лабораторный, столешница постформинг 28мм, основание металлокаркас, ящики, размер 1000х600х850мм (постформиг) СЛ-2</t>
    </r>
  </si>
  <si>
    <r>
      <rPr>
        <sz val="10"/>
        <color rgb="FF000000"/>
        <rFont val="Times New Roman"/>
      </rPr>
      <t xml:space="preserve">522-101-1216-0002 - Стол
</t>
    </r>
    <r>
      <rPr>
        <sz val="10"/>
        <color rgb="FF000000"/>
        <rFont val="Times New Roman"/>
      </rPr>
      <t>лабораторный, столешница постформинг 28мм, основание металлокаркас, декоративные панели, ящик, размер 1500х600х850мм (постформинг) СЛ-3 (П)</t>
    </r>
  </si>
  <si>
    <t>Стол
лабораторный, столешница постформинг 28мм, основание металлокаркас, декоративные панели, ящик, размер 1500х600х850мм (постформинг) СЛ-3 (П)</t>
  </si>
  <si>
    <r>
      <rPr>
        <sz val="10"/>
        <color theme="1"/>
        <rFont val="Times New Roman"/>
      </rPr>
      <t>Стол лабораторный, столешница постформинг 28мм, основание металлокаркас, декоративные панели, ящик, размер 1500х600х850мм (постформинг) СЛ-3 (П)</t>
    </r>
  </si>
  <si>
    <r>
      <rPr>
        <sz val="10"/>
        <color rgb="FF000000"/>
        <rFont val="Times New Roman"/>
      </rPr>
      <t xml:space="preserve">522-101-1216-0003 - Стол
</t>
    </r>
    <r>
      <rPr>
        <sz val="10"/>
        <color rgb="FF000000"/>
        <rFont val="Times New Roman"/>
      </rPr>
      <t>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r>
  </si>
  <si>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</si>
  <si>
    <r>
      <rPr>
        <sz val="10"/>
        <color theme="1"/>
        <rFont val="Times New Roman"/>
      </rPr>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r>
  </si>
  <si>
    <r>
      <rPr>
        <sz val="10"/>
        <color rgb="FF000000"/>
        <rFont val="Times New Roman"/>
      </rPr>
      <t xml:space="preserve">522-101-1216-0004 - Стол
</t>
    </r>
    <r>
      <rPr>
        <sz val="10"/>
        <color rgb="FF000000"/>
        <rFont val="Times New Roman"/>
      </rPr>
      <t>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r>
  </si>
  <si>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</si>
  <si>
    <r>
      <rPr>
        <sz val="10"/>
        <color theme="1"/>
        <rFont val="Times New Roman"/>
      </rPr>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r>
  </si>
  <si>
    <r>
      <rPr>
        <sz val="10"/>
        <color rgb="FF000000"/>
        <rFont val="Times New Roman"/>
      </rPr>
      <t xml:space="preserve">522-101-1216-0005 - Стол
</t>
    </r>
    <r>
      <rPr>
        <sz val="10"/>
        <color rgb="FF000000"/>
        <rFont val="Times New Roman"/>
      </rPr>
      <t>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r>
  </si>
  <si>
    <t>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</si>
  <si>
    <r>
      <rPr>
        <sz val="10"/>
        <color rgb="FF000000"/>
        <rFont val="Times New Roman"/>
      </rPr>
      <t xml:space="preserve">Стол учителя 1200*750*750 выполнен из металлического корпуса, со встроенной тумбой.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t>
    </r>
    <r>
      <rPr>
        <sz val="10"/>
        <color rgb="FF000000"/>
        <rFont val="Times New Roman"/>
      </rPr>
      <t>Поверхность устойчива к воздействию щелочей, органических растворителей, концентрированных кислот , а также к воздействию высокой температуры, к столу подведены две розетки.</t>
    </r>
  </si>
  <si>
    <r>
      <rPr>
        <sz val="10"/>
        <color rgb="FF000000"/>
        <rFont val="Times New Roman"/>
      </rPr>
      <t xml:space="preserve">522-101-1216-0007 - Стол
</t>
    </r>
    <r>
      <rPr>
        <sz val="10"/>
        <color rgb="FF000000"/>
        <rFont val="Times New Roman"/>
      </rPr>
      <t>лабораторный двухсторонний для STEM лабораторий, размеры 1500х1300х960 мм, две столешницы с надстройкой, ЛДСП 22 мм, основание металлокаркас</t>
    </r>
  </si>
  <si>
    <t>Стол
лабораторный двухсторонний для STEM лабораторий, размеры 1500х1300х960 мм, две столешницы с надстройкой, ЛДСП 22 мм, основание металлокаркас</t>
  </si>
  <si>
    <r>
      <rPr>
        <sz val="10"/>
        <color rgb="FF000000"/>
        <rFont val="Times New Roman"/>
      </rPr>
      <t xml:space="preserve">Лабораторный стол состоит из двух одинаковых столов, соединяющихся верхней надстройкой. Высота верхнего края столешницы над уровнем пола должна быть 760 мм. Материал столешницы должен быть ЛДСП толщиной 22 мм. Торцы столешницы должны быть отделаны кромкой ПВХ толщиной не менее 2мм. Столешница должна крепиться к металлокаркасу саморезами методом скрытого соединения. Металлический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Конструкция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50х25х1,2 мм.
</t>
    </r>
    <r>
      <rPr>
        <sz val="10"/>
        <color rgb="FF000000"/>
        <rFont val="Times New Roman"/>
      </rPr>
      <t xml:space="preserve">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должна представлять из себя две боковые опоры стянутых между собой двумя ребрами жесткости. Крышка надстройки имеет размер 1500х200.
</t>
    </r>
    <r>
      <rPr>
        <sz val="10"/>
        <color rgb="FF000000"/>
        <rFont val="Times New Roman"/>
      </rPr>
      <t>Надстройка крепится к столам с помощью конфирматов.</t>
    </r>
  </si>
  <si>
    <r>
      <rPr>
        <sz val="10"/>
        <color rgb="FF000000"/>
        <rFont val="Times New Roman"/>
      </rPr>
      <t xml:space="preserve">522-101-1216-0008 - Стол
</t>
    </r>
    <r>
      <rPr>
        <sz val="10"/>
        <color rgb="FF000000"/>
        <rFont val="Times New Roman"/>
      </rPr>
      <t>ученический двухместный лабораторный, размеры столешницы 1200х600 мм, ЛДСП 22 мм, кромка ПВХ, основание металлокаркас</t>
    </r>
  </si>
  <si>
    <t>Стол
ученический двухместный лабораторный, размеры столешницы 1200х600 мм, ЛДСП 22 мм, кромка ПВХ, основание металлокаркас</t>
  </si>
  <si>
    <r>
      <rPr>
        <sz val="10"/>
        <color rgb="FF000000"/>
        <rFont val="Times New Roman"/>
      </rPr>
      <t xml:space="preserve">Высота верхнего края столешницы над полом 760 мм. 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t>
    </r>
    <r>
      <rPr>
        <sz val="10"/>
        <color rgb="FF000000"/>
        <rFont val="Times New Roman"/>
      </rPr>
      <t xml:space="preserve">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t>
    </r>
    <r>
      <rPr>
        <sz val="10"/>
        <color rgb="FF000000"/>
        <rFont val="Times New Roman"/>
      </rPr>
      <t xml:space="preserve">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Должны быть регулируемые металлические
</t>
    </r>
    <r>
      <rPr>
        <sz val="10"/>
        <color rgb="FF000000"/>
        <rFont val="Times New Roman"/>
      </rPr>
      <t>подпятники для компенсации неровностей пола.</t>
    </r>
  </si>
  <si>
    <r>
      <rPr>
        <sz val="10"/>
        <color rgb="FF000000"/>
        <rFont val="Times New Roman"/>
      </rPr>
      <t xml:space="preserve">522-101-1217-0019 - Стол
</t>
    </r>
    <r>
      <rPr>
        <sz val="10"/>
        <color rgb="FF000000"/>
        <rFont val="Times New Roman"/>
      </rPr>
      <t>письменный 1200х600х750мм. Столешница ЛДСП 22мм, царга ЛДСП 16мм, боковые опоры из профильной трубы сечением 40х20мм</t>
    </r>
  </si>
  <si>
    <t>Стол
письменный 1200х600х750мм. Столешница ЛДСП 22мм, царга ЛДСП 16мм, боковые опоры из профильной трубы сечением 40х20мм</t>
  </si>
  <si>
    <r>
      <rPr>
        <sz val="10"/>
        <color theme="1"/>
        <rFont val="Times New Roman"/>
      </rPr>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r>
  </si>
  <si>
    <r>
      <rPr>
        <sz val="10"/>
        <color rgb="FF000000"/>
        <rFont val="Times New Roman"/>
      </rPr>
      <t xml:space="preserve">522-101-1217-0020 - Стол
</t>
    </r>
    <r>
      <rPr>
        <sz val="10"/>
        <color rgb="FF000000"/>
        <rFont val="Times New Roman"/>
      </rPr>
      <t>письменный 1350х600х750мм. Столешница ЛДСП 22мм, царга ЛДСП 16мм, боковые опоры из профильной трубы сечением 40х20мм</t>
    </r>
  </si>
  <si>
    <t>Стол
письменный 1350х600х750мм. Столешница ЛДСП 22мм, царга ЛДСП 16мм, боковые опоры из профильной трубы сечением 40х20мм</t>
  </si>
  <si>
    <r>
      <rPr>
        <sz val="10"/>
        <color theme="1"/>
        <rFont val="Times New Roman"/>
      </rPr>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r>
  </si>
  <si>
    <r>
      <rPr>
        <sz val="10"/>
        <color rgb="FF000000"/>
        <rFont val="Times New Roman"/>
      </rPr>
      <t xml:space="preserve">522-101-1217-0029 - Стол
</t>
    </r>
    <r>
      <rPr>
        <sz val="10"/>
        <color rgb="FF000000"/>
        <rFont val="Times New Roman"/>
      </rPr>
      <t>письменный 1500х600х750 мм</t>
    </r>
  </si>
  <si>
    <t>Стол
письменный 1500х600х750 мм</t>
  </si>
  <si>
    <r>
      <rPr>
        <sz val="10"/>
        <color theme="1"/>
        <rFont val="Times New Roman"/>
      </rPr>
      <t>Стол письменный 1500х600х750 мм. ЛДСП 16мм.</t>
    </r>
  </si>
  <si>
    <r>
      <rPr>
        <sz val="10"/>
        <color rgb="FF000000"/>
        <rFont val="Times New Roman"/>
      </rPr>
      <t xml:space="preserve">522-101-1217-0030 - Стол
</t>
    </r>
    <r>
      <rPr>
        <sz val="10"/>
        <color rgb="FF000000"/>
        <rFont val="Times New Roman"/>
      </rPr>
      <t>письменный 1200х600х750 мм, материал ЛДСП 16мм, кромка ПВХ</t>
    </r>
  </si>
  <si>
    <t>Стол
письменный 1200х600х750 мм, материал ЛДСП 16мм, кромка ПВХ</t>
  </si>
  <si>
    <r>
      <rPr>
        <sz val="10"/>
        <color theme="1"/>
        <rFont val="Times New Roman"/>
      </rPr>
      <t>Материал корпуса и столешницы из ЛДСП 16мм, кромка ПВХ. Для предотвращения воздействия воды и влаги на стол предусмотрены пластиковые подпятники.</t>
    </r>
  </si>
  <si>
    <r>
      <rPr>
        <sz val="10"/>
        <color rgb="FF000000"/>
        <rFont val="Times New Roman"/>
      </rPr>
      <t xml:space="preserve">522-101-1217-0031 - Стол
</t>
    </r>
    <r>
      <rPr>
        <sz val="10"/>
        <color rgb="FF000000"/>
        <rFont val="Times New Roman"/>
      </rPr>
      <t>письменный 1000х600х750 мм</t>
    </r>
  </si>
  <si>
    <t>Стол
письменный 1000х600х750 мм</t>
  </si>
  <si>
    <r>
      <rPr>
        <sz val="10"/>
        <color theme="1"/>
        <rFont val="Times New Roman"/>
      </rPr>
      <t>Стол письменный 1000х600х750 мм. ЛДСП 16мм.</t>
    </r>
  </si>
  <si>
    <r>
      <rPr>
        <sz val="10"/>
        <color rgb="FF000000"/>
        <rFont val="Times New Roman"/>
      </rPr>
      <t xml:space="preserve">522-101-1217-0032 - Стол
</t>
    </r>
    <r>
      <rPr>
        <sz val="10"/>
        <color rgb="FF000000"/>
        <rFont val="Times New Roman"/>
      </rPr>
      <t>письменный 1000х500х750 мм</t>
    </r>
  </si>
  <si>
    <t>Стол
письменный 1000х500х750 мм</t>
  </si>
  <si>
    <r>
      <rPr>
        <sz val="10"/>
        <color theme="1"/>
        <rFont val="Times New Roman"/>
      </rPr>
      <t>Стол письменный 1000х500х750 мм. ЛДСП 16мм.</t>
    </r>
  </si>
  <si>
    <r>
      <rPr>
        <sz val="10"/>
        <color theme="1"/>
        <rFont val="Times New Roman"/>
      </rPr>
      <t>522-101-1217-0033 - Стол офисный складной типа Suno 1200х600мм</t>
    </r>
  </si>
  <si>
    <t>Стол офисный складной типа Suno 1200х600мм</t>
  </si>
  <si>
    <r>
      <rPr>
        <sz val="10"/>
        <color rgb="FF000000"/>
        <rFont val="Times New Roman"/>
      </rPr>
      <t xml:space="preserve">Стол Офисный Люкс модель складной Office Table-Orange: Материал холоднокатаная сталь, электростатическая окраска. Верхняя доска Меламин МДФ 22мм, стандарт Е1 ОЭМ или ОДМ. Боковое основание: холоднокатаная сталь толщиной 1,5 мм, электростатическая окраска.
</t>
    </r>
    <r>
      <rPr>
        <sz val="10"/>
        <color rgb="FF000000"/>
        <rFont val="Times New Roman"/>
      </rPr>
      <t xml:space="preserve">Колонна и балка: холоднокатаная сталь толщиной 1,5 мм, электростатическая окраска. Ролик: нейлоновый ролик
</t>
    </r>
    <r>
      <rPr>
        <sz val="10"/>
        <color rgb="FF000000"/>
        <rFont val="Times New Roman"/>
      </rPr>
      <t>Размер: высота 750мм, глубина 600мм, ширина 1200мм</t>
    </r>
  </si>
  <si>
    <r>
      <rPr>
        <sz val="10"/>
        <color rgb="FF000000"/>
        <rFont val="Times New Roman"/>
      </rPr>
      <t xml:space="preserve">522-101-1217-0034 - Стол
</t>
    </r>
    <r>
      <rPr>
        <sz val="10"/>
        <color rgb="FF000000"/>
        <rFont val="Times New Roman"/>
      </rPr>
      <t>письменный 1200х600х750 мм. Материал ЛДСП толщиной 16мм, столешница 32 мм</t>
    </r>
  </si>
  <si>
    <t>Стол
письменный 1200х600х750 мм. Материал ЛДСП толщиной 16мм, столешница 32 мм</t>
  </si>
  <si>
    <r>
      <rPr>
        <sz val="10"/>
        <color theme="1"/>
        <rFont val="Times New Roman"/>
      </rPr>
      <t>Стол письменный 1200х600х750 мм. Материал ЛДСП толщиной 16мм, столешница 32 мм. Кромки деталей облицованы полимерным кромочным материалам (ПВХ), толщиной 1,5 мм. Фурнитура: конфирмат, стяжка BLUM</t>
    </r>
  </si>
  <si>
    <r>
      <rPr>
        <sz val="10"/>
        <color rgb="FF000000"/>
        <rFont val="Times New Roman"/>
      </rPr>
      <t xml:space="preserve">522-101-1217-0035 - Стол
</t>
    </r>
    <r>
      <rPr>
        <sz val="10"/>
        <color rgb="FF000000"/>
        <rFont val="Times New Roman"/>
      </rPr>
      <t>письменный 1200х700х750мм</t>
    </r>
  </si>
  <si>
    <t>Стол
письменный 1200х700х750мм</t>
  </si>
  <si>
    <r>
      <rPr>
        <sz val="10"/>
        <color theme="1"/>
        <rFont val="Times New Roman"/>
      </rPr>
      <t>Ширина - 1200мм, глубина - 700мм, высота - 750мм. Столешница из ЛДСП 16мм, каркас выполнен из ЛДСП 16мм. Торцы облицованы  кромкой ПВХ толщиной 2мм.</t>
    </r>
  </si>
  <si>
    <r>
      <rPr>
        <sz val="10"/>
        <color rgb="FF000000"/>
        <rFont val="Times New Roman"/>
      </rPr>
      <t xml:space="preserve">522-101-1217-0036 - Стол
</t>
    </r>
    <r>
      <rPr>
        <sz val="10"/>
        <color rgb="FF000000"/>
        <rFont val="Times New Roman"/>
      </rPr>
      <t>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r>
  </si>
  <si>
    <t>Стол
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</si>
  <si>
    <r>
      <rPr>
        <sz val="10"/>
        <color rgb="FF000000"/>
        <rFont val="Times New Roman"/>
      </rPr>
      <t xml:space="preserve">Стол письменый open space 1250х750х1320 мм, труба сечением 60х30 мм Стол со столешницей и царгой из ЛДСП толщина 16. Стол с эффектом
</t>
    </r>
    <r>
      <rPr>
        <sz val="10"/>
        <color rgb="FF000000"/>
        <rFont val="Times New Roman"/>
      </rPr>
      <t>«парящей»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r>
  </si>
  <si>
    <r>
      <rPr>
        <sz val="10"/>
        <color rgb="FF000000"/>
        <rFont val="Times New Roman"/>
      </rPr>
      <t xml:space="preserve">522-101-1217-0037 - Стол
</t>
    </r>
    <r>
      <rPr>
        <sz val="10"/>
        <color rgb="FF000000"/>
        <rFont val="Times New Roman"/>
      </rPr>
      <t xml:space="preserve">письменый open space 1250х650х750 мм, с эффектом
</t>
    </r>
    <r>
      <rPr>
        <sz val="10"/>
        <color rgb="FF000000"/>
        <rFont val="Times New Roman"/>
      </rPr>
      <t>«парящей» столешницы из ЛДСП 16 мм, на сварных О-образныхопорах, труба сечением 60х20х2 мм</t>
    </r>
  </si>
  <si>
    <t>Стол
письменый open space 1250х650х750 мм, с эффектом
«парящей» столешницы из ЛДСП 16 мм, на сварных О-образныхопорах, труба сечением 60х20х2 мм</t>
  </si>
  <si>
    <r>
      <rPr>
        <sz val="10"/>
        <color theme="1"/>
        <rFont val="Times New Roman"/>
      </rPr>
      <t>Стол письменый open space 1250х650х750 мм, труба сечением 60х30 мм. Стол со столешницей и царгой из ЛДСП 16мм.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r>
  </si>
  <si>
    <r>
      <rPr>
        <sz val="10"/>
        <color theme="1"/>
        <rFont val="Times New Roman"/>
      </rPr>
      <t>522-101-1217-0038 - Стол рабочий, размеры 1200х600х750 мм, столешница из ЛДСП толщиной 32 мм, металлический цельносварной каркас</t>
    </r>
  </si>
  <si>
    <r>
      <rPr>
        <sz val="10"/>
        <color theme="1"/>
        <rFont val="Times New Roman"/>
      </rPr>
      <t>Столешница ЛДСП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ПК 220х560 мм. Расположенные на высоте 120 мм. В опорах установлены регулируемые опоры для избежания повреждения полового покрытия.</t>
    </r>
  </si>
  <si>
    <r>
      <rPr>
        <sz val="10"/>
        <color theme="1"/>
        <rFont val="Times New Roman"/>
      </rPr>
      <t>522-101-1217-0039 - Стол рабочий с приставной тумбой, размеры 1950х1500х760 мм, столешница из ЛДСП 22 мм, кромка ПВХ, каркас из профильной трубы</t>
    </r>
  </si>
  <si>
    <r>
      <rPr>
        <sz val="10"/>
        <color rgb="FF000000"/>
        <rFont val="Times New Roman"/>
      </rPr>
      <t xml:space="preserve">Стол с приставной тумбой справа или слева по согласованию. Габаритные размеры столешницы 1850х700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 мм.
</t>
    </r>
    <r>
      <rPr>
        <sz val="10"/>
        <color rgb="FF000000"/>
        <rFont val="Times New Roman"/>
      </rPr>
      <t xml:space="preserve">Столешница крепится к металлокаркасу саморезами методом скрытого соединения. Стол состоит из двух боковых л-образных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1500х500х550 мм. В тумбе имеется 3 выдвижных ящика, две ниши с глухими дверками за которыми располагается полка и открытая ниша под системный блок.
</t>
    </r>
    <r>
      <rPr>
        <sz val="10"/>
        <color rgb="FF000000"/>
        <rFont val="Times New Roman"/>
      </rPr>
      <t xml:space="preserve">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t>
    </r>
    <r>
      <rPr>
        <sz val="10"/>
        <color rgb="FF000000"/>
        <rFont val="Times New Roman"/>
      </rPr>
      <t>заглушками. В основании тумбы должны быть регулируемые опоры.</t>
    </r>
  </si>
  <si>
    <r>
      <rPr>
        <sz val="10"/>
        <color rgb="FF000000"/>
        <rFont val="Times New Roman"/>
      </rPr>
      <t xml:space="preserve">522-101-1217-0040 - Стол с
</t>
    </r>
    <r>
      <rPr>
        <sz val="10"/>
        <color rgb="FF000000"/>
        <rFont val="Times New Roman"/>
      </rPr>
      <t>надстройкой, столешница из ЛДСП 22 мм, кромка ПВХ, размеры 1200х1400х1134 мм</t>
    </r>
  </si>
  <si>
    <t>Стол с
надстройкой, столешница из ЛДСП 22 мм, кромка ПВХ, размеры 1200х1400х1134 мм</t>
  </si>
  <si>
    <r>
      <rPr>
        <sz val="10"/>
        <color rgb="FF000000"/>
        <rFont val="Times New Roman"/>
      </rPr>
      <t xml:space="preserve">Высота верхнего края столешницы должна быть над полом не менее 760 мм. Стол состоит из двух столов, соединенных сверху надстройкой.
</t>
    </r>
    <r>
      <rPr>
        <sz val="10"/>
        <color rgb="FF000000"/>
        <rFont val="Times New Roman"/>
      </rPr>
      <t>Надстройка имеет нишу и глухую панель со стороны сидящего. Глубина надстройки не менее 350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 должны быть пластиковые подпятники.</t>
    </r>
  </si>
  <si>
    <r>
      <rPr>
        <sz val="10"/>
        <color theme="1"/>
        <rFont val="Times New Roman"/>
      </rPr>
      <t>522-101-1217-0041 - Стол рабочий, столешница из ЛДСП 22 мм, кромка ПВХ, металлический каркас, размеры 1400х1000х760 мм</t>
    </r>
  </si>
  <si>
    <r>
      <rPr>
        <sz val="10"/>
        <color theme="1"/>
        <rFont val="Times New Roman"/>
      </rPr>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t>
    </r>
  </si>
  <si>
    <r>
      <rPr>
        <sz val="10"/>
        <color theme="1"/>
        <rFont val="Times New Roman"/>
      </rPr>
      <t>522-101-1217-0042 - Стол рабочий с тумбой, столешница из ЛДСП 22 мм, кромка ПВХ, металлический каркас, размеры 1400х700х760 мм</t>
    </r>
  </si>
  <si>
    <r>
      <rPr>
        <sz val="10"/>
        <color rgb="FF000000"/>
        <rFont val="Times New Roman"/>
      </rPr>
      <t xml:space="preserve">Стол с тумбой справа или слева по согласованию. Габаритные размеры столешницы 1400х700 мм. Высота верхнего края столешницы над уровнем пола 760 мм. Материал столешницы ЛДСП толщиной не менее 22 мм.
</t>
    </r>
    <r>
      <rPr>
        <sz val="10"/>
        <color rgb="FF000000"/>
        <rFont val="Times New Roman"/>
      </rPr>
      <t xml:space="preserve">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500х700х636 мм. В тумбе имеется 3 выдвижных ящика. Ручки должны быть металлические, шариковые направляющие с функцией
</t>
    </r>
    <r>
      <rPr>
        <sz val="10"/>
        <color rgb="FF000000"/>
        <rFont val="Times New Roman"/>
      </rPr>
      <t xml:space="preserve">Soft-Close. Для изготовления несущих частей и различных элементов
</t>
    </r>
    <r>
      <rPr>
        <sz val="10"/>
        <color rgb="FF000000"/>
        <rFont val="Times New Roman"/>
      </rPr>
      <t>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пластиковые подпятники.</t>
    </r>
  </si>
  <si>
    <r>
      <rPr>
        <sz val="10"/>
        <color theme="1"/>
        <rFont val="Times New Roman"/>
      </rPr>
      <t>522-101-1217-0043 - Стол с двумя мобильными тумбами, тремя опорами, бенч система, столешница из ЛДСП 22 мм, кромка ПВХ, каркас металлический, размеры 2750х700х1160 мм</t>
    </r>
  </si>
  <si>
    <r>
      <rPr>
        <sz val="10"/>
        <color rgb="FF000000"/>
        <rFont val="Times New Roman"/>
      </rPr>
      <t xml:space="preserve">Стол состоит из двух мобильных тумб, трех опор, столешницы и бенч системы. Столешница состоит из двух частей, каждая габаритными размерами1375х700 мм. Высота верхнего края столешницы над уровнем пола 760 мм. Материал столешницы ЛДСП толщиной не менее 22 мм.
</t>
    </r>
    <r>
      <rPr>
        <sz val="10"/>
        <color rgb="FF000000"/>
        <rFont val="Times New Roman"/>
      </rPr>
      <t xml:space="preserve">Торцы столешницы отделаны кромкой ПВХ толщиной 2мм. Столешница крепится к металлокаркасу саморезами методом скрытого соединения. Стол состоит из трех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t>
    </r>
    <r>
      <rPr>
        <sz val="10"/>
        <color rgb="FF000000"/>
        <rFont val="Times New Roman"/>
      </rPr>
      <t xml:space="preserve">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t>
    </r>
    <r>
      <rPr>
        <sz val="10"/>
        <color rgb="FF000000"/>
        <rFont val="Times New Roman"/>
      </rPr>
      <t xml:space="preserve">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t>
    </r>
    <r>
      <rPr>
        <sz val="10"/>
        <color rgb="FF000000"/>
        <rFont val="Times New Roman"/>
      </rPr>
      <t>быть колесные опоры. Бенч система высотой не менее 400мм, и изготавливается из ЛДСП 16мм и стекла толщиной не менее 4мм.</t>
    </r>
  </si>
  <si>
    <r>
      <rPr>
        <sz val="10"/>
        <color theme="1"/>
        <rFont val="Times New Roman"/>
      </rPr>
      <t>522-101-1217-0044 - Стол рабочий с мобильной тумбой, столешница из ЛДСП 22 мм, кромка ПВХ, металлический каркас, размеры 1400х700х760 мм</t>
    </r>
  </si>
  <si>
    <r>
      <rPr>
        <sz val="10"/>
        <color rgb="FF000000"/>
        <rFont val="Times New Roman"/>
      </rPr>
      <t xml:space="preserve">Стол состоит из мобильной тумбы, двух опор и столешницы.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боковыхл-образных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t>
    </r>
    <r>
      <rPr>
        <sz val="10"/>
        <color rgb="FF000000"/>
        <rFont val="Times New Roman"/>
      </rPr>
      <t xml:space="preserve">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t>
    </r>
    <r>
      <rPr>
        <sz val="10"/>
        <color rgb="FF000000"/>
        <rFont val="Times New Roman"/>
      </rPr>
      <t>заглушками. В основании тумбы должны быть колесные опоры.</t>
    </r>
  </si>
  <si>
    <r>
      <rPr>
        <sz val="10"/>
        <color rgb="FF000000"/>
        <rFont val="Times New Roman"/>
      </rPr>
      <t xml:space="preserve">522-101-1217-0045 - Стол
</t>
    </r>
    <r>
      <rPr>
        <sz val="10"/>
        <color rgb="FF000000"/>
        <rFont val="Times New Roman"/>
      </rPr>
      <t>универсальный, столешница из ЛДСП 22 мм, кромка ПВХ, металлический каркас, размеры 1400х700х760 мм</t>
    </r>
  </si>
  <si>
    <t>Стол
универсальный, столешница из ЛДСП 22 мм, кромка ПВХ, металлический каркас, размеры 1400х700х760 мм</t>
  </si>
  <si>
    <r>
      <rPr>
        <sz val="10"/>
        <color theme="1"/>
        <rFont val="Times New Roman"/>
      </rPr>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t>
    </r>
  </si>
  <si>
    <r>
      <rPr>
        <sz val="10"/>
        <color rgb="FF000000"/>
        <rFont val="Times New Roman"/>
      </rPr>
      <t xml:space="preserve">522-101-1217-0046 - Стол с бенч
</t>
    </r>
    <r>
      <rPr>
        <sz val="10"/>
        <color rgb="FF000000"/>
        <rFont val="Times New Roman"/>
      </rPr>
      <t>системой, столешница из ЛДСП 22 мм, кромка ПВХ, металлический каркас, размеры 4100х1400х1160 мм</t>
    </r>
  </si>
  <si>
    <t>Стол с бенч
системой, столешница из ЛДСП 22 мм, кромка ПВХ, металлический каркас, размеры 4100х1400х1160 мм</t>
  </si>
  <si>
    <r>
      <rPr>
        <sz val="10"/>
        <color rgb="FF000000"/>
        <rFont val="Times New Roman"/>
      </rPr>
      <t xml:space="preserve">Стол состоит из четырех опор, шести столешниц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четырех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t>
    </r>
    <r>
      <rPr>
        <sz val="10"/>
        <color rgb="FF000000"/>
        <rFont val="Times New Roman"/>
      </rPr>
      <t xml:space="preserve">Бенч система высотой не менее 400мм, и изготавливается из ЛДСП 16мм и
</t>
    </r>
    <r>
      <rPr>
        <sz val="10"/>
        <color rgb="FF000000"/>
        <rFont val="Times New Roman"/>
      </rPr>
      <t>стекла толщиной не менее 4мм.</t>
    </r>
  </si>
  <si>
    <r>
      <rPr>
        <sz val="10"/>
        <color rgb="FF000000"/>
        <rFont val="Times New Roman"/>
      </rPr>
      <t xml:space="preserve">522-101-1217-0047 - Стол с бенч
</t>
    </r>
    <r>
      <rPr>
        <sz val="10"/>
        <color rgb="FF000000"/>
        <rFont val="Times New Roman"/>
      </rPr>
      <t>системой, мобильной тумбой, столешница из ЛДСП 22 мм, кромка ПВХ, размеры 1400х700х1160 мм</t>
    </r>
  </si>
  <si>
    <t>Стол с бенч
системой, мобильной тумбой, столешница из ЛДСП 22 мм, кромка ПВХ, размеры 1400х700х1160 мм</t>
  </si>
  <si>
    <r>
      <rPr>
        <sz val="10"/>
        <color rgb="FF000000"/>
        <rFont val="Times New Roman"/>
      </rPr>
      <t xml:space="preserve">Стол состоит из мобильной тумбы, двух опор, столешницы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t>
    </r>
    <r>
      <rPr>
        <sz val="10"/>
        <color rgb="FF000000"/>
        <rFont val="Times New Roman"/>
      </rPr>
      <t xml:space="preserve">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опоры.Бенч система высотой не менее 400мм, и изготавливается из ЛДСП 16мм и
</t>
    </r>
    <r>
      <rPr>
        <sz val="10"/>
        <color rgb="FF000000"/>
        <rFont val="Times New Roman"/>
      </rPr>
      <t>стекла толщиной не менее 4мм.</t>
    </r>
  </si>
  <si>
    <r>
      <rPr>
        <sz val="10"/>
        <color rgb="FF000000"/>
        <rFont val="Times New Roman"/>
      </rPr>
      <t xml:space="preserve">522-101-1217-0048 - Стол с бенч
</t>
    </r>
    <r>
      <rPr>
        <sz val="10"/>
        <color rgb="FF000000"/>
        <rFont val="Times New Roman"/>
      </rPr>
      <t>системой, двумя тумбами, двумя столешницами, соединяющей тумбой, столешница из ЛДСП 22 мм, кромка ПВХ, размеры 3180х680х1150 мм</t>
    </r>
  </si>
  <si>
    <t>Стол с бенч
системой, двумя тумбами, двумя столешницами, соединяющей тумбой, столешница из ЛДСП 22 мм, кромка ПВХ, размеры 3180х680х1150 мм</t>
  </si>
  <si>
    <r>
      <rPr>
        <sz val="10"/>
        <color rgb="FF000000"/>
        <rFont val="Times New Roman"/>
      </rPr>
      <t xml:space="preserve">Стол состоит из двух тумб, металлического каркаса, столешницы и соединяющей тумбы. Каждая столешница габаритными размерами 1350х680 мм. Высота верхнего края столешницы над уровнем пола 760 мм.
</t>
    </r>
    <r>
      <rPr>
        <sz val="10"/>
        <color rgb="FF000000"/>
        <rFont val="Times New Roman"/>
      </rPr>
      <t xml:space="preserve">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укороченной опоры, которая опирается на тумбу,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t>
    </r>
    <r>
      <rPr>
        <sz val="10"/>
        <color rgb="FF000000"/>
        <rFont val="Times New Roman"/>
      </rPr>
      <t xml:space="preserve">Покрытие металлокаркаса из порошковой полимерной краски.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500х675х586 мм. В тумбе имеется 3 выдвижных ящика и открытая ниша для системного блока. Шариковые направляющие с функцией pushtoopen. Соединяющая тумба габаритными размерами 180х680х1150 мм. В ней имеются отверстие с заглушкой кабель-канал для соединительных проводов. К тумбе крепятся металлокаркас стола.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 с ящиками
</t>
    </r>
    <r>
      <rPr>
        <sz val="10"/>
        <color rgb="FF000000"/>
        <rFont val="Times New Roman"/>
      </rPr>
      <t>должны быть регулируемые опоры, для компенсации неровностей пола.</t>
    </r>
  </si>
  <si>
    <r>
      <rPr>
        <sz val="10"/>
        <color theme="1"/>
        <rFont val="Times New Roman"/>
      </rPr>
      <t>522-101-1217-0049 - Стол с брифинг приставкой, двумя тумбами, столешница из ЛДСП 22 мм, кромка ПВХ, размеры 2100х1500х760 мм</t>
    </r>
  </si>
  <si>
    <r>
      <rPr>
        <sz val="10"/>
        <color rgb="FF000000"/>
        <rFont val="Times New Roman"/>
      </rPr>
      <t xml:space="preserve">Стол состоит из двух тумб, металлического каркаса, столешницы и брифинг стола. Столешница габаритными размерами1600х700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боковых укороченных опор, которые опирается на тумбы,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t>
    </r>
    <r>
      <rPr>
        <sz val="10"/>
        <color rgb="FF000000"/>
        <rFont val="Times New Roman"/>
      </rPr>
      <t xml:space="preserve">Тумбы с габаритными размерами: 500х700х636 мм. В одной тумбе имеется 3 выдвижных ящика, а вторая закрыта глухой дверцей, за которой находится полка. Ручки должны быть металлические, шариковые направляющие и петли с функцией Soft-Close.Для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Брифинг стол габаритными размерами 800х600 мм.
</t>
    </r>
    <r>
      <rPr>
        <sz val="10"/>
        <color rgb="FF000000"/>
        <rFont val="Times New Roman"/>
      </rPr>
      <t xml:space="preserve">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которая изготовлена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t>
    </r>
    <r>
      <rPr>
        <sz val="10"/>
        <color rgb="FF000000"/>
        <rFont val="Times New Roman"/>
      </rPr>
      <t>полимерной краски.</t>
    </r>
  </si>
  <si>
    <r>
      <rPr>
        <sz val="10"/>
        <color rgb="FF000000"/>
        <rFont val="Times New Roman"/>
      </rPr>
      <t xml:space="preserve">522-101-1217-0050 - Стол с
</t>
    </r>
    <r>
      <rPr>
        <sz val="10"/>
        <color rgb="FF000000"/>
        <rFont val="Times New Roman"/>
      </rPr>
      <t>перфорацией, приставной тумбой, столешница из ЛДСП 22 мм, кромка ПВХ, размеры 1600х1400х760 мм</t>
    </r>
  </si>
  <si>
    <t>Стол с
перфорацией, приставной тумбой, столешница из ЛДСП 22 мм, кромка ПВХ, размеры 1600х1400х760 мм</t>
  </si>
  <si>
    <r>
      <rPr>
        <sz val="10"/>
        <color rgb="FF000000"/>
        <rFont val="Times New Roman"/>
      </rPr>
      <t xml:space="preserve">Стол с приставной тумбой справа или слева по согласованию. Габаритные размеры столешницы 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t>
    </r>
    <r>
      <rPr>
        <sz val="10"/>
        <color rgb="FF000000"/>
        <rFont val="Times New Roman"/>
      </rPr>
      <t xml:space="preserve">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опоре имеется декоративный элемент, изготовленный из листового металла толщиной не менее 1,2мм, в котором с помощью лазерной резки выполнен
</t>
    </r>
    <r>
      <rPr>
        <sz val="10"/>
        <color rgb="FF000000"/>
        <rFont val="Times New Roman"/>
      </rPr>
      <t xml:space="preserve">рисунок-орнамент.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1400х500х550 мм. В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t>
    </r>
    <r>
      <rPr>
        <sz val="10"/>
        <color rgb="FF000000"/>
        <rFont val="Times New Roman"/>
      </rPr>
      <t>заглушками. В основании тумбы должны быть регулируемые опоры.</t>
    </r>
  </si>
  <si>
    <r>
      <rPr>
        <sz val="10"/>
        <color rgb="FF000000"/>
        <rFont val="Times New Roman"/>
      </rPr>
      <t xml:space="preserve">522-101-1217-0051 - Стол с
</t>
    </r>
    <r>
      <rPr>
        <sz val="10"/>
        <color rgb="FF000000"/>
        <rFont val="Times New Roman"/>
      </rPr>
      <t>перфорацией,  столешница из ЛДСП 22 мм, кромка ПВХ, металлический каркас, размеры 1400х700х760 мм</t>
    </r>
  </si>
  <si>
    <t>Стол с
перфорацией,  столешница из ЛДСП 22 мм, кромка ПВХ, металлический каркас, размеры 1400х700х760 мм</t>
  </si>
  <si>
    <r>
      <rPr>
        <sz val="10"/>
        <color rgb="FF000000"/>
        <rFont val="Times New Roman"/>
      </rPr>
      <t xml:space="preserve">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каждой опоре имеется декоративный элемент, изготовленный из листового металла толщиной не менее 1,2мм, в котором с помощью лазерной резки выполнен
</t>
    </r>
    <r>
      <rPr>
        <sz val="10"/>
        <color rgb="FF000000"/>
        <rFont val="Times New Roman"/>
      </rPr>
      <t xml:space="preserve">рисунок-орнамент. Покрытие металлокаркаса из порошковой полимерной
</t>
    </r>
    <r>
      <rPr>
        <sz val="10"/>
        <color rgb="FF000000"/>
        <rFont val="Times New Roman"/>
      </rPr>
      <t>краски. В основании опор предусмотрены регулируемые подпятники с пластиковой головкой, служащих для компенсации неровностей пола.</t>
    </r>
  </si>
  <si>
    <r>
      <rPr>
        <sz val="10"/>
        <color theme="1"/>
        <rFont val="Times New Roman"/>
      </rPr>
      <t>522-101-1217-0052 - Стол с тумбой, столешница из ЛДСП 22мм, размеры 1600х1400х760 мм</t>
    </r>
  </si>
  <si>
    <r>
      <rPr>
        <sz val="10"/>
        <color theme="1"/>
        <rFont val="Times New Roman"/>
      </rPr>
      <t>Столешница – ЛДСП не менее 22 мм. В левой части основного стола должна быть тумба. Размер тумбы должен быть не менее: 1400х500х630 мм. В тумбе имеется 3 выдвижных ящика, одна ниши с глухой дверкой, за которой располагается полка и одна открытая ниша с 4 ячейками. Ручки должны быть металлические, шариковые направляющие и петли с функцией Soft-Close. Лицевая сторона стола должна быть закрыта царгой. В углу столешницы предусмотрено отверстие с заглушкой кабель-канал для соединительных проводов.Для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t>
    </r>
  </si>
  <si>
    <r>
      <rPr>
        <sz val="10"/>
        <color theme="1"/>
        <rFont val="Times New Roman"/>
      </rPr>
      <t>522-101-1217-0053 - Стол ведущего телестудии на колесиках, размеры 1800х600х780 мм, столешница из ЛДСП 22 мм, две боковые опоры ЛДСП 32 мм</t>
    </r>
  </si>
  <si>
    <r>
      <rPr>
        <sz val="10"/>
        <color theme="1"/>
        <rFont val="Times New Roman"/>
      </rPr>
      <t>Материал ЛДСП 16 мм и 32 мм, кромка ПВХ 0,4 мм и 2 мм. Столешница выполнена из ЛДСП 22 мм. Стол имеет две боковые опоры толщиной 32 мм, выполнены комбинированным цветом. Боковые опоры снабжены колесами, которые крепятся на металлические пластины. Царга также выполнена в двух цветовых решениях и имеет трапециевидный элемент 600х118х650, который монтируется с наружной части царги.</t>
    </r>
  </si>
  <si>
    <r>
      <rPr>
        <sz val="10"/>
        <color theme="1"/>
        <rFont val="Times New Roman"/>
      </rPr>
      <t>522-101-1217-0054 - Стол ведущего телестудии с планками, размер 1800х600х780мм, столешница из ЛДСП 22 мм, две боковые опоры ЛДСП 32 мм</t>
    </r>
  </si>
  <si>
    <r>
      <rPr>
        <sz val="10"/>
        <color rgb="FF000000"/>
        <rFont val="Times New Roman"/>
      </rPr>
      <t xml:space="preserve">Размеры столешницы должны быть, не менее 1800х600 мм. Высота верхнего края столешницы должна быть над полом не менее 780 мм.
</t>
    </r>
    <r>
      <rPr>
        <sz val="10"/>
        <color rgb="FF000000"/>
        <rFont val="Times New Roman"/>
      </rPr>
      <t xml:space="preserve">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t>
    </r>
    <r>
      <rPr>
        <sz val="10"/>
        <color rgb="FF000000"/>
        <rFont val="Times New Roman"/>
      </rPr>
      <t>Кромка из ПВХ должна быть толщиной не менее 0,4 мм. Стол имеет одну из боковых опор толщиной 32 мм. Лицевая сторона стола должна быть закрыта планками шириной не менее 50мм, а также панелью усилителем и панелью со скошенным углом. Данные панели имеют комбинированный цвет. Столешница с лицевой стороны закрыта фальш-панелью с переходом на одну из боковин, которая внешне увеличивает толщину столешницы и боковой опоры.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r>
  </si>
  <si>
    <r>
      <rPr>
        <sz val="10"/>
        <color rgb="FF000000"/>
        <rFont val="Times New Roman"/>
      </rPr>
      <t xml:space="preserve">522-101-1218-0001 - Стол детский
</t>
    </r>
    <r>
      <rPr>
        <sz val="10"/>
        <color rgb="FF000000"/>
        <rFont val="Times New Roman"/>
      </rPr>
      <t>«Квадратик» М 700х700хН580 (каркас-мет) (3рг)</t>
    </r>
  </si>
  <si>
    <t>Стол детский
«Квадратик» М 700х700хН580 (каркас-мет) (3рг)</t>
  </si>
  <si>
    <r>
      <rPr>
        <sz val="10"/>
        <color theme="1"/>
        <rFont val="Times New Roman"/>
      </rPr>
      <t>Столешница из  ДСП 16 мм, все углы закруглены. Основание металлокаркас. Размеры: 700х700х Н580мм</t>
    </r>
  </si>
  <si>
    <r>
      <rPr>
        <sz val="10"/>
        <color rgb="FF000000"/>
        <rFont val="Times New Roman"/>
      </rPr>
      <t xml:space="preserve">522-101-1218-0002 - Стол детский
</t>
    </r>
    <r>
      <rPr>
        <sz val="10"/>
        <color rgb="FF000000"/>
        <rFont val="Times New Roman"/>
      </rPr>
      <t>«Квадратик», регулируемый по высоте 700х700х520-640 (2-4рг)</t>
    </r>
  </si>
  <si>
    <t>Стол детский
«Квадратик», регулируемый по высоте 700х700х520-640 (2-4рг)</t>
  </si>
  <si>
    <r>
      <rPr>
        <sz val="10"/>
        <color theme="1"/>
        <rFont val="Times New Roman"/>
      </rPr>
      <t>Столешница из  ЛДСП 16 мм, все углы закруглены. Стол игровой регулируемый по высоте. Размеры: 700х700хН520-640мм</t>
    </r>
  </si>
  <si>
    <r>
      <rPr>
        <sz val="10"/>
        <color theme="1"/>
        <rFont val="Times New Roman"/>
      </rPr>
      <t>522-101-1218-0003 - Стол детский размерами 500х700х520 мм</t>
    </r>
  </si>
  <si>
    <r>
      <rPr>
        <sz val="10"/>
        <color theme="1"/>
        <rFont val="Times New Roman"/>
      </rPr>
      <t>Столешница ДСП 16мм. Металлический каркас. Размер 600*800*620мм</t>
    </r>
  </si>
  <si>
    <r>
      <rPr>
        <sz val="10"/>
        <color theme="1"/>
        <rFont val="Times New Roman"/>
      </rPr>
      <t>522-101-1218-0004 - Стол детский размерами 600х800х620 мм</t>
    </r>
  </si>
  <si>
    <r>
      <rPr>
        <sz val="10"/>
        <color theme="1"/>
        <rFont val="Times New Roman"/>
      </rPr>
      <t>Столешница ДСП 16мм. Металлический каркас. Размер 500*700*520мм</t>
    </r>
  </si>
  <si>
    <r>
      <rPr>
        <sz val="10"/>
        <color theme="1"/>
        <rFont val="Times New Roman"/>
      </rPr>
      <t>522-101-1218-0005 - Стол детский размерами 750х520 мм</t>
    </r>
  </si>
  <si>
    <r>
      <rPr>
        <sz val="10"/>
        <color theme="1"/>
        <rFont val="Times New Roman"/>
      </rPr>
      <t>Столешница ДСП 16мм. Металлический каркас. Размер 750*520мм</t>
    </r>
  </si>
  <si>
    <r>
      <rPr>
        <sz val="10"/>
        <color rgb="FF000000"/>
        <rFont val="Times New Roman"/>
      </rPr>
      <t xml:space="preserve">522-101-1219-0001 - Стул
</t>
    </r>
    <r>
      <rPr>
        <sz val="10"/>
        <color rgb="FF000000"/>
        <rFont val="Times New Roman"/>
      </rPr>
      <t>полумягкий</t>
    </r>
  </si>
  <si>
    <t>Стул
полумягкий</t>
  </si>
  <si>
    <r>
      <rPr>
        <sz val="10"/>
        <color theme="1"/>
        <rFont val="Times New Roman"/>
      </rPr>
      <t>Основание металлокаркас. Сидение и спинка стула сделаны из фанеры, облицованы мебельной тканью – гобелен</t>
    </r>
  </si>
  <si>
    <r>
      <rPr>
        <sz val="10"/>
        <color rgb="FF000000"/>
        <rFont val="Times New Roman"/>
      </rPr>
      <t xml:space="preserve">522-101-1219-0002 - Стул
</t>
    </r>
    <r>
      <rPr>
        <sz val="10"/>
        <color rgb="FF000000"/>
        <rFont val="Times New Roman"/>
      </rPr>
      <t>полумягкий (Винилискожа)</t>
    </r>
  </si>
  <si>
    <t>Стул
полумягкий (Винилискожа)</t>
  </si>
  <si>
    <r>
      <rPr>
        <sz val="10"/>
        <color theme="1"/>
        <rFont val="Times New Roman"/>
      </rPr>
      <t>Основание металлокаркас. Сидение и спинка стула сделаны из фанеры, облицованы мебельной тканью – винилискожа</t>
    </r>
  </si>
  <si>
    <r>
      <rPr>
        <sz val="10"/>
        <color rgb="FF000000"/>
        <rFont val="Times New Roman"/>
      </rPr>
      <t xml:space="preserve">522-101-1219-0003 - Стул
</t>
    </r>
    <r>
      <rPr>
        <sz val="10"/>
        <color rgb="FF000000"/>
        <rFont val="Times New Roman"/>
      </rPr>
      <t>полумягкий (ткань меб)</t>
    </r>
  </si>
  <si>
    <t>Стул
полумягкий (ткань меб)</t>
  </si>
  <si>
    <r>
      <rPr>
        <sz val="10"/>
        <color theme="1"/>
        <rFont val="Times New Roman"/>
      </rPr>
      <t>Основание металлокаркас. Сидение и спинка стула сделаны из фанеры, облицованы мебельной тканью</t>
    </r>
  </si>
  <si>
    <r>
      <rPr>
        <sz val="10"/>
        <color rgb="FF000000"/>
        <rFont val="Times New Roman"/>
      </rPr>
      <t xml:space="preserve">522-101-1219-0004 - Стул
</t>
    </r>
    <r>
      <rPr>
        <sz val="10"/>
        <color rgb="FF000000"/>
        <rFont val="Times New Roman"/>
      </rPr>
      <t xml:space="preserve">полумягкий на колесах.
</t>
    </r>
    <r>
      <rPr>
        <sz val="10"/>
        <color rgb="FF000000"/>
        <rFont val="Times New Roman"/>
      </rPr>
      <t>Полиуретановый ролик, ножка из круглой трубы, черный подлокотник, черный пластик сзади, складное сиденье из пенополиуретана. Размеры 540*850*550 мм</t>
    </r>
  </si>
  <si>
    <t>Стул
полумягкий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</si>
  <si>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r>
      <rPr>
        <sz val="10"/>
        <color rgb="FF000000"/>
        <rFont val="Times New Roman"/>
      </rPr>
      <t xml:space="preserve">Стул на колесах. Полиуретановый ролик, ножка из круглой трубы, черный подлокотник, черный пластик сзади, складное сиденье из пенополиуретана.
</t>
    </r>
    <r>
      <rPr>
        <sz val="10"/>
        <color rgb="FF000000"/>
        <rFont val="Times New Roman"/>
      </rPr>
      <t>Размеры 540*850*550 мм</t>
    </r>
  </si>
  <si>
    <r>
      <rPr>
        <sz val="10"/>
        <color rgb="FF000000"/>
        <rFont val="Times New Roman"/>
      </rPr>
      <t xml:space="preserve">522-101-1219-0005 - Стул
</t>
    </r>
    <r>
      <rPr>
        <sz val="10"/>
        <color rgb="FF000000"/>
        <rFont val="Times New Roman"/>
      </rPr>
      <t>полумягкий. Сиденье и спинка из монолитного пластика, мягкая накидка для сиденья съёмное, металлический каркас из круглой трубы. Размеры 550*835*560 мм</t>
    </r>
  </si>
  <si>
    <t>Стул
полумягкий. Сиденье и спинка из монолитного пластика, мягкая накидка для сиденья съёмное, металлический каркас из круглой трубы. Размеры 550*835*560 мм</t>
  </si>
  <si>
    <r>
      <rPr>
        <sz val="10"/>
        <color rgb="FF000000"/>
        <rFont val="Times New Roman"/>
      </rPr>
      <t xml:space="preserve">Стул полумягкий. Сиденье и спинка из монолитного пластика, мягкая накидка для сиденья съёмное, металлический каркас из круглой трубы.
</t>
    </r>
    <r>
      <rPr>
        <sz val="10"/>
        <color rgb="FF000000"/>
        <rFont val="Times New Roman"/>
      </rPr>
      <t>Размеры 550*835*560 мм</t>
    </r>
  </si>
  <si>
    <r>
      <rPr>
        <sz val="10"/>
        <color rgb="FF000000"/>
        <rFont val="Times New Roman"/>
      </rPr>
      <t xml:space="preserve">522-101-1219-0006 - Стул
</t>
    </r>
    <r>
      <rPr>
        <sz val="10"/>
        <color rgb="FF000000"/>
        <rFont val="Times New Roman"/>
      </rPr>
      <t xml:space="preserve">полумягкий. Металлический каркас.
</t>
    </r>
    <r>
      <rPr>
        <sz val="10"/>
        <color rgb="FF000000"/>
        <rFont val="Times New Roman"/>
      </rPr>
      <t>Размер: 400х465х800мм</t>
    </r>
  </si>
  <si>
    <t>Стул
полумягкий. Металлический каркас.
Размер: 400х465х800мм</t>
  </si>
  <si>
    <r>
      <rPr>
        <sz val="10"/>
        <color theme="1"/>
        <rFont val="Times New Roman"/>
      </rPr>
      <t>Металлический каркас. Материал обивки и цвет по согласованию с заказчиком.</t>
    </r>
  </si>
  <si>
    <r>
      <rPr>
        <sz val="10"/>
        <color rgb="FF000000"/>
        <rFont val="Times New Roman"/>
      </rPr>
      <t xml:space="preserve">522-101-1219-0007 - Стул
</t>
    </r>
    <r>
      <rPr>
        <sz val="10"/>
        <color rgb="FF000000"/>
        <rFont val="Times New Roman"/>
      </rPr>
      <t xml:space="preserve">полумягкий. Каркас металлический.
</t>
    </r>
    <r>
      <rPr>
        <sz val="10"/>
        <color rgb="FF000000"/>
        <rFont val="Times New Roman"/>
      </rPr>
      <t>Размер: 460х520х830мм</t>
    </r>
  </si>
  <si>
    <t>Стул
полумягкий. Каркас металлический.
Размер: 460х520х830мм</t>
  </si>
  <si>
    <r>
      <rPr>
        <sz val="10"/>
        <color theme="1"/>
        <rFont val="Times New Roman"/>
      </rPr>
      <t>Каркас металлический, цвет черный.  Материал обивки и цвет по согласованию с заказчиком.</t>
    </r>
  </si>
  <si>
    <r>
      <rPr>
        <sz val="10"/>
        <color rgb="FF000000"/>
        <rFont val="Times New Roman"/>
      </rPr>
      <t xml:space="preserve">522-101-1219-0008 - Стул
</t>
    </r>
    <r>
      <rPr>
        <sz val="10"/>
        <color rgb="FF000000"/>
        <rFont val="Times New Roman"/>
      </rPr>
      <t>полумягкий. Каркас металлический крашенный. Размер: 550x600x830мм</t>
    </r>
  </si>
  <si>
    <t>Стул
полумягкий. Каркас металлический крашенный. Размер: 550x600x830мм</t>
  </si>
  <si>
    <r>
      <rPr>
        <sz val="10"/>
        <color theme="1"/>
        <rFont val="Times New Roman"/>
      </rPr>
      <t>Каркас металлический крашенный.  Материал обивки и цвет по согласованию с заказчиком.</t>
    </r>
  </si>
  <si>
    <r>
      <rPr>
        <sz val="10"/>
        <color rgb="FF000000"/>
        <rFont val="Times New Roman"/>
      </rPr>
      <t xml:space="preserve">522-101-1219-0009 - Стул
</t>
    </r>
    <r>
      <rPr>
        <sz val="10"/>
        <color rgb="FF000000"/>
        <rFont val="Times New Roman"/>
      </rPr>
      <t>полумягкий. Хромированный каркас. Размер: 550x600x830мм</t>
    </r>
  </si>
  <si>
    <t>Стул
полумягкий. Хромированный каркас. Размер: 550x600x830мм</t>
  </si>
  <si>
    <r>
      <rPr>
        <sz val="10"/>
        <color theme="1"/>
        <rFont val="Times New Roman"/>
      </rPr>
      <t>Хромированный каркас. Материал обивки и цвет по согласованию с заказчиком.</t>
    </r>
  </si>
  <si>
    <r>
      <rPr>
        <sz val="10"/>
        <color rgb="FF000000"/>
        <rFont val="Times New Roman"/>
      </rPr>
      <t xml:space="preserve">522-101-1219-0010 - Стул
</t>
    </r>
    <r>
      <rPr>
        <sz val="10"/>
        <color rgb="FF000000"/>
        <rFont val="Times New Roman"/>
      </rPr>
      <t xml:space="preserve">полумягкий. Материал обивки ткань/эко кожа. Металлический каркас, окрашен порошковой полимерной краской.
</t>
    </r>
    <r>
      <rPr>
        <sz val="10"/>
        <color rgb="FF000000"/>
        <rFont val="Times New Roman"/>
      </rPr>
      <t>Размер:410х560х940мм</t>
    </r>
  </si>
  <si>
    <t>Стул
полумягкий. Материал обивки ткань/эко кожа. Металлический каркас, окрашен порошковой полимерной краской.
Размер:410х560х940мм</t>
  </si>
  <si>
    <r>
      <rPr>
        <sz val="10"/>
        <color theme="1"/>
        <rFont val="Times New Roman"/>
      </rPr>
      <t>Цвет по согласованию с заказчиком. Допустимая нагрузка до 180 кг.</t>
    </r>
  </si>
  <si>
    <r>
      <rPr>
        <sz val="10"/>
        <color rgb="FF000000"/>
        <rFont val="Times New Roman"/>
      </rPr>
      <t xml:space="preserve">522-101-1219-0011 - Стул
</t>
    </r>
    <r>
      <rPr>
        <sz val="10"/>
        <color rgb="FF000000"/>
        <rFont val="Times New Roman"/>
      </rPr>
      <t xml:space="preserve">полумягкий. Хромированный каркас, без подлокотников.
</t>
    </r>
    <r>
      <rPr>
        <sz val="10"/>
        <color rgb="FF000000"/>
        <rFont val="Times New Roman"/>
      </rPr>
      <t>Материал обивки: экокожа. Размер: 490x500x840мм</t>
    </r>
  </si>
  <si>
    <t>Стул
полумягкий. Хромированный каркас, без подлокотников.
Материал обивки: экокожа. Размер: 490x500x840мм</t>
  </si>
  <si>
    <r>
      <rPr>
        <sz val="10"/>
        <color theme="1"/>
        <rFont val="Times New Roman"/>
      </rPr>
      <t>Стул полумягкий. Хромированный каркас, без подлокотников. Материал обивки: экокожа. Размер: 490x500x840мм</t>
    </r>
  </si>
  <si>
    <r>
      <rPr>
        <sz val="10"/>
        <color rgb="FF000000"/>
        <rFont val="Times New Roman"/>
      </rPr>
      <t xml:space="preserve">522-101-1219-0012 - Стул
</t>
    </r>
    <r>
      <rPr>
        <sz val="10"/>
        <color rgb="FF000000"/>
        <rFont val="Times New Roman"/>
      </rPr>
      <t>полумягкий. Металлический каркас черный. Материал обивки- эко кожа. Размер: 510x510x735мм</t>
    </r>
  </si>
  <si>
    <t>Стул
полумягкий. Металлический каркас черный. Материал обивки- эко кожа. Размер: 510x510x735мм</t>
  </si>
  <si>
    <r>
      <rPr>
        <sz val="10"/>
        <color theme="1"/>
        <rFont val="Times New Roman"/>
      </rPr>
      <t>Стул полумягкий. Металлический каркас черный. Материал обивки- эко кожа. Размер: 510x510x735мм</t>
    </r>
  </si>
  <si>
    <r>
      <rPr>
        <sz val="10"/>
        <color rgb="FF000000"/>
        <rFont val="Times New Roman"/>
      </rPr>
      <t xml:space="preserve">522-101-1219-0013 - Стул
</t>
    </r>
    <r>
      <rPr>
        <sz val="10"/>
        <color rgb="FF000000"/>
        <rFont val="Times New Roman"/>
      </rPr>
      <t xml:space="preserve">полумягкий. Металлический каркас, хром. Материал обивки- эко кожа.
</t>
    </r>
    <r>
      <rPr>
        <sz val="10"/>
        <color rgb="FF000000"/>
        <rFont val="Times New Roman"/>
      </rPr>
      <t>Размер: 510x510x735мм</t>
    </r>
  </si>
  <si>
    <t>Стул
полумягкий. Металлический каркас, хром. Материал обивки- эко кожа.
Размер: 510x510x735мм</t>
  </si>
  <si>
    <r>
      <rPr>
        <sz val="10"/>
        <color theme="1"/>
        <rFont val="Times New Roman"/>
      </rPr>
      <t>Стул полумягкий. Металлический каркас, хром. Материал обивки- эко кожа. Размер: 510x510x735мм</t>
    </r>
  </si>
  <si>
    <r>
      <rPr>
        <sz val="10"/>
        <color rgb="FF000000"/>
        <rFont val="Times New Roman"/>
      </rPr>
      <t xml:space="preserve">522-101-1219-0014 - Стул
</t>
    </r>
    <r>
      <rPr>
        <sz val="10"/>
        <color rgb="FF000000"/>
        <rFont val="Times New Roman"/>
      </rPr>
      <t xml:space="preserve">полумягкий. Полозья металлические разборные, крашеные черные.
</t>
    </r>
    <r>
      <rPr>
        <sz val="10"/>
        <color rgb="FF000000"/>
        <rFont val="Times New Roman"/>
      </rPr>
      <t xml:space="preserve">Подлокотники пластиковые.
</t>
    </r>
    <r>
      <rPr>
        <sz val="10"/>
        <color rgb="FF000000"/>
        <rFont val="Times New Roman"/>
      </rPr>
      <t>Материал обивки: спинка – сетка, сиденье – ткань. Размер: 475х395х925мм</t>
    </r>
  </si>
  <si>
    <t>Стул
полумягкий. Полозья металлические разборные, крашеные черные.
Подлокотники пластиковые.
Материал обивки: спинка – сетка, сиденье – ткань. Размер: 475х395х925мм</t>
  </si>
  <si>
    <r>
      <rPr>
        <sz val="10"/>
        <color rgb="FF000000"/>
        <rFont val="Times New Roman"/>
      </rPr>
      <t xml:space="preserve">Ограничение по весу: 120 кг.
</t>
    </r>
    <r>
      <rPr>
        <sz val="10"/>
        <color rgb="FF000000"/>
        <rFont val="Times New Roman"/>
      </rPr>
      <t>Материал обивки: Спинка – сетка, сиденье – ткань</t>
    </r>
  </si>
  <si>
    <r>
      <rPr>
        <sz val="10"/>
        <color rgb="FF000000"/>
        <rFont val="Times New Roman"/>
      </rPr>
      <t xml:space="preserve">522-101-1219-0015 - Стул
</t>
    </r>
    <r>
      <rPr>
        <sz val="10"/>
        <color rgb="FF000000"/>
        <rFont val="Times New Roman"/>
      </rPr>
      <t>полумягкий. Хромированный каркас. Металлические подлокотники с накладками из эко кожи/дерева</t>
    </r>
  </si>
  <si>
    <t>Стул
полумягкий. Хромированный каркас. Металлические подлокотники с накладками из эко кожи/дерева</t>
  </si>
  <si>
    <r>
      <rPr>
        <sz val="10"/>
        <color theme="1"/>
        <rFont val="Times New Roman"/>
      </rPr>
      <t>Хромированный каркас. Устойчивая металлическая рама. Металлические подлокотники с накладками из эко кожи/дерево. Материал обивки и цвет по согласованию с заказчиком.</t>
    </r>
  </si>
  <si>
    <r>
      <rPr>
        <sz val="10"/>
        <color rgb="FF000000"/>
        <rFont val="Times New Roman"/>
      </rPr>
      <t xml:space="preserve">522-101-1219-0016 - Стул
</t>
    </r>
    <r>
      <rPr>
        <sz val="10"/>
        <color rgb="FF000000"/>
        <rFont val="Times New Roman"/>
      </rPr>
      <t>полумягкий. Металлический каркас, цвет черный. Металлические подлокотники с накладками из дерева/эко.кожи. Размер: 600x560x860мм</t>
    </r>
  </si>
  <si>
    <t>Стул
полумягкий. Металлический каркас, цвет черный. Металлические подлокотники с накладками из дерева/эко.кожи. Размер: 600x560x860мм</t>
  </si>
  <si>
    <r>
      <rPr>
        <sz val="10"/>
        <color theme="1"/>
        <rFont val="Times New Roman"/>
      </rPr>
      <t>Металлический каркас, цвет черный. Устойчивая металлическая рама. Металлические подлокотники с накладками из дерева/эко.кожи. Материал обивки и цвет по согласованию с заказчиком.</t>
    </r>
  </si>
  <si>
    <r>
      <rPr>
        <sz val="10"/>
        <color rgb="FF000000"/>
        <rFont val="Times New Roman"/>
      </rPr>
      <t xml:space="preserve">522-101-1219-0017 - Стул
</t>
    </r>
    <r>
      <rPr>
        <sz val="10"/>
        <color rgb="FF000000"/>
        <rFont val="Times New Roman"/>
      </rPr>
      <t xml:space="preserve">полумягкий. Материал обивки эко.кожа. Каркас металлический, подлокотники с пластиковыми накладками, полозья черные.
</t>
    </r>
    <r>
      <rPr>
        <sz val="10"/>
        <color rgb="FF000000"/>
        <rFont val="Times New Roman"/>
      </rPr>
      <t>Размер: 510х475х870мм</t>
    </r>
  </si>
  <si>
    <t>Стул
полумягкий. Материал обивки эко.кожа. Каркас металлический, подлокотники с пластиковыми накладками, полозья черные.
Размер: 510х475х870мм</t>
  </si>
  <si>
    <r>
      <rPr>
        <sz val="10"/>
        <color theme="1"/>
        <rFont val="Times New Roman"/>
      </rPr>
      <t>Каркас металлический. Пластиковые накладки на подлокотники. Цвет полозьев: черный. Ограничение по весу: 120 кг. Материал обивки: эко.кожа</t>
    </r>
  </si>
  <si>
    <r>
      <rPr>
        <sz val="10"/>
        <color rgb="FF000000"/>
        <rFont val="Times New Roman"/>
      </rPr>
      <t xml:space="preserve">522-101-1219-0018 - Стул
</t>
    </r>
    <r>
      <rPr>
        <sz val="10"/>
        <color rgb="FF000000"/>
        <rFont val="Times New Roman"/>
      </rPr>
      <t>полумягкий. Материал обивки: ткань/эко кожа. Металлические ножки. Размер: 470х420х890мм</t>
    </r>
  </si>
  <si>
    <t>Стул
полумягкий. Материал обивки: ткань/эко кожа. Металлические ножки. Размер: 470х420х890мм</t>
  </si>
  <si>
    <r>
      <rPr>
        <sz val="10"/>
        <color theme="1"/>
        <rFont val="Times New Roman"/>
      </rPr>
      <t>Металлические ножки с пластиковыми заглушками. Материал обивки: ткань/эко кожа, цвет по согласованию с заказчиком. Ограничение по весу: 120 кг</t>
    </r>
  </si>
  <si>
    <r>
      <rPr>
        <sz val="10"/>
        <color rgb="FF000000"/>
        <rFont val="Times New Roman"/>
      </rPr>
      <t xml:space="preserve">522-101-1219-0019 - Стул
</t>
    </r>
    <r>
      <rPr>
        <sz val="10"/>
        <color rgb="FF000000"/>
        <rFont val="Times New Roman"/>
      </rPr>
      <t xml:space="preserve">полумягкий. Хромированный каркас, металлические подлокотники с  накладками из эко кожи. Материал обивки: экокожа.
</t>
    </r>
    <r>
      <rPr>
        <sz val="10"/>
        <color rgb="FF000000"/>
        <rFont val="Times New Roman"/>
      </rPr>
      <t>Размер: 620х680х1020мм</t>
    </r>
  </si>
  <si>
    <t>Стул
полумягкий. Хромированный каркас, металлические подлокотники с  накладками из эко кожи. Материал обивки: экокожа.
Размер: 620х680х1020мм</t>
  </si>
  <si>
    <r>
      <rPr>
        <sz val="10"/>
        <color theme="1"/>
        <rFont val="Times New Roman"/>
      </rPr>
      <t>Хромированный каркас, металлические подлокотники с  накладками из эко кожи. Материал обивки: экокожа</t>
    </r>
  </si>
  <si>
    <r>
      <rPr>
        <sz val="10"/>
        <color rgb="FF000000"/>
        <rFont val="Times New Roman"/>
      </rPr>
      <t xml:space="preserve">522-101-1219-0020 - Стул
</t>
    </r>
    <r>
      <rPr>
        <sz val="10"/>
        <color rgb="FF000000"/>
        <rFont val="Times New Roman"/>
      </rPr>
      <t>полумягкий. Сиденье и спинка из литого полипропиленового пластика, каркас из металлического прута.</t>
    </r>
  </si>
  <si>
    <t>Стул
полумягкий. Сиденье и спинка из литого полипропиленового пластика, каркас из металлического прута.</t>
  </si>
  <si>
    <r>
      <rPr>
        <sz val="10"/>
        <color theme="1"/>
        <rFont val="Times New Roman"/>
      </rPr>
      <t>Стул эргономичный штабилируемый. Сиденье и спинка из литого крепкого и износостойкого  полипропиленового пластика. Металлокаркас выполнен из металического прута. Изделия окрашены методом электростатического порошкового напыления. Для предотвращения воздействия воды и влаги на ножки стула предусмотрены пластиковые подпятники.</t>
    </r>
  </si>
  <si>
    <r>
      <rPr>
        <sz val="10"/>
        <color rgb="FF000000"/>
        <rFont val="Times New Roman"/>
      </rPr>
      <t xml:space="preserve">522-101-1219-0021 - Стул
</t>
    </r>
    <r>
      <rPr>
        <sz val="10"/>
        <color rgb="FF000000"/>
        <rFont val="Times New Roman"/>
      </rPr>
      <t>полумягкий с подлокотниками. Спинка из сетчатой ткани. Сиденье из ткани или искусственной кожи. Металлические U-образные ножки.</t>
    </r>
  </si>
  <si>
    <t>Стул
полумягкий с подлокотниками. Спинка из сетчатой ткани. Сиденье из ткани или искусственной кожи. Металлические U-образные ножки.</t>
  </si>
  <si>
    <r>
      <rPr>
        <sz val="10"/>
        <color rgb="FF000000"/>
        <rFont val="Times New Roman"/>
      </rPr>
      <t xml:space="preserve">Спинка из сетчатой ткани. Сиденье из ткани или искусственной кожи.
</t>
    </r>
    <r>
      <rPr>
        <sz val="10"/>
        <color rgb="FF000000"/>
        <rFont val="Times New Roman"/>
      </rPr>
      <t>Металлические U-образные ножки. Механизм спинки и опора подлокотника фиксированная. Подлокотники металлические с пластиковыми вставками.</t>
    </r>
  </si>
  <si>
    <r>
      <rPr>
        <sz val="10"/>
        <color rgb="FF000000"/>
        <rFont val="Times New Roman"/>
      </rPr>
      <t xml:space="preserve">522-101-1219-0022 - Стул
</t>
    </r>
    <r>
      <rPr>
        <sz val="10"/>
        <color rgb="FF000000"/>
        <rFont val="Times New Roman"/>
      </rPr>
      <t>полумягкий. Материал основания и спинки пластик, ножки металлические. Размеры 710х570х500 мм</t>
    </r>
  </si>
  <si>
    <t>Стул
полумягкий. Материал основания и спинки пластик, ножки металлические. Размеры 710х570х500 мм</t>
  </si>
  <si>
    <r>
      <rPr>
        <sz val="10"/>
        <color theme="1"/>
        <rFont val="Times New Roman"/>
      </rPr>
      <t>Размеры: 710х570х500мм. Стул с пластиковым основанием и порошковым покрытием</t>
    </r>
  </si>
  <si>
    <r>
      <rPr>
        <sz val="10"/>
        <color rgb="FF000000"/>
        <rFont val="Times New Roman"/>
      </rPr>
      <t xml:space="preserve">522-101-1219-0023 - Стул
</t>
    </r>
    <r>
      <rPr>
        <sz val="10"/>
        <color rgb="FF000000"/>
        <rFont val="Times New Roman"/>
      </rPr>
      <t xml:space="preserve">полумягкий на колесах с пюпитром.
</t>
    </r>
    <r>
      <rPr>
        <sz val="10"/>
        <color rgb="FF000000"/>
        <rFont val="Times New Roman"/>
      </rPr>
      <t>Размеры 675*677*710 мм</t>
    </r>
  </si>
  <si>
    <t>Стул
полумягкий на колесах с пюпитром.
Размеры 675*677*710 мм</t>
  </si>
  <si>
    <r>
      <rPr>
        <sz val="10"/>
        <color theme="1"/>
        <rFont val="Times New Roman"/>
      </rPr>
      <t>Материал основания: металлическое. Материал сиденья: формованная пена высокой плотности. Цвета: зеленый, оранжевый, синий, черный, серый с пюпитром.</t>
    </r>
  </si>
  <si>
    <r>
      <rPr>
        <sz val="10"/>
        <color rgb="FF000000"/>
        <rFont val="Times New Roman"/>
      </rPr>
      <t xml:space="preserve">522-101-1219-0024 - Стул
</t>
    </r>
    <r>
      <rPr>
        <sz val="10"/>
        <color rgb="FF000000"/>
        <rFont val="Times New Roman"/>
      </rPr>
      <t>полумягкий. Материал сиденья и спинки ткань, ножки хромированные</t>
    </r>
  </si>
  <si>
    <t>Стул
полумягкий. Материал сиденья и спинки ткань, ножки хромированные</t>
  </si>
  <si>
    <r>
      <rPr>
        <sz val="10"/>
        <color theme="1"/>
        <rFont val="Times New Roman"/>
      </rPr>
      <t>Размеры: 730*400*400 мм.  Цвет по согласованию</t>
    </r>
  </si>
  <si>
    <r>
      <rPr>
        <sz val="10"/>
        <color rgb="FF000000"/>
        <rFont val="Times New Roman"/>
      </rPr>
      <t xml:space="preserve">522-101-1219-0025 - Стул
</t>
    </r>
    <r>
      <rPr>
        <sz val="10"/>
        <color rgb="FF000000"/>
        <rFont val="Times New Roman"/>
      </rPr>
      <t>полумягкий, материал кожзам. Каркас металлический. Размер сиденья: 400х380мм. Размер спинки: 380х390мм</t>
    </r>
  </si>
  <si>
    <t>Стул
полумягкий, материал кожзам. Каркас металлический. Размер сиденья: 400х380мм. Размер спинки: 380х390мм</t>
  </si>
  <si>
    <r>
      <rPr>
        <sz val="10"/>
        <color theme="1"/>
        <rFont val="Times New Roman"/>
      </rPr>
      <t>Каркас стула: стальная труба D22, толщина стенки 1,2 мм. Покрытие - порошковая полиэфирная краска. Сидение, спинка: фанерные заготовки. Наполнитель: мебельный поролон, плотностью 25/36. Высота от пола до сидения: 460 мм. Высота стула: 860 мм.</t>
    </r>
  </si>
  <si>
    <r>
      <rPr>
        <sz val="10"/>
        <color rgb="FF000000"/>
        <rFont val="Times New Roman"/>
      </rPr>
      <t xml:space="preserve">522-101-1219-0026 - Стул
</t>
    </r>
    <r>
      <rPr>
        <sz val="10"/>
        <color rgb="FF000000"/>
        <rFont val="Times New Roman"/>
      </rPr>
      <t>полумягкий типа Изо. Каркас металлический цветной. Размер: 435х440х840мм</t>
    </r>
  </si>
  <si>
    <t>Стул
полумягкий типа Изо. Каркас металлический цветной. Размер: 435х440х840мм</t>
  </si>
  <si>
    <r>
      <rPr>
        <sz val="10"/>
        <color theme="1"/>
        <rFont val="Times New Roman"/>
      </rPr>
      <t>Каркас металлический цветной. Материал обивки и цвет по согласованию с заказчиком.</t>
    </r>
  </si>
  <si>
    <r>
      <rPr>
        <sz val="10"/>
        <color rgb="FF000000"/>
        <rFont val="Times New Roman"/>
      </rPr>
      <t xml:space="preserve">522-101-1219-0027 - Стул
</t>
    </r>
    <r>
      <rPr>
        <sz val="10"/>
        <color rgb="FF000000"/>
        <rFont val="Times New Roman"/>
      </rPr>
      <t>полумягкий типа СМ-7. Каркас металлический цветной. Размер: 460х350х820мм</t>
    </r>
  </si>
  <si>
    <t>Стул
полумягкий типа СМ-7. Каркас металлический цветной. Размер: 460х350х820мм</t>
  </si>
  <si>
    <r>
      <rPr>
        <sz val="10"/>
        <color rgb="FF000000"/>
        <rFont val="Times New Roman"/>
      </rPr>
      <t xml:space="preserve">Высота от пола до сиденья 470мм. Каркас металлический цветной.
</t>
    </r>
    <r>
      <rPr>
        <sz val="10"/>
        <color rgb="FF000000"/>
        <rFont val="Times New Roman"/>
      </rPr>
      <t>Заглушки стандартные заглушки</t>
    </r>
  </si>
  <si>
    <r>
      <rPr>
        <sz val="10"/>
        <color rgb="FF000000"/>
        <rFont val="Times New Roman"/>
      </rPr>
      <t xml:space="preserve">522-101-1219-0028 - Стул
</t>
    </r>
    <r>
      <rPr>
        <sz val="10"/>
        <color rgb="FF000000"/>
        <rFont val="Times New Roman"/>
      </rPr>
      <t>полумягкий типа СМ-А. Каркас металлический цветной. Обивка гобелен. Размер: 440х410х970мм</t>
    </r>
  </si>
  <si>
    <t>Стул
полумягкий типа СМ-А. Каркас металлический цветной. Обивка гобелен. Размер: 440х410х970мм</t>
  </si>
  <si>
    <r>
      <rPr>
        <sz val="10"/>
        <color theme="1"/>
        <rFont val="Times New Roman"/>
      </rPr>
      <t>Высота от пола до сиденья 460мм. Каркас металлический цветной.</t>
    </r>
  </si>
  <si>
    <r>
      <rPr>
        <sz val="10"/>
        <color rgb="FF000000"/>
        <rFont val="Times New Roman"/>
      </rPr>
      <t xml:space="preserve">522-101-1219-0029 - Стул
</t>
    </r>
    <r>
      <rPr>
        <sz val="10"/>
        <color rgb="FF000000"/>
        <rFont val="Times New Roman"/>
      </rPr>
      <t>полумягкий типа Нино. Каркас металлический цветной. Обивка экокожа. Подлокотники с деревянными накладками. Размер: 420х380х850мм</t>
    </r>
  </si>
  <si>
    <t>Стул
полумягкий типа Нино. Каркас металлический цветной. Обивка экокожа. Подлокотники с деревянными накладками. Размер: 420х380х850мм</t>
  </si>
  <si>
    <r>
      <rPr>
        <sz val="10"/>
        <color theme="1"/>
        <rFont val="Times New Roman"/>
      </rPr>
      <t>Каркас металлический цветной. Подлокотники деревянные "Винтаж"</t>
    </r>
  </si>
  <si>
    <r>
      <rPr>
        <sz val="10"/>
        <color rgb="FF000000"/>
        <rFont val="Times New Roman"/>
      </rPr>
      <t xml:space="preserve">522-101-1219-0030 - Стул
</t>
    </r>
    <r>
      <rPr>
        <sz val="10"/>
        <color rgb="FF000000"/>
        <rFont val="Times New Roman"/>
      </rPr>
      <t>полумягкий типа Реймс. Каркас металлический цветной. Обивка экокожа. Размер: 520х500х880мм</t>
    </r>
  </si>
  <si>
    <t>Стул
полумягкий типа Реймс. Каркас металлический цветной. Обивка экокожа. Размер: 520х500х880мм</t>
  </si>
  <si>
    <r>
      <rPr>
        <sz val="10"/>
        <color theme="1"/>
        <rFont val="Times New Roman"/>
      </rPr>
      <t>Стул полумягкий типа Реймс. Каркас металлический цветной. Обивка экокожа. Размер: 520х500х880мм</t>
    </r>
  </si>
  <si>
    <r>
      <rPr>
        <sz val="10"/>
        <color rgb="FF000000"/>
        <rFont val="Times New Roman"/>
      </rPr>
      <t xml:space="preserve">522-101-1219-0031 - Стул
</t>
    </r>
    <r>
      <rPr>
        <sz val="10"/>
        <color rgb="FF000000"/>
        <rFont val="Times New Roman"/>
      </rPr>
      <t>полумягкий типа Пиаф. Каркас металлический цветной. Обивка сетка. Размер: 470х450х840мм</t>
    </r>
  </si>
  <si>
    <t>Стул
полумягкий типа Пиаф. Каркас металлический цветной. Обивка сетка. Размер: 470х450х840мм</t>
  </si>
  <si>
    <r>
      <rPr>
        <sz val="10"/>
        <color theme="1"/>
        <rFont val="Times New Roman"/>
      </rPr>
      <t>Высота от пола до сиденья 470мм. Каркас металлический цветной</t>
    </r>
  </si>
  <si>
    <r>
      <rPr>
        <sz val="10"/>
        <color rgb="FF000000"/>
        <rFont val="Times New Roman"/>
      </rPr>
      <t xml:space="preserve">522-101-1219-0033 - Стул на
</t>
    </r>
    <r>
      <rPr>
        <sz val="10"/>
        <color rgb="FF000000"/>
        <rFont val="Times New Roman"/>
      </rPr>
      <t>металлических круглях ногах, сиденье выполнено из полипропилена, размеры 460х500х780 мм</t>
    </r>
  </si>
  <si>
    <t>Стул на
металлических круглях ногах, сиденье выполнено из полипропилена, размеры 460х500х780 мм</t>
  </si>
  <si>
    <r>
      <rPr>
        <sz val="10"/>
        <color theme="1"/>
        <rFont val="Times New Roman"/>
      </rPr>
      <t>Стул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мм с помощью полуавтоматической сварки.</t>
    </r>
  </si>
  <si>
    <r>
      <rPr>
        <sz val="10"/>
        <color rgb="FF000000"/>
        <rFont val="Times New Roman"/>
      </rPr>
      <t xml:space="preserve">522-101-1219-0034 - Стул на
</t>
    </r>
    <r>
      <rPr>
        <sz val="10"/>
        <color rgb="FF000000"/>
        <rFont val="Times New Roman"/>
      </rPr>
      <t>металлических полозьях, сиденье выполнено из полипропилена, размеры 520х530х780 мм</t>
    </r>
  </si>
  <si>
    <t>Стул на
металлических полозьях, сиденье выполнено из полипропилена, размеры 520х530х780 мм</t>
  </si>
  <si>
    <r>
      <rPr>
        <sz val="10"/>
        <color theme="1"/>
        <rFont val="Times New Roman"/>
      </rPr>
      <t>Стул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с помощью полуавтоматической сварки.</t>
    </r>
  </si>
  <si>
    <r>
      <rPr>
        <sz val="10"/>
        <color theme="1"/>
        <rFont val="Times New Roman"/>
      </rPr>
      <t>522-101-1220-0001 - Стул детский марки Д-13</t>
    </r>
  </si>
  <si>
    <r>
      <rPr>
        <sz val="10"/>
        <color theme="1"/>
        <rFont val="Times New Roman"/>
      </rPr>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r>
  </si>
  <si>
    <r>
      <rPr>
        <sz val="10"/>
        <color theme="1"/>
        <rFont val="Times New Roman"/>
      </rPr>
      <t>522-101-1220-0002 - Стул детский марки Д-21</t>
    </r>
  </si>
  <si>
    <r>
      <rPr>
        <sz val="10"/>
        <color theme="1"/>
        <rFont val="Times New Roman"/>
      </rPr>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r>
  </si>
  <si>
    <r>
      <rPr>
        <sz val="10"/>
        <color theme="1"/>
        <rFont val="Times New Roman"/>
      </rPr>
      <t>522-101-1220-0003 - Стул детский марки Д-22</t>
    </r>
  </si>
  <si>
    <r>
      <rPr>
        <sz val="10"/>
        <color theme="1"/>
        <rFont val="Times New Roman"/>
      </rPr>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r>
  </si>
  <si>
    <r>
      <rPr>
        <sz val="10"/>
        <color theme="1"/>
        <rFont val="Times New Roman"/>
      </rPr>
      <t>522-101-1220-0004 - Стул детский марки Д02-31</t>
    </r>
  </si>
  <si>
    <r>
      <rPr>
        <sz val="10"/>
        <color theme="1"/>
        <rFont val="Times New Roman"/>
      </rPr>
      <t>Материал : лакированная фанера. Высота 340мм</t>
    </r>
  </si>
  <si>
    <r>
      <rPr>
        <sz val="10"/>
        <color rgb="FF000000"/>
        <rFont val="Times New Roman"/>
      </rPr>
      <t xml:space="preserve">522-101-1220-0005 - Стул детский
</t>
    </r>
    <r>
      <rPr>
        <sz val="10"/>
        <color rgb="FF000000"/>
        <rFont val="Times New Roman"/>
      </rPr>
      <t>«Балакай» размерами 280х230х500 мм</t>
    </r>
  </si>
  <si>
    <t>Стул детский
«Балакай» размерами 280х230х500 мм</t>
  </si>
  <si>
    <r>
      <rPr>
        <sz val="10"/>
        <color theme="1"/>
        <rFont val="Times New Roman"/>
      </rPr>
      <t>Металлический каркас, полимерно-порошковое покрытие, основание фанера, 280*230*580мм</t>
    </r>
  </si>
  <si>
    <r>
      <rPr>
        <sz val="10"/>
        <color rgb="FF000000"/>
        <rFont val="Times New Roman"/>
      </rPr>
      <t xml:space="preserve">522-101-1220-0006 - Стул детский
</t>
    </r>
    <r>
      <rPr>
        <sz val="10"/>
        <color rgb="FF000000"/>
        <rFont val="Times New Roman"/>
      </rPr>
      <t>«Жастар» размерами 320х320х600 мм</t>
    </r>
  </si>
  <si>
    <t>Стул детский
«Жастар» размерами 320х320х600 мм</t>
  </si>
  <si>
    <r>
      <rPr>
        <sz val="10"/>
        <color theme="1"/>
        <rFont val="Times New Roman"/>
      </rPr>
      <t>Металлический каркас, полимерно-порошковое покрытие, основание фанера 320*320*600мм</t>
    </r>
  </si>
  <si>
    <r>
      <rPr>
        <sz val="10"/>
        <color rgb="FF000000"/>
        <rFont val="Times New Roman"/>
      </rPr>
      <t xml:space="preserve">522-101-1221-0001 - Стул
</t>
    </r>
    <r>
      <rPr>
        <sz val="10"/>
        <color rgb="FF000000"/>
        <rFont val="Times New Roman"/>
      </rPr>
      <t>ученический рег ШК2018-100(Р), размер спинки и сиденья согласно ГОСТ СТ РК EN 1729-1-2019</t>
    </r>
  </si>
  <si>
    <t>Стул
ученический рег ШК2018-100(Р), размер спинки и сиденья согласно ГОСТ СТ РК EN 1729-1-2019</t>
  </si>
  <si>
    <r>
      <rPr>
        <sz val="10"/>
        <color theme="1"/>
        <rFont val="Times New Roman"/>
      </rPr>
      <t>Стул ученический регулируемый. Основание металлокаркас. Сиденье и спинка из гнутоклеенной фанеры.</t>
    </r>
  </si>
  <si>
    <r>
      <rPr>
        <sz val="10"/>
        <color rgb="FF000000"/>
        <rFont val="Times New Roman"/>
      </rPr>
      <t xml:space="preserve">522-101-1221-0002 - Стул
</t>
    </r>
    <r>
      <rPr>
        <sz val="10"/>
        <color rgb="FF000000"/>
        <rFont val="Times New Roman"/>
      </rPr>
      <t>ученический рег ШК2020-100(Р), размер спинки и сиденья согласно ГОСТ СТ РК EN 1729-1-2019</t>
    </r>
  </si>
  <si>
    <t>Стул
ученический рег ШК2020-100(Р), размер спинки и сиденья согласно ГОСТ СТ РК EN 1729-1-2019</t>
  </si>
  <si>
    <r>
      <rPr>
        <sz val="10"/>
        <color theme="1"/>
        <rFont val="Times New Roman"/>
      </rPr>
      <t>Стул ученический регулируемый. Основание металлокаркас. Сиденье и спинка из гнутоклеенной фанеры.</t>
    </r>
  </si>
  <si>
    <r>
      <rPr>
        <sz val="10"/>
        <color rgb="FF000000"/>
        <rFont val="Times New Roman"/>
      </rPr>
      <t xml:space="preserve">522-101-1221-0003 - Стул
</t>
    </r>
    <r>
      <rPr>
        <sz val="10"/>
        <color rgb="FF000000"/>
        <rFont val="Times New Roman"/>
      </rPr>
      <t xml:space="preserve">ученический регулируемый по высоте, основание металлокаркас, размер плоскоовальной трубы 40х20х1,2-1,4 мм и 30х15х1,2-1,4
</t>
    </r>
    <r>
      <rPr>
        <sz val="10"/>
        <color rgb="FF000000"/>
        <rFont val="Times New Roman"/>
      </rPr>
      <t>мм, сиденье и спинка из полипропилена путем выдувного формования, размер спинки и сиденья согласно ГОСТ СТ РК EN 1729-1-2019</t>
    </r>
  </si>
  <si>
    <t>Стул
ученический регулируемый по высоте, основание металлокаркас, размер плоскоовальной трубы 40х20х1,2-1,4 мм и 30х15х1,2-1,4
мм, сиденье и спинка из полипропилена путем выдувного формования, размер спинки и сиденья согласно ГОСТ СТ РК EN 1729-1-2019</t>
  </si>
  <si>
    <r>
      <rPr>
        <sz val="10"/>
        <color rgb="FF000000"/>
        <rFont val="Times New Roman"/>
      </rPr>
      <t xml:space="preserve">Стул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ГОСТа СТ РК EN 1729-1-2019. Ученический стул в основе имеет сборно-разборный металлический каркас. Высота сиденья стула от пола до нижнего края регулируемая от 380 до 460 мм.
</t>
    </r>
    <r>
      <rPr>
        <sz val="10"/>
        <color rgb="FF000000"/>
        <rFont val="Times New Roman"/>
      </rPr>
      <t xml:space="preserve">Стул ученический состоит из сборно-разборного металлического каркаса. Сборно-разборный каркас стула изготавливается из плоскоовальной трубы размерами 40х20х1,2-1,4 мм и 30х15х1,2-1,4 мм окрашенной
</t>
    </r>
    <r>
      <rPr>
        <sz val="10"/>
        <color rgb="FF000000"/>
        <rFont val="Times New Roman"/>
      </rPr>
      <t xml:space="preserve">полимерно-порошковой краской, цвет по согласованию с заказчиком . Сиденье и спинка стула, изготовлены из прочного полипропилена путем выдувного формования,цвет по согласованию с заказчиком . Сиденье стула изготавливается эргономичной формой и имеет эффект воздушной
</t>
    </r>
    <r>
      <rPr>
        <sz val="10"/>
        <color rgb="FF000000"/>
        <rFont val="Times New Roman"/>
      </rPr>
      <t xml:space="preserve">«подушки». В спинке имеется отверстие для руки. Имеются ударопрочные пластиковые подпятники на основание стула. На спинке стула имеется
</t>
    </r>
    <r>
      <rPr>
        <sz val="10"/>
        <color rgb="FF000000"/>
        <rFont val="Times New Roman"/>
      </rPr>
      <t>национальный узор</t>
    </r>
  </si>
  <si>
    <r>
      <rPr>
        <sz val="10"/>
        <color rgb="FF000000"/>
        <rFont val="Times New Roman"/>
      </rPr>
      <t xml:space="preserve">522-101-1221-0004 - Стул
</t>
    </r>
    <r>
      <rPr>
        <sz val="10"/>
        <color rgb="FF000000"/>
        <rFont val="Times New Roman"/>
      </rPr>
      <t>ученический, сиденье и спинка из полипропилена, каркас металлический</t>
    </r>
  </si>
  <si>
    <t>Стул
ученический, сиденье и спинка из полипропилена, каркас металлический</t>
  </si>
  <si>
    <r>
      <rPr>
        <sz val="10"/>
        <color theme="1"/>
        <rFont val="Times New Roman"/>
      </rPr>
      <t>Стул ученический, сиденье и спинка из полипропилена (для средних и старших классов). Высота сиденья от пола 460 мм. Глубина и ширина сиденья стула не менее 400мм. Края имеют округленную форму. Имеет выемку для ручки.</t>
    </r>
  </si>
  <si>
    <r>
      <rPr>
        <sz val="10"/>
        <color rgb="FF000000"/>
        <rFont val="Times New Roman"/>
      </rPr>
      <t xml:space="preserve">522-101-1221-0005 - Стул
</t>
    </r>
    <r>
      <rPr>
        <sz val="10"/>
        <color rgb="FF000000"/>
        <rFont val="Times New Roman"/>
      </rPr>
      <t>ученический лабораторный с регулирующим механизмом, сиденье и спинка из полипропилена</t>
    </r>
  </si>
  <si>
    <t>Стул
ученический лабораторный с регулирующим механизмом, сиденье и спинка из полипропилена</t>
  </si>
  <si>
    <r>
      <rPr>
        <sz val="10"/>
        <color theme="1"/>
        <rFont val="Times New Roman"/>
      </rPr>
      <t>Стул ученический лабораторный с регулирующим механизмом, сиденье и спинка из полипропилена</t>
    </r>
  </si>
  <si>
    <r>
      <rPr>
        <sz val="10"/>
        <color rgb="FF000000"/>
        <rFont val="Times New Roman"/>
      </rPr>
      <t xml:space="preserve">522-101-1221-0006 - Стул
</t>
    </r>
    <r>
      <rPr>
        <sz val="10"/>
        <color rgb="FF000000"/>
        <rFont val="Times New Roman"/>
      </rPr>
      <t xml:space="preserve">ученический, основание металлокаркас, сиденье и спинка из фанеры, размер спинки и сиденья согласно ГОСТ СТ РК EN
</t>
    </r>
    <r>
      <rPr>
        <sz val="10"/>
        <color rgb="FF000000"/>
        <rFont val="Times New Roman"/>
      </rPr>
      <t>1729-1-2019</t>
    </r>
  </si>
  <si>
    <t>Стул
ученический, основание металлокаркас, сиденье и спинка из фанеры, размер спинки и сиденья согласно ГОСТ СТ РК EN
1729-1-2019</t>
  </si>
  <si>
    <r>
      <rPr>
        <sz val="10"/>
        <color theme="1"/>
        <rFont val="Times New Roman"/>
      </rPr>
      <t>Стул ученический, основание металлокаркас, сиденье и спинка из фанеры</t>
    </r>
  </si>
  <si>
    <r>
      <rPr>
        <sz val="10"/>
        <color rgb="FF000000"/>
        <rFont val="Times New Roman"/>
      </rPr>
      <t xml:space="preserve">522-101-1221-0007 - Стул
</t>
    </r>
    <r>
      <rPr>
        <sz val="10"/>
        <color rgb="FF000000"/>
        <rFont val="Times New Roman"/>
      </rPr>
      <t xml:space="preserve">ученический регулируемый по высоте не менее 420-460мм и 340-380 мм, основание металлокаркас с винтовым
</t>
    </r>
    <r>
      <rPr>
        <sz val="10"/>
        <color rgb="FF000000"/>
        <rFont val="Times New Roman"/>
      </rPr>
      <t>соединением М6, сиденье и спинка из полипропилена путем выдувного формования, размер спинки и сиденья согласно ГОСТ СТ РК EN 1729-1-2019</t>
    </r>
  </si>
  <si>
    <t>Стул
ученический регулируемый по высоте не менее 420-460мм и 340-380 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</si>
  <si>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r>
      <rPr>
        <sz val="10"/>
        <color theme="1"/>
        <rFont val="Times New Roman"/>
      </rPr>
      <t>Ученический стул в основе имеет полностью сварной металлический каркас. Высота сиденья стула регулируемая не менее 420-460мм и 340-380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окрашенной полимерно-порошковой краской, цвет по согласованию с заказчиком. Сиденье и спинка стула, изготовлены из прочного полипропилена путем выдувного формования, сиденье имеет 4 гайки с фланцем и насечкой М6 и крепяться к каркасу стула при помощи винта М 6*20 мм, цвет по согласованию с заказчиком. В спинке имеется отверстие для руки. Имеются ударопрочные пластиковые подпятники на основание стула.</t>
    </r>
  </si>
  <si>
    <r>
      <rPr>
        <sz val="10"/>
        <color rgb="FF000000"/>
        <rFont val="Times New Roman"/>
      </rPr>
      <t xml:space="preserve">522-101-1221-0008 - Стул
</t>
    </r>
    <r>
      <rPr>
        <sz val="10"/>
        <color rgb="FF000000"/>
        <rFont val="Times New Roman"/>
      </rPr>
      <t>ученический типа Suno, сиденье и спинка из высокопрочного пластика. Каркас из металической трубы плоскоовального сечения</t>
    </r>
  </si>
  <si>
    <t>Стул
ученический типа Suno, сиденье и спинка из высокопрочного пластика. Каркас из металической трубы плоскоовального сечения</t>
  </si>
  <si>
    <r>
      <rPr>
        <sz val="10"/>
        <color theme="1"/>
        <rFont val="Times New Roman"/>
      </rPr>
      <t>Сиденье и спинка стула выполнены из высокопрочного пластика. Каркас изготовлен из металической трубы плоскоовального сечения и окрашен износостойкой порошковой краской. Габаритные размеры: ширина 430мм, глубина 430 мм, высота сидения 450 мм, высота с учетом спинки 810 мм</t>
    </r>
  </si>
  <si>
    <r>
      <rPr>
        <sz val="10"/>
        <color rgb="FF000000"/>
        <rFont val="Times New Roman"/>
      </rPr>
      <t xml:space="preserve">522-101-1221-0011 - Стул
</t>
    </r>
    <r>
      <rPr>
        <sz val="10"/>
        <color rgb="FF000000"/>
        <rFont val="Times New Roman"/>
      </rPr>
      <t>ученический нерегулируемый по высоте, основание металлокаркас, сиденье и спинка из фанеры, размер спинки и сиденья согласно ГОСТ СТ РК EN 1729-1-2019</t>
    </r>
  </si>
  <si>
    <t>Стул
ученический нерегулируемый по высоте, основание металлокаркас, сиденье и спинка из фанеры, размер спинки и сиденья согласно ГОСТ СТ РК EN 1729-1-2019</t>
  </si>
  <si>
    <r>
      <rPr>
        <sz val="10"/>
        <color theme="1"/>
        <rFont val="Times New Roman"/>
      </rPr>
      <t>Ученический стул в основе имеет сварной металлический каркас, который изготовлен из плоскоовальных труб размером 25х25мм, толщина стенки трубы не менее 1,4мм, окрашенной порошковой краской, цвет по согласованию с заказчиком. Сиденье и спинка стула изготовлены из фанеры, толщиной 10мм. Количество ножек 2шт.</t>
    </r>
  </si>
  <si>
    <r>
      <rPr>
        <sz val="10"/>
        <color rgb="FF000000"/>
        <rFont val="Times New Roman"/>
      </rPr>
      <t xml:space="preserve">522-101-1221-0012 - Стул
</t>
    </r>
    <r>
      <rPr>
        <sz val="10"/>
        <color rgb="FF000000"/>
        <rFont val="Times New Roman"/>
      </rPr>
      <t>ученический, сиденье и спинка из высокопрочного пластика. Каркас из металической трубы плоскоовального сечения</t>
    </r>
  </si>
  <si>
    <t>Стул
ученический, сиденье и спинка из высокопрочного пластика. Каркас из металической трубы плоскоовального сечения</t>
  </si>
  <si>
    <r>
      <rPr>
        <sz val="10"/>
        <color theme="1"/>
        <rFont val="Times New Roman"/>
      </rPr>
      <t>Материал спинки и сиденья: пластик. Материал каркаса: металл. Размеры: (Ш х В х Г): 380x750x380мм.</t>
    </r>
  </si>
  <si>
    <r>
      <rPr>
        <sz val="10"/>
        <color rgb="FF000000"/>
        <rFont val="Times New Roman"/>
      </rPr>
      <t xml:space="preserve">522-101-1221-0013 - Стул
</t>
    </r>
    <r>
      <rPr>
        <sz val="10"/>
        <color rgb="FF000000"/>
        <rFont val="Times New Roman"/>
      </rPr>
      <t xml:space="preserve">ученический регулируемый по высоте, основание металлокаркас, размер плоскоовальной трубы 50х25-1,4 мм и 40х20-1,4 мм,
</t>
    </r>
    <r>
      <rPr>
        <sz val="10"/>
        <color rgb="FF000000"/>
        <rFont val="Times New Roman"/>
      </rPr>
      <t>сиденье и спинка из полипропилена путем выдувного формования, размер спинки и сиденья согласно ГОСТ СТ РК EN 1729-1-2019</t>
    </r>
  </si>
  <si>
    <t>Стул
ученический регулируемый по высоте, основание металлокаркас, размер плоскоовальной трубы 50х25-1,4 мм и 40х20-1,4 мм,
сиденье и спинка из полипропилена путем выдувного формования, размер спинки и сиденья согласно ГОСТ СТ РК EN 1729-1-2019</t>
  </si>
  <si>
    <r>
      <rPr>
        <sz val="10"/>
        <color rgb="FF000000"/>
        <rFont val="Times New Roman"/>
      </rPr>
      <t xml:space="preserve">Стул ученический состоит из сборно-разборного металлического каркаса регулируемый, изготовленных из полипропилена путем выдувного формования. Сборно-разборный каркас стула состоит их верхней и нижней части. Верхняя часть каркаса стула изготавливается из плоскоовальной трубы 50х25мм и 40х20мм, толщина стенки трубы не менее 1,4мм, окрашенной полимерно-порошковой краской, цвет по согласованию с заказчиком. Сиденье стула изготавливается эргономичной формой и имеет эффект воздушной «подушки». Толщина сиденья без нагрузки 45мм.
</t>
    </r>
    <r>
      <rPr>
        <sz val="10"/>
        <color rgb="FF000000"/>
        <rFont val="Times New Roman"/>
      </rPr>
      <t xml:space="preserve">Поверхность сиденья имеет перфорацию в виде отверстий диаметром 1мм. Передние углы сидения скруглены радиусом 80мм. В середине спинки стула имеется отверстие в форме ручки для подъема и переноса стула. Цвет металлического каркаса по согласованию. Заглушки на основании ножек и
</t>
    </r>
    <r>
      <rPr>
        <sz val="10"/>
        <color rgb="FF000000"/>
        <rFont val="Times New Roman"/>
      </rPr>
      <t>переходник пластиковые черного цвета.</t>
    </r>
  </si>
  <si>
    <r>
      <rPr>
        <sz val="10"/>
        <color rgb="FF000000"/>
        <rFont val="Times New Roman"/>
      </rPr>
      <t xml:space="preserve">522-101-1221-0014 - Стул
</t>
    </r>
    <r>
      <rPr>
        <sz val="10"/>
        <color rgb="FF000000"/>
        <rFont val="Times New Roman"/>
      </rPr>
      <t>ученический, сиденье и спинка из полипропилена, сиденье 400х400мм, металлический каркас</t>
    </r>
  </si>
  <si>
    <t>Стул
ученический, сиденье и спинка из полипропилена, сиденье 400х400мм, металлический каркас</t>
  </si>
  <si>
    <r>
      <rPr>
        <sz val="10"/>
        <color rgb="FF000000"/>
        <rFont val="Times New Roman"/>
      </rPr>
      <t xml:space="preserve">Стул школьный. Ножки из круглого профиля из гнутой стали диаметром 21,3 мм, толщиной 2,8 мм, ножки имеют Z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Сиденье – полипропилен 60 мм с двойными стенками и надутой подушкой, сиденье имеет перфорацию 2 мм для воздухонепроницаемости.
</t>
    </r>
    <r>
      <rPr>
        <sz val="10"/>
        <color rgb="FF000000"/>
        <rFont val="Times New Roman"/>
      </rPr>
      <t xml:space="preserve">Глубина и ширина сиденья стула 400 мм, края округленой формы. Спинка имеет отверстия 80 мм, ширина спинки 400мм, высота спинки от сидения
</t>
    </r>
    <r>
      <rPr>
        <sz val="10"/>
        <color rgb="FF000000"/>
        <rFont val="Times New Roman"/>
      </rPr>
      <t>400мм, высота спинки от пола 860мм.</t>
    </r>
  </si>
  <si>
    <r>
      <rPr>
        <sz val="10"/>
        <color rgb="FF000000"/>
        <rFont val="Times New Roman"/>
      </rPr>
      <t xml:space="preserve">522-101-1221-0016 - Стул
</t>
    </r>
    <r>
      <rPr>
        <sz val="10"/>
        <color rgb="FF000000"/>
        <rFont val="Times New Roman"/>
      </rPr>
      <t>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r>
  </si>
  <si>
    <t>Стул
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</si>
  <si>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r>
      <rPr>
        <sz val="10"/>
        <color rgb="FF000000"/>
        <rFont val="Times New Roman"/>
      </rPr>
      <t xml:space="preserve">Ученический стул в основе имеет полностью сварной металлический каркас. Высота сиденья стула регулируемая 420-460мм.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t>
    </r>
    <r>
      <rPr>
        <sz val="10"/>
        <color rgb="FF000000"/>
        <rFont val="Times New Roman"/>
      </rPr>
      <t xml:space="preserve">Металлические детали окрашены методом электростатического порошкового напыления. Сиденье и спинка стула, изготовлены из прочного полипропилена путем выдувного формования, устойчивы к УФ-лучам и не обесцвечиваются. Толщина пластика 3 мм. В спинке имеется отверстие для руки. Имеются ударопрочные пластиковые литьевые заглушки стула.
</t>
    </r>
    <r>
      <rPr>
        <sz val="10"/>
        <color rgb="FF000000"/>
        <rFont val="Times New Roman"/>
      </rPr>
      <t xml:space="preserve">Сиденье крепится к каркасу с помощью винта M6x25мм, вкручивая его в
</t>
    </r>
    <r>
      <rPr>
        <sz val="10"/>
        <color rgb="FF000000"/>
        <rFont val="Times New Roman"/>
      </rPr>
      <t>отверстия каркаса.</t>
    </r>
  </si>
  <si>
    <r>
      <rPr>
        <sz val="10"/>
        <color rgb="FF000000"/>
        <rFont val="Times New Roman"/>
      </rPr>
      <t xml:space="preserve">522-101-1221-0017 - Стул
</t>
    </r>
    <r>
      <rPr>
        <sz val="10"/>
        <color rgb="FF000000"/>
        <rFont val="Times New Roman"/>
      </rPr>
      <t>ученический регулируемый по высоте, основание металлокаркас, сиденье и спинка из фанеры, размер спинки и сиденья согласно ГОСТ СТ РК EN 1729-1-2019</t>
    </r>
  </si>
  <si>
    <t>Стул
ученический регулируемый по высоте, основание металлокаркас, сиденье и спинка из фанеры, размер спинки и сиденья согласно ГОСТ СТ РК EN 1729-1-2019</t>
  </si>
  <si>
    <r>
      <rPr>
        <sz val="10"/>
        <color theme="1"/>
        <rFont val="Times New Roman"/>
      </rPr>
      <t>Стул ученический. Сиденье и спинка из гнутоклееной фанеры. Каркас на прямоугольной трубе. Регулировка высоты осуществляется в соответствие с ростовыми группами №1-4, №3-5, №3-6, №5-7</t>
    </r>
  </si>
  <si>
    <r>
      <rPr>
        <sz val="10"/>
        <color rgb="FF000000"/>
        <rFont val="Times New Roman"/>
      </rPr>
      <t xml:space="preserve">522-101-1221-0018 - Стул
</t>
    </r>
    <r>
      <rPr>
        <sz val="10"/>
        <color rgb="FF000000"/>
        <rFont val="Times New Roman"/>
      </rPr>
      <t>ученический, сиденье и спинка из полипропилен, стальные смешанные V-образные, металлические ножки</t>
    </r>
  </si>
  <si>
    <t>Стул
ученический, сиденье и спинка из полипропилен, стальные смешанные V-образные, металлические ножки</t>
  </si>
  <si>
    <r>
      <rPr>
        <sz val="10"/>
        <color theme="1"/>
        <rFont val="Times New Roman"/>
      </rPr>
      <t>Стул ученический типа Моноблок, полипропилен, надувной пластиковый моноблок. Стальные смешанные V-образные, металлические ножки, окрашенные электростатическим порошком, цвет пластика и ножек по согласованию. Размеры: ширина сиденья: 430мм, глубина сиденья: 468мм, высота сиденья: 435мм, высота стула: 860мм</t>
    </r>
  </si>
  <si>
    <r>
      <rPr>
        <sz val="10"/>
        <color rgb="FF000000"/>
        <rFont val="Times New Roman"/>
      </rPr>
      <t xml:space="preserve">522-101-1221-0019 - Стул
</t>
    </r>
    <r>
      <rPr>
        <sz val="10"/>
        <color rgb="FF000000"/>
        <rFont val="Times New Roman"/>
      </rPr>
      <t>ученический регулируемый по высоте, основание металлокаркас, сиденье и спинка из пластика, размер спинки и сиденья согласно ГОСТ СТ РК EN 1729-1-2019</t>
    </r>
  </si>
  <si>
    <t>Стул
ученический регулируемый по высоте, основание металлокаркас, сиденье и спинка из пластика, размер спинки и сиденья согласно ГОСТ СТ РК EN 1729-1-2019</t>
  </si>
  <si>
    <r>
      <rPr>
        <sz val="10"/>
        <color rgb="FF000000"/>
        <rFont val="Times New Roman"/>
      </rPr>
      <t xml:space="preserve">Высота сиденья стула от пола до нижнего края регулируемая 420-460-500мм в соответствие с ростовой группой №5-7. Изделие
</t>
    </r>
    <r>
      <rPr>
        <sz val="10"/>
        <color rgb="FF000000"/>
        <rFont val="Times New Roman"/>
      </rPr>
      <t>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пластика. Сиденье с выжимом и изгибом переднего края. Спинка радиусная с поясничным изгибом в нижней части. Крепятся к каркасу с помощью винтов.</t>
    </r>
  </si>
  <si>
    <r>
      <rPr>
        <sz val="10"/>
        <color rgb="FF000000"/>
        <rFont val="Times New Roman"/>
      </rPr>
      <t xml:space="preserve">522-101-1221-0020 - Стул
</t>
    </r>
    <r>
      <rPr>
        <sz val="10"/>
        <color rgb="FF000000"/>
        <rFont val="Times New Roman"/>
      </rPr>
      <t>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r>
  </si>
  <si>
    <t>Стул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</si>
  <si>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r>
      <rPr>
        <sz val="10"/>
        <color theme="1"/>
        <rFont val="Times New Roman"/>
      </rPr>
      <t>Высота сиденья стула от пола до нижнего края регулируемая 340-380мм в соответствие с ростовой группой №3-4.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r>
  </si>
  <si>
    <r>
      <rPr>
        <sz val="10"/>
        <color rgb="FF000000"/>
        <rFont val="Times New Roman"/>
      </rPr>
      <t xml:space="preserve">522-101-1221-0021 - Стул
</t>
    </r>
    <r>
      <rPr>
        <sz val="10"/>
        <color rgb="FF000000"/>
        <rFont val="Times New Roman"/>
      </rPr>
      <t>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r>
  </si>
  <si>
    <t>Стул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</si>
  <si>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r>
      <rPr>
        <sz val="10"/>
        <color theme="1"/>
        <rFont val="Times New Roman"/>
      </rPr>
      <t>Высота стула фиксируемая 380мм.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r>
  </si>
  <si>
    <r>
      <rPr>
        <sz val="10"/>
        <color rgb="FF000000"/>
        <rFont val="Times New Roman"/>
      </rPr>
      <t xml:space="preserve">522-101-1221-0022 - Стул
</t>
    </r>
    <r>
      <rPr>
        <sz val="10"/>
        <color rgb="FF000000"/>
        <rFont val="Times New Roman"/>
      </rPr>
      <t>ученический лабораторный винтовой. Сиденье из ABS пластика диаметром 300мм, каркас из овальной трубы</t>
    </r>
  </si>
  <si>
    <t>Стул
ученический лабораторный винтовой. Сиденье из ABS пластика диаметром 300мм, каркас из овальной трубы</t>
  </si>
  <si>
    <r>
      <rPr>
        <sz val="10"/>
        <color theme="1"/>
        <rFont val="Times New Roman"/>
      </rPr>
      <t>Стул лабораторный. Стул диаметром 300мм и высотой 450-500мм. Сиденье из ABS пластика. Каркас из овальной трубы размером 40 х 20 х 1.5 мм, окрашенной порошковой светло-серой краской</t>
    </r>
  </si>
  <si>
    <r>
      <rPr>
        <sz val="10"/>
        <color rgb="FF000000"/>
        <rFont val="Times New Roman"/>
      </rPr>
      <t xml:space="preserve">522-101-1221-0026 - Стул
</t>
    </r>
    <r>
      <rPr>
        <sz val="10"/>
        <color rgb="FF000000"/>
        <rFont val="Times New Roman"/>
      </rPr>
      <t>ученический регулируемый по высоте, основание металлокаркас, спинка и сиденье изготовлены из гнутоклеенной фанеры</t>
    </r>
  </si>
  <si>
    <t>Стул
ученический регулируемый по высоте, основание металлокаркас, спинка и сиденье изготовлены из гнутоклеенной фанеры</t>
  </si>
  <si>
    <r>
      <rPr>
        <sz val="10"/>
        <color rgb="FF000000"/>
        <rFont val="Times New Roman"/>
      </rPr>
      <t xml:space="preserve">Стул ученический регулируемый на круглой трубе, регулируемый (гр.3-5). Высота стула регулируется и соответствует ростовой группе: 3-5. Нижняя часть каркаса сделана из трубы диаметром 25 мм, толщиной стенки 1,2 мм. Верхняя часть регулировочного механизма, сделана из трубы диаметром 28 мм, толщиной стенки 1,2 мм., а верхняя часть каркаса стула изготовлена из трубы диаметром 25 мм и толщиной 1,2 мм. Жесткость каркаса обеспечивается перемычкой из металлического прута диаметром 10 мм. под сидением. Опорная часть ноги имеет дугообразную форму с внутренним радиусом изгиба.   Фиксирование по высоте должно происходить болтовым соединением, путем совмещения отверстий, соответствующих ростовой группе. Спинка и сиденье изготовлены из гнутоклеенной фанеры эргономичной формы, с многослойным покрытием бесцветным лаком. Все углы притуплены и имеют радиус закругления. Крепеж спинки и сидушки осуществляется с помощью заклепки, а регулировка металлокаркаса с помощью винта и гайки.
</t>
    </r>
    <r>
      <rPr>
        <sz val="10"/>
        <color rgb="FF000000"/>
        <rFont val="Times New Roman"/>
      </rPr>
      <t>Насвободныхконцахтрубустановленызаглушкиизударопрочныхполимеров.</t>
    </r>
  </si>
  <si>
    <r>
      <rPr>
        <sz val="10"/>
        <color rgb="FF000000"/>
        <rFont val="Times New Roman"/>
      </rPr>
      <t xml:space="preserve">522-101-1221-0027 - Стул
</t>
    </r>
    <r>
      <rPr>
        <sz val="10"/>
        <color rgb="FF000000"/>
        <rFont val="Times New Roman"/>
      </rPr>
      <t>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r>
  </si>
  <si>
    <t>Стул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</si>
  <si>
    <r>
      <rPr>
        <sz val="10"/>
        <color rgb="FF000000"/>
        <rFont val="Times New Roman"/>
      </rPr>
      <t xml:space="preserve">Стул по высоте соответствует 6 ростовой группе. Стул состоит из металлического каркаса, спинка и сиденье эргономичной формы, толщиной не менее 20 мм из полиэтилена высокой плотности. Размер сидения 400х400 мм. На сидении имеются отверстия. Передние углы скруглены.
</t>
    </r>
    <r>
      <rPr>
        <sz val="10"/>
        <color rgb="FF000000"/>
        <rFont val="Times New Roman"/>
      </rPr>
      <t xml:space="preserve">Каркас стула изготавливается из стальных плоскоовальных труб размерами, 40х20х1,2 мм и 30х15х1,2 мм. Боковые опоры из плоскоовальной трубы по двум углам 148 и 78 градусов.  Основание крепятся к боковым стойкам посредством сварки и выполнено из трубы 30х15х1,2 мм. Между боковыми опорами  устанавливается два усилителя перемычки.   Все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Для крепления сиденья имеются металлические пластины, через которые с помощью винтов М6 крепится сиденье. Спинка одевается на боковые опоры и крепится с помощью саморезов. Металлический каркас окрашен эпоксидно-полиэфирной порошковой краской. Цвет по
</t>
    </r>
    <r>
      <rPr>
        <sz val="10"/>
        <color rgb="FF000000"/>
        <rFont val="Times New Roman"/>
      </rPr>
      <t>согласованию с заказчиком по каталогу RAL.</t>
    </r>
  </si>
  <si>
    <r>
      <rPr>
        <sz val="10"/>
        <color rgb="FF000000"/>
        <rFont val="Times New Roman"/>
      </rPr>
      <t xml:space="preserve">522-101-1223-0001 - Кресло для
</t>
    </r>
    <r>
      <rPr>
        <sz val="10"/>
        <color rgb="FF000000"/>
        <rFont val="Times New Roman"/>
      </rPr>
      <t>конференц-зала типа Suno, крестовина хром, подголовник нерегулируемый, подлокотники хромированные</t>
    </r>
  </si>
  <si>
    <t>Кресло для
конференц-зала типа Suno, крестовина хром, подголовник нерегулируемый, подлокотники хромированные</t>
  </si>
  <si>
    <r>
      <rPr>
        <sz val="10"/>
        <color theme="1"/>
        <rFont val="Times New Roman"/>
      </rPr>
      <t>Рекомендованная максимальная нагрузка до 120 кг. Цвет подлокотника и каркаса: белый. Материал обивки: ткань/сетка</t>
    </r>
  </si>
  <si>
    <r>
      <rPr>
        <sz val="10"/>
        <color rgb="FF000000"/>
        <rFont val="Times New Roman"/>
      </rPr>
      <t xml:space="preserve">522-101-1224-0054 - Кресло,
</t>
    </r>
    <r>
      <rPr>
        <sz val="10"/>
        <color rgb="FF000000"/>
        <rFont val="Times New Roman"/>
      </rPr>
      <t>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r>
  </si>
  <si>
    <t>Кресло,
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</si>
  <si>
    <r>
      <rPr>
        <sz val="10"/>
        <color theme="1"/>
        <rFont val="Times New Roman"/>
      </rPr>
      <t>Механизм качания с регулировкой под вес и фиксацией в вертикальном положении. Ограничение по весу: 181 кг</t>
    </r>
  </si>
  <si>
    <r>
      <rPr>
        <sz val="10"/>
        <color rgb="FF000000"/>
        <rFont val="Times New Roman"/>
      </rPr>
      <t xml:space="preserve">522-101-1224-0055 - Кресло,
</t>
    </r>
    <r>
      <rPr>
        <sz val="10"/>
        <color rgb="FF000000"/>
        <rFont val="Times New Roman"/>
      </rPr>
      <t>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r>
  </si>
  <si>
    <t>Кресло,
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</si>
  <si>
    <r>
      <rPr>
        <sz val="10"/>
        <color theme="1"/>
        <rFont val="Times New Roman"/>
      </rPr>
      <t>Кресло офисное. Механизм качания с регулировкой под вес и фиксацией в вертикальном положении. Ограничение по весу: 120 кг.</t>
    </r>
  </si>
  <si>
    <r>
      <rPr>
        <sz val="10"/>
        <color rgb="FF000000"/>
        <rFont val="Times New Roman"/>
      </rPr>
      <t xml:space="preserve">522-101-1224-0056 - Кресло,
</t>
    </r>
    <r>
      <rPr>
        <sz val="10"/>
        <color rgb="FF000000"/>
        <rFont val="Times New Roman"/>
      </rPr>
      <t>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r>
  </si>
  <si>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</si>
  <si>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r>
      <rPr>
        <sz val="10"/>
        <color rgb="FF000000"/>
        <rFont val="Times New Roman"/>
      </rPr>
      <t xml:space="preserve">Кресло, пятилучье хром, подлокотники хром с мягкими накладками, газ-лифт, отклонение спинки и сидения, фиксация в рабочем положении.
</t>
    </r>
    <r>
      <rPr>
        <sz val="10"/>
        <color rgb="FF000000"/>
        <rFont val="Times New Roman"/>
      </rPr>
      <t>Материал обивки: экокожа. Размер: 1160-1260х720х780мм</t>
    </r>
  </si>
  <si>
    <r>
      <rPr>
        <sz val="10"/>
        <color theme="1"/>
        <rFont val="Times New Roman"/>
      </rPr>
      <t>522-101-1224-0057 - 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r>
  </si>
  <si>
    <t>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</si>
  <si>
    <r>
      <rPr>
        <sz val="10"/>
        <color theme="1"/>
        <rFont val="Times New Roman"/>
      </rPr>
      <t>Подголовник: мягкий из износостойкого материала DL, комплектуется дополнительной подушкой, увеличивающей объем подголовника. Спинка: замкнутая высокая, черное полимерное покрытие каркаса с хромированным молдингом, ширина 510 мм.  Вид обивки спинки: сетка натяжная без прошивки (X2)8. Регулируемый поясничный подпор: стальной хромированный с ремнем из экокожи. Подлокотники: стальные хромированные, с мягкими накладками из износостойкого материала кожзам. Сиденье: мягкое объемное на столярном каркасе с хромированным молдингом без прошивки, ширина 510 мм. Вид обивки сиденья: износостойкий материал кожзам без прошивки Пятилучье: стальное хромированное, с прямоугольным сечением лучей. Ролики: с полиуретановым ободком,  D - 50 мм</t>
    </r>
  </si>
  <si>
    <r>
      <rPr>
        <sz val="10"/>
        <color rgb="FF000000"/>
        <rFont val="Times New Roman"/>
      </rPr>
      <t xml:space="preserve">522-101-1224-0058 - Кресло,
</t>
    </r>
    <r>
      <rPr>
        <sz val="10"/>
        <color rgb="FF000000"/>
        <rFont val="Times New Roman"/>
      </rPr>
      <t xml:space="preserve">регулировка высоты. Крестовина пластик. Подлокотники пластиковые. Спинка сетчатая.
</t>
    </r>
    <r>
      <rPr>
        <sz val="10"/>
        <color rgb="FF000000"/>
        <rFont val="Times New Roman"/>
      </rPr>
      <t>Размер: 490х460х1240мм</t>
    </r>
  </si>
  <si>
    <t>Кресло,
регулировка высоты. Крестовина пластик. Подлокотники пластиковые. Спинка сетчатая.
Размер: 490х460х1240мм</t>
  </si>
  <si>
    <r>
      <rPr>
        <sz val="10"/>
        <color theme="1"/>
        <rFont val="Times New Roman"/>
      </rPr>
      <t>Высота регулируется. Крестовина черная пластиковая. Ортопедическое сиденье. Подголовник. Подлокотники пластиковые. Сетчатая спинка. Угол наклона регулируется.</t>
    </r>
  </si>
  <si>
    <r>
      <rPr>
        <sz val="10"/>
        <color rgb="FF000000"/>
        <rFont val="Times New Roman"/>
      </rPr>
      <t xml:space="preserve">522-101-1224-0059 - Кресло,
</t>
    </r>
    <r>
      <rPr>
        <sz val="10"/>
        <color rgb="FF000000"/>
        <rFont val="Times New Roman"/>
      </rPr>
      <t>регулировка высоты. Крестовина пластик. Подлокотники пластиковые. Спинка сетчатая, сиденье ортопедическое. Размер: 500х450х1300мм</t>
    </r>
  </si>
  <si>
    <t>Кресло,
регулировка высоты. Крестовина пластик. Подлокотники пластиковые. Спинка сетчатая, сиденье ортопедическое. Размер: 500х450х1300мм</t>
  </si>
  <si>
    <r>
      <rPr>
        <sz val="10"/>
        <color theme="1"/>
        <rFont val="Times New Roman"/>
      </rPr>
      <t>Металлический каркас, сиденье ортопедическое из уплотненной эко-кожи, сетка. Высота регулируется. Крестовина платиковая. Ортопедическое сиденье. Подголовник. Подлокотники пластиковые. Сетчатая спинка. Угол наклона регулируется</t>
    </r>
  </si>
  <si>
    <r>
      <rPr>
        <sz val="10"/>
        <color rgb="FF000000"/>
        <rFont val="Times New Roman"/>
      </rPr>
      <t xml:space="preserve">522-101-1224-0060 - Кресло,
</t>
    </r>
    <r>
      <rPr>
        <sz val="10"/>
        <color rgb="FF000000"/>
        <rFont val="Times New Roman"/>
      </rPr>
      <t>регулировка высоты. Крестовина пластик. Подлокотники пластиковые. Спинка сетчатая, сиденье ортопедическое. Размер: 450х480х990мм</t>
    </r>
  </si>
  <si>
    <t>Кресло,
регулировка высоты. Крестовина пластик. Подлокотники пластиковые. Спинка сетчатая, сиденье ортопедическое. Размер: 450х480х990мм</t>
  </si>
  <si>
    <r>
      <rPr>
        <sz val="10"/>
        <color theme="1"/>
        <rFont val="Times New Roman"/>
      </rPr>
      <t>Высота регулируется. Крестовина пластик. Ортопедическое сиденье. Подлокотники пластиковые. Сетчатая спинка. Угол наклона регулируется</t>
    </r>
  </si>
  <si>
    <r>
      <rPr>
        <sz val="10"/>
        <color rgb="FF000000"/>
        <rFont val="Times New Roman"/>
      </rPr>
      <t xml:space="preserve">522-101-1224-0061 - Кресло,
</t>
    </r>
    <r>
      <rPr>
        <sz val="10"/>
        <color rgb="FF000000"/>
        <rFont val="Times New Roman"/>
      </rPr>
      <t>регулировка высоты. Крестовина пластик. Подлокотники пластиковые. Спинка сетчатая, сиденье ортопедическое. Размер: 500х460х1050мм</t>
    </r>
  </si>
  <si>
    <t>Кресло,
регулировка высоты. Крестовина пластик. Подлокотники пластиковые. Спинка сетчатая, сиденье ортопедическое. Размер: 500х460х1050мм</t>
  </si>
  <si>
    <r>
      <rPr>
        <sz val="10"/>
        <color rgb="FF000000"/>
        <rFont val="Times New Roman"/>
      </rPr>
      <t xml:space="preserve">Высота регулируется. Крестовина пластик. Ортопедическое сиденье.
</t>
    </r>
    <r>
      <rPr>
        <sz val="10"/>
        <color rgb="FF000000"/>
        <rFont val="Times New Roman"/>
      </rPr>
      <t>Подголовник. Подлокотники пластиковые. Сетчатая спинка. Угол наклона регулируется</t>
    </r>
  </si>
  <si>
    <r>
      <rPr>
        <sz val="10"/>
        <color rgb="FF000000"/>
        <rFont val="Times New Roman"/>
      </rPr>
      <t xml:space="preserve">522-101-1225-0001 - Кресло для
</t>
    </r>
    <r>
      <rPr>
        <sz val="10"/>
        <color rgb="FF000000"/>
        <rFont val="Times New Roman"/>
      </rPr>
      <t>конференц залов Трио мод.СМ82/2</t>
    </r>
  </si>
  <si>
    <t>Кресло для
конференц залов Трио мод.СМ82/2</t>
  </si>
  <si>
    <r>
      <rPr>
        <sz val="10"/>
        <color theme="1"/>
        <rFont val="Times New Roman"/>
      </rPr>
      <t>Кресло для конференц залов Трио мод.СМ82/2. Трехместная секция.</t>
    </r>
  </si>
  <si>
    <r>
      <rPr>
        <sz val="10"/>
        <color rgb="FF000000"/>
        <rFont val="Times New Roman"/>
      </rPr>
      <t xml:space="preserve">522-101-1225-0002 - Кресло для
</t>
    </r>
    <r>
      <rPr>
        <sz val="10"/>
        <color rgb="FF000000"/>
        <rFont val="Times New Roman"/>
      </rPr>
      <t>конференц залов Тракт мод.СМ82/6</t>
    </r>
  </si>
  <si>
    <t>Кресло для
конференц залов Тракт мод.СМ82/6</t>
  </si>
  <si>
    <r>
      <rPr>
        <sz val="10"/>
        <color theme="1"/>
        <rFont val="Times New Roman"/>
      </rPr>
      <t>Кресло для конференц залов Тракт мод.СМ82/6. Трехместная секция.</t>
    </r>
  </si>
  <si>
    <r>
      <rPr>
        <sz val="10"/>
        <color rgb="FF000000"/>
        <rFont val="Times New Roman"/>
      </rPr>
      <t xml:space="preserve">522-101-1225-0003 - Кресло для
</t>
    </r>
    <r>
      <rPr>
        <sz val="10"/>
        <color rgb="FF000000"/>
        <rFont val="Times New Roman"/>
      </rPr>
      <t>конференц залов Принт мод.СМ82/3</t>
    </r>
  </si>
  <si>
    <t>Кресло для
конференц залов Принт мод.СМ82/3</t>
  </si>
  <si>
    <r>
      <rPr>
        <sz val="10"/>
        <color theme="1"/>
        <rFont val="Times New Roman"/>
      </rPr>
      <t>Кресло для конференц залов Принт мод.СМ82/3. Трехместная секция.</t>
    </r>
  </si>
  <si>
    <r>
      <rPr>
        <sz val="10"/>
        <color rgb="FF000000"/>
        <rFont val="Times New Roman"/>
      </rPr>
      <t xml:space="preserve">522-101-1225-0004 - Кресло для
</t>
    </r>
    <r>
      <rPr>
        <sz val="10"/>
        <color rgb="FF000000"/>
        <rFont val="Times New Roman"/>
      </rPr>
      <t>конференц залов ИЗО 3-х местн. на раме</t>
    </r>
  </si>
  <si>
    <t>Кресло для
конференц залов ИЗО 3-х местн. на раме</t>
  </si>
  <si>
    <r>
      <rPr>
        <sz val="10"/>
        <color rgb="FF000000"/>
        <rFont val="Times New Roman"/>
      </rPr>
      <t xml:space="preserve">Кресло для конференц залов ИЗО 3-х местн. на раме. Трехместная секция.
</t>
    </r>
    <r>
      <rPr>
        <sz val="10"/>
        <color rgb="FF000000"/>
        <rFont val="Times New Roman"/>
      </rPr>
      <t>Материал обивки экокожа.</t>
    </r>
  </si>
  <si>
    <r>
      <rPr>
        <sz val="10"/>
        <color rgb="FF000000"/>
        <rFont val="Times New Roman"/>
      </rPr>
      <t xml:space="preserve">522-101-1225-0005 - Скамья типа Дафне (2-х местная). Каркас металлический цветной, подлокотники с деревянной накладкой, обивка - гобелен.
</t>
    </r>
    <r>
      <rPr>
        <sz val="10"/>
        <color rgb="FF000000"/>
        <rFont val="Times New Roman"/>
      </rPr>
      <t>Размер: 1100х440х950мм</t>
    </r>
  </si>
  <si>
    <t>Скамья типа Дафне (2-х местная). Каркас металлический цветной, подлокотники с деревянной накладкой, обивка</t>
  </si>
  <si>
    <t>гобелен.
Размер: 1100х440х950мм</t>
  </si>
  <si>
    <r>
      <rPr>
        <sz val="10"/>
        <color rgb="FF000000"/>
        <rFont val="Times New Roman"/>
      </rPr>
      <t xml:space="preserve">Каркас металлический цветной, подлокотники с деревянной накладкой, обивка - гобелен. Размер: 1100х440х950мм. Высота от пола до сиденья
</t>
    </r>
    <r>
      <rPr>
        <sz val="10"/>
        <color rgb="FF000000"/>
        <rFont val="Times New Roman"/>
      </rPr>
      <t>500мм.</t>
    </r>
  </si>
  <si>
    <r>
      <rPr>
        <sz val="10"/>
        <color rgb="FF000000"/>
        <rFont val="Times New Roman"/>
      </rPr>
      <t xml:space="preserve">522-101-1225-0006 - Скамья
</t>
    </r>
    <r>
      <rPr>
        <sz val="10"/>
        <color rgb="FF000000"/>
        <rFont val="Times New Roman"/>
      </rPr>
      <t xml:space="preserve">двухместная, размеры 1250х530х720 мм. Каркас цельносварной, рама из профильной стальной трубы сечением 60х30 мм и толщиной стенки не менее 1,5 мм.
</t>
    </r>
    <r>
      <rPr>
        <sz val="10"/>
        <color rgb="FF000000"/>
        <rFont val="Times New Roman"/>
      </rPr>
      <t>Габариты сиденья: 500 х 650 х 420 мм</t>
    </r>
  </si>
  <si>
    <t>Скамья
двухместная, размеры 1250х530х720 мм. Каркас цельносварной, рама из профильной стальной трубы сечением 60х30 мм и толщиной стенки не менее 1,5 мм.
Габариты сиденья: 500 х 650 х 420 мм</t>
  </si>
  <si>
    <r>
      <rPr>
        <sz val="10"/>
        <color rgb="FF000000"/>
        <rFont val="Times New Roman"/>
      </rPr>
      <t xml:space="preserve">Рама изготовлена из профильной стальной трубы сечением 60х30 мм и толщиной стенки не менее 1,5 мм. К раме приварены усиленные кронштейны из листовой стали толщиной 3 мм. К кронштейнам, через винтовые соединения М8, крепятся сиденья. Перемычка между боковыми опорами выполнена из плоскоовальной трубы 50х25 мм. Боковые опоры изготовлены из плоскоовальной трубы 50х25 мм толщиной не менее 1,2 мм.
</t>
    </r>
    <r>
      <rPr>
        <sz val="10"/>
        <color rgb="FF000000"/>
        <rFont val="Times New Roman"/>
      </rPr>
      <t xml:space="preserve">В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Боковые торцы труб аккуратно закрыты пластиковыми заглушками, придающими завершённость внешнему виду и предотвращающими попадание влаги внутрь профиля. Мягкие элементы сидений и спинок выполнены с применением износостойкого материала, устойчивого к истиранию и легко очищаемого. Из ВПУ. Цвет по запросу заказчика. Скамья имеет полимерно порошковое покрытие, устойчивое к внешним воздействиям. Возможно изменение цвета по согласованию с
</t>
    </r>
    <r>
      <rPr>
        <sz val="10"/>
        <color rgb="FF000000"/>
        <rFont val="Times New Roman"/>
      </rPr>
      <t>заказчиком.</t>
    </r>
  </si>
  <si>
    <r>
      <rPr>
        <sz val="10"/>
        <color rgb="FF000000"/>
        <rFont val="Times New Roman"/>
      </rPr>
      <t xml:space="preserve">522-101-1225-0007 - Скамья
</t>
    </r>
    <r>
      <rPr>
        <sz val="10"/>
        <color rgb="FF000000"/>
        <rFont val="Times New Roman"/>
      </rPr>
      <t>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r>
  </si>
  <si>
    <t>Скамья
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</si>
  <si>
    <r>
      <rPr>
        <sz val="10"/>
        <color rgb="FF000000"/>
        <rFont val="Times New Roman"/>
      </rPr>
      <t xml:space="preserve">Рама выполнена из профильной стальной трубы сечением 60×30 мм и толщиной стенки не менее 1,5 мм. К раме приварены усиленные гнутые кронштейны из листовой стали толщиной 3 мм. Боковые опоры изготовлены из плоскоовальной трубы 50х25 мм толщиной не менее 1,2 мм.
</t>
    </r>
    <r>
      <rPr>
        <sz val="10"/>
        <color rgb="FF000000"/>
        <rFont val="Times New Roman"/>
      </rPr>
      <t xml:space="preserve">В нижней части опор установлены регулируемые подпятники, компенсирующие неровности пола. Каркас сидений выполнен из плоскоовальной трубы 30х15 мм с толщиной стенки 1,5 мм. Элементы каркаса соединяются между собой при помощи перемычек 30х15 мм. К каркасу приваривается усиленное сиденье и спинка, выполненные из холоднокатанного стального листа толщиной 1,2 мм с перфорацией. На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1,5 мм. Все торцевые концы труб оснащены пластиковыми заглушками. Скамья имеет полимерно порошковое покрытие, устойчивое к внешним воздействиям. Возможно
</t>
    </r>
    <r>
      <rPr>
        <sz val="10"/>
        <color rgb="FF000000"/>
        <rFont val="Times New Roman"/>
      </rPr>
      <t>изменение цвета по согласованию с заказчиком.</t>
    </r>
  </si>
  <si>
    <r>
      <rPr>
        <sz val="10"/>
        <color rgb="FF000000"/>
        <rFont val="Times New Roman"/>
      </rPr>
      <t xml:space="preserve">522-101-1225-0008 - Скамья
</t>
    </r>
    <r>
      <rPr>
        <sz val="10"/>
        <color rgb="FF000000"/>
        <rFont val="Times New Roman"/>
      </rPr>
      <t>трёхместная, размеры 1830х680х845 мм. Каркас скамьи цельносварной. Мягкие элементы сидений и спинок выполнены с применением износостойкого материала</t>
    </r>
  </si>
  <si>
    <t>Скамья
трёхместная, размеры 1830х680х845 мм. Каркас скамьи цельносварной. Мягкие элементы сидений и спинок выполнены с применением износостойкого материала</t>
  </si>
  <si>
    <r>
      <rPr>
        <sz val="10"/>
        <color rgb="FF000000"/>
        <rFont val="Times New Roman"/>
      </rPr>
      <t xml:space="preserve">Каркас скамьи цельносварной. 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t>
    </r>
    <r>
      <rPr>
        <sz val="10"/>
        <color rgb="FF000000"/>
        <rFont val="Times New Roman"/>
      </rPr>
      <t xml:space="preserve">Скамья имеет полимерно порошковое покрытие, устойчивое к внешним
</t>
    </r>
    <r>
      <rPr>
        <sz val="10"/>
        <color rgb="FF000000"/>
        <rFont val="Times New Roman"/>
      </rPr>
      <t>воздействиям.</t>
    </r>
  </si>
  <si>
    <r>
      <rPr>
        <sz val="10"/>
        <color rgb="FF000000"/>
        <rFont val="Times New Roman"/>
      </rPr>
      <t xml:space="preserve">522-101-1225-0009 - Скамья
</t>
    </r>
    <r>
      <rPr>
        <sz val="10"/>
        <color rgb="FF000000"/>
        <rFont val="Times New Roman"/>
      </rPr>
      <t>трёхместная, размеры 1750х680х780 мм. Каркас скамьи цельносварной. Мягкие элементы сидений и спинок выполнены с применением износостойкого материала</t>
    </r>
  </si>
  <si>
    <t>Скамья
трёхместная, размеры 1750х680х780 мм. Каркас скамьи цельносварной. Мягкие элементы сидений и спинок выполнены с применением износостойкого материала</t>
  </si>
  <si>
    <r>
      <rPr>
        <sz val="10"/>
        <color rgb="FF000000"/>
        <rFont val="Times New Roman"/>
      </rPr>
      <t xml:space="preserve">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t>
    </r>
    <r>
      <rPr>
        <sz val="10"/>
        <color rgb="FF000000"/>
        <rFont val="Times New Roman"/>
      </rPr>
      <t xml:space="preserve">Скамья имеет полимерно порошковое покрытие, устойчивое к внешним воздействиям. Каркас/балка: стальная трубка/уголок, толщина 2.5 мм, обработка антикоррозия + порошковая покраска Сиденье и спинка: нержавеющая/стальная перфорированная пластина, толщина 1.2-1.5 мм Подлокотники/ножки: металл или алюминиевый сплав, толщина 1.1-1.2 мм,
</t>
    </r>
    <r>
      <rPr>
        <sz val="10"/>
        <color rgb="FF000000"/>
        <rFont val="Times New Roman"/>
      </rPr>
      <t>финиш – полировка или хром.</t>
    </r>
  </si>
  <si>
    <r>
      <rPr>
        <sz val="10"/>
        <color rgb="FF000000"/>
        <rFont val="Times New Roman"/>
      </rPr>
      <t xml:space="preserve">522-101-1227-0001 - Кресло для
</t>
    </r>
    <r>
      <rPr>
        <sz val="10"/>
        <color rgb="FF000000"/>
        <rFont val="Times New Roman"/>
      </rPr>
      <t>персонала PRESTIGE GTP RU Q</t>
    </r>
  </si>
  <si>
    <t>Кресло для
персонала PRESTIGE GTP RU Q</t>
  </si>
  <si>
    <r>
      <rPr>
        <sz val="10"/>
        <color rgb="FF000000"/>
        <rFont val="Times New Roman"/>
      </rPr>
      <t xml:space="preserve">Офисное кресло Prestige GTP с подлокотниками "самба". Крестовина и газ-лифт пластиковые, обивка тканевая.  Регулировка высоты сиденья.
</t>
    </r>
    <r>
      <rPr>
        <sz val="10"/>
        <color rgb="FF000000"/>
        <rFont val="Times New Roman"/>
      </rPr>
      <t>Регулировка наклона спинки.</t>
    </r>
  </si>
  <si>
    <r>
      <rPr>
        <sz val="10"/>
        <color rgb="FF000000"/>
        <rFont val="Times New Roman"/>
      </rPr>
      <t xml:space="preserve">522-101-1227-0002 - Кресло
</t>
    </r>
    <r>
      <rPr>
        <sz val="10"/>
        <color rgb="FF000000"/>
        <rFont val="Times New Roman"/>
      </rPr>
      <t>офисное МЕТТА SU-BK-8 Pl</t>
    </r>
  </si>
  <si>
    <t>Кресло
офисное МЕТТА SU-BK-8 Pl</t>
  </si>
  <si>
    <r>
      <rPr>
        <sz val="10"/>
        <color theme="1"/>
        <rFont val="Times New Roman"/>
      </rPr>
      <t>Каркас кресла: стальной, покрытый  износостойким полимерным материалом. Подлокотники: хромированные стальные,  с мягкими накладками, обитыми Эко кожей</t>
    </r>
  </si>
  <si>
    <r>
      <rPr>
        <sz val="10"/>
        <color rgb="FF000000"/>
        <rFont val="Times New Roman"/>
      </rPr>
      <t xml:space="preserve">522-101-1227-0003 - Кресло
</t>
    </r>
    <r>
      <rPr>
        <sz val="10"/>
        <color rgb="FF000000"/>
        <rFont val="Times New Roman"/>
      </rPr>
      <t>офисное PARMA</t>
    </r>
  </si>
  <si>
    <t>Кресло
офисное PARMA</t>
  </si>
  <si>
    <r>
      <rPr>
        <sz val="10"/>
        <color theme="1"/>
        <rFont val="Times New Roman"/>
      </rPr>
      <t>Механизм подъёма без функции качания. Подлокотник, крестовина и ролики - пластик.</t>
    </r>
  </si>
  <si>
    <r>
      <rPr>
        <sz val="10"/>
        <color rgb="FF000000"/>
        <rFont val="Times New Roman"/>
      </rPr>
      <t xml:space="preserve">522-101-1227-0004 - Кресло
</t>
    </r>
    <r>
      <rPr>
        <sz val="10"/>
        <color rgb="FF000000"/>
        <rFont val="Times New Roman"/>
      </rPr>
      <t xml:space="preserve">офисное. Материал спинки сетка, сиденье из ткани, крестовина из пластика, подлокотники из мягкого пластика. Размеры
</t>
    </r>
    <r>
      <rPr>
        <sz val="10"/>
        <color rgb="FF000000"/>
        <rFont val="Times New Roman"/>
      </rPr>
      <t>588х920-1020х640 мм</t>
    </r>
  </si>
  <si>
    <t>Кресло
офисное. Материал спинки сетка, сиденье из ткани, крестовина из пластика, подлокотники из мягкого пластика. Размеры
588х920-1020х640 мм</t>
  </si>
  <si>
    <r>
      <rPr>
        <sz val="10"/>
        <color theme="1"/>
        <rFont val="Times New Roman"/>
      </rPr>
      <t>Максимальная нагрузка: 120 кг. Наполнитель: пенополиуретан. Цвет черный.</t>
    </r>
  </si>
  <si>
    <r>
      <rPr>
        <sz val="10"/>
        <color rgb="FF000000"/>
        <rFont val="Times New Roman"/>
      </rPr>
      <t xml:space="preserve">522-101-1227-0005 - Кресло
</t>
    </r>
    <r>
      <rPr>
        <sz val="10"/>
        <color rgb="FF000000"/>
        <rFont val="Times New Roman"/>
      </rPr>
      <t>офисное типа Suno, обивка гобелен</t>
    </r>
  </si>
  <si>
    <t>Кресло
офисное типа Suno, обивка гобелен</t>
  </si>
  <si>
    <r>
      <rPr>
        <sz val="10"/>
        <color theme="1"/>
        <rFont val="Times New Roman"/>
      </rPr>
      <t>Высота сиденья регулируемая. Материал: крестовина - пластик; подлокотники – пластик;  обивка – гобелен.</t>
    </r>
  </si>
  <si>
    <r>
      <rPr>
        <sz val="10"/>
        <color rgb="FF000000"/>
        <rFont val="Times New Roman"/>
      </rPr>
      <t xml:space="preserve">522-101-1227-0006 - Кресло
</t>
    </r>
    <r>
      <rPr>
        <sz val="10"/>
        <color rgb="FF000000"/>
        <rFont val="Times New Roman"/>
      </rPr>
      <t>красно-черное типа Suno</t>
    </r>
  </si>
  <si>
    <t>Кресло
красно-черное типа Suno</t>
  </si>
  <si>
    <r>
      <rPr>
        <sz val="10"/>
        <color theme="1"/>
        <rFont val="Times New Roman"/>
      </rPr>
      <t>Основа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Материалы отделки: искусственная кожа, полиуретановые колеса.</t>
    </r>
  </si>
  <si>
    <r>
      <rPr>
        <sz val="10"/>
        <color rgb="FF000000"/>
        <rFont val="Times New Roman"/>
      </rPr>
      <t xml:space="preserve">522-101-1227-0007 - Кресло
</t>
    </r>
    <r>
      <rPr>
        <sz val="10"/>
        <color rgb="FF000000"/>
        <rFont val="Times New Roman"/>
      </rPr>
      <t>офисное типа Suno, обивка эко-кожа</t>
    </r>
  </si>
  <si>
    <t>Кресло
офисное типа Suno, обивка эко-кожа</t>
  </si>
  <si>
    <r>
      <rPr>
        <sz val="10"/>
        <color theme="1"/>
        <rFont val="Times New Roman"/>
      </rPr>
      <t>Кресло регулиреумое по высоте. Обивка эко-кожа. Высота спинки - не более 670мм</t>
    </r>
  </si>
  <si>
    <r>
      <rPr>
        <sz val="10"/>
        <color rgb="FF000000"/>
        <rFont val="Times New Roman"/>
      </rPr>
      <t xml:space="preserve">522-101-1227-0008 - Кресло
</t>
    </r>
    <r>
      <rPr>
        <sz val="10"/>
        <color rgb="FF000000"/>
        <rFont val="Times New Roman"/>
      </rPr>
      <t xml:space="preserve">офисное. Ролик из полиуретана, черный газлифт, сетчатый пластиковый подголовник + сетчатая спинка + сиденье из вспененного пенополиуретана.
</t>
    </r>
    <r>
      <rPr>
        <sz val="10"/>
        <color rgb="FF000000"/>
        <rFont val="Times New Roman"/>
      </rPr>
      <t>Размеры 660*1290*660мм</t>
    </r>
  </si>
  <si>
    <t>Кресло
офисное. Ролик из полиуретана, черный газлифт, сетчатый пластиковый подголовник + сетчатая спинка + сиденье из вспененного пенополиуретана.
Размеры 660*1290*660мм</t>
  </si>
  <si>
    <r>
      <rPr>
        <sz val="10"/>
        <color theme="1"/>
        <rFont val="Times New Roman"/>
      </rPr>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r>
  </si>
  <si>
    <r>
      <rPr>
        <sz val="10"/>
        <color rgb="FF000000"/>
        <rFont val="Times New Roman"/>
      </rPr>
      <t xml:space="preserve">522-101-1227-0009 - Кресло
</t>
    </r>
    <r>
      <rPr>
        <sz val="10"/>
        <color rgb="FF000000"/>
        <rFont val="Times New Roman"/>
      </rPr>
      <t xml:space="preserve">офисное. Ролик из полиуретана, черный газлифт, сетчатая спинка + сиденье из пенополиуретана.
</t>
    </r>
    <r>
      <rPr>
        <sz val="10"/>
        <color rgb="FF000000"/>
        <rFont val="Times New Roman"/>
      </rPr>
      <t>Размеры 660 мм*990*660 мм</t>
    </r>
  </si>
  <si>
    <t>Кресло
офисное. Ролик из полиуретана, черный газлифт, сетчатая спинка + сиденье из пенополиуретана.
Размеры 660 мм*990*660 мм</t>
  </si>
  <si>
    <r>
      <rPr>
        <sz val="10"/>
        <color theme="1"/>
        <rFont val="Times New Roman"/>
      </rPr>
      <t>Кресло офисное. Ролик из полиуретана, нейлоновая основа, черный газлифт, поворотный механизм наклона, статичный подлокотник, сетчатая спинка + сиденье из пенополиуретана. Размеры 660 мм*990*660 мм</t>
    </r>
  </si>
  <si>
    <r>
      <rPr>
        <sz val="10"/>
        <color rgb="FF000000"/>
        <rFont val="Times New Roman"/>
      </rPr>
      <t xml:space="preserve">522-101-1227-0010 - Кресло
</t>
    </r>
    <r>
      <rPr>
        <sz val="10"/>
        <color rgb="FF000000"/>
        <rFont val="Times New Roman"/>
      </rPr>
      <t xml:space="preserve">офисное. Регулировка высоты (газлифт), крестовина и подлокотники пластиковые.
</t>
    </r>
    <r>
      <rPr>
        <sz val="10"/>
        <color rgb="FF000000"/>
        <rFont val="Times New Roman"/>
      </rPr>
      <t>Материал обивки: спинка- сетка, сиденье- ткань. Размер: 480х440х890 мм</t>
    </r>
  </si>
  <si>
    <t>Кресло
офисное. Регулировка высоты (газлифт), крестовина и подлокотники пластиковые.
Материал обивки: спинка- сетка, сиденье- ткань. Размер: 480х440х890 мм</t>
  </si>
  <si>
    <r>
      <rPr>
        <sz val="10"/>
        <color rgb="FF000000"/>
        <rFont val="Times New Roman"/>
      </rPr>
      <t xml:space="preserve">Пластиковая крестовина. Подлокотники пластиковые. Ограничение по весу: 120 кг.
</t>
    </r>
    <r>
      <rPr>
        <sz val="10"/>
        <color rgb="FF000000"/>
        <rFont val="Times New Roman"/>
      </rPr>
      <t>Материал обивки: спинка- сетка, сиденье- ткань</t>
    </r>
  </si>
  <si>
    <r>
      <rPr>
        <sz val="10"/>
        <color rgb="FF000000"/>
        <rFont val="Times New Roman"/>
      </rPr>
      <t xml:space="preserve">522-101-1227-0011 - Кресло
</t>
    </r>
    <r>
      <rPr>
        <sz val="10"/>
        <color rgb="FF000000"/>
        <rFont val="Times New Roman"/>
      </rPr>
      <t xml:space="preserve">офисное. Регулировка высоты (газлифт). Подлокотники, крестовина и колеса пластиковые.
</t>
    </r>
    <r>
      <rPr>
        <sz val="10"/>
        <color rgb="FF000000"/>
        <rFont val="Times New Roman"/>
      </rPr>
      <t>Материал обивки: эко кожа. Размер: 440х440х870мм.</t>
    </r>
  </si>
  <si>
    <t>Кресло
офисное. Регулировка высоты (газлифт). Подлокотники, крестовина и колеса пластиковые.
Материал обивки: эко кожа. Размер: 440х440х870мм.</t>
  </si>
  <si>
    <r>
      <rPr>
        <sz val="10"/>
        <color theme="1"/>
        <rFont val="Times New Roman"/>
      </rPr>
      <t>Ограничение по весу: 120 кг.  Материал обивки: эко кожа, цвет черный.</t>
    </r>
  </si>
  <si>
    <r>
      <rPr>
        <sz val="10"/>
        <color rgb="FF000000"/>
        <rFont val="Times New Roman"/>
      </rPr>
      <t xml:space="preserve">522-101-1227-0012 - Кресло
</t>
    </r>
    <r>
      <rPr>
        <sz val="10"/>
        <color rgb="FF000000"/>
        <rFont val="Times New Roman"/>
      </rPr>
      <t>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r>
  </si>
  <si>
    <t>Кресло
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</si>
  <si>
    <r>
      <rPr>
        <sz val="10"/>
        <color theme="1"/>
        <rFont val="Times New Roman"/>
      </rPr>
      <t>Кресло офисное. Механизм качания. Регулировка высоты (газлифт). Подлокотники металлические с пластиковыми накладками. Крестовина металлическая разборная. Пластиковые колеса. Ограничение по весу: 120 кг</t>
    </r>
  </si>
  <si>
    <r>
      <rPr>
        <sz val="10"/>
        <color rgb="FF000000"/>
        <rFont val="Times New Roman"/>
      </rPr>
      <t xml:space="preserve">522-101-1227-0013 - Кресло
</t>
    </r>
    <r>
      <rPr>
        <sz val="10"/>
        <color rgb="FF000000"/>
        <rFont val="Times New Roman"/>
      </rPr>
      <t xml:space="preserve">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t>
    </r>
    <r>
      <rPr>
        <sz val="10"/>
        <color rgb="FF000000"/>
        <rFont val="Times New Roman"/>
      </rPr>
      <t>Размер: 490х390х1090мм</t>
    </r>
  </si>
  <si>
    <t>Кресло
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Размер: 490х390х1090мм</t>
  </si>
  <si>
    <r>
      <rPr>
        <sz val="10"/>
        <color rgb="FF000000"/>
        <rFont val="Times New Roman"/>
      </rPr>
      <t xml:space="preserve">Механизм качания с регулировкой под вес и возможностью фиксации в вертикальном положении. Поддержка поясницы (2 резиновые ленты).
</t>
    </r>
    <r>
      <rPr>
        <sz val="10"/>
        <color rgb="FF000000"/>
        <rFont val="Times New Roman"/>
      </rPr>
      <t>Ограничение по весу: 120 кг.</t>
    </r>
  </si>
  <si>
    <r>
      <rPr>
        <sz val="10"/>
        <color rgb="FF000000"/>
        <rFont val="Times New Roman"/>
      </rPr>
      <t xml:space="preserve">522-101-1227-0014 - Кресло
</t>
    </r>
    <r>
      <rPr>
        <sz val="10"/>
        <color rgb="FF000000"/>
        <rFont val="Times New Roman"/>
      </rPr>
      <t>офисное. Механизм качания. Регулировка высоты (газлифт). Крестовина и подлокотники пластиковые. Материал обивки: эко кожа, цвет черный. Размер: 540х460х1080мм</t>
    </r>
  </si>
  <si>
    <t>Кресло
офисное. Механизм качания. Регулировка высоты (газлифт). Крестовина и подлокотники пластиковые. Материал обивки: эко кожа, цвет черный. Размер: 540х460х1080мм</t>
  </si>
  <si>
    <r>
      <rPr>
        <sz val="10"/>
        <color rgb="FF000000"/>
        <rFont val="Times New Roman"/>
      </rPr>
      <t xml:space="preserve">Механизм качания с возможностью фиксации в рабочем положении.
</t>
    </r>
    <r>
      <rPr>
        <sz val="10"/>
        <color rgb="FF000000"/>
        <rFont val="Times New Roman"/>
      </rPr>
      <t>Ограничение по весу: 120 кг.</t>
    </r>
  </si>
  <si>
    <r>
      <rPr>
        <sz val="10"/>
        <color rgb="FF000000"/>
        <rFont val="Times New Roman"/>
      </rPr>
      <t xml:space="preserve">522-101-1227-0015 - Кресло
</t>
    </r>
    <r>
      <rPr>
        <sz val="10"/>
        <color rgb="FF000000"/>
        <rFont val="Times New Roman"/>
      </rPr>
      <t xml:space="preserve">офисное. Механизм качания. Регулировка высоты (газлифт).
</t>
    </r>
    <r>
      <rPr>
        <sz val="10"/>
        <color rgb="FF000000"/>
        <rFont val="Times New Roman"/>
      </rPr>
      <t>Материал обивки: эко.кожа. Размер: 545х475х1140мм</t>
    </r>
  </si>
  <si>
    <t>Кресло
офисное. Механизм качания. Регулировка высоты (газлифт).
Материал обивки: эко.кожа. Размер: 545х475х1140мм</t>
  </si>
  <si>
    <r>
      <rPr>
        <sz val="10"/>
        <color theme="1"/>
        <rFont val="Times New Roman"/>
      </rPr>
      <t>Кресло офисное. Механизм качания с регулировкой под вес и фиксацией в вертикальном положении. Регулировка высоты (газлифт). Ограничение по весу: 120 кг. Материал обивки: эко.кожа. Размер: 545х475х1140мм</t>
    </r>
  </si>
  <si>
    <r>
      <rPr>
        <sz val="10"/>
        <color rgb="FF000000"/>
        <rFont val="Times New Roman"/>
      </rPr>
      <t xml:space="preserve">522-101-1227-0016 - Кресло
</t>
    </r>
    <r>
      <rPr>
        <sz val="10"/>
        <color rgb="FF000000"/>
        <rFont val="Times New Roman"/>
      </rPr>
      <t xml:space="preserve">офисное. Механизм качания. Регулировка высоты (газлифт).
</t>
    </r>
    <r>
      <rPr>
        <sz val="10"/>
        <color rgb="FF000000"/>
        <rFont val="Times New Roman"/>
      </rPr>
      <t xml:space="preserve">Пластиковая крестовина, подлокотники металлические крашеные с накладками из эко кожи. Спинка сетчатая, сиденье тканевое, подголовник из эко кожи.
</t>
    </r>
    <r>
      <rPr>
        <sz val="10"/>
        <color rgb="FF000000"/>
        <rFont val="Times New Roman"/>
      </rPr>
      <t>Размер: 490х470х1160мм</t>
    </r>
  </si>
  <si>
    <t>Кресло
офисное. Механизм качания. Регулировка высоты (газлифт).
Пластиковая крестовина, подлокотники металлические крашеные с накладками из эко кожи. Спинка сетчатая, сиденье тканевое, подголовник из эко кожи.
Размер: 490х470х1160мм</t>
  </si>
  <si>
    <r>
      <rPr>
        <sz val="10"/>
        <color theme="1"/>
        <rFont val="Times New Roman"/>
      </rPr>
      <t>Механизм качания с регулировкой под вес и фиксацией в вертикальном положении. Ограничение по весу: 120 кг.</t>
    </r>
  </si>
  <si>
    <r>
      <rPr>
        <sz val="10"/>
        <color rgb="FF000000"/>
        <rFont val="Times New Roman"/>
      </rPr>
      <t xml:space="preserve">522-101-1227-0017 - Кресло
</t>
    </r>
    <r>
      <rPr>
        <sz val="10"/>
        <color rgb="FF000000"/>
        <rFont val="Times New Roman"/>
      </rPr>
      <t xml:space="preserve">офисное. Механизм качания. Регулировка высоты (газлифт). Подлокотники металлические с накладками из искусственной кожи.
</t>
    </r>
    <r>
      <rPr>
        <sz val="10"/>
        <color rgb="FF000000"/>
        <rFont val="Times New Roman"/>
      </rPr>
      <t>Крестовина хром. Материал обивки: эко.кожа/сетка. Размер: 490х470х1200мм</t>
    </r>
  </si>
  <si>
    <t>Кресло
офисное. Механизм качания. Регулировка высоты (газлифт). Подлокотники металлические с накладками из искусственной кожи.
Крестовина хром. Материал обивки: эко.кожа/сетка. Размер: 490х470х1200мм</t>
  </si>
  <si>
    <r>
      <rPr>
        <sz val="10"/>
        <color theme="1"/>
        <rFont val="Times New Roman"/>
      </rPr>
      <t>Механизм качания с регулировкой под вес и фиксацией в вертикальном положении. Ограничение по весу: 120 кг.</t>
    </r>
  </si>
  <si>
    <r>
      <rPr>
        <sz val="10"/>
        <color rgb="FF000000"/>
        <rFont val="Times New Roman"/>
      </rPr>
      <t xml:space="preserve">522-101-1227-0018 - Кресло
</t>
    </r>
    <r>
      <rPr>
        <sz val="10"/>
        <color rgb="FF000000"/>
        <rFont val="Times New Roman"/>
      </rPr>
      <t xml:space="preserve">офисное. Регулировка высоты (газлифт). Крестовина и подлокотники пластиковые.
</t>
    </r>
    <r>
      <rPr>
        <sz val="10"/>
        <color rgb="FF000000"/>
        <rFont val="Times New Roman"/>
      </rPr>
      <t>Материал обивки: спинка – сетка, сиденье – ткань. Размер: 480х440х890мм</t>
    </r>
  </si>
  <si>
    <t>Кресло
офисное. Регулировка высоты (газлифт). Крестовина и подлокотники пластиковые.
Материал обивки: спинка – сетка, сиденье – ткань. Размер: 480х440х890мм</t>
  </si>
  <si>
    <r>
      <rPr>
        <sz val="10"/>
        <color theme="1"/>
        <rFont val="Times New Roman"/>
      </rPr>
      <t>Крестовина белый пластик. Подлокотники белые пластиковые. Материал обивки: Спинка – сетка, сиденье – ткань. Ограничение по весу: 120 кг</t>
    </r>
  </si>
  <si>
    <r>
      <rPr>
        <sz val="10"/>
        <color rgb="FF000000"/>
        <rFont val="Times New Roman"/>
      </rPr>
      <t xml:space="preserve">522-101-1227-0019 - Кресло
</t>
    </r>
    <r>
      <rPr>
        <sz val="10"/>
        <color rgb="FF000000"/>
        <rFont val="Times New Roman"/>
      </rPr>
      <t>офисное. Механизм качания, регулировка высоты (газлифт), подлокотники и кретовина пластиковые, материал обивки: ткань. Размер: 480х450х1100мм</t>
    </r>
  </si>
  <si>
    <t>Кресло
офисное. Механизм качания, регулировка высоты (газлифт), подлокотники и кретовина пластиковые, материал обивки: ткань. Размер: 480х450х1100мм</t>
  </si>
  <si>
    <r>
      <rPr>
        <sz val="10"/>
        <color theme="1"/>
        <rFont val="Times New Roman"/>
      </rPr>
      <t>Механизм качания с регулировкой под вес и фиксацией в вертикальном положении. Ограничение по весу: 120 кг</t>
    </r>
  </si>
  <si>
    <r>
      <rPr>
        <sz val="10"/>
        <color rgb="FF000000"/>
        <rFont val="Times New Roman"/>
      </rPr>
      <t xml:space="preserve">522-101-1227-0020 - Кресло
</t>
    </r>
    <r>
      <rPr>
        <sz val="10"/>
        <color rgb="FF000000"/>
        <rFont val="Times New Roman"/>
      </rPr>
      <t>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r>
  </si>
  <si>
    <t>Кресло
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</si>
  <si>
    <r>
      <rPr>
        <sz val="10"/>
        <color theme="1"/>
        <rFont val="Times New Roman"/>
      </rPr>
      <t>Пружинно-винтовой механизм качания спинки. Крестовина металлическая разборная. Ограничение по весу: 120 кг</t>
    </r>
  </si>
  <si>
    <r>
      <rPr>
        <sz val="10"/>
        <color rgb="FF000000"/>
        <rFont val="Times New Roman"/>
      </rPr>
      <t xml:space="preserve">522-101-1227-0021 - Кресло
</t>
    </r>
    <r>
      <rPr>
        <sz val="10"/>
        <color rgb="FF000000"/>
        <rFont val="Times New Roman"/>
      </rPr>
      <t>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r>
  </si>
  <si>
    <t>Кресло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</si>
  <si>
    <r>
      <rPr>
        <sz val="10"/>
        <color rgb="FF000000"/>
        <rFont val="Times New Roman"/>
      </rPr>
      <t xml:space="preserve">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Регулируемый по высоте подлокотник из полиуретана, высота от пола до плеча 620-690мм.
</t>
    </r>
    <r>
      <rPr>
        <sz val="10"/>
        <color rgb="FF000000"/>
        <rFont val="Times New Roman"/>
      </rPr>
      <t xml:space="preserve">Регулируемый подголовник в черной тканевой обивке. Высота спинки 810мм, регулируемая по весу и подвижная сетчатая спинка. Столбчатая поясничная поддержка на спинке. Ширина сиденья 510мм, глубина 490мм, литая губка. Двойной рычаг, механизм наклона спинки назад. Пластиковые
</t>
    </r>
    <r>
      <rPr>
        <sz val="10"/>
        <color rgb="FF000000"/>
        <rFont val="Times New Roman"/>
      </rPr>
      <t>колеса.</t>
    </r>
  </si>
  <si>
    <r>
      <rPr>
        <sz val="10"/>
        <color rgb="FF000000"/>
        <rFont val="Times New Roman"/>
      </rPr>
      <t xml:space="preserve">522-101-1227-0022 - Кресло
</t>
    </r>
    <r>
      <rPr>
        <sz val="10"/>
        <color rgb="FF000000"/>
        <rFont val="Times New Roman"/>
      </rPr>
      <t>офисное регулируемое по высоте, крестовина пластик, материал сиденья ткань, регулируемый подголовник, пластиковые подлокотники</t>
    </r>
  </si>
  <si>
    <t>Кресло
офисное регулируемое по высоте, крестовина пластик, материал сиденья ткань, регулируемый подголовник, пластиковые подлокотники</t>
  </si>
  <si>
    <r>
      <rPr>
        <sz val="10"/>
        <color rgb="FF000000"/>
        <rFont val="Times New Roman"/>
      </rPr>
      <t xml:space="preserve">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Пластиковые подлокотники. Регулируемый подголовник в черной тканевой обивке.
</t>
    </r>
    <r>
      <rPr>
        <sz val="10"/>
        <color rgb="FF000000"/>
        <rFont val="Times New Roman"/>
      </rPr>
      <t xml:space="preserve">Высота спинки 810мм, регулируемая по весу и подвижная сетчатая спинка.
</t>
    </r>
    <r>
      <rPr>
        <sz val="10"/>
        <color rgb="FF000000"/>
        <rFont val="Times New Roman"/>
      </rPr>
      <t>Ширина сиденья 510мм, глубина 490мм, литая губка. Двойной рычаг, механизм наклона спинки назад. Пластиковые колеса.</t>
    </r>
  </si>
  <si>
    <r>
      <rPr>
        <sz val="10"/>
        <color rgb="FF000000"/>
        <rFont val="Times New Roman"/>
      </rPr>
      <t xml:space="preserve">522-101-1227-0023 - Кресло
</t>
    </r>
    <r>
      <rPr>
        <sz val="10"/>
        <color rgb="FF000000"/>
        <rFont val="Times New Roman"/>
      </rPr>
      <t xml:space="preserve">офисное. Материал спинки сетка, сиденье из ткани, крестовина из пластика, подлокотники из мягкого пластика, регулировка высоты.
</t>
    </r>
    <r>
      <rPr>
        <sz val="10"/>
        <color rgb="FF000000"/>
        <rFont val="Times New Roman"/>
      </rPr>
      <t>Размеры 650х660х1080 мм</t>
    </r>
  </si>
  <si>
    <t>Кресло
офисное. Материал спинки сетка, сиденье из ткани, крестовина из пластика, подлокотники из мягкого пластика, регулировка высоты.
Размеры 650х660х1080 мм</t>
  </si>
  <si>
    <r>
      <rPr>
        <sz val="10"/>
        <color theme="1"/>
        <rFont val="Times New Roman"/>
      </rPr>
      <t>Размеры: глубина 660мм, ширина 650мм, высота 1080мм. Без подголовника. Максимальная нагрузка: 120 кг. Наполнитель: пена полиуритан. Цвет: черный. Регулировка высоты.</t>
    </r>
  </si>
  <si>
    <r>
      <rPr>
        <sz val="10"/>
        <color rgb="FF000000"/>
        <rFont val="Times New Roman"/>
      </rPr>
      <t xml:space="preserve">522-101-1227-0024 - Кресло
</t>
    </r>
    <r>
      <rPr>
        <sz val="10"/>
        <color rgb="FF000000"/>
        <rFont val="Times New Roman"/>
      </rPr>
      <t>офисное. Материал спинки сетка, сиденье из ткани, крестовина из пластика, подлокотники из мягкого пластика</t>
    </r>
  </si>
  <si>
    <t>Кресло
офисное. Материал спинки сетка, сиденье из ткани, крестовина из пластика, подлокотники из мягкого пластика</t>
  </si>
  <si>
    <r>
      <rPr>
        <sz val="10"/>
        <color theme="1"/>
        <rFont val="Times New Roman"/>
      </rPr>
      <t>Без подголовника. Максимальная нагрузка: 120 кг. Наполнитель: пена полиуритан. Цвет: черный</t>
    </r>
  </si>
  <si>
    <r>
      <rPr>
        <sz val="10"/>
        <color rgb="FF000000"/>
        <rFont val="Times New Roman"/>
      </rPr>
      <t xml:space="preserve">522-101-1227-0025 - Кресло
</t>
    </r>
    <r>
      <rPr>
        <sz val="10"/>
        <color rgb="FF000000"/>
        <rFont val="Times New Roman"/>
      </rPr>
      <t>офисное. Материал спинки и подголовника сетка, сиденье из ткани, крестовина из пластика, подлокотники из мягкого пластика</t>
    </r>
  </si>
  <si>
    <t>Кресло
офисное. Материал спинки и подголовника сетка, сиденье из ткани, крестовина из пластика, подлокотники из мягкого пластика</t>
  </si>
  <si>
    <r>
      <rPr>
        <sz val="10"/>
        <color theme="1"/>
        <rFont val="Times New Roman"/>
      </rPr>
      <t>С подголовником. Максимальная нагрузка: 140 кг. Наполнитель: пена полиуритан. Цвет: черный</t>
    </r>
  </si>
  <si>
    <r>
      <rPr>
        <sz val="10"/>
        <color rgb="FF000000"/>
        <rFont val="Times New Roman"/>
      </rPr>
      <t xml:space="preserve">522-101-1227-0026 - Кресло
</t>
    </r>
    <r>
      <rPr>
        <sz val="10"/>
        <color rgb="FF000000"/>
        <rFont val="Times New Roman"/>
      </rPr>
      <t xml:space="preserve">офисное типа SU - CS - 9.
</t>
    </r>
    <r>
      <rPr>
        <sz val="10"/>
        <color rgb="FF000000"/>
        <rFont val="Times New Roman"/>
      </rPr>
      <t xml:space="preserve">Регулировка высоты, крестовина и подлокотники пластиковые.
</t>
    </r>
    <r>
      <rPr>
        <sz val="10"/>
        <color rgb="FF000000"/>
        <rFont val="Times New Roman"/>
      </rPr>
      <t>Материал обивки: спинка- сетка, сиденье- ткань</t>
    </r>
  </si>
  <si>
    <t>Кресло
офисное типа SU</t>
  </si>
  <si>
    <t>CS</t>
  </si>
  <si>
    <t>9.
Регулировка высоты, крестовина и подлокотники пластиковые.
Материал обивки: спинка- сетка, сиденье- ткань</t>
  </si>
  <si>
    <r>
      <rPr>
        <sz val="10"/>
        <color theme="1"/>
        <rFont val="Times New Roman"/>
      </rPr>
      <t>Пластиковая крестовина. Подлокотники пластиковые. Ограничение по весу: 90 кг. Материал обивки: спинка- сетка, сиденье- ткань.</t>
    </r>
  </si>
  <si>
    <r>
      <rPr>
        <sz val="10"/>
        <color rgb="FF000000"/>
        <rFont val="Times New Roman"/>
      </rPr>
      <t xml:space="preserve">522-101-1229-0002 - Шкаф для
</t>
    </r>
    <r>
      <rPr>
        <sz val="10"/>
        <color rgb="FF000000"/>
        <rFont val="Times New Roman"/>
      </rPr>
      <t>одежды 800х540х1930 мм</t>
    </r>
  </si>
  <si>
    <t>Шкаф для
одежды 800х540х1930 мм</t>
  </si>
  <si>
    <r>
      <rPr>
        <sz val="10"/>
        <color theme="1"/>
        <rFont val="Times New Roman"/>
      </rPr>
      <t>Шкаф для одежды 800х540х1930 мм. Несущие части, полки, фасадная часть – ЛДСП 16 мм</t>
    </r>
  </si>
  <si>
    <r>
      <rPr>
        <sz val="10"/>
        <color rgb="FF000000"/>
        <rFont val="Times New Roman"/>
      </rPr>
      <t xml:space="preserve">522-101-1229-0004 - Шкаф для
</t>
    </r>
    <r>
      <rPr>
        <sz val="10"/>
        <color rgb="FF000000"/>
        <rFont val="Times New Roman"/>
      </rPr>
      <t>одежды 800х450х1800 мм</t>
    </r>
  </si>
  <si>
    <t>Шкаф для
одежды 800х450х1800 мм</t>
  </si>
  <si>
    <r>
      <rPr>
        <sz val="10"/>
        <color theme="1"/>
        <rFont val="Times New Roman"/>
      </rPr>
      <t>Шкаф для одежды 800х450х1800 мм. ЛДСП 16мм. Полки для одежды и головного убора.</t>
    </r>
  </si>
  <si>
    <r>
      <rPr>
        <sz val="10"/>
        <color rgb="FF000000"/>
        <rFont val="Times New Roman"/>
      </rPr>
      <t xml:space="preserve">522-101-1229-0005 - Шкаф для
</t>
    </r>
    <r>
      <rPr>
        <sz val="10"/>
        <color rgb="FF000000"/>
        <rFont val="Times New Roman"/>
      </rPr>
      <t>одежды 600х450х1800 мм</t>
    </r>
  </si>
  <si>
    <t>Шкаф для
одежды 600х450х1800 мм</t>
  </si>
  <si>
    <r>
      <rPr>
        <sz val="10"/>
        <color theme="1"/>
        <rFont val="Times New Roman"/>
      </rPr>
      <t>Шкаф для одежды 600х450х1800 мм. ЛДСП 16мм. Полка для головного убора и перекладина.</t>
    </r>
  </si>
  <si>
    <r>
      <rPr>
        <sz val="10"/>
        <color rgb="FF000000"/>
        <rFont val="Times New Roman"/>
      </rPr>
      <t xml:space="preserve">522-101-1229-0006 - Шкаф для
</t>
    </r>
    <r>
      <rPr>
        <sz val="10"/>
        <color rgb="FF000000"/>
        <rFont val="Times New Roman"/>
      </rPr>
      <t>одежды 1000х450х1800 мм</t>
    </r>
  </si>
  <si>
    <t>Шкаф для
одежды 1000х450х1800 мм</t>
  </si>
  <si>
    <r>
      <rPr>
        <sz val="10"/>
        <color theme="1"/>
        <rFont val="Times New Roman"/>
      </rPr>
      <t>Шкаф для одежды 1000х450х1800 мм. ЛДСП 16мм. Полка для головного убора и перекладина.</t>
    </r>
  </si>
  <si>
    <r>
      <rPr>
        <sz val="10"/>
        <color rgb="FF000000"/>
        <rFont val="Times New Roman"/>
      </rPr>
      <t xml:space="preserve">522-101-1229-0007 - Шкаф для
</t>
    </r>
    <r>
      <rPr>
        <sz val="10"/>
        <color rgb="FF000000"/>
        <rFont val="Times New Roman"/>
      </rPr>
      <t>одежды 4-х секционный 1200х400х1450 мм</t>
    </r>
  </si>
  <si>
    <t>Шкаф для
одежды 4-х секционный 1200х400х1450 мм</t>
  </si>
  <si>
    <r>
      <rPr>
        <sz val="10"/>
        <color rgb="FF000000"/>
        <rFont val="Times New Roman"/>
      </rPr>
      <t xml:space="preserve">Шкаф 4-х секционный для одежды детей. Размер: 1200х400х1450мм.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t>
    </r>
    <r>
      <rPr>
        <sz val="10"/>
        <color rgb="FF000000"/>
        <rFont val="Times New Roman"/>
      </rPr>
      <t>Предусмотрено крепление шкафа к стене.</t>
    </r>
  </si>
  <si>
    <r>
      <rPr>
        <sz val="10"/>
        <color rgb="FF000000"/>
        <rFont val="Times New Roman"/>
      </rPr>
      <t xml:space="preserve">522-101-1229-0008 - Шкаф для
</t>
    </r>
    <r>
      <rPr>
        <sz val="10"/>
        <color rgb="FF000000"/>
        <rFont val="Times New Roman"/>
      </rPr>
      <t>одежды 5-ти секционный 1500х400х1450 мм</t>
    </r>
  </si>
  <si>
    <t>Шкаф для
одежды 5-ти секционный 1500х400х1450 мм</t>
  </si>
  <si>
    <r>
      <rPr>
        <sz val="10"/>
        <color rgb="FF000000"/>
        <rFont val="Times New Roman"/>
      </rPr>
      <t xml:space="preserve">Шкаф 5-ти секционный для одежды учащихся. Размер: 1500х400х1450мм.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t>
    </r>
    <r>
      <rPr>
        <sz val="10"/>
        <color rgb="FF000000"/>
        <rFont val="Times New Roman"/>
      </rPr>
      <t>Предусмотрено крепление шкафа к стене.</t>
    </r>
  </si>
  <si>
    <r>
      <rPr>
        <sz val="10"/>
        <color rgb="FF000000"/>
        <rFont val="Times New Roman"/>
      </rPr>
      <t xml:space="preserve">522-101-1229-0009 - Шкаф для
</t>
    </r>
    <r>
      <rPr>
        <sz val="10"/>
        <color rgb="FF000000"/>
        <rFont val="Times New Roman"/>
      </rPr>
      <t>одежды 849х376х1835 мм</t>
    </r>
  </si>
  <si>
    <t>Шкаф для
одежды 849х376х1835 мм</t>
  </si>
  <si>
    <r>
      <rPr>
        <sz val="10"/>
        <color theme="1"/>
        <rFont val="Times New Roman"/>
      </rPr>
      <t>Шкаф для одежды 849х376х1835 мм. ЛДСП 16мм. Полка для головного убора, перекладина, полки для одежды, 2 дверцы</t>
    </r>
  </si>
  <si>
    <r>
      <rPr>
        <sz val="10"/>
        <color rgb="FF000000"/>
        <rFont val="Times New Roman"/>
      </rPr>
      <t xml:space="preserve">522-101-1229-0010 - Шкаф
</t>
    </r>
    <r>
      <rPr>
        <sz val="10"/>
        <color rgb="FF000000"/>
        <rFont val="Times New Roman"/>
      </rPr>
      <t>металлический для одежды двухсекционный, размер 600x500x1860 мм</t>
    </r>
  </si>
  <si>
    <t>Шкаф
металлический для одежды двухсекционный, размер 600x500x1860 мм</t>
  </si>
  <si>
    <r>
      <rPr>
        <sz val="10"/>
        <color rgb="FF000000"/>
        <rFont val="Times New Roman"/>
      </rPr>
      <t xml:space="preserve">Съемная полка для головного убора, перекладина для вешалки и крючки для одежды. Шкаф оснащен врезным замком. Комплектация:
</t>
    </r>
    <r>
      <rPr>
        <sz val="10"/>
        <color rgb="FF000000"/>
        <rFont val="Times New Roman"/>
      </rPr>
      <t>2 перекладины, 4 крючка, 2 врезных замка</t>
    </r>
  </si>
  <si>
    <r>
      <rPr>
        <sz val="10"/>
        <color rgb="FF000000"/>
        <rFont val="Times New Roman"/>
      </rPr>
      <t xml:space="preserve">522-101-1229-0011 - Шкаф для
</t>
    </r>
    <r>
      <rPr>
        <sz val="10"/>
        <color rgb="FF000000"/>
        <rFont val="Times New Roman"/>
      </rPr>
      <t>одежды 600х400х2000 мм</t>
    </r>
  </si>
  <si>
    <t>Шкаф для
одежды 600х400х2000 мм</t>
  </si>
  <si>
    <r>
      <rPr>
        <sz val="10"/>
        <color theme="1"/>
        <rFont val="Times New Roman"/>
      </rPr>
      <t>Шкаф имеет две вставные полки для головных уборов и для обуви, ЛДСП 16 мм, кромки деталей облицованы полимерным кромочным материалам (ПВХ), толщиной 1,5 мм.  Фурнитура: конфирматы, стяжка типа BLUM, полкодержатель металл. (без пластиковых элементов). Навес мебельный типа BLUM, ножка мебельная, ручки</t>
    </r>
  </si>
  <si>
    <r>
      <rPr>
        <sz val="10"/>
        <color rgb="FF000000"/>
        <rFont val="Times New Roman"/>
      </rPr>
      <t xml:space="preserve">522-101-1229-0012 - Шкаф для
</t>
    </r>
    <r>
      <rPr>
        <sz val="10"/>
        <color rgb="FF000000"/>
        <rFont val="Times New Roman"/>
      </rPr>
      <t>одежды, верхняя секция с двумя полками, нижняя секция с четырьмя ящиками, размер 850х450х2000мм</t>
    </r>
  </si>
  <si>
    <t>Шкаф для
одежды, верхняя секция с двумя полками, нижняя секция с четырьмя ящиками, размер 850х450х2000мм</t>
  </si>
  <si>
    <r>
      <rPr>
        <sz val="10"/>
        <color rgb="FF000000"/>
        <rFont val="Times New Roman"/>
      </rPr>
      <t xml:space="preserve">Шкаф для одежды изготовлен из ЛДСП 16мм, задняя стенка - ДВП 4мм. Верхняя секция с двумя полками, нижняя секция с четырьмя ящиками. Фурнитура: конфирматы, стяжка типа BLUM, кромка - ПВХ 2мм, ручка кнопка без острых углов, навес мебельный типа BLUM, ножка мебельная.
</t>
    </r>
    <r>
      <rPr>
        <sz val="10"/>
        <color rgb="FF000000"/>
        <rFont val="Times New Roman"/>
      </rPr>
      <t>Цвет ЛДСП по согласованию с заказчиком.</t>
    </r>
  </si>
  <si>
    <r>
      <rPr>
        <sz val="10"/>
        <color rgb="FF000000"/>
        <rFont val="Times New Roman"/>
      </rPr>
      <t xml:space="preserve">522-101-1229-0013 - Шкаф для
</t>
    </r>
    <r>
      <rPr>
        <sz val="10"/>
        <color rgb="FF000000"/>
        <rFont val="Times New Roman"/>
      </rPr>
      <t>одежды 13-ти секционный, размеры одной секции 500х450х1200мм</t>
    </r>
  </si>
  <si>
    <t>Шкаф для
одежды 13-ти секционный, размеры одной секции 500х450х1200мм</t>
  </si>
  <si>
    <r>
      <rPr>
        <sz val="10"/>
        <color theme="1"/>
        <rFont val="Times New Roman"/>
      </rPr>
      <t>Толщина ЛДСП по внешнему периметру, межперегородки, полки, задняя стенка, двери 16 мм. Материал по внешнему периметру, межперегородки, полки, задняя стенка из ЛДСП, двери из МДФ плёнка. Двери закреплены на 2-х петлях, без замков, со стопором внутри сверху и снизу, разрезом посередине для открывания. Нижняя полка для обуви, высота от нижнего пола 300мм. Высота для одежды 900мм. Шкаф держится на 4-х железных ножках. В каждом шкафу предусмотрены 3 двухрожковых крючка на 3-х стенах, где крючки крепятся на болты с полной резьбой. Общее кол-во шкафов в одном ряду 13. Общий размер 13 секционного шкафа 6500х450х1200мм</t>
    </r>
  </si>
  <si>
    <r>
      <rPr>
        <sz val="10"/>
        <color rgb="FF000000"/>
        <rFont val="Times New Roman"/>
      </rPr>
      <t xml:space="preserve">522-101-1229-0014 - Шкаф для
</t>
    </r>
    <r>
      <rPr>
        <sz val="10"/>
        <color rgb="FF000000"/>
        <rFont val="Times New Roman"/>
      </rPr>
      <t>одежды 300х500х1860 мм на металлокаркасе (секционный)</t>
    </r>
  </si>
  <si>
    <t>Шкаф для
одежды 300х500х1860 мм на металлокаркасе (секционный)</t>
  </si>
  <si>
    <r>
      <rPr>
        <sz val="10"/>
        <color theme="1"/>
        <rFont val="Times New Roman"/>
      </rPr>
      <t>Основание металлокаркас 40х40мм (толщина стенки 1,2 мм.), корпус ЛДСП 16 мм. Имеются две полки (для головного убора и обуви). Кромки деталей облицованы полимерным кромочным материалам (ПВХ), толщиной 1,5 мм. Фурнитура: конфирматы, стяжка BLUM, полкодержатель металлический (без пластиковых элементов), штанга для вешалок, ручка (без острых углов), навес мебельный типа BLUM</t>
    </r>
  </si>
  <si>
    <r>
      <rPr>
        <sz val="10"/>
        <color rgb="FF000000"/>
        <rFont val="Times New Roman"/>
      </rPr>
      <t xml:space="preserve">522-101-1229-0015 - Шкаф для
</t>
    </r>
    <r>
      <rPr>
        <sz val="10"/>
        <color rgb="FF000000"/>
        <rFont val="Times New Roman"/>
      </rPr>
      <t>одежды 5-ти секционный, ЛДСП 16мм, металиический каркас, размер 1375х500х1250мм</t>
    </r>
  </si>
  <si>
    <t>Шкаф для
одежды 5-ти секционный, ЛДСП 16мм, металиический каркас, размер 1375х500х1250мм</t>
  </si>
  <si>
    <r>
      <rPr>
        <sz val="10"/>
        <color rgb="FF000000"/>
        <rFont val="Times New Roman"/>
      </rPr>
      <t xml:space="preserve">Изготавливается из ЛДСП 16 мм. Состоит из пяти секций, в каждой по две полки (для головного убора и обуви), имеется перекладина (штанга) для одежды. Каждая секция за глухой дверью с ручкой. Кромки деталей облицованы полимерным кромочным материалом (ПВХ), толщиной 1,5 мм.
</t>
    </r>
    <r>
      <rPr>
        <sz val="10"/>
        <color rgb="FF000000"/>
        <rFont val="Times New Roman"/>
      </rPr>
      <t>Фурнитура: конфирматы, стяжка типа BLUM, полкодержатель металлический (без пластиковых элементов), ручки (без острых углов), навес мебельный типа BLUM, ножка мебельная</t>
    </r>
  </si>
  <si>
    <r>
      <rPr>
        <sz val="10"/>
        <color rgb="FF000000"/>
        <rFont val="Times New Roman"/>
      </rPr>
      <t xml:space="preserve">522-101-1229-0016 - Шкаф для
</t>
    </r>
    <r>
      <rPr>
        <sz val="10"/>
        <color rgb="FF000000"/>
        <rFont val="Times New Roman"/>
      </rPr>
      <t>одежды 4-хсекционный 1200х400х1450 мм, материал корпуса, полок и дверей ЛДСП 16мм, задняя стенка МДФ 5мм</t>
    </r>
  </si>
  <si>
    <t>Шкаф для
одежды 4-хсекционный 1200х400х1450 мм, материал корпуса, полок и дверей ЛДСП 16мм, задняя стенка МДФ 5мм</t>
  </si>
  <si>
    <r>
      <rPr>
        <sz val="10"/>
        <color theme="1"/>
        <rFont val="Times New Roman"/>
      </rPr>
      <t>Шкаф для одежды, закрыт 4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1200х400х1450 мм</t>
    </r>
  </si>
  <si>
    <r>
      <rPr>
        <sz val="10"/>
        <color rgb="FF000000"/>
        <rFont val="Times New Roman"/>
      </rPr>
      <t xml:space="preserve">522-101-1229-0017 - Шкаф для
</t>
    </r>
    <r>
      <rPr>
        <sz val="10"/>
        <color rgb="FF000000"/>
        <rFont val="Times New Roman"/>
      </rPr>
      <t>одежды 5-тисекционный 1500х400х1450 мм, материал корпуса, полок и дверей ЛДСП 16мм, задняя стенка МДФ 5мм</t>
    </r>
  </si>
  <si>
    <t>Шкаф для
одежды 5-тисекционный 1500х400х1450 мм, материал корпуса, полок и дверей ЛДСП 16мм, задняя стенка МДФ 5мм</t>
  </si>
  <si>
    <r>
      <rPr>
        <sz val="10"/>
        <color theme="1"/>
        <rFont val="Times New Roman"/>
      </rPr>
      <t>Шкаф для одежды, закрыт 5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1500х400х1450 мм</t>
    </r>
  </si>
  <si>
    <r>
      <rPr>
        <sz val="10"/>
        <color rgb="FF000000"/>
        <rFont val="Times New Roman"/>
      </rPr>
      <t xml:space="preserve">522-101-1229-0018 - Шкаф для
</t>
    </r>
    <r>
      <rPr>
        <sz val="10"/>
        <color rgb="FF000000"/>
        <rFont val="Times New Roman"/>
      </rPr>
      <t>одежды 800х540х1930 мм, материал корпуса, полок и дверей ЛДСП 16мм, задняя стенка МДФ 5мм</t>
    </r>
  </si>
  <si>
    <t>Шкаф для
одежды 800х540х1930 мм, материал корпуса, полок и дверей ЛДСП 16мм, задняя стенка МДФ 5мм</t>
  </si>
  <si>
    <r>
      <rPr>
        <sz val="10"/>
        <color theme="1"/>
        <rFont val="Times New Roman"/>
      </rPr>
      <t>Шкаф для одежды, закрыт 2 дверьми, полками для головного убора и обуви и перекладина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800х540х1930 мм</t>
    </r>
  </si>
  <si>
    <r>
      <rPr>
        <sz val="10"/>
        <color rgb="FF000000"/>
        <rFont val="Times New Roman"/>
      </rPr>
      <t xml:space="preserve">522-101-1229-0019 - Шкаф для
</t>
    </r>
    <r>
      <rPr>
        <sz val="10"/>
        <color rgb="FF000000"/>
        <rFont val="Times New Roman"/>
      </rPr>
      <t>одежды 600х380х2100мм</t>
    </r>
  </si>
  <si>
    <t>Шкаф для
одежды 600х380х2100мм</t>
  </si>
  <si>
    <r>
      <rPr>
        <sz val="10"/>
        <color theme="1"/>
        <rFont val="Times New Roman"/>
      </rPr>
      <t>Шкаф для одежды. Ширина 600мм, глубина - 380мм, высота 2 100мм. Шкаф выполнен из ЛДСП 16мм. Торцы облицованы кромкой ПВХ толщиной 2мм. Ручка металлическая. Предусмотрен турникет. Имеется полка для головного убора.</t>
    </r>
  </si>
  <si>
    <r>
      <rPr>
        <sz val="10"/>
        <color rgb="FF000000"/>
        <rFont val="Times New Roman"/>
      </rPr>
      <t xml:space="preserve">522-101-1229-0020 - Шкаф для
</t>
    </r>
    <r>
      <rPr>
        <sz val="10"/>
        <color rgb="FF000000"/>
        <rFont val="Times New Roman"/>
      </rPr>
      <t>одежды 800х500х1970мм</t>
    </r>
  </si>
  <si>
    <t>Шкаф для
одежды 800х500х1970мм</t>
  </si>
  <si>
    <r>
      <rPr>
        <sz val="10"/>
        <color theme="1"/>
        <rFont val="Times New Roman"/>
      </rPr>
      <t>Ширина - 800мм, глубина - 500мм, высота 1970мм. Шкаф выполнен из ЛДСП 16мм. Торцы облицованы ударопрочной кромкой ПВХ толщиной 2мм. Ручки металлические.</t>
    </r>
  </si>
  <si>
    <r>
      <rPr>
        <sz val="10"/>
        <color rgb="FF000000"/>
        <rFont val="Times New Roman"/>
      </rPr>
      <t xml:space="preserve">522-101-1229-0021 - Шкаф для
</t>
    </r>
    <r>
      <rPr>
        <sz val="10"/>
        <color rgb="FF000000"/>
        <rFont val="Times New Roman"/>
      </rPr>
      <t>одежды 4-х секционный 1296х352х1365 мм</t>
    </r>
  </si>
  <si>
    <t>Шкаф для
одежды 4-х секционный 1296х352х1365 мм</t>
  </si>
  <si>
    <r>
      <rPr>
        <sz val="10"/>
        <color rgb="FF000000"/>
        <rFont val="Times New Roman"/>
      </rPr>
      <t xml:space="preserve">Шкаф 4-х секционный для одежды детей. Размер: 1296х352х1365мм.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t>
    </r>
    <r>
      <rPr>
        <sz val="10"/>
        <color rgb="FF000000"/>
        <rFont val="Times New Roman"/>
      </rPr>
      <t>Предусмотрено крепление шкафа к стене.</t>
    </r>
  </si>
  <si>
    <r>
      <rPr>
        <sz val="10"/>
        <color rgb="FF000000"/>
        <rFont val="Times New Roman"/>
      </rPr>
      <t xml:space="preserve">522-101-1229-0022 - Шкаф для
</t>
    </r>
    <r>
      <rPr>
        <sz val="10"/>
        <color rgb="FF000000"/>
        <rFont val="Times New Roman"/>
      </rPr>
      <t>одежды 800х500х2000мм</t>
    </r>
  </si>
  <si>
    <t>Шкаф для
одежды 800х500х2000мм</t>
  </si>
  <si>
    <r>
      <rPr>
        <sz val="10"/>
        <color rgb="FF000000"/>
        <rFont val="Times New Roman"/>
      </rPr>
      <t xml:space="preserve">Шкаф поделен на две части, первая часть состоит из полок, вторая часть состоит из штанги для хранения одежды на плечиках и выдвижных ящиков.
</t>
    </r>
    <r>
      <rPr>
        <sz val="10"/>
        <color rgb="FF000000"/>
        <rFont val="Times New Roman"/>
      </rPr>
      <t>Регулируемые по высоте ножки для корректировки неровности пола. Материал ЛДСП 16мм. Цвет по согласованию с заказчиком. Дверцы распашные.</t>
    </r>
  </si>
  <si>
    <r>
      <rPr>
        <sz val="10"/>
        <color rgb="FF000000"/>
        <rFont val="Times New Roman"/>
      </rPr>
      <t xml:space="preserve">522-101-1229-0023 - Шкаф для
</t>
    </r>
    <r>
      <rPr>
        <sz val="10"/>
        <color rgb="FF000000"/>
        <rFont val="Times New Roman"/>
      </rPr>
      <t>одежды 4-хсекционный 1500х600х1800мм, материал корпуса, полок и дверей ЛДСП 16мм</t>
    </r>
  </si>
  <si>
    <t>Шкаф для
одежды 4-хсекционный 1500х600х1800мм, материал корпуса, полок и дверей ЛДСП 16мм</t>
  </si>
  <si>
    <r>
      <rPr>
        <sz val="10"/>
        <color theme="1"/>
        <rFont val="Times New Roman"/>
      </rPr>
      <t>В конструкции предусмотрены два отделения со стационарными штангами и два отделения – с полками для головного убора и обуви. Материал корпуса: ЛДСП 16 мм. Материал фасада: ЛДСП 16 мм. Цвет корпуса по согласованию. Цвет задней стенки: белый ЛХДФ 4 мм.</t>
    </r>
  </si>
  <si>
    <r>
      <rPr>
        <sz val="10"/>
        <color rgb="FF000000"/>
        <rFont val="Times New Roman"/>
      </rPr>
      <t xml:space="preserve">522-101-1229-0025 - Шкаф для
</t>
    </r>
    <r>
      <rPr>
        <sz val="10"/>
        <color rgb="FF000000"/>
        <rFont val="Times New Roman"/>
      </rPr>
      <t>одежды 800х420х1930 мм. ЛДСП 16мм. Полки закрытые. Задняя стенка из ламинированного МДФ 5 мм</t>
    </r>
  </si>
  <si>
    <t>Шкаф для
одежды 800х420х1930 мм. ЛДСП 16мм. Полки закрытые. Задняя стенка из ламинированного МДФ 5 мм</t>
  </si>
  <si>
    <r>
      <rPr>
        <sz val="10"/>
        <color rgb="FF000000"/>
        <rFont val="Times New Roman"/>
      </rPr>
      <t xml:space="preserve">Шкаф закрыт 2 дверьми, с полками для головного убора и обуви, перекладина для одежды. Материал корпуса, полок и дверей из ЛДСП 16 мм. Задняя стенка из ламинированного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t>
    </r>
    <r>
      <rPr>
        <sz val="10"/>
        <color rgb="FF000000"/>
        <rFont val="Times New Roman"/>
      </rPr>
      <t xml:space="preserve">Для предотвращения воздействия воды и влаги на шкаф предусмотрены 4
</t>
    </r>
    <r>
      <rPr>
        <sz val="10"/>
        <color rgb="FF000000"/>
        <rFont val="Times New Roman"/>
      </rPr>
      <t>ножки высотой 5 см. Габариты 800х420х1930 мм</t>
    </r>
  </si>
  <si>
    <r>
      <rPr>
        <sz val="10"/>
        <color rgb="FF000000"/>
        <rFont val="Times New Roman"/>
      </rPr>
      <t xml:space="preserve">522-101-1229-0026 - Шкаф для
</t>
    </r>
    <r>
      <rPr>
        <sz val="10"/>
        <color rgb="FF000000"/>
        <rFont val="Times New Roman"/>
      </rPr>
      <t>одежды 800х430х1800мм. Материал корпуса, полок и дверей ЛДСП 16 мм. Задняя стенка из ламинированного МДФ 5 мм</t>
    </r>
  </si>
  <si>
    <t>Шкаф для
одежды 800х430х1800мм. Материал корпуса, полок и дверей ЛДСП 16 мм. Задняя стенка из ламинированного МДФ 5 мм</t>
  </si>
  <si>
    <r>
      <rPr>
        <sz val="10"/>
        <color theme="1"/>
        <rFont val="Times New Roman"/>
      </rPr>
      <t>Закрыт 2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см.Под цвет шкафов для хранения.</t>
    </r>
  </si>
  <si>
    <r>
      <rPr>
        <sz val="10"/>
        <color rgb="FF000000"/>
        <rFont val="Times New Roman"/>
      </rPr>
      <t xml:space="preserve">522-101-1229-0027 - Шкаф для
</t>
    </r>
    <r>
      <rPr>
        <sz val="10"/>
        <color rgb="FF000000"/>
        <rFont val="Times New Roman"/>
      </rPr>
      <t>одежды. Размер 800х540х1930. Материал корпуса, полок и дверей из ЛДСП 16 мм. Задняя стенка из МДФ 5мм</t>
    </r>
  </si>
  <si>
    <t>Шкаф для
одежды. Размер 800х540х1930. Материал корпуса, полок и дверей из ЛДСП 16 мм. Задняя стенка из МДФ 5мм</t>
  </si>
  <si>
    <r>
      <rPr>
        <sz val="10"/>
        <color theme="1"/>
        <rFont val="Times New Roman"/>
      </rPr>
      <t>Размер 800х540х1930мм. Закрыт 2 дверьми. Полки для головного убора и обуви, перекладина. Материал корпуса, полок и дверей из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Под цвет шкафов для хранения.</t>
    </r>
  </si>
  <si>
    <r>
      <rPr>
        <sz val="10"/>
        <color rgb="FF000000"/>
        <rFont val="Times New Roman"/>
      </rPr>
      <t xml:space="preserve">522-101-1229-0029 - Шкаф для
</t>
    </r>
    <r>
      <rPr>
        <sz val="10"/>
        <color rgb="FF000000"/>
        <rFont val="Times New Roman"/>
      </rPr>
      <t>одежды 2-х дверный, ЛДСП 16 мм, размеры 800х540х1930 мм</t>
    </r>
  </si>
  <si>
    <t>Шкаф для
одежды 2-х дверный, ЛДСП 16 мм, размеры 800х540х1930 мм</t>
  </si>
  <si>
    <r>
      <rPr>
        <sz val="10"/>
        <color rgb="FF000000"/>
        <rFont val="Times New Roman"/>
      </rPr>
      <t xml:space="preserve">Несущие части, полки, фасадная часть – ЛДСП толщиной не менее 16 мм, задняя стенка – ХДФ не менее 3 мм. Кромка из ПВХ не менее 0,4 мм.
</t>
    </r>
    <r>
      <rPr>
        <sz val="10"/>
        <color rgb="FF000000"/>
        <rFont val="Times New Roman"/>
      </rPr>
      <t>Вверху должно быть отделение для головных уборов. Под ним должна быть штанга для одёжных плечиков. Сборка должна производиться с помощью конфирматов 6,3х50 и эксцентриковых стяжек. Петля для дверок должна быть внешняя с европланкой. Мебельные ножки должны быть регулируемые по высоте для компенсации неровностей пола.</t>
    </r>
  </si>
  <si>
    <r>
      <rPr>
        <sz val="10"/>
        <color rgb="FF000000"/>
        <rFont val="Times New Roman"/>
      </rPr>
      <t xml:space="preserve">522-101-1229-0030 - Шкаф для
</t>
    </r>
    <r>
      <rPr>
        <sz val="10"/>
        <color rgb="FF000000"/>
        <rFont val="Times New Roman"/>
      </rPr>
      <t>одежды, размеры 600х450х1950 мм. ЛДСП 16 мм, кромка ПВХ, одна дверь</t>
    </r>
  </si>
  <si>
    <t>Шкаф для
одежды, размеры 600х450х1950 мм. ЛДСП 16 мм, кромка ПВХ, одна дверь</t>
  </si>
  <si>
    <r>
      <rPr>
        <sz val="10"/>
        <color theme="1"/>
        <rFont val="Times New Roman"/>
      </rPr>
      <t>Корпус, толщина 16мм выполнены из ЛДСП, кромка ПВХ не менее 1мм в цвет ЛДСП. Задняя стенка ДВПО. Ножки черные пластиковые регулируемые H-27мм.</t>
    </r>
  </si>
  <si>
    <r>
      <rPr>
        <sz val="10"/>
        <color rgb="FF000000"/>
        <rFont val="Times New Roman"/>
      </rPr>
      <t xml:space="preserve">522-101-1229-0031 - Шкаф для
</t>
    </r>
    <r>
      <rPr>
        <sz val="10"/>
        <color rgb="FF000000"/>
        <rFont val="Times New Roman"/>
      </rPr>
      <t xml:space="preserve">одежды, размеры 600х580х1950 мм.
</t>
    </r>
    <r>
      <rPr>
        <sz val="10"/>
        <color rgb="FF000000"/>
        <rFont val="Times New Roman"/>
      </rPr>
      <t>ЛДСП 16 мм, кромка ПВХ</t>
    </r>
  </si>
  <si>
    <t>Шкаф для
одежды, размеры 600х580х1950 мм.
ЛДСП 16 мм, кромка ПВХ</t>
  </si>
  <si>
    <r>
      <rPr>
        <sz val="10"/>
        <color theme="1"/>
        <rFont val="Times New Roman"/>
      </rPr>
      <t>Корпус, толщина 16мм выполнены из ЛДСП, кромка ПВХ не менее 1мм в цвет ЛДСП. Задняя стенка ДВПО. Ножки черные пластиковые регулируемые H-27мм.</t>
    </r>
  </si>
  <si>
    <r>
      <rPr>
        <sz val="10"/>
        <color rgb="FF000000"/>
        <rFont val="Times New Roman"/>
      </rPr>
      <t xml:space="preserve">522-101-1229-0032 - Шкаф для
</t>
    </r>
    <r>
      <rPr>
        <sz val="10"/>
        <color rgb="FF000000"/>
        <rFont val="Times New Roman"/>
      </rPr>
      <t xml:space="preserve">одежды, размеры 800х450х1950 мм.
</t>
    </r>
    <r>
      <rPr>
        <sz val="10"/>
        <color rgb="FF000000"/>
        <rFont val="Times New Roman"/>
      </rPr>
      <t>ЛДСП 16 мм, кромка ПВХ, две двери</t>
    </r>
  </si>
  <si>
    <t>Шкаф для
одежды, размеры 800х450х1950 мм.
ЛДСП 16 мм, кромка ПВХ, две двери</t>
  </si>
  <si>
    <r>
      <rPr>
        <sz val="10"/>
        <color theme="1"/>
        <rFont val="Times New Roman"/>
      </rPr>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r>
  </si>
  <si>
    <r>
      <rPr>
        <sz val="10"/>
        <color rgb="FF000000"/>
        <rFont val="Times New Roman"/>
      </rPr>
      <t xml:space="preserve">522-101-1229-0033 - Шкаф для
</t>
    </r>
    <r>
      <rPr>
        <sz val="10"/>
        <color rgb="FF000000"/>
        <rFont val="Times New Roman"/>
      </rPr>
      <t xml:space="preserve">одежды, размеры 800х580х1950 мм.
</t>
    </r>
    <r>
      <rPr>
        <sz val="10"/>
        <color rgb="FF000000"/>
        <rFont val="Times New Roman"/>
      </rPr>
      <t>ЛДСП 16 мм, кромка ПВХ, две двери</t>
    </r>
  </si>
  <si>
    <t>Шкаф для
одежды, размеры 800х580х1950 мм.
ЛДСП 16 мм, кромка ПВХ, две двери</t>
  </si>
  <si>
    <r>
      <rPr>
        <sz val="10"/>
        <color theme="1"/>
        <rFont val="Times New Roman"/>
      </rPr>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r>
  </si>
  <si>
    <r>
      <rPr>
        <sz val="10"/>
        <color rgb="FF000000"/>
        <rFont val="Times New Roman"/>
      </rPr>
      <t xml:space="preserve">522-101-1229-0034 - Шкаф-локер,
</t>
    </r>
    <r>
      <rPr>
        <sz val="10"/>
        <color rgb="FF000000"/>
        <rFont val="Times New Roman"/>
      </rPr>
      <t>размеры 400х450х1598 мм, 4 распашные двери, ЛДСП 16 мм, кромка ПВХ</t>
    </r>
  </si>
  <si>
    <t>Шкаф-локер,
размеры 400х450х1598 мм, 4 распашные двери, ЛДСП 16 мм, кромка ПВХ</t>
  </si>
  <si>
    <r>
      <rPr>
        <sz val="10"/>
        <color theme="1"/>
        <rFont val="Times New Roman"/>
      </rPr>
      <t>Корпус, толщина 16мм выполнены из ЛДСП, кромка ПВХ не менее 1мм в цвет ЛДСП. Задняя стенка ЛДСП. распашные двери</t>
    </r>
  </si>
  <si>
    <r>
      <rPr>
        <sz val="10"/>
        <color rgb="FF000000"/>
        <rFont val="Times New Roman"/>
      </rPr>
      <t xml:space="preserve">522-101-1231-0004 - Шкаф
</t>
    </r>
    <r>
      <rPr>
        <sz val="10"/>
        <color rgb="FF000000"/>
        <rFont val="Times New Roman"/>
      </rPr>
      <t>закрытый 800х400х750мм. ЛДСП 16мм. Полки закрытые</t>
    </r>
  </si>
  <si>
    <t>Шкаф
закрытый 800х400х750мм. ЛДСП 16мм. Полки закрытые</t>
  </si>
  <si>
    <r>
      <rPr>
        <sz val="10"/>
        <color theme="1"/>
        <rFont val="Times New Roman"/>
      </rPr>
      <t>Шкаф закрытый 800х400х750мм. ЛДСП 16мм. Полки закрытые</t>
    </r>
  </si>
  <si>
    <r>
      <rPr>
        <sz val="10"/>
        <color rgb="FF000000"/>
        <rFont val="Times New Roman"/>
      </rPr>
      <t xml:space="preserve">522-101-1231-0005 - Шкаф
</t>
    </r>
    <r>
      <rPr>
        <sz val="10"/>
        <color rgb="FF000000"/>
        <rFont val="Times New Roman"/>
      </rPr>
      <t>инструментальный 1000х500х2000 мм. ЛДСП 16мм. Полки закрытые</t>
    </r>
  </si>
  <si>
    <t>Шкаф
инструментальный 1000х500х2000 мм. ЛДСП 16мм. Полки закрытые</t>
  </si>
  <si>
    <r>
      <rPr>
        <sz val="10"/>
        <color theme="1"/>
        <rFont val="Times New Roman"/>
      </rPr>
      <t>Шкаф имеет вставные полки за двумя глухими дверками. В производстве используется материал ЛДСП 16 мм, торцы закатаны кромочным материалом ПВХ 1,5 мм.  Фурнитура: конфирматы, стяжка BLUM, полкодержатель металлический (без пластиковых элементов), ручка 128 мм (без острых углов), навес мебельный BLUM, ножка мебельная.</t>
    </r>
  </si>
  <si>
    <r>
      <rPr>
        <sz val="10"/>
        <color rgb="FF000000"/>
        <rFont val="Times New Roman"/>
      </rPr>
      <t xml:space="preserve">522-101-1231-0006 - Шкаф
</t>
    </r>
    <r>
      <rPr>
        <sz val="10"/>
        <color rgb="FF000000"/>
        <rFont val="Times New Roman"/>
      </rPr>
      <t>закрытый для плакатов (карт) низкий 1200х400х800мм. ЛДСП 16мм</t>
    </r>
  </si>
  <si>
    <t>Шкаф
закрытый для плакатов (карт) низкий 1200х400х800мм. ЛДСП 16мм</t>
  </si>
  <si>
    <r>
      <rPr>
        <sz val="10"/>
        <color rgb="FF000000"/>
        <rFont val="Times New Roman"/>
      </rPr>
      <t xml:space="preserve">Шкаф для плакатов (карт) низкий, корпус ЛДСП 16 мм, кромка ПВХ, поделен на 2 секции.  Ручки металлические с хромированным покрытием. Предназначена для хранения пособий, карт, плакатов и других учебных принадлежностей. Размеры: ширина — 1200 мм, глубина — 400 мм, высота
</t>
    </r>
    <r>
      <rPr>
        <sz val="10"/>
        <color rgb="FF000000"/>
        <rFont val="Times New Roman"/>
      </rPr>
      <t xml:space="preserve">— 800 мм. На дверях по 2 петли и по 1 металлической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t>
    </r>
    <r>
      <rPr>
        <sz val="10"/>
        <color rgb="FF000000"/>
        <rFont val="Times New Roman"/>
      </rPr>
      <t>и влаги на шкаф предусмотрены 4 ножки высотой 5 см</t>
    </r>
  </si>
  <si>
    <r>
      <rPr>
        <sz val="10"/>
        <color rgb="FF000000"/>
        <rFont val="Times New Roman"/>
      </rPr>
      <t xml:space="preserve">522-101-1231-0007 - Шкаф для
</t>
    </r>
    <r>
      <rPr>
        <sz val="10"/>
        <color rgb="FF000000"/>
        <rFont val="Times New Roman"/>
      </rPr>
      <t>документов закрытый 400х450х422мм, ЛДСП 16мм</t>
    </r>
  </si>
  <si>
    <t>Шкаф для
документов закрытый 400х450х422мм,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</si>
  <si>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Фасад на двух петлях имеет правое или левое открывание</t>
    </r>
  </si>
  <si>
    <r>
      <rPr>
        <sz val="10"/>
        <color rgb="FF000000"/>
        <rFont val="Times New Roman"/>
      </rPr>
      <t xml:space="preserve">522-101-1231-0008 - Шкаф для
</t>
    </r>
    <r>
      <rPr>
        <sz val="10"/>
        <color rgb="FF000000"/>
        <rFont val="Times New Roman"/>
      </rPr>
      <t>документов закрытый 800х450х422мм, ЛДСП 16мм</t>
    </r>
  </si>
  <si>
    <t>Шкаф для
документов закрытый 800х450х422мм,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</si>
  <si>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Шкаф имеет две распашные двери на двух петлях с каждой стороны</t>
    </r>
  </si>
  <si>
    <r>
      <rPr>
        <sz val="10"/>
        <color rgb="FF000000"/>
        <rFont val="Times New Roman"/>
      </rPr>
      <t xml:space="preserve">522-101-1231-0009 - Шкаф для
</t>
    </r>
    <r>
      <rPr>
        <sz val="10"/>
        <color rgb="FF000000"/>
        <rFont val="Times New Roman"/>
      </rPr>
      <t>документов закрытый 800х450х422мм, 4 выдвижных ящика, ЛДСП 16мм</t>
    </r>
  </si>
  <si>
    <t>Шкаф для
документов закрытый 800х450х422мм, 4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</si>
  <si>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r>
  </si>
  <si>
    <r>
      <rPr>
        <sz val="10"/>
        <color rgb="FF000000"/>
        <rFont val="Times New Roman"/>
      </rPr>
      <t xml:space="preserve">522-101-1231-0010 - Шкаф для
</t>
    </r>
    <r>
      <rPr>
        <sz val="10"/>
        <color rgb="FF000000"/>
        <rFont val="Times New Roman"/>
      </rPr>
      <t>документов закрытый 800х450х422мм, 1 выдвижной ящик, ЛДСП 16мм</t>
    </r>
  </si>
  <si>
    <t>Шкаф для
документов закрытый 800х450х422мм, 1 выдвижной ящик,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</si>
  <si>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1 выдвижной ящик</t>
    </r>
  </si>
  <si>
    <r>
      <rPr>
        <sz val="10"/>
        <color rgb="FF000000"/>
        <rFont val="Times New Roman"/>
      </rPr>
      <t xml:space="preserve">522-101-1231-0011 - Шкаф для
</t>
    </r>
    <r>
      <rPr>
        <sz val="10"/>
        <color rgb="FF000000"/>
        <rFont val="Times New Roman"/>
      </rPr>
      <t>документов закрытый 1200х450х422мм, 3 распашные двери, ЛДСП 16мм</t>
    </r>
  </si>
  <si>
    <t>Шкаф для
документов закрытый 1200х450х422мм, 3 распашные двери,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</si>
  <si>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r>
  </si>
  <si>
    <r>
      <rPr>
        <sz val="10"/>
        <color rgb="FF000000"/>
        <rFont val="Times New Roman"/>
      </rPr>
      <t xml:space="preserve">522-101-1231-0012 - Шкаф для
</t>
    </r>
    <r>
      <rPr>
        <sz val="10"/>
        <color rgb="FF000000"/>
        <rFont val="Times New Roman"/>
      </rPr>
      <t>документов закрытый 1200х450х422мм, две распашные двери, два выдвижных ящика, ЛДСП 16мм</t>
    </r>
  </si>
  <si>
    <t>Шкаф для
документов закрытый 1200х450х422мм, две распашные двери, два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</si>
  <si>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с двух сторон и два выдвижных ящика по центру</t>
    </r>
  </si>
  <si>
    <r>
      <rPr>
        <sz val="10"/>
        <color rgb="FF000000"/>
        <rFont val="Times New Roman"/>
      </rPr>
      <t xml:space="preserve">522-101-1231-0013 - Шкаф для
</t>
    </r>
    <r>
      <rPr>
        <sz val="10"/>
        <color rgb="FF000000"/>
        <rFont val="Times New Roman"/>
      </rPr>
      <t>документов закрытый 1200х450х422мм, шесть выдвижных ящика, ЛДСП 16мм</t>
    </r>
  </si>
  <si>
    <t>Шкаф для
документов закрытый 1200х450х422мм, шесть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</si>
  <si>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ящика</t>
    </r>
  </si>
  <si>
    <r>
      <rPr>
        <sz val="10"/>
        <color rgb="FF000000"/>
        <rFont val="Times New Roman"/>
      </rPr>
      <t xml:space="preserve">522-101-1231-0014 - Шкаф для
</t>
    </r>
    <r>
      <rPr>
        <sz val="10"/>
        <color rgb="FF000000"/>
        <rFont val="Times New Roman"/>
      </rPr>
      <t>документов закрытый 800х450х814мм, четыре выдвижных ящика, ЛДСП 16мм</t>
    </r>
  </si>
  <si>
    <t>Шкаф для
документов закрытый 800х450х814мм, четыре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</si>
  <si>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r>
  </si>
  <si>
    <r>
      <rPr>
        <sz val="10"/>
        <color rgb="FF000000"/>
        <rFont val="Times New Roman"/>
      </rPr>
      <t xml:space="preserve">522-101-1231-0015 - Шкаф для
</t>
    </r>
    <r>
      <rPr>
        <sz val="10"/>
        <color rgb="FF000000"/>
        <rFont val="Times New Roman"/>
      </rPr>
      <t>документов закрытый 800х450х814мм, восемь выдвижных ящика, ЛДСП 16мм</t>
    </r>
  </si>
  <si>
    <t>Шкаф для
документов закрытый 800х450х814мм, восемь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</si>
  <si>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8 выдвижных ящика</t>
    </r>
  </si>
  <si>
    <r>
      <rPr>
        <sz val="10"/>
        <color rgb="FF000000"/>
        <rFont val="Times New Roman"/>
      </rPr>
      <t xml:space="preserve">522-101-1231-0016 - Шкаф для
</t>
    </r>
    <r>
      <rPr>
        <sz val="10"/>
        <color rgb="FF000000"/>
        <rFont val="Times New Roman"/>
      </rPr>
      <t>документов закрытый 1200х450х814мм, три распашные двери, шесть выдвижных ящика, ЛДСП 16мм</t>
    </r>
  </si>
  <si>
    <t>Шкаф для
документов закрытый 1200х450х814мм, три распашные двери, шесть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</si>
  <si>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r>
  </si>
  <si>
    <r>
      <rPr>
        <sz val="10"/>
        <color rgb="FF000000"/>
        <rFont val="Times New Roman"/>
      </rPr>
      <t xml:space="preserve">522-101-1231-0017 - Шкаф для
</t>
    </r>
    <r>
      <rPr>
        <sz val="10"/>
        <color rgb="FF000000"/>
        <rFont val="Times New Roman"/>
      </rPr>
      <t>документов закрытый 400х450х1200мм, 3 распашные двери, ЛДСП 16мм</t>
    </r>
  </si>
  <si>
    <t>Шкаф для
документов закрытый 400х450х1200мм, 3 распашные двери,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</si>
  <si>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r>
  </si>
  <si>
    <r>
      <rPr>
        <sz val="10"/>
        <color rgb="FF000000"/>
        <rFont val="Times New Roman"/>
      </rPr>
      <t xml:space="preserve">522-101-1231-0018 - Шкаф для
</t>
    </r>
    <r>
      <rPr>
        <sz val="10"/>
        <color rgb="FF000000"/>
        <rFont val="Times New Roman"/>
      </rPr>
      <t>документов закрытый 800х450х1200мм, шесть выдвижных ящика, ЛДСП 16мм</t>
    </r>
  </si>
  <si>
    <t>Шкаф для
документов закрытый 800х450х1200мм, шесть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</si>
  <si>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ящиков</t>
    </r>
  </si>
  <si>
    <r>
      <rPr>
        <sz val="10"/>
        <color rgb="FF000000"/>
        <rFont val="Times New Roman"/>
      </rPr>
      <t xml:space="preserve">522-101-1231-0019 - Шкаф для
</t>
    </r>
    <r>
      <rPr>
        <sz val="10"/>
        <color rgb="FF000000"/>
        <rFont val="Times New Roman"/>
      </rPr>
      <t>документов закрытый 1200х450х1206мм, 9 распашных дверей, ЛДСП 16мм</t>
    </r>
  </si>
  <si>
    <t>Шкаф для
документов закрытый 1200х450х1206мм, 9 распашных дверей,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</si>
  <si>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9 распашных дверей</t>
    </r>
  </si>
  <si>
    <r>
      <rPr>
        <sz val="10"/>
        <color rgb="FF000000"/>
        <rFont val="Times New Roman"/>
      </rPr>
      <t xml:space="preserve">522-101-1231-0020 - Шкаф для
</t>
    </r>
    <r>
      <rPr>
        <sz val="10"/>
        <color rgb="FF000000"/>
        <rFont val="Times New Roman"/>
      </rPr>
      <t>документов закрытый 400х450х1598мм, 2 распашные двери, полки, ЛДСП 16мм</t>
    </r>
  </si>
  <si>
    <t>Шкаф для
документов закрытый 400х450х1598мм, 2 распашные двери,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</si>
  <si>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полки ЛДСП 16мм</t>
    </r>
  </si>
  <si>
    <r>
      <rPr>
        <sz val="10"/>
        <color rgb="FF000000"/>
        <rFont val="Times New Roman"/>
      </rPr>
      <t xml:space="preserve">522-101-1231-0021 - Шкаф для
</t>
    </r>
    <r>
      <rPr>
        <sz val="10"/>
        <color rgb="FF000000"/>
        <rFont val="Times New Roman"/>
      </rPr>
      <t>документов закрытый 800х450х1598мм, 2 распашные двери, полки, ЛДСП 16мм</t>
    </r>
  </si>
  <si>
    <t>Шкаф для
документов закрытый 800х450х1598мм, 2 распашные двери,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</si>
  <si>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полки ЛДСП 16мм</t>
    </r>
  </si>
  <si>
    <r>
      <rPr>
        <sz val="10"/>
        <color rgb="FF000000"/>
        <rFont val="Times New Roman"/>
      </rPr>
      <t xml:space="preserve">522-101-1231-0022 - Шкаф для
</t>
    </r>
    <r>
      <rPr>
        <sz val="10"/>
        <color rgb="FF000000"/>
        <rFont val="Times New Roman"/>
      </rPr>
      <t>документов закрытый 800х450х1598мм, 4 распашные двери, полки, ЛДСП 16мм</t>
    </r>
  </si>
  <si>
    <t>Шкаф для
документов закрытый 800х450х1598мм, 4 распашные двери,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</si>
  <si>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полки ЛДСП 16мм</t>
    </r>
  </si>
  <si>
    <r>
      <rPr>
        <sz val="10"/>
        <color rgb="FF000000"/>
        <rFont val="Times New Roman"/>
      </rPr>
      <t xml:space="preserve">522-101-1231-0023 - Шкаф для
</t>
    </r>
    <r>
      <rPr>
        <sz val="10"/>
        <color rgb="FF000000"/>
        <rFont val="Times New Roman"/>
      </rPr>
      <t>документов закрытый 800х450х1598мм, 8 распашных дверей, ЛДСП 16мм</t>
    </r>
  </si>
  <si>
    <t>Шкаф для
документов закрытый 800х450х1598мм, 8 распашных дверей,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</si>
  <si>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8 распашных дверей</t>
    </r>
  </si>
  <si>
    <r>
      <rPr>
        <sz val="10"/>
        <color rgb="FF000000"/>
        <rFont val="Times New Roman"/>
      </rPr>
      <t xml:space="preserve">522-101-1231-0024 - Шкаф для
</t>
    </r>
    <r>
      <rPr>
        <sz val="10"/>
        <color rgb="FF000000"/>
        <rFont val="Times New Roman"/>
      </rPr>
      <t>документов закрытый 1200х450х1598мм, 12 распашных дверей, ЛДСП 16мм</t>
    </r>
  </si>
  <si>
    <t>Шкаф для
документов закрытый 1200х450х1598мм, 12 распашных дверей,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</si>
  <si>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</si>
  <si>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rgb="FF000000"/>
        <rFont val="Times New Roman"/>
      </rPr>
      <t xml:space="preserve">522-101-1231-0025 - Шкаф для
</t>
    </r>
    <r>
      <rPr>
        <sz val="10"/>
        <color rgb="FF000000"/>
        <rFont val="Times New Roman"/>
      </rPr>
      <t>документов закрытый 400х450х1990мм, 1 распашная дверь, полки, ЛДСП 16мм</t>
    </r>
  </si>
  <si>
    <t>Шкаф для
документов закрытый 400х450х1990мм, 1 распашная дверь,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</si>
  <si>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полки ЛДСП 16мм</t>
    </r>
  </si>
  <si>
    <r>
      <rPr>
        <sz val="10"/>
        <color rgb="FF000000"/>
        <rFont val="Times New Roman"/>
      </rPr>
      <t xml:space="preserve">522-101-1231-0026 - Шкаф для
</t>
    </r>
    <r>
      <rPr>
        <sz val="10"/>
        <color rgb="FF000000"/>
        <rFont val="Times New Roman"/>
      </rPr>
      <t>документов закрытый 800х450х1990мм, 2 распашные двери, полки, ЛДСП 16мм</t>
    </r>
  </si>
  <si>
    <t>Шкаф для
документов закрытый 800х450х1990мм, 2 распашные двери,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</si>
  <si>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полки ЛДСП 16мм</t>
    </r>
  </si>
  <si>
    <r>
      <rPr>
        <sz val="10"/>
        <color rgb="FF000000"/>
        <rFont val="Times New Roman"/>
      </rPr>
      <t xml:space="preserve">522-101-1231-0027 - Шкаф для
</t>
    </r>
    <r>
      <rPr>
        <sz val="10"/>
        <color rgb="FF000000"/>
        <rFont val="Times New Roman"/>
      </rPr>
      <t>документов закрытый 800х450х1990мм, 4 распашные двери, полки, ЛДСП 16мм</t>
    </r>
  </si>
  <si>
    <t>Шкаф для
документов закрытый 800х450х1990мм, 4 распашные двери,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</si>
  <si>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полки ЛДСП 16мм</t>
    </r>
  </si>
  <si>
    <r>
      <rPr>
        <sz val="10"/>
        <color rgb="FF000000"/>
        <rFont val="Times New Roman"/>
      </rPr>
      <t xml:space="preserve">522-101-1231-0028 - Шкаф для
</t>
    </r>
    <r>
      <rPr>
        <sz val="10"/>
        <color rgb="FF000000"/>
        <rFont val="Times New Roman"/>
      </rPr>
      <t>документов закрытый 800х380х1970мм. ЛДСП 16мм</t>
    </r>
  </si>
  <si>
    <t>Шкаф для
документов закрытый 800х380х1970мм. ЛДСП 16мм</t>
  </si>
  <si>
    <r>
      <rPr>
        <sz val="10"/>
        <color rgb="FF000000"/>
        <rFont val="Times New Roman"/>
      </rPr>
      <t xml:space="preserve">Шкаф для документов. Ширина - 800мм, глубина - 380мм, высота 1970мм.
</t>
    </r>
    <r>
      <rPr>
        <sz val="10"/>
        <color rgb="FF000000"/>
        <rFont val="Times New Roman"/>
      </rPr>
      <t>Шкаф выполнен из ламинированной ДСП 16мм. Торцы облицованы ударопрочной кромкой ПВХ толщиной 2мм. Ручки металлические.</t>
    </r>
  </si>
  <si>
    <r>
      <rPr>
        <sz val="10"/>
        <color rgb="FF000000"/>
        <rFont val="Times New Roman"/>
      </rPr>
      <t xml:space="preserve">522-101-1231-0029 - Шкаф для
</t>
    </r>
    <r>
      <rPr>
        <sz val="10"/>
        <color rgb="FF000000"/>
        <rFont val="Times New Roman"/>
      </rPr>
      <t>хранения игрушек и пособий закрытый 600х500х1850мм, снизу четыре выдвижные полки, сверху две распашные двери, ЛДСП 16 мм</t>
    </r>
  </si>
  <si>
    <t>Шкаф для
хранения игрушек и пособий закрытый 600х500х1850мм, снизу четыре выдвижные полки, сверху две распашные двери, ЛДСП 16 мм</t>
  </si>
  <si>
    <r>
      <rPr>
        <sz val="10"/>
        <color theme="1"/>
        <rFont val="Times New Roman"/>
      </rPr>
      <t>Шкаф для хранения игрушек и пособий 600х500х1850мм, ЛДСП 16 мм, кромка ПВХ. Снизу четыре выдвижные полки, сверху 2 распашные двери (4 полки).</t>
    </r>
  </si>
  <si>
    <r>
      <rPr>
        <sz val="10"/>
        <color rgb="FF000000"/>
        <rFont val="Times New Roman"/>
      </rPr>
      <t xml:space="preserve">522-101-1231-0030 - Шкаф для
</t>
    </r>
    <r>
      <rPr>
        <sz val="10"/>
        <color rgb="FF000000"/>
        <rFont val="Times New Roman"/>
      </rPr>
      <t xml:space="preserve">хранения игрушек и пособий. Размеры 600х500х1860мм. Снизу четыре выдвижные полки, сверху 2 распашные двери (4 полки).
</t>
    </r>
    <r>
      <rPr>
        <sz val="10"/>
        <color rgb="FF000000"/>
        <rFont val="Times New Roman"/>
      </rPr>
      <t>Материал корпуса, полок, выдвижных ящиков ЛДСП 16 мм. Задняя стенка и нижняя часть выдвижных ящиков из ламинированного МДФ 5 мм</t>
    </r>
  </si>
  <si>
    <t>Шкаф для
хранения игрушек и пособий. Размеры 600х500х1860мм. Снизу четыре выдвижные полки, сверху 2 распашные двери (4 полки).
Материал корпуса, полок, выдвижных ящиков ЛДСП 16 мм. Задняя стенка и нижняя часть выдвижных ящиков из ламинированного МДФ 5 мм</t>
  </si>
  <si>
    <r>
      <rPr>
        <sz val="10"/>
        <color rgb="FF000000"/>
        <rFont val="Times New Roman"/>
      </rPr>
      <t xml:space="preserve">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t>
    </r>
    <r>
      <rPr>
        <sz val="10"/>
        <color rgb="FF000000"/>
        <rFont val="Times New Roman"/>
      </rPr>
      <t xml:space="preserve">Нижняя часть ящиков соединяется таким же способом канала Для предотвращения воздействия воды и влаги на шкаф предусмотрены 4
</t>
    </r>
    <r>
      <rPr>
        <sz val="10"/>
        <color rgb="FF000000"/>
        <rFont val="Times New Roman"/>
      </rPr>
      <t>ножки высотой 5 см</t>
    </r>
  </si>
  <si>
    <r>
      <rPr>
        <sz val="10"/>
        <color rgb="FF000000"/>
        <rFont val="Times New Roman"/>
      </rPr>
      <t xml:space="preserve">522-101-1231-0031 - Шкаф для
</t>
    </r>
    <r>
      <rPr>
        <sz val="10"/>
        <color rgb="FF000000"/>
        <rFont val="Times New Roman"/>
      </rPr>
      <t>документов закрытый 1240х600х3500мм, 2 распашные двери, корпус, полки и двери из ЛДСП 16мм, задняя стенка из ламинированного МДФ 5 мм</t>
    </r>
  </si>
  <si>
    <t>Шкаф для
документов закрытый 1240х600х3500мм, 2 распашные двери, корпус, полки и двери из ЛДСП 16мм, задняя стенка из ламинированного МДФ 5 мм</t>
  </si>
  <si>
    <r>
      <rPr>
        <sz val="10"/>
        <color theme="1"/>
        <rFont val="Times New Roman"/>
      </rPr>
      <t>Шкаф для документов, закрыт 2 дверьми c полками.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длина 1240мм, глубина 600мм, высота 3500мм</t>
    </r>
  </si>
  <si>
    <r>
      <rPr>
        <sz val="10"/>
        <color rgb="FF000000"/>
        <rFont val="Times New Roman"/>
      </rPr>
      <t xml:space="preserve">522-101-1231-0036 - Шкаф для
</t>
    </r>
    <r>
      <rPr>
        <sz val="10"/>
        <color rgb="FF000000"/>
        <rFont val="Times New Roman"/>
      </rPr>
      <t>плакатов и карт (низкий), 5 вертикальных отделов, ЛДСП 16 мм, размеры 1100х445х1630 мм</t>
    </r>
  </si>
  <si>
    <t>Шкаф для
плакатов и карт (низкий), 5 вертикальных отделов, ЛДСП 16 мм, размеры 1100х445х1630 мм</t>
  </si>
  <si>
    <r>
      <rPr>
        <sz val="10"/>
        <color rgb="FF000000"/>
        <rFont val="Times New Roman"/>
      </rPr>
      <t xml:space="preserve">Предназначен для размещения учебных плакатов, малогабаритных карт и прочей листовой продукции. Габаритные размеры должны быть, не менее: ширина 1100 мм, глубина 420 мм, высота 1630 мм. Шкаф должен иметь две распашные дверцы на всю высоту шкафа. Внутри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Данные вертикальные отделы должны быть изготовлены из вертикальных планок (или полок) из ЛДСП толщиной не менее 16 мм размерами не менее: 1060х328 мм – 1 штука, которая должна крепиться к боковым стенкам каркаса шкафа с помощью минификс (эксцентрик), и 160х498 мм - 3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Планки должны крепиться на высоте не менее 150 мм от дна шкафа. Также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Несущие части, полки, фасадная часть – ЛДСП не менее 16 мм, задняя стенка – ХДФ не менее 3 мм. Кромка из ПВХ не менее 0,4 мм.
</t>
    </r>
    <r>
      <rPr>
        <sz val="10"/>
        <color rgb="FF000000"/>
        <rFont val="Times New Roman"/>
      </rPr>
      <t xml:space="preserve">Сборка должна производиться с помощью конфирматов 6,3х50 и
</t>
    </r>
    <r>
      <rPr>
        <sz val="10"/>
        <color rgb="FF000000"/>
        <rFont val="Times New Roman"/>
      </rPr>
      <t>эксцентриковых стяжек. Петля для дверок должна быть шарнирная накладная. Мебельные ножки должны регулироваться по высоте для компенсации неровностей пола.</t>
    </r>
  </si>
  <si>
    <r>
      <rPr>
        <sz val="10"/>
        <color rgb="FF000000"/>
        <rFont val="Times New Roman"/>
      </rPr>
      <t xml:space="preserve">522-101-1232-0001 - Шкаф
</t>
    </r>
    <r>
      <rPr>
        <sz val="10"/>
        <color rgb="FF000000"/>
        <rFont val="Times New Roman"/>
      </rPr>
      <t>закрытый полуостекленный 800х400х1800 мм</t>
    </r>
  </si>
  <si>
    <t>Шкаф
закрытый полуостекленный 800х400х1800 мм</t>
  </si>
  <si>
    <r>
      <rPr>
        <sz val="10"/>
        <color theme="1"/>
        <rFont val="Times New Roman"/>
      </rPr>
      <t>Шкаф закрытый полуостекленный 800х400х1800 мм. Корпус ЛДСП 16мм. Фасады верх - стекло, прозрачное, в рамке МДФ.  Полки - ЛДСП 16мм</t>
    </r>
  </si>
  <si>
    <r>
      <rPr>
        <sz val="10"/>
        <color rgb="FF000000"/>
        <rFont val="Times New Roman"/>
      </rPr>
      <t xml:space="preserve">522-101-1232-0002 - Шкаф
</t>
    </r>
    <r>
      <rPr>
        <sz val="10"/>
        <color rgb="FF000000"/>
        <rFont val="Times New Roman"/>
      </rPr>
      <t>закрытый полуостекленный 800х400х1450 мм</t>
    </r>
  </si>
  <si>
    <t>Шкаф
закрытый полуостекленный 800х400х1450 мм</t>
  </si>
  <si>
    <r>
      <rPr>
        <sz val="10"/>
        <color theme="1"/>
        <rFont val="Times New Roman"/>
      </rPr>
      <t>Шкаф закрытый полуостекленный 800х400х1450 мм. Корпус ЛДСП 16мм. Фасады верх - стекло, прозрачное, в рамке МДФ.  Полки - ЛДСП 16мм</t>
    </r>
  </si>
  <si>
    <r>
      <rPr>
        <sz val="10"/>
        <color rgb="FF000000"/>
        <rFont val="Times New Roman"/>
      </rPr>
      <t xml:space="preserve">522-101-1232-0003 - Шкаф
</t>
    </r>
    <r>
      <rPr>
        <sz val="10"/>
        <color rgb="FF000000"/>
        <rFont val="Times New Roman"/>
      </rPr>
      <t>закрытый полуостекленный 849х376х1835мм , полуоткрытый со стеклом,4 полки, 4 дверцы, регулируемые ножки, ЛДСП 16мм</t>
    </r>
  </si>
  <si>
    <t>Шкаф
закрытый полуостекленный 849х376х1835мм , полуоткрытый со стеклом,4 полки, 4 дверцы, регулируемые ножки, ЛДСП 16мм</t>
  </si>
  <si>
    <r>
      <rPr>
        <sz val="10"/>
        <color rgb="FF000000"/>
        <rFont val="Times New Roman"/>
      </rPr>
      <t xml:space="preserve">Шкаф закрытый полуостекленный 849х376х1835мм. Корпус ЛДСП 16мм.
</t>
    </r>
    <r>
      <rPr>
        <sz val="10"/>
        <color rgb="FF000000"/>
        <rFont val="Times New Roman"/>
      </rPr>
      <t>Верх стекло, низ закрытый. Полки - ЛДСП 16мм</t>
    </r>
  </si>
  <si>
    <r>
      <rPr>
        <sz val="10"/>
        <color rgb="FF000000"/>
        <rFont val="Times New Roman"/>
      </rPr>
      <t xml:space="preserve">522-101-1232-0004 - Шкаф
</t>
    </r>
    <r>
      <rPr>
        <sz val="10"/>
        <color rgb="FF000000"/>
        <rFont val="Times New Roman"/>
      </rPr>
      <t>закрытый полуостекленный 755х356х2000мм</t>
    </r>
  </si>
  <si>
    <t>Шкаф
закрытый полуостекленный 755х356х2000мм</t>
  </si>
  <si>
    <r>
      <rPr>
        <sz val="10"/>
        <color rgb="FF000000"/>
        <rFont val="Times New Roman"/>
      </rPr>
      <t xml:space="preserve">Несущие части, полки, фасадная часть – ЛДСП 16мм, задняя стенка - ДВП 4мм. Верхняя секция с тремя полками, с двумя полуостекленными
</t>
    </r>
    <r>
      <rPr>
        <sz val="10"/>
        <color rgb="FF000000"/>
        <rFont val="Times New Roman"/>
      </rPr>
      <t>дверцами и двумя ручками. Стекло в раме.</t>
    </r>
  </si>
  <si>
    <r>
      <rPr>
        <sz val="10"/>
        <color rgb="FF000000"/>
        <rFont val="Times New Roman"/>
      </rPr>
      <t xml:space="preserve">522-101-1232-0005 - Шкаф
</t>
    </r>
    <r>
      <rPr>
        <sz val="10"/>
        <color rgb="FF000000"/>
        <rFont val="Times New Roman"/>
      </rPr>
      <t>закрытый полуостекленный 850х400х2000 мм</t>
    </r>
  </si>
  <si>
    <t>Шкаф
закрытый полуостекленный 850х400х2000 мм</t>
  </si>
  <si>
    <r>
      <rPr>
        <sz val="10"/>
        <color theme="1"/>
        <rFont val="Times New Roman"/>
      </rPr>
      <t>Шкаф для документов изготовлен из ЛДСП 16мм, задняя стенка - ДВП 4мм. Верхняя секция с тремя полками, с двумя полуостекленными дверцами и двумя ручками. Нижняя секция с двумя дверцами и двумя полками. Замки на нижних дверцах и две ручки. Стекло в раме. Фурнитура: конфирманты, кромка - ПВХ 2мм, стяжка типа BLUM, полкодержатель металлический без пластиковых элементов, ручка 128 мм без острых углов, навес мебельный типа BLUM, ножка мебельная.</t>
    </r>
  </si>
  <si>
    <r>
      <rPr>
        <sz val="10"/>
        <color rgb="FF000000"/>
        <rFont val="Times New Roman"/>
      </rPr>
      <t xml:space="preserve">522-101-1232-0006 - Шкаф
</t>
    </r>
    <r>
      <rPr>
        <sz val="10"/>
        <color rgb="FF000000"/>
        <rFont val="Times New Roman"/>
      </rPr>
      <t xml:space="preserve">закрытый полуостекленный 800х400х1800мм. ЛДСП 16мм.
</t>
    </r>
    <r>
      <rPr>
        <sz val="10"/>
        <color rgb="FF000000"/>
        <rFont val="Times New Roman"/>
      </rPr>
      <t>Верхние двери в алюминиевом профиле, стекло бесцветное. Задняя стенка из МДФ 5мм</t>
    </r>
  </si>
  <si>
    <t>Шкаф
закрытый полуостекленный 800х400х1800мм. ЛДСП 16мм.
Верхние двери в алюминиевом профиле, стекло бесцветное. Задняя стенка из МДФ 5мм</t>
  </si>
  <si>
    <r>
      <rPr>
        <sz val="10"/>
        <color theme="1"/>
        <rFont val="Times New Roman"/>
      </rPr>
      <t>Шкаф закрытый полуостекленный 800х400х1800 мм.Корпус, двери и полки из ЛДСП 16мм, верхняя часть - закрытые полки с фасадом Стекло.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Верхние двери в алюминиевом профиле, стекло бесцветное.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r>
  </si>
  <si>
    <r>
      <rPr>
        <sz val="10"/>
        <color rgb="FF000000"/>
        <rFont val="Times New Roman"/>
      </rPr>
      <t xml:space="preserve">522-101-1232-0008 - Шкаф
</t>
    </r>
    <r>
      <rPr>
        <sz val="10"/>
        <color rgb="FF000000"/>
        <rFont val="Times New Roman"/>
      </rPr>
      <t>полуостекленный, стело в рамке, материал ЛДСП 16 мм, размеры 800х420х1930 мм</t>
    </r>
  </si>
  <si>
    <t>Шкаф
полуостекленный, стело в рамке, материал ЛДСП 16 мм, размеры 800х420х1930 мм</t>
  </si>
  <si>
    <r>
      <rPr>
        <sz val="10"/>
        <color theme="1"/>
        <rFont val="Times New Roman"/>
      </rPr>
      <t>Верхняя секция должна быть с тремя полками, с двумя остекленными дверцами. Стекло в рамке, ширина рамки 55 мм. Дверцы с ручками и внутренним замком. Высота остеклённой части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ПВХ – 0,4 мм. Сборка должна производиться с помощью конфирматов 6,3х50 и эксцентриковых стяжек. Петля для дверок внешняя с европланкой. Мебельные ножки должны регулироваться по высоте для компенсации неровностей пола.</t>
    </r>
  </si>
  <si>
    <r>
      <rPr>
        <sz val="10"/>
        <color rgb="FF000000"/>
        <rFont val="Times New Roman"/>
      </rPr>
      <t xml:space="preserve">522-101-1233-0001 - Шкаф для
</t>
    </r>
    <r>
      <rPr>
        <sz val="10"/>
        <color rgb="FF000000"/>
        <rFont val="Times New Roman"/>
      </rPr>
      <t>учебно-наглядных пособий полуоткрытый с открытыми верхними полками и закрытой нижней частью. Размер 600х350х1400мм. ЛДСП 16мм.</t>
    </r>
  </si>
  <si>
    <t>Шкаф для
учебно-наглядных пособий полуоткрытый с открытыми верхними полками и закрытой нижней частью. Размер 600х350х1400мм. ЛДСП 16мм.</t>
  </si>
  <si>
    <r>
      <rPr>
        <sz val="10"/>
        <color rgb="FF000000"/>
        <rFont val="Times New Roman"/>
      </rPr>
      <t xml:space="preserve">Шкаф для учебно-наглядных пособий полуоткрытый с открытыми верхними полками и закрытой нижней частью. Размер 600х350х1400мм.
</t>
    </r>
    <r>
      <rPr>
        <sz val="10"/>
        <color rgb="FF000000"/>
        <rFont val="Times New Roman"/>
      </rPr>
      <t>ЛДСП 16мм.</t>
    </r>
  </si>
  <si>
    <r>
      <rPr>
        <sz val="10"/>
        <color theme="1"/>
        <rFont val="Times New Roman"/>
      </rPr>
      <t>522-101-1233-0002 - Шкаф книжный полуоткрытый с открытыми верхними полками и закрытой нижней частью. Размер 800х520х1800мм. ЛДСП 16мм.</t>
    </r>
  </si>
  <si>
    <r>
      <rPr>
        <sz val="10"/>
        <color theme="1"/>
        <rFont val="Times New Roman"/>
      </rPr>
      <t>Шкаф книжный полуоткрытый с открытыми верхними полками и закрытой нижней частью. Размер 800х520х1800мм. ЛДСП 16мм.</t>
    </r>
  </si>
  <si>
    <r>
      <rPr>
        <sz val="10"/>
        <color rgb="FF000000"/>
        <rFont val="Times New Roman"/>
      </rPr>
      <t xml:space="preserve">522-101-1233-0003 - Шкаф для
</t>
    </r>
    <r>
      <rPr>
        <sz val="10"/>
        <color rgb="FF000000"/>
        <rFont val="Times New Roman"/>
      </rPr>
      <t>документов с полками закрытый, размер 800х450х1800мм, ЛДСП 16мм.</t>
    </r>
  </si>
  <si>
    <t>Шкаф для
документов с полками закрытый, размер 800х450х1800мм, ЛДСП 16мм.</t>
  </si>
  <si>
    <r>
      <rPr>
        <sz val="10"/>
        <color theme="1"/>
        <rFont val="Times New Roman"/>
      </rPr>
      <t>Шкаф для документов с полками закрытый, размер 800х450х1800мм, ЛДСП 16мм.</t>
    </r>
  </si>
  <si>
    <r>
      <rPr>
        <sz val="10"/>
        <color rgb="FF000000"/>
        <rFont val="Times New Roman"/>
      </rPr>
      <t xml:space="preserve">522-101-1233-0004 - Шкаф для
</t>
    </r>
    <r>
      <rPr>
        <sz val="10"/>
        <color rgb="FF000000"/>
        <rFont val="Times New Roman"/>
      </rPr>
      <t xml:space="preserve">учебно-наглядных пособий полуоткрытый. Размер 800х400х2050мм/800х450х2050мм.
</t>
    </r>
    <r>
      <rPr>
        <sz val="10"/>
        <color rgb="FF000000"/>
        <rFont val="Times New Roman"/>
      </rPr>
      <t>ЛДСП 16мм.</t>
    </r>
  </si>
  <si>
    <t>Шкаф для
учебно-наглядных пособий полуоткрытый. Размер 800х400х2050мм/800х450х2050мм.
ЛДСП 16мм.</t>
  </si>
  <si>
    <r>
      <rPr>
        <sz val="10"/>
        <color theme="1"/>
        <rFont val="Times New Roman"/>
      </rPr>
      <t>Шкаф для учебно-наглядных пособий полуоткрытый. Размер 800х400х2050мм/800х450х2050мм. ЛДСП 16мм.</t>
    </r>
  </si>
  <si>
    <r>
      <rPr>
        <sz val="10"/>
        <color theme="1"/>
        <rFont val="Times New Roman"/>
      </rPr>
      <t>522-101-1233-0005 - Шкаф книжный полуоткрытый с открытыми верхними полками и закрытой нижней частью. Размер 800х380х2000мм. ЛДСП 16мм.</t>
    </r>
  </si>
  <si>
    <r>
      <rPr>
        <sz val="10"/>
        <color theme="1"/>
        <rFont val="Times New Roman"/>
      </rPr>
      <t>Шкаф книжный полуоткрытый с открытыми верхними полками и закрытой нижней частью. Размер 800х380х2000мм. ЛДСП 16мм.</t>
    </r>
  </si>
  <si>
    <r>
      <rPr>
        <sz val="10"/>
        <color rgb="FF000000"/>
        <rFont val="Times New Roman"/>
      </rPr>
      <t xml:space="preserve">522-101-1233-0006 - Шкаф для
</t>
    </r>
    <r>
      <rPr>
        <sz val="10"/>
        <color rgb="FF000000"/>
        <rFont val="Times New Roman"/>
      </rPr>
      <t>документов с полками закрытый, размер 849х376х1835мм, ЛДСП 16мм</t>
    </r>
  </si>
  <si>
    <t>Шкаф для
документов с полками закрытый, размер 849х376х1835мм, ЛДСП 16мм</t>
  </si>
  <si>
    <r>
      <rPr>
        <sz val="10"/>
        <color theme="1"/>
        <rFont val="Times New Roman"/>
      </rPr>
      <t>Шкаф для документов с полками закрытый, размер 849х376х1835мм, ЛДСП 16мм. 4 глухие двери.</t>
    </r>
  </si>
  <si>
    <r>
      <rPr>
        <sz val="10"/>
        <color rgb="FF000000"/>
        <rFont val="Times New Roman"/>
      </rPr>
      <t xml:space="preserve">522-101-1233-0007 - Шкаф для
</t>
    </r>
    <r>
      <rPr>
        <sz val="10"/>
        <color rgb="FF000000"/>
        <rFont val="Times New Roman"/>
      </rPr>
      <t>документов с полками закрытый, размер 800х380х2000мм, ЛДСП 16мм</t>
    </r>
  </si>
  <si>
    <t>Шкаф для
документов с полками закрытый, размер 800х380х2000мм, ЛДСП 16мм</t>
  </si>
  <si>
    <r>
      <rPr>
        <sz val="10"/>
        <color theme="1"/>
        <rFont val="Times New Roman"/>
      </rPr>
      <t>Шкаф имеет четыре вставные полки за двумя глухими фасадами. В производстве используется материал ЛДСП 16 мм, торцы закатаны кромочным материалом ПВХ 1,5 мм. Фурнитура: конфирматы, стяжка BLUM, полкодержатель металл. (без пластиковых элементов), ручка 128 мм. (без острых углов), навес мебельный BLUM, ножка мебельная.</t>
    </r>
  </si>
  <si>
    <r>
      <rPr>
        <sz val="10"/>
        <color rgb="FF000000"/>
        <rFont val="Times New Roman"/>
      </rPr>
      <t xml:space="preserve">522-101-1233-0008 - Шкаф
</t>
    </r>
    <r>
      <rPr>
        <sz val="10"/>
        <color rgb="FF000000"/>
        <rFont val="Times New Roman"/>
      </rPr>
      <t>многофункциональный с открытыми верхними полками и закрытой нижней частью. Размер 1200х400х2300мм. ЛДСП 16мм.</t>
    </r>
  </si>
  <si>
    <t>Шкаф
многофункциональный с открытыми верхними полками и закрытой нижней частью. Размер 1200х400х2300мм. ЛДСП 16мм.</t>
  </si>
  <si>
    <r>
      <rPr>
        <sz val="10"/>
        <color theme="1"/>
        <rFont val="Times New Roman"/>
      </rPr>
      <t>Шкаф изготовлен из ЛДСП 16мм, задняя стенка - ДВП 4мм. Верхняя часть разделена на квадратные отсеки имеет 9 открытых полок. Нижняя секция имеет 3 закрытых полок с дверьми. Фурнитура: конфирматы,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r>
  </si>
  <si>
    <r>
      <rPr>
        <sz val="10"/>
        <color rgb="FF000000"/>
        <rFont val="Times New Roman"/>
      </rPr>
      <t xml:space="preserve">522-101-1233-0009 - Шкаф
</t>
    </r>
    <r>
      <rPr>
        <sz val="10"/>
        <color rgb="FF000000"/>
        <rFont val="Times New Roman"/>
      </rPr>
      <t>полуоткрытый с открытыми верхними полками и закрытой нижней частью. Размер 850х400х2000мм. ЛДСП 16мм.</t>
    </r>
  </si>
  <si>
    <t>Шкаф
полуоткрытый с открытыми верхними полками и закрытой нижней частью. Размер 850х400х2000мм. ЛДСП 16мм.</t>
  </si>
  <si>
    <r>
      <rPr>
        <sz val="10"/>
        <color theme="1"/>
        <rFont val="Times New Roman"/>
      </rPr>
      <t>Шкаф изготовлен из ЛДСП 16мм, задняя стенка - ДВП 4мм. Верхняя секция с тремя полками, нижняя секция с двумя полками и двумя дверцами. Замки на нижних дверцах и две ручки. Фурнитура: конфирманты,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r>
  </si>
  <si>
    <r>
      <rPr>
        <sz val="10"/>
        <color rgb="FF000000"/>
        <rFont val="Times New Roman"/>
      </rPr>
      <t xml:space="preserve">522-101-1233-0010 - Шкаф
</t>
    </r>
    <r>
      <rPr>
        <sz val="10"/>
        <color rgb="FF000000"/>
        <rFont val="Times New Roman"/>
      </rPr>
      <t>закрытый 800х432х2050мм. ЛДСП 16мм, задняя стенка МДФ 5мм</t>
    </r>
  </si>
  <si>
    <t>Шкаф
закрытый 800х432х2050мм. ЛДСП 16мм, задняя стенка МДФ 5мм</t>
  </si>
  <si>
    <r>
      <rPr>
        <sz val="10"/>
        <color rgb="FF000000"/>
        <rFont val="Times New Roman"/>
      </rPr>
      <t xml:space="preserve">Корпус, фасад верхний и нижний из ЛДСП 16мм, средняя секция - полка для бумаг без фасада,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t>
    </r>
    <r>
      <rPr>
        <sz val="10"/>
        <color rgb="FF000000"/>
        <rFont val="Times New Roman"/>
      </rPr>
      <t xml:space="preserve">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t>
    </r>
    <r>
      <rPr>
        <sz val="10"/>
        <color rgb="FF000000"/>
        <rFont val="Times New Roman"/>
      </rPr>
      <t>Для предотвращения воздействия воды и влаги предусмотрены 4 ножки высотой 5 см.</t>
    </r>
  </si>
  <si>
    <r>
      <rPr>
        <sz val="10"/>
        <color rgb="FF000000"/>
        <rFont val="Times New Roman"/>
      </rPr>
      <t xml:space="preserve">522-101-1233-0011 - Шкаф для
</t>
    </r>
    <r>
      <rPr>
        <sz val="10"/>
        <color rgb="FF000000"/>
        <rFont val="Times New Roman"/>
      </rPr>
      <t>документов полуоткрытый 800х450х422мм, одна из двух частей закрыта распашной дверью, ЛДСП 16мм</t>
    </r>
  </si>
  <si>
    <t>Шкаф для
документов полуоткрытый 800х450х422мм, одна из двух частей закрыта распашной дверью, ЛДСП 16мм</t>
  </si>
  <si>
    <r>
      <rPr>
        <sz val="10"/>
        <color theme="1"/>
        <rFont val="Times New Roman"/>
      </rPr>
      <t>Корпус, толщ 16мм выполнены из ЛДСП, кромка ПВХ не менее 1мм в цвет ЛДСП. Фасады  ЛДСП 16мм Задняя стенка ДВПО. Ножки черные плас. рег. H-27мм 800*450*422. Шкаф разделен на 2 части одна из них  закрыта на распашную дверь</t>
    </r>
  </si>
  <si>
    <r>
      <rPr>
        <sz val="10"/>
        <color rgb="FF000000"/>
        <rFont val="Times New Roman"/>
      </rPr>
      <t xml:space="preserve">522-101-1233-0012 - Шкаф для
</t>
    </r>
    <r>
      <rPr>
        <sz val="10"/>
        <color rgb="FF000000"/>
        <rFont val="Times New Roman"/>
      </rPr>
      <t>документов полуоткрытый 1200х450х814мм, четыре открытые полки, один распашной фасад по центру, ЛДСП 16мм</t>
    </r>
  </si>
  <si>
    <t>Шкаф для
документов полуоткрытый 1200х450х814мм, четыре открытые полки, один распашной фасад по центру,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</si>
  <si>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разделен на 3 части, в центре имеется 1 распашной фасад</t>
    </r>
  </si>
  <si>
    <r>
      <rPr>
        <sz val="10"/>
        <color rgb="FF000000"/>
        <rFont val="Times New Roman"/>
      </rPr>
      <t xml:space="preserve">522-101-1233-0013 - Шкаф для
</t>
    </r>
    <r>
      <rPr>
        <sz val="10"/>
        <color rgb="FF000000"/>
        <rFont val="Times New Roman"/>
      </rPr>
      <t>документов полуоткрытый 1200х450х814мм, верхние полки открытые, в нижней части распашные двери, ЛДСП 16мм</t>
    </r>
  </si>
  <si>
    <t>Шкаф для
документов полуоткрытый 1200х450х814мм, верхние полки открытые, в нижней части распашные двери,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</si>
  <si>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 нижней части распашные двери</t>
    </r>
  </si>
  <si>
    <r>
      <rPr>
        <sz val="10"/>
        <color rgb="FF000000"/>
        <rFont val="Times New Roman"/>
      </rPr>
      <t xml:space="preserve">522-101-1233-0014 - Шкаф для
</t>
    </r>
    <r>
      <rPr>
        <sz val="10"/>
        <color rgb="FF000000"/>
        <rFont val="Times New Roman"/>
      </rPr>
      <t>документов полуоткрытый 1200х450х814мм, по центру открытые полки, по двум сторонам 4 полки за распашными фасадами, ЛДСП 16мм</t>
    </r>
  </si>
  <si>
    <t>Шкаф для
документов полуоткрытый 1200х450х814мм, по центру открытые полки, по двум сторонам 4 полки за распашными фасадами,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</si>
  <si>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по центру открытые полки, по двум сторонам 4 полки за распашными фасадами</t>
    </r>
  </si>
  <si>
    <r>
      <rPr>
        <sz val="10"/>
        <color rgb="FF000000"/>
        <rFont val="Times New Roman"/>
      </rPr>
      <t xml:space="preserve">522-101-1233-0015 - Шкаф для
</t>
    </r>
    <r>
      <rPr>
        <sz val="10"/>
        <color rgb="FF000000"/>
        <rFont val="Times New Roman"/>
      </rPr>
      <t>документов полуоткрытый 400х450х1200мм, верхняя часть открытая, в нижней части два выдвижных ящика, ЛДСП 16мм</t>
    </r>
  </si>
  <si>
    <t>Шкаф для
документов полуоткрытый 400х450х1200мм, верхняя часть открытая, в нижней части два выдвижных ящика,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</si>
  <si>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2 штуки</t>
    </r>
  </si>
  <si>
    <r>
      <rPr>
        <sz val="10"/>
        <color rgb="FF000000"/>
        <rFont val="Times New Roman"/>
      </rPr>
      <t xml:space="preserve">522-101-1233-0016 - Шкаф для
</t>
    </r>
    <r>
      <rPr>
        <sz val="10"/>
        <color rgb="FF000000"/>
        <rFont val="Times New Roman"/>
      </rPr>
      <t>документов полуоткрытый 400х450х1200мм, верхняя часть открытая, в нижней части один выдвижной ящик, ЛДСП 16мм</t>
    </r>
  </si>
  <si>
    <t>Шкаф для
документов полуоткрытый 400х450х1200мм, верхняя часть открытая, в нижней части один выдвижной ящик,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</si>
  <si>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1 штука</t>
    </r>
  </si>
  <si>
    <r>
      <rPr>
        <sz val="10"/>
        <color rgb="FF000000"/>
        <rFont val="Times New Roman"/>
      </rPr>
      <t xml:space="preserve">522-101-1233-0017 - Шкаф для
</t>
    </r>
    <r>
      <rPr>
        <sz val="10"/>
        <color rgb="FF000000"/>
        <rFont val="Times New Roman"/>
      </rPr>
      <t>документов полуоткрытый 400х450х1200мм, верхняя часть одна распашная дверь, по центру открытая полка и в нижней части один выдвижной ящик, ЛДСП 16мм</t>
    </r>
  </si>
  <si>
    <t>Шкаф для
документов полуоткрытый 400х450х1200мм, верхняя часть одна распашная дверь, по центру открытая полка и в нижней части один выдвижной ящик,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</si>
  <si>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верхняя часть 1 распашная дверь, по центру открытая полка и в нижней части один выдвижной ящик</t>
    </r>
  </si>
  <si>
    <r>
      <rPr>
        <sz val="10"/>
        <color rgb="FF000000"/>
        <rFont val="Times New Roman"/>
      </rPr>
      <t xml:space="preserve">522-101-1233-0018 - Шкаф для
</t>
    </r>
    <r>
      <rPr>
        <sz val="10"/>
        <color rgb="FF000000"/>
        <rFont val="Times New Roman"/>
      </rPr>
      <t>документов полуоткрытый 800х450х1200мм, одна часть с открытыми полками, вторая часть закрыта тремя распашными дверями, ЛДСП 16мм</t>
    </r>
  </si>
  <si>
    <t>Шкаф для
документов полуоткрытый 800х450х1200мм, одна часть с открытыми полками, вторая часть закрыта тремя распашными дверями,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</si>
  <si>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шкаф состоит из 2х частей одна сторона открытые полки. Вторая часть распашные двери в количестве 3 штук</t>
    </r>
  </si>
  <si>
    <r>
      <rPr>
        <sz val="10"/>
        <color rgb="FF000000"/>
        <rFont val="Times New Roman"/>
      </rPr>
      <t xml:space="preserve">522-101-1233-0019 - Шкаф для
</t>
    </r>
    <r>
      <rPr>
        <sz val="10"/>
        <color rgb="FF000000"/>
        <rFont val="Times New Roman"/>
      </rPr>
      <t>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r>
  </si>
  <si>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</si>
  <si>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в нижней части 1 широкий выдвижной ящик, с правой стороны 2 распашные двери в верхней части и в центральной</t>
    </r>
  </si>
  <si>
    <r>
      <rPr>
        <sz val="10"/>
        <color rgb="FF000000"/>
        <rFont val="Times New Roman"/>
      </rPr>
      <t xml:space="preserve">522-101-1233-0020 - Шкаф для
</t>
    </r>
    <r>
      <rPr>
        <sz val="10"/>
        <color rgb="FF000000"/>
        <rFont val="Times New Roman"/>
      </rPr>
      <t>документов полуоткрытый 1200х450х1206мм, шесть распашных дверей и открытые полки, ЛДСП 16мм</t>
    </r>
  </si>
  <si>
    <t>Шкаф для
документов полуоткрытый 1200х450х1206мм, шесть распашных дверей и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</si>
  <si>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t>
    </r>
  </si>
  <si>
    <r>
      <rPr>
        <sz val="10"/>
        <color rgb="FF000000"/>
        <rFont val="Times New Roman"/>
      </rPr>
      <t xml:space="preserve">522-101-1233-0021 - Шкаф для
</t>
    </r>
    <r>
      <rPr>
        <sz val="10"/>
        <color rgb="FF000000"/>
        <rFont val="Times New Roman"/>
      </rPr>
      <t>документов полуоткрытый 1200х450х1206мм, имеет сверху и снизу шесть распашных дверей, по центру открытые полки, ЛДСП 16мм</t>
    </r>
  </si>
  <si>
    <t>Шкаф для
документов полуоткрытый 1200х450х1206мм, имеет сверху и снизу шесть распашных дверей, по центру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</si>
  <si>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сверху и снизу 6 распашных верей</t>
    </r>
  </si>
  <si>
    <r>
      <rPr>
        <sz val="10"/>
        <color rgb="FF000000"/>
        <rFont val="Times New Roman"/>
      </rPr>
      <t xml:space="preserve">522-101-1233-0022 - Шкаф для
</t>
    </r>
    <r>
      <rPr>
        <sz val="10"/>
        <color rgb="FF000000"/>
        <rFont val="Times New Roman"/>
      </rPr>
      <t>документов полуоткрытый 1200х450х1206мм, имеет три распашные двери, расположенные по диагонали, открытые полки, ЛДСП 16мм</t>
    </r>
  </si>
  <si>
    <t>Шкаф для
документов полуоткрытый 1200х450х1206мм, имеет три распашные двери, расположенные по диагонали,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</si>
  <si>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 расположенные по диагонали</t>
    </r>
  </si>
  <si>
    <r>
      <rPr>
        <sz val="10"/>
        <color rgb="FF000000"/>
        <rFont val="Times New Roman"/>
      </rPr>
      <t xml:space="preserve">522-101-1233-0023 - Шкаф для
</t>
    </r>
    <r>
      <rPr>
        <sz val="10"/>
        <color rgb="FF000000"/>
        <rFont val="Times New Roman"/>
      </rPr>
      <t>документов полуоткрытый 1200х450х1206мм, пять распашных дверей в шахматном порядке, открытые полки, ЛДСП 16мм</t>
    </r>
  </si>
  <si>
    <t>Шкаф для
документов полуоткрытый 1200х450х1206мм, пять распашных дверей в шахматном порядке,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</si>
  <si>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в шахматном порядке</t>
    </r>
  </si>
  <si>
    <r>
      <rPr>
        <sz val="10"/>
        <color rgb="FF000000"/>
        <rFont val="Times New Roman"/>
      </rPr>
      <t xml:space="preserve">522-101-1233-0024 - Шкаф для
</t>
    </r>
    <r>
      <rPr>
        <sz val="10"/>
        <color rgb="FF000000"/>
        <rFont val="Times New Roman"/>
      </rPr>
      <t>документов полуоткрытый 400х450х1598мм, имеет два выдвижных ящика в нижней части, открытые верхние полки, ЛДСП 16мм</t>
    </r>
  </si>
  <si>
    <t>Шкаф для
документов полуоткрытый 400х450х1598мм, имеет два выдвижных ящика в нижней части, открытые верхние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</si>
  <si>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2 выдвижных ящика в нижней части шкафа</t>
    </r>
  </si>
  <si>
    <r>
      <rPr>
        <sz val="10"/>
        <color rgb="FF000000"/>
        <rFont val="Times New Roman"/>
      </rPr>
      <t xml:space="preserve">522-101-1233-0025 - Шкаф для
</t>
    </r>
    <r>
      <rPr>
        <sz val="10"/>
        <color rgb="FF000000"/>
        <rFont val="Times New Roman"/>
      </rPr>
      <t>документов полуоткрытый 400х450х1598мм, один распашной фасад в верхней части, один выдвижной ящик в нижней части, открытые полки по центру, ЛДСП 16мм</t>
    </r>
  </si>
  <si>
    <t>Шкаф для
документов полуоткрытый 400х450х1598мм, один распашной фасад в верхней части, один выдвижной ящик в нижней части, открытые полки по центру,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</si>
  <si>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1 распашной фасад в верхней части, и 1 выдвижной ящик в нижней части шкафа</t>
    </r>
  </si>
  <si>
    <r>
      <rPr>
        <sz val="10"/>
        <color rgb="FF000000"/>
        <rFont val="Times New Roman"/>
      </rPr>
      <t xml:space="preserve">522-101-1233-0026 - Шкаф для
</t>
    </r>
    <r>
      <rPr>
        <sz val="10"/>
        <color rgb="FF000000"/>
        <rFont val="Times New Roman"/>
      </rPr>
      <t>документов полуоткрытый 800х450х1598мм, две распашные двери в нижней части, верхние открытые полки, ЛДСП 16мм</t>
    </r>
  </si>
  <si>
    <t>Шкаф для
документов полуоткрытый 800х450х1598мм, две распашные двери в нижней части, верхние открытые полки, ЛДСП 16мм</t>
  </si>
  <si>
    <r>
      <rPr>
        <sz val="10"/>
        <color rgb="FF000000"/>
        <rFont val="Times New Roman"/>
      </rPr>
      <t xml:space="preserve">Корпус, толщ 16мм выполнены из ЛДСП, кромка ПВХ не менее 1мм в цвет ЛДСП. Фасады  ЛДСП 16мм Задняя стенка ДВПО. Ножки черные плас. рег.
</t>
    </r>
    <r>
      <rPr>
        <sz val="10"/>
        <color rgb="FF000000"/>
        <rFont val="Times New Roman"/>
      </rPr>
      <t>H-27мм, имеет 2 распашные двери в нижней части шкафа</t>
    </r>
  </si>
  <si>
    <r>
      <rPr>
        <sz val="10"/>
        <color rgb="FF000000"/>
        <rFont val="Times New Roman"/>
      </rPr>
      <t xml:space="preserve">522-101-1233-0027 - Шкаф для
</t>
    </r>
    <r>
      <rPr>
        <sz val="10"/>
        <color rgb="FF000000"/>
        <rFont val="Times New Roman"/>
      </rPr>
      <t>документов полуоткрытый 800х450х1598мм, две распашные двери в нижней части шкафа, четыре верхних открытых отделения, ЛДСП 16мм</t>
    </r>
  </si>
  <si>
    <t>Шкаф для
документов полуоткрытый 800х450х1598мм, две распашные двери в нижней части шкафа, четыре верхних открытых отделения,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</si>
  <si>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8</t>
    </r>
  </si>
  <si>
    <r>
      <rPr>
        <sz val="10"/>
        <color rgb="FF000000"/>
        <rFont val="Times New Roman"/>
      </rPr>
      <t xml:space="preserve">522-101-1233-0028 - Шкаф для
</t>
    </r>
    <r>
      <rPr>
        <sz val="10"/>
        <color rgb="FF000000"/>
        <rFont val="Times New Roman"/>
      </rPr>
      <t>документов полуоткрытый 800х450х1598мм, четыре распашных двери и четыре открытых полок в шахматном порядке, ЛДСП 16мм</t>
    </r>
  </si>
  <si>
    <t>Шкаф для
документов полуоткрытый 800х450х1598мм, четыре распашных двери и четыре открытых полок в шахматном порядке,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</si>
  <si>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4 распашных двери распаложенные в шахматном порядке</t>
    </r>
  </si>
  <si>
    <r>
      <rPr>
        <sz val="10"/>
        <color rgb="FF000000"/>
        <rFont val="Times New Roman"/>
      </rPr>
      <t xml:space="preserve">522-101-1233-0029 - Шкаф для
</t>
    </r>
    <r>
      <rPr>
        <sz val="10"/>
        <color rgb="FF000000"/>
        <rFont val="Times New Roman"/>
      </rPr>
      <t>документов полуоткрытый 800х450х1598мм, одна распашная дверь, два выдвижных ящика, две открытые полки, ЛДСП 16мм</t>
    </r>
  </si>
  <si>
    <t>Шкаф для
документов полуоткрытый 800х450х1598мм, одна распашная дверь, два выдвижных ящика, две открытые полки, ЛДСП 16мм</t>
  </si>
  <si>
    <r>
      <rPr>
        <sz val="10"/>
        <color theme="1"/>
        <rFont val="Times New Roman"/>
      </rPr>
      <t>Корпус, толщ 16мм выполнены из ЛДСП, кромка ПВХ не менее 1мм в цвет ЛДСП. Фасады  ЛДСП 16мм Задняя стенка ДВПО. Ножки черные плас. рег. H-27мм, имеет с одной стороны 1 распашную дверь и 2 выдвижных ящика с другой стороны</t>
    </r>
  </si>
  <si>
    <r>
      <rPr>
        <sz val="10"/>
        <color rgb="FF000000"/>
        <rFont val="Times New Roman"/>
      </rPr>
      <t xml:space="preserve">522-101-1233-0030 - Шкаф для
</t>
    </r>
    <r>
      <rPr>
        <sz val="10"/>
        <color rgb="FF000000"/>
        <rFont val="Times New Roman"/>
      </rPr>
      <t>документов полуоткрытый 1200х450х1598мм, две распашные двери, полки открытые, ЛДСП 16мм</t>
    </r>
  </si>
  <si>
    <t>Шкаф для
документов полуоткрытый 1200х450х1598мм, две распашные двери, полки открытые, ЛДСП 16мм</t>
  </si>
  <si>
    <r>
      <rPr>
        <sz val="10"/>
        <color rgb="FF000000"/>
        <rFont val="Times New Roman"/>
      </rPr>
      <t xml:space="preserve">Корпус, толщ 16мм выполнены из ЛДСП, кромка ПВХ не менее 1мм в цвет ЛДСП. Фасады  ЛДСП 16мм Задняя стенка ДВПО. Ножки черные плас. рег.
</t>
    </r>
    <r>
      <rPr>
        <sz val="10"/>
        <color rgb="FF000000"/>
        <rFont val="Times New Roman"/>
      </rPr>
      <t>H-27мм</t>
    </r>
  </si>
  <si>
    <r>
      <rPr>
        <sz val="10"/>
        <color rgb="FF000000"/>
        <rFont val="Times New Roman"/>
      </rPr>
      <t xml:space="preserve">522-101-1233-0031 - Шкаф локер
</t>
    </r>
    <r>
      <rPr>
        <sz val="10"/>
        <color rgb="FF000000"/>
        <rFont val="Times New Roman"/>
      </rPr>
      <t>для документов полуоткрытый 1200х450х1598мм, шесть распашных дверей и шесть открытых полок в шахматном порядке, ЛДСП 16мм</t>
    </r>
  </si>
  <si>
    <t>Шкаф локер
для документов полуоткрытый 1200х450х1598мм, шесть распашных дверей и шесть открытых полок в шахматном порядке,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</si>
  <si>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 расположенные в шахматном порядке</t>
    </r>
  </si>
  <si>
    <r>
      <rPr>
        <sz val="10"/>
        <color rgb="FF000000"/>
        <rFont val="Times New Roman"/>
      </rPr>
      <t xml:space="preserve">522-101-1233-0032 - Шкаф для
</t>
    </r>
    <r>
      <rPr>
        <sz val="10"/>
        <color rgb="FF000000"/>
        <rFont val="Times New Roman"/>
      </rPr>
      <t>документов полуоткрытый 400х450х1990мм, один фасад распашной и два выдвижных ящика в нижней части, открытые полки, ЛДСП 16мм</t>
    </r>
  </si>
  <si>
    <t>Шкаф для
документов полуоткрытый 400х450х1990мм, один фасад распашной и два выдвижных ящика в нижней части,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</si>
  <si>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1 фасад распашной и 2 выдвижных ящика в нижней части</t>
    </r>
  </si>
  <si>
    <r>
      <rPr>
        <sz val="10"/>
        <color rgb="FF000000"/>
        <rFont val="Times New Roman"/>
      </rPr>
      <t xml:space="preserve">522-101-1233-0033 - Шкаф для
</t>
    </r>
    <r>
      <rPr>
        <sz val="10"/>
        <color rgb="FF000000"/>
        <rFont val="Times New Roman"/>
      </rPr>
      <t>документов полуоткрытый 800х450х1990мм, две распашные двери в нижней части, верхние открытые полки, ЛДСП 16мм</t>
    </r>
  </si>
  <si>
    <t>Шкаф для
документов полуоткрытый 800х450х1990мм, две распашные двери в нижней части, верхние открытые полки,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</si>
  <si>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</si>
  <si>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rgb="FF000000"/>
        <rFont val="Times New Roman"/>
      </rPr>
      <t xml:space="preserve">522-101-1233-0034 - Шкаф для
</t>
    </r>
    <r>
      <rPr>
        <sz val="10"/>
        <color rgb="FF000000"/>
        <rFont val="Times New Roman"/>
      </rPr>
      <t>документов полуоткрытый 800х450х1990мм, пять распашных дверей и пять открытых полок в шахматном порядке, ЛДСП 16мм</t>
    </r>
  </si>
  <si>
    <t>Шкаф для
документов полуоткрытый 800х450х1990мм, пять распашных дверей и пять открытых полок в шахматном порядке, ЛДСП 16мм</t>
  </si>
  <si>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расположенных в шахматном порядке</t>
    </r>
  </si>
  <si>
    <r>
      <rPr>
        <sz val="10"/>
        <color rgb="FF000000"/>
        <rFont val="Times New Roman"/>
      </rPr>
      <t xml:space="preserve">522-101-1233-0035 - Шкаф для
</t>
    </r>
    <r>
      <rPr>
        <sz val="10"/>
        <color rgb="FF000000"/>
        <rFont val="Times New Roman"/>
      </rPr>
      <t>бумаг полуоткрытый 800х380х2100мм. Верхние полки открытые, в нижней части распашные двери, ЛДСП 16мм</t>
    </r>
  </si>
  <si>
    <t>Шкаф для
бумаг полуоткрытый 800х380х2100мм. Верхние полки открытые, в нижней части распашные двери, ЛДСП 16мм</t>
  </si>
  <si>
    <r>
      <rPr>
        <sz val="10"/>
        <color theme="1"/>
        <rFont val="Times New Roman"/>
      </rPr>
      <t>Шкаф для бумаг. Ширина - 800мм, глубина - 380мм, высота 2 100мм. Шкаф выполнен из ламинированной ДСП 16мм. Торцы облицованы ударопрочной кромкой ПВХ толщиной 2мм. Ручки металлические.</t>
    </r>
  </si>
  <si>
    <r>
      <rPr>
        <sz val="10"/>
        <color rgb="FF000000"/>
        <rFont val="Times New Roman"/>
      </rPr>
      <t xml:space="preserve">522-101-1233-0036 - Шкаф под
</t>
    </r>
    <r>
      <rPr>
        <sz val="10"/>
        <color rgb="FF000000"/>
        <rFont val="Times New Roman"/>
      </rPr>
      <t>файлы полуоткрытый 800х380х1970мм. Верхние полки открытые, в нижней части распашные двери, ЛДСП 16мм</t>
    </r>
  </si>
  <si>
    <t>Шкаф под
файлы полуоткрытый 800х380х1970мм. Верхние полки открытые, в нижней части распашные двери, ЛДСП 16мм</t>
  </si>
  <si>
    <r>
      <rPr>
        <sz val="10"/>
        <color theme="1"/>
        <rFont val="Times New Roman"/>
      </rPr>
      <t>Ширина - 800мм, глубина - 380мм, высота 1970мм. Шкаф выполнен из ЛДСП 16мм. Торцы облицованы ударопрочной кромкой ПВХ толщиной 1,5-2мм. Ручки металлические.</t>
    </r>
  </si>
  <si>
    <r>
      <rPr>
        <sz val="10"/>
        <color rgb="FF000000"/>
        <rFont val="Times New Roman"/>
      </rPr>
      <t xml:space="preserve">522-101-1233-0037 - Шкаф для
</t>
    </r>
    <r>
      <rPr>
        <sz val="10"/>
        <color rgb="FF000000"/>
        <rFont val="Times New Roman"/>
      </rPr>
      <t>учебно-наглядных пособий полуоткрытый 1300х420х1200мм, по центру открытые полки, по бокам две распашные двери, ЛДСП 16мм</t>
    </r>
  </si>
  <si>
    <t>Шкаф для
учебно-наглядных пособий полуоткрытый 1300х420х1200мм, по центру открытые полки, по бокам две распашные двери, ЛДСП 16мм</t>
  </si>
  <si>
    <r>
      <rPr>
        <sz val="10"/>
        <color theme="1"/>
        <rFont val="Times New Roman"/>
      </rPr>
      <t>Ширина -1 300мм, глубина - 420мм, высота 1 200мм. Шкаф выполнен из ЛДСП 16мм. Торцы облицованы ударопрочной кромкой ПВХ толщиной 2мм. Ручки металлические.</t>
    </r>
  </si>
  <si>
    <r>
      <rPr>
        <sz val="10"/>
        <color rgb="FF000000"/>
        <rFont val="Times New Roman"/>
      </rPr>
      <t xml:space="preserve">522-101-1233-0038 - Шкаф
</t>
    </r>
    <r>
      <rPr>
        <sz val="10"/>
        <color rgb="FF000000"/>
        <rFont val="Times New Roman"/>
      </rPr>
      <t>полуоткрытый 800х400х1000мм, две распашные двери в нижней части, верхняя открытая полка, ЛДСП 16мм</t>
    </r>
  </si>
  <si>
    <t>Шкаф
полуоткрытый 800х400х1000мм, две распашные двери в нижней части, верхняя открытая полка, ЛДСП 16мм</t>
  </si>
  <si>
    <r>
      <rPr>
        <sz val="10"/>
        <color rgb="FF000000"/>
        <rFont val="Times New Roman"/>
      </rPr>
      <t xml:space="preserve">Шкаф полуоткрытый. Выполнен из ЛДСП 16 мм. Размер шкафа: ВхШхГ 1000х800х400 мм. Нижняя часть шкафа закрыта глухими распашными дверьми. В нижней закрытой части шкафа имеется полка. На дверях шкафа устанавливается удобная металлическая ручка-профиль. Цвет
</t>
    </r>
    <r>
      <rPr>
        <sz val="10"/>
        <color rgb="FF000000"/>
        <rFont val="Times New Roman"/>
      </rPr>
      <t>ручки-профиль по желанию заказчика, в самых разнообразных цветовых решениях. Верх часть шкафа открытая полка. Ножки шкафа высотой 100 мм, изготовлена из хромированной трубы с регулируемой пластиковой заглушкой. Цвет шкафа: светло-серый.</t>
    </r>
  </si>
  <si>
    <r>
      <rPr>
        <sz val="10"/>
        <color rgb="FF000000"/>
        <rFont val="Times New Roman"/>
      </rPr>
      <t xml:space="preserve">522-101-1233-0039 - Шкаф
</t>
    </r>
    <r>
      <rPr>
        <sz val="10"/>
        <color rgb="FF000000"/>
        <rFont val="Times New Roman"/>
      </rPr>
      <t>полуоткрытый 1050х500х2400мм, две распашные двери в нижней части, верхние открытые полки, ЛДСП 16мм. Задняя стенка из ламинированного МДФ 5 мм</t>
    </r>
  </si>
  <si>
    <t>Шкаф
полуоткрытый 1050х500х2400мм, две распашные двери в нижней части, верхние открытые полки, ЛДСП 16мм. Задняя стенка из ламинированного МДФ 5 мм</t>
  </si>
  <si>
    <r>
      <rPr>
        <sz val="10"/>
        <color rgb="FF000000"/>
        <rFont val="Times New Roman"/>
      </rPr>
      <t xml:space="preserve">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t>
    </r>
    <r>
      <rPr>
        <sz val="10"/>
        <color rgb="FF000000"/>
        <rFont val="Times New Roman"/>
      </rPr>
      <t xml:space="preserve">стяжки-минификс. На боковых стенках, верхней и нижней детали шкафа фрезеруется канал, в которую монтируется задняя стенка. Для
</t>
    </r>
    <r>
      <rPr>
        <sz val="10"/>
        <color rgb="FF000000"/>
        <rFont val="Times New Roman"/>
      </rPr>
      <t>предотвращения воздействия воды и влаги предусмотрены 4 ножки высотой 5 см.</t>
    </r>
  </si>
  <si>
    <r>
      <rPr>
        <sz val="10"/>
        <color rgb="FF000000"/>
        <rFont val="Times New Roman"/>
      </rPr>
      <t xml:space="preserve">522-101-1233-0040 - Шкаф для
</t>
    </r>
    <r>
      <rPr>
        <sz val="10"/>
        <color rgb="FF000000"/>
        <rFont val="Times New Roman"/>
      </rPr>
      <t xml:space="preserve">учебно-наглядных пособий полуоткрытый с открытыми верхними полками и закрытой нижней частью. Размер 600х350х1400мм. ЛДСП 16мм,
</t>
    </r>
    <r>
      <rPr>
        <sz val="10"/>
        <color rgb="FF000000"/>
        <rFont val="Times New Roman"/>
      </rPr>
      <t>задняя стенка МДФ 5мм</t>
    </r>
  </si>
  <si>
    <t>Шкаф для
учебно-наглядных пособий полуоткрытый с открытыми верхними полками и закрытой нижней частью. Размер 600х350х1400мм. ЛДСП 16мм,
задняя стенка МДФ 5мм</t>
  </si>
  <si>
    <r>
      <rPr>
        <sz val="10"/>
        <color rgb="FF000000"/>
        <rFont val="Times New Roman"/>
      </rPr>
      <t xml:space="preserve">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t>
    </r>
    <r>
      <rPr>
        <sz val="10"/>
        <color rgb="FF000000"/>
        <rFont val="Times New Roman"/>
      </rPr>
      <t xml:space="preserve">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t>
    </r>
    <r>
      <rPr>
        <sz val="10"/>
        <color rgb="FF000000"/>
        <rFont val="Times New Roman"/>
      </rPr>
      <t>высотой 5 см.</t>
    </r>
  </si>
  <si>
    <r>
      <rPr>
        <sz val="10"/>
        <color rgb="FF000000"/>
        <rFont val="Times New Roman"/>
      </rPr>
      <t xml:space="preserve">522-101-1233-0041 - Шкаф
</t>
    </r>
    <r>
      <rPr>
        <sz val="10"/>
        <color rgb="FF000000"/>
        <rFont val="Times New Roman"/>
      </rPr>
      <t xml:space="preserve">многофункциональный с открытыми верхними полками и закрытой нижней частью. Размер 1200х500х1800мм. ЛДСП 16мм,
</t>
    </r>
    <r>
      <rPr>
        <sz val="10"/>
        <color rgb="FF000000"/>
        <rFont val="Times New Roman"/>
      </rPr>
      <t>задняя стенка ламинированный МДФ 5 мм</t>
    </r>
  </si>
  <si>
    <t>Шкаф
многофункциональный с открытыми верхними полками и закрытой нижней частью. Размер 1200х500х1800мм. ЛДСП 16мм,
задняя стенка ламинированный МДФ 5 мм</t>
  </si>
  <si>
    <r>
      <rPr>
        <sz val="10"/>
        <color rgb="FF000000"/>
        <rFont val="Times New Roman"/>
      </rPr>
      <t xml:space="preserve">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Корпус соединяется с помощью системой эксцентриковой
</t>
    </r>
    <r>
      <rPr>
        <sz val="10"/>
        <color rgb="FF000000"/>
        <rFont val="Times New Roman"/>
      </rPr>
      <t>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r>
  </si>
  <si>
    <r>
      <rPr>
        <sz val="10"/>
        <color rgb="FF000000"/>
        <rFont val="Times New Roman"/>
      </rPr>
      <t xml:space="preserve">522-101-1233-0044 - Стенка для
</t>
    </r>
    <r>
      <rPr>
        <sz val="10"/>
        <color rgb="FF000000"/>
        <rFont val="Times New Roman"/>
      </rPr>
      <t>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r>
  </si>
  <si>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</si>
  <si>
    <r>
      <rPr>
        <sz val="10"/>
        <color theme="1"/>
        <rFont val="Times New Roman"/>
      </rPr>
      <t>Материал ЛДСП 16 мм, кромка ПВХ 0,4 мм. Стенка состоит из четырех секций. Левая длиной 1200 мм, представляет собой закрытый шкаф, поделенный вертикальной перегородкой на две секции, в каждой из которых находится по 4 полки. С верху имеется открытая ниша, высотой 470 мм. Правый шкаф длиной 1200 мм, для одежды, имеет штангу для плечиков, а также открытую нишу высотой 470 мм. Два средних шкафа имеют одинаковую конструкцию, каждый длинной 1690 мм. Средние шкафы состоят из четырех ящиков, высотой 294 мм, с жестким дном на направляющих полного выдвижения. Над ящиками находится открытая ниша с полкой из крашенного МДФ, с прорезями для хранения домбр. Над полкой также присутствуют две открытые ниши, одна высотой 278 мм, а вторая 470 мм. Сборка должна производиться с помощью конфирматов 6,3х50 и эксцентриковых стяжек. Петля для дверок должна быть шарнирная накладная с функцией «softclose». Мебельные ножки должны регулироваться по высоте для компенсации неровностей пола.</t>
    </r>
  </si>
  <si>
    <r>
      <rPr>
        <sz val="10"/>
        <color rgb="FF000000"/>
        <rFont val="Times New Roman"/>
      </rPr>
      <t xml:space="preserve">522-101-1233-0045 - Шкаф
</t>
    </r>
    <r>
      <rPr>
        <sz val="10"/>
        <color rgb="FF000000"/>
        <rFont val="Times New Roman"/>
      </rPr>
      <t>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r>
  </si>
  <si>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</si>
  <si>
    <r>
      <rPr>
        <sz val="10"/>
        <color theme="1"/>
        <rFont val="Times New Roman"/>
      </rPr>
      <t>Для изготовления шкафа должна использоваться ЛДСП толщиной не менее 16 мм. Должен состоять из трех шкафов, каждый шириной не менее 800 мм. Два из них должны быть закрытыми, один – полуоткрытый. Каждый шкаф должен иметь 2 полки, разделяющие его на три равные по высоте горизонтальные секции. Общие габаритные размеры шкафа, не менее: длина 2400 мм, глубина 420 мм, высота 1230 мм. Дверцы должны быть с ручками и иметь внутренние врезные мебельные замки. Шкаф должен стоять на ножках высотой не более 30 мм, имеющих регулировку для компенсации неровностей пола. Между собой шкафы должны быть скреплены межсекционными стяжками. Задняя стенка должна быть из ХДФ не менее 3 мм. Кромка должна быть из ПВХ не менее 0,4 мм.</t>
    </r>
  </si>
  <si>
    <r>
      <rPr>
        <sz val="10"/>
        <color rgb="FF000000"/>
        <rFont val="Times New Roman"/>
      </rPr>
      <t xml:space="preserve">522-101-1233-0046 - Шкаф
</t>
    </r>
    <r>
      <rPr>
        <sz val="10"/>
        <color rgb="FF000000"/>
        <rFont val="Times New Roman"/>
      </rPr>
      <t>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r>
  </si>
  <si>
    <t>Шкаф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</si>
  <si>
    <r>
      <rPr>
        <sz val="10"/>
        <color rgb="FF000000"/>
        <rFont val="Times New Roman"/>
      </rPr>
      <t xml:space="preserve">Верхняя секция должна быть с 4 нишами закрытыми 4 глухими дверцами с ручками. Нижняя секция должна быть с двумя открытыми нишами и 1 выдвижным ящиком с ручкой. Несущие части, полки, фасадная часть – ЛДСП толщиной не менее 16 мм, задняя стенка - ХДФ не менее 3 мм.
</t>
    </r>
    <r>
      <rPr>
        <sz val="10"/>
        <color rgb="FF000000"/>
        <rFont val="Times New Roman"/>
      </rPr>
      <t xml:space="preserve">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t>
    </r>
    <r>
      <rPr>
        <sz val="10"/>
        <color rgb="FF000000"/>
        <rFont val="Times New Roman"/>
      </rPr>
      <t>Мебельные ножки должны регулироваться по высоте для компенсации неровностей пола.</t>
    </r>
  </si>
  <si>
    <r>
      <rPr>
        <sz val="10"/>
        <color rgb="FF000000"/>
        <rFont val="Times New Roman"/>
      </rPr>
      <t xml:space="preserve">522-101-1233-0047 - Шкаф
</t>
    </r>
    <r>
      <rPr>
        <sz val="10"/>
        <color rgb="FF000000"/>
        <rFont val="Times New Roman"/>
      </rPr>
      <t>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r>
  </si>
  <si>
    <t>Шкаф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</si>
  <si>
    <r>
      <rPr>
        <sz val="10"/>
        <color rgb="FF000000"/>
        <rFont val="Times New Roman"/>
      </rPr>
      <t xml:space="preserve">Верхняя секция должна быть с 4 открытыми нишами. Нижняя секция должна быть с 4 нишами закрытыми 4 глухими дверцами с ручкой и 1 выдвижным ящиком.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t>
    </r>
    <r>
      <rPr>
        <sz val="10"/>
        <color rgb="FF000000"/>
        <rFont val="Times New Roman"/>
      </rPr>
      <t xml:space="preserve">Мебельные ножки должны регулироваться по высоте для компенсации
</t>
    </r>
    <r>
      <rPr>
        <sz val="10"/>
        <color rgb="FF000000"/>
        <rFont val="Times New Roman"/>
      </rPr>
      <t>неровностей пола.</t>
    </r>
  </si>
  <si>
    <r>
      <rPr>
        <sz val="10"/>
        <color rgb="FF000000"/>
        <rFont val="Times New Roman"/>
      </rPr>
      <t xml:space="preserve">522-101-1233-0048 - Шкаф
</t>
    </r>
    <r>
      <rPr>
        <sz val="10"/>
        <color rgb="FF000000"/>
        <rFont val="Times New Roman"/>
      </rPr>
      <t>комбинированный, два боковые закрытые, один с пятью полками, второй плательный с полкой для головных уборов и выдвижной вешалкой, размеры 2400х420х1930 мм</t>
    </r>
  </si>
  <si>
    <t>Шкаф
комбинированный, два боковые закрытые, один с пятью полками, второй плательный с полкой для головных уборов и выдвижной вешалкой, размеры 2400х420х1930 мм</t>
  </si>
  <si>
    <r>
      <rPr>
        <sz val="10"/>
        <color theme="1"/>
        <rFont val="Times New Roman"/>
      </rPr>
      <t>Должен состоять из 3 шкафов. Два боковых должны быть закрытые, один с пятью полками, а второй плательный с полкой для головных уборов и выдвижной вешалкой. Дверцы должны быть с ручками и внутренним замком. Габаритные размеры каждой шкафа не менее: длина – 800 мм, глубина – 420 мм, высота – 1930 мм. Средняя секция должна быть с тремя открытыми и двумя закрытыми полками, двумя глухими дверцами, ручками и внутренним замком. Габаритные размеры не менее: длина – 800 мм, глубина – 420 мм, высота – 1930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r>
  </si>
  <si>
    <r>
      <rPr>
        <sz val="10"/>
        <color rgb="FF000000"/>
        <rFont val="Times New Roman"/>
      </rPr>
      <t xml:space="preserve">522-101-1233-0049 - Шкаф для
</t>
    </r>
    <r>
      <rPr>
        <sz val="10"/>
        <color rgb="FF000000"/>
        <rFont val="Times New Roman"/>
      </rPr>
      <t>документов на 8 ячеек, 4 из которых закрыты внутренними дверками, материал ЛДСП 16 мм, размеры 800х450х1600 мм</t>
    </r>
  </si>
  <si>
    <t>Шкаф для
документов на 8 ячеек, 4 из которых закрыты внутренними дверками, материал ЛДСП 16 мм, размеры 800х450х1600 мм</t>
  </si>
  <si>
    <r>
      <rPr>
        <sz val="10"/>
        <color theme="1"/>
        <rFont val="Times New Roman"/>
      </rPr>
      <t>Шкаф представляет из себя стеллаж, поделенный вертикальными и горизонтальными стойками на 8 ячеек, 4 из которых закрыты внутренними дверками. В дверях предусмотрен эргономический вырез, служащий в качестве ручки.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внутренняя с европланкой и функцией «softclose». Мебельные ножки должны регулироваться по высоте для компенсации неровностей пола.</t>
    </r>
  </si>
  <si>
    <r>
      <rPr>
        <sz val="10"/>
        <color rgb="FF000000"/>
        <rFont val="Times New Roman"/>
      </rPr>
      <t xml:space="preserve">522-101-1233-0050 - Шкаф
</t>
    </r>
    <r>
      <rPr>
        <sz val="10"/>
        <color rgb="FF000000"/>
        <rFont val="Times New Roman"/>
      </rPr>
      <t>пристенный со столом лабораторный, корпус шкафов, полки из ЛДСП 16 мм, размеры 2000х470х2000 мм</t>
    </r>
  </si>
  <si>
    <t>Шкаф
пристенный со столом лабораторный, корпус шкафов, полки из ЛДСП 16 мм, размеры 2000х470х2000 мм</t>
  </si>
  <si>
    <r>
      <rPr>
        <sz val="10"/>
        <color rgb="FF000000"/>
        <rFont val="Times New Roman"/>
      </rPr>
      <t xml:space="preserve">Общие габаритные размеры шкафа должны быть, не менее: ширина 2000 мм, глубина 470 мм, высота 2000 мм. Конструктивно шкаф должен быть выполнен из двух шкафов шириной 1000 мм, скрепленных между собой межсекционными стяжками. Для изготовления шкафа используется ЛДСП. Кромка должна быть из ПВХ не менее 0,4 мм. Каждый шкаф должен состоять из двух отделений. Верхнее и нижнее отделение каждого шкафа должно быть разделено на четыре одинаковые ниши. Нижнее отделение каждого шкафа должно быть закрыто двумя дверцами, имеющими ручки и врезной мебельный замок. Высота нижнего отделения каждого шкафа 900 мм. Шкафы должны стоять на ножках высотой не более 30 мм, имеющих регулировку для компенсации неровностей пола. Верхняя крышка закрытого отделения каждого шкафа должна быть изготовлена из ЛДСП не менее 32 мм. Корпус шкафов, полки – из ЛДСП не менее 16 мм. К шкафу должен крепиться приставной стол, габаритные размеры стола: длина не менее 1200 мм, ширина не менее 960 мм, высота над полом 900 мм.
</t>
    </r>
    <r>
      <rPr>
        <sz val="10"/>
        <color rgb="FF000000"/>
        <rFont val="Times New Roman"/>
      </rPr>
      <t xml:space="preserve">Материал столешницы – ЛДСП толщиной не менее 32 мм с ударопрочной
</t>
    </r>
    <r>
      <rPr>
        <sz val="10"/>
        <color rgb="FF000000"/>
        <rFont val="Times New Roman"/>
      </rPr>
      <t>поверхностью. Кромка из ПВХ не менее 2 мм. Материал стойки стола – ЛДСП толщиной не менее 32 мм.</t>
    </r>
  </si>
  <si>
    <r>
      <rPr>
        <sz val="10"/>
        <color rgb="FF000000"/>
        <rFont val="Times New Roman"/>
      </rPr>
      <t xml:space="preserve">522-101-1233-0051 - Шкаф для
</t>
    </r>
    <r>
      <rPr>
        <sz val="10"/>
        <color rgb="FF000000"/>
        <rFont val="Times New Roman"/>
      </rPr>
      <t>учебно-наглядных пособий полуоткрытый с открытыми верхними полками и закрытой нижней частью. Размер 800х420х930 мм. ЛДСП 16мм.</t>
    </r>
  </si>
  <si>
    <t>Шкаф для
учебно-наглядных пособий полуоткрытый с открытыми верхними полками и закрытой нижней частью. Размер 800х420х930 мм. ЛДСП 16мм.</t>
  </si>
  <si>
    <r>
      <rPr>
        <sz val="10"/>
        <color rgb="FF000000"/>
        <rFont val="Times New Roman"/>
      </rPr>
      <t xml:space="preserve">Верхняя секция должна быть открытая с тремя полками. Высота открытой секции - 1080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t>
    </r>
    <r>
      <rPr>
        <sz val="10"/>
        <color rgb="FF000000"/>
        <rFont val="Times New Roman"/>
      </rPr>
      <t xml:space="preserve">Кромка из ПВХ на торцах 0,4 мм. Сборка должна производиться с помощью конфирматов 6,3х50 и эксцентриковых стяжек. Петля для дверок
</t>
    </r>
    <r>
      <rPr>
        <sz val="10"/>
        <color rgb="FF000000"/>
        <rFont val="Times New Roman"/>
      </rPr>
      <t>- внешняя с европланкой. Мебельные ножки должны регулироваться по высоте для компенсации неровностей пола.</t>
    </r>
  </si>
  <si>
    <r>
      <rPr>
        <sz val="10"/>
        <color rgb="FF000000"/>
        <rFont val="Times New Roman"/>
      </rPr>
      <t xml:space="preserve">522-101-1233-0052 - Шкаф для
</t>
    </r>
    <r>
      <rPr>
        <sz val="10"/>
        <color rgb="FF000000"/>
        <rFont val="Times New Roman"/>
      </rPr>
      <t>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r>
  </si>
  <si>
    <t>Шкаф для
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</si>
  <si>
    <r>
      <rPr>
        <sz val="10"/>
        <color theme="1"/>
        <rFont val="Times New Roman"/>
      </rPr>
      <t>Для изготовления шкафа должна использоваться ЛДСП комбинированного декора. Кромка должна быть из ПВХ не менее 0,4 мм. Конструктивно шкаф должен иметь сверху два ряда открытых ячеек для маленьких лотков, по четыре ячейки в ряду, каждая размером 320х100 мм. Под ними слева должны располагаться три открытые вертикальные ячейки размером 320х250 мм для больших лотков. В нижней правой части шкафа за двумя распашными дверцами должны быть три ряда ячеек. Верхний ряд - одна ячейка размером 992х250 мм, второй и третий ряд по две ячейки размером 488х250 мм. Боковые стенки шкафа наверху должны иметь радиусные закругления. Крышка шкафа должна быть притоплена относительно стенок на 50 мм для образования рабочей поверхности с бортиками. Шкаф должен опираться на 6 колесных опор диаметром 50 мм.</t>
    </r>
  </si>
  <si>
    <r>
      <rPr>
        <sz val="10"/>
        <color rgb="FF000000"/>
        <rFont val="Times New Roman"/>
      </rPr>
      <t xml:space="preserve">522-101-1233-0053 - Шкаф для
</t>
    </r>
    <r>
      <rPr>
        <sz val="10"/>
        <color rgb="FF000000"/>
        <rFont val="Times New Roman"/>
      </rPr>
      <t>музыкальных инструментов, размеры 2400х460х2030 мм, ЛДСП 16 мм, кромка ПВХ, 3 секции</t>
    </r>
  </si>
  <si>
    <t>Шкаф для
музыкальных инструментов, размеры 2400х460х2030 мм, ЛДСП 16 мм, кромка ПВХ, 3 секции</t>
  </si>
  <si>
    <r>
      <rPr>
        <sz val="10"/>
        <color theme="1"/>
        <rFont val="Times New Roman"/>
      </rPr>
      <t>Материал ЛДСП 16 мм, кромка ПВХ 0,4 мм. Стенка состоит из 3 секций. Первая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Вторая секция состоит из верхней ниши за стеклянными фасадами в рамке ЛДСП, за которыми находится штанга с крючками, для хранения домбр. Ниже расположен выдвижной ящик. Под ним расположена одна глухая секция с полкой и одна открытая ниша с выдвижной полкой. Третья секция является зеркальным отображением второй, за исключением нижней открытой секции, которая поделена горизонтально полкой.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Петля для дверок должна быть шарнирная с быстросъемным механизмом и газовым доводчиком. Ручки металлические с межцентровым расстоянием 128 мм. Мебельные ножки должны регулироваться по высоте для компенсации неровностей пола.</t>
    </r>
  </si>
  <si>
    <r>
      <rPr>
        <sz val="10"/>
        <color rgb="FF000000"/>
        <rFont val="Times New Roman"/>
      </rPr>
      <t xml:space="preserve">522-101-1235-0001 - Шкаф
</t>
    </r>
    <r>
      <rPr>
        <sz val="10"/>
        <color rgb="FF000000"/>
        <rFont val="Times New Roman"/>
      </rPr>
      <t>открытый 800х420х1930 мм. ЛДСП 16мм.</t>
    </r>
  </si>
  <si>
    <t>Шкаф
открытый 800х420х1930 мм. ЛДСП 16мм.</t>
  </si>
  <si>
    <r>
      <rPr>
        <sz val="10"/>
        <color theme="1"/>
        <rFont val="Times New Roman"/>
      </rPr>
      <t>Шкаф открытый 800х420х1930 мм. ЛДСП 16мм.</t>
    </r>
  </si>
  <si>
    <r>
      <rPr>
        <sz val="10"/>
        <color theme="1"/>
        <rFont val="Times New Roman"/>
      </rPr>
      <t>522-101-1235-0002 - Шкаф стеллаж открытый 849х360х1835мм. ЛДСП 16мм</t>
    </r>
  </si>
  <si>
    <t>Шкаф стеллаж открытый 849х360х1835мм. ЛДСП 16мм</t>
  </si>
  <si>
    <r>
      <rPr>
        <sz val="10"/>
        <color theme="1"/>
        <rFont val="Times New Roman"/>
      </rPr>
      <t>Шкаф стеллаж открытый 849х360х1835мм. ЛДСП 16мм. Открытые полки</t>
    </r>
  </si>
  <si>
    <r>
      <rPr>
        <sz val="10"/>
        <color rgb="FF000000"/>
        <rFont val="Times New Roman"/>
      </rPr>
      <t xml:space="preserve">522-101-1235-0003 - Шкаф стеллаж открытый 1000х400х2100мм.
</t>
    </r>
    <r>
      <rPr>
        <sz val="10"/>
        <color rgb="FF000000"/>
        <rFont val="Times New Roman"/>
      </rPr>
      <t>Корпус, полки из ЛДСП 16мм, задняя стенка из МДФ 5мм</t>
    </r>
  </si>
  <si>
    <t>Шкаф стеллаж открытый 1000х400х2100мм.
Корпус, полки из ЛДСП 16мм, задняя стенка из МДФ 5мм</t>
  </si>
  <si>
    <r>
      <rPr>
        <sz val="10"/>
        <color rgb="FF000000"/>
        <rFont val="Times New Roman"/>
      </rPr>
      <t xml:space="preserve">Открытый стеллаж состоит из 4 полок. Материал корпуса, полок открытые из ЛДСП 16 мм. Задняя стенка из ламинированного МДФ 1го класса толщиной 5 мм. Кромка ПВХ с использованием высокотемпературного клея. Корпус и фиксированные полки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t>
    </r>
    <r>
      <rPr>
        <sz val="10"/>
        <color rgb="FF000000"/>
        <rFont val="Times New Roman"/>
      </rPr>
      <t>Для предотвращения воздействия воды и влаги на шкаф предусмотрены 4 ножки высотой 5 см.</t>
    </r>
  </si>
  <si>
    <r>
      <rPr>
        <sz val="10"/>
        <color theme="1"/>
        <rFont val="Times New Roman"/>
      </rPr>
      <t>522-101-1235-0004 - Шкаф стеллаж открытый для документов 400х430х1200мм,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</si>
  <si>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открытый шкаф, с открытыми полками</t>
    </r>
  </si>
  <si>
    <r>
      <rPr>
        <sz val="10"/>
        <color theme="1"/>
        <rFont val="Times New Roman"/>
      </rPr>
      <t>522-101-1235-0005 - Шкаф стеллаж открытый для документов 1200х430х1206мм,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</si>
  <si>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 открытые полки не сквозные</t>
    </r>
  </si>
  <si>
    <r>
      <rPr>
        <sz val="10"/>
        <color theme="1"/>
        <rFont val="Times New Roman"/>
      </rPr>
      <t>522-101-1235-0006 - Шкаф стеллаж открытый для документов 400х430х1598мм,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</si>
  <si>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</si>
  <si>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522-101-1235-0007 - Шкаф стеллаж открытый для документов 800х430х1598мм,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</si>
  <si>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</si>
  <si>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522-101-1235-0008 - Шкаф стеллаж открытый для документов 800х450х1598мм,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</si>
  <si>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</si>
  <si>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522-101-1235-0009 - Шкаф стеллаж открытый для документов 1200х430х1598мм,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</si>
  <si>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</si>
  <si>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522-101-1235-0010 - Шкаф стеллаж открытый для документов 400х430х1990мм,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</si>
  <si>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</si>
  <si>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522-101-1235-0011 - Шкаф стеллаж открытый для документов 800х430х1990мм,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</si>
  <si>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</si>
  <si>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522-101-1235-0012 - Шкаф стеллаж открытый для документов 800х430х1990мм, с открытыми полками, разделенными на две секции,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</si>
  <si>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</si>
  <si>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522-101-1235-0013 - Шкаф стеллаж открытый для документов 1200х430х1990мм, с открытыми полками ЛДСП 16мм</t>
    </r>
  </si>
  <si>
    <r>
      <rPr>
        <sz val="10"/>
        <color theme="1"/>
        <rFont val="Times New Roman"/>
      </rPr>
      <t>Корпус выполнен из ЛДСП, толщиной 16мм, кромка ПВХ не менее 1мм в цвет ЛДСП. Фасады  ЛДСП 16мм. Задняя стенка ДВПО. Ножки черные плас. рег. H-27мм</t>
    </r>
  </si>
  <si>
    <r>
      <rPr>
        <sz val="10"/>
        <color theme="1"/>
        <rFont val="Times New Roman"/>
      </rPr>
      <t>522-101-1235-0014 - Шкаф стеллаж открытый 700х350х1500мм, с полками ЛДСП 16мм</t>
    </r>
  </si>
  <si>
    <r>
      <rPr>
        <sz val="10"/>
        <color theme="1"/>
        <rFont val="Times New Roman"/>
      </rPr>
      <t>Выполнен из ЛДСП 16 мм, торцы обрамлены кромкой ПВХ. Конструкцией шкафа предусмотрены 4 полки на полкодержателях. Шкаф снабжен регулируемыми опорами, позволяющими компенсировать неровности пола.</t>
    </r>
  </si>
  <si>
    <r>
      <rPr>
        <sz val="10"/>
        <color theme="1"/>
        <rFont val="Times New Roman"/>
      </rPr>
      <t>522-101-1235-0015 - Шкаф стеллаж открытый 350х450х2530мм, с полками ЛДСП 16мм</t>
    </r>
  </si>
  <si>
    <r>
      <rPr>
        <sz val="10"/>
        <color theme="1"/>
        <rFont val="Times New Roman"/>
      </rPr>
      <t>Шкаф с открытыми полками выполнен из ЛДСП 16 мм. Размер шкафа: ВхШхГ 2530х350х450 мм. Боковые торцы шкафа облицована кромкой ПВХ 1 мм. Задняя стенка шкафа по желанию заказчика может быть открытая, либо закрытая. Ножки шкафа высотой 100 мм, изготовлена из хромированной трубы с регулируемой пластиковой заглушкой.</t>
    </r>
  </si>
  <si>
    <r>
      <rPr>
        <sz val="10"/>
        <color theme="1"/>
        <rFont val="Times New Roman"/>
      </rPr>
      <t>522-101-1235-0016 - Шкаф стеллаж открытый 800х420х1930мм. Корпус, полки из ЛДСП 16мм, задняя стенка из МДФ 5мм</t>
    </r>
  </si>
  <si>
    <r>
      <rPr>
        <sz val="10"/>
        <color theme="1"/>
        <rFont val="Times New Roman"/>
      </rPr>
      <t>Шкаф открытый 800х420х1930 мм, 5 открытых полок.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r>
  </si>
  <si>
    <r>
      <rPr>
        <sz val="10"/>
        <color rgb="FF000000"/>
        <rFont val="Times New Roman"/>
      </rPr>
      <t xml:space="preserve">522-101-1235-0017 - Шкаф стеллаж открытый 2000х300х1000мм.
</t>
    </r>
    <r>
      <rPr>
        <sz val="10"/>
        <color rgb="FF000000"/>
        <rFont val="Times New Roman"/>
      </rPr>
      <t>Корпус, полки из ЛДСП 16мм, 20 ячеек, задняя стенка из МДФ 5мм</t>
    </r>
  </si>
  <si>
    <t>Шкаф стеллаж открытый 2000х300х1000мм.
Корпус, полки из ЛДСП 16мм, 20 ячеек, задняя стенка из МДФ 5мм</t>
  </si>
  <si>
    <r>
      <rPr>
        <sz val="10"/>
        <color theme="1"/>
        <rFont val="Times New Roman"/>
      </rPr>
      <t>Шкаф для обуви с 20 ячейками, 2000х300х1000(h). Кромка ПВХ 1мм с использованием высокотемпературного клея. Задняя стенка из ламинированного МДФ 1го класса, толщиной 5 мм.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r>
  </si>
  <si>
    <r>
      <rPr>
        <sz val="10"/>
        <color theme="1"/>
        <rFont val="Times New Roman"/>
      </rPr>
      <t>522-101-1235-0018 - Шкаф стеллаж открытый экспозиционный 400х400х1500мм, с открытыми полками ЛДСП 16мм, задняя стенка из МДФ 5 мм</t>
    </r>
  </si>
  <si>
    <r>
      <rPr>
        <sz val="10"/>
        <color theme="1"/>
        <rFont val="Times New Roman"/>
      </rPr>
      <t>Стеллаж экспозиционный 400х400х1500 мм, 10 открытых полок.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r>
  </si>
  <si>
    <r>
      <rPr>
        <sz val="10"/>
        <color rgb="FF000000"/>
        <rFont val="Times New Roman"/>
      </rPr>
      <t xml:space="preserve">522-101-1235-0019 - Шкаф стеллаж открытый 1000х320х2250мм.
</t>
    </r>
    <r>
      <rPr>
        <sz val="10"/>
        <color rgb="FF000000"/>
        <rFont val="Times New Roman"/>
      </rPr>
      <t>Корпус, полки наклонные из ЛДСП 16мм, задняя стенка из МДФ 5мм</t>
    </r>
  </si>
  <si>
    <t>Шкаф стеллаж открытый 1000х320х2250мм.
Корпус, полки наклонные из ЛДСП 16мм, задняя стенка из МДФ 5мм</t>
  </si>
  <si>
    <r>
      <rPr>
        <sz val="10"/>
        <color theme="1"/>
        <rFont val="Times New Roman"/>
      </rPr>
      <t>Стеллаж библиотечный экспозиционный на 4 наклонных полках.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r>
  </si>
  <si>
    <r>
      <rPr>
        <sz val="10"/>
        <color rgb="FF000000"/>
        <rFont val="Times New Roman"/>
      </rPr>
      <t xml:space="preserve">522-101-1235-0020 - Шкаф стеллаж открытый 2050х460х2050мм.
</t>
    </r>
    <r>
      <rPr>
        <sz val="10"/>
        <color rgb="FF000000"/>
        <rFont val="Times New Roman"/>
      </rPr>
      <t>Корпус, полки из ЛДСП 16мм, 20 ячеек, задняя стенка из МДФ 5мм</t>
    </r>
  </si>
  <si>
    <t>Шкаф стеллаж открытый 2050х460х2050мм.
Корпус, полки из ЛДСП 16мм, 20 ячеек, задняя стенка из МДФ 5мм</t>
  </si>
  <si>
    <r>
      <rPr>
        <sz val="10"/>
        <color rgb="FF000000"/>
        <rFont val="Times New Roman"/>
      </rPr>
      <t xml:space="preserve">Шкаф модульный для хранения принадлежностей и выставки работ с индивидуальными ячейками в четыре уровня по высоте. Изготовлен из ЛДСП 16 мм, кромка ПВХ. Задняя стенка из ламинированного МДФ 1го класса, толщиной 5 мм. Размеры - 2050*460*2050мм. Полки открытые.
</t>
    </r>
    <r>
      <rPr>
        <sz val="10"/>
        <color rgb="FF000000"/>
        <rFont val="Times New Roman"/>
      </rPr>
      <t xml:space="preserve">Корпус соединяется с помощью системой эксцентриковой стяжки-минификс. На боковых стенках, верхней и нижней детали шкафа
</t>
    </r>
    <r>
      <rPr>
        <sz val="10"/>
        <color rgb="FF000000"/>
        <rFont val="Times New Roman"/>
      </rPr>
      <t>фрезеруется канал, в которую монтируется задняя стенка. Для предотвращения воздействия воды и влаги на шкаф предусмотрены 4 ножки высотой 5 см</t>
    </r>
  </si>
  <si>
    <r>
      <rPr>
        <sz val="10"/>
        <color rgb="FF000000"/>
        <rFont val="Times New Roman"/>
      </rPr>
      <t xml:space="preserve">522-101-1235-0021 - Шкаф стеллаж открытый 1600х400х1800мм.
</t>
    </r>
    <r>
      <rPr>
        <sz val="10"/>
        <color rgb="FF000000"/>
        <rFont val="Times New Roman"/>
      </rPr>
      <t>Материал корпуса, полок ЛДСП 16 мм, полки открытые. Задняя стенка ламинированный МДФ 5 мм</t>
    </r>
  </si>
  <si>
    <t>Шкаф стеллаж открытый 1600х400х1800мм.
Материал корпуса, полок ЛДСП 16 мм, полки открытые. Задняя стенка ламинированный МДФ 5 мм</t>
  </si>
  <si>
    <r>
      <rPr>
        <sz val="10"/>
        <color theme="1"/>
        <rFont val="Times New Roman"/>
      </rPr>
      <t>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1800(h)*1600*400</t>
    </r>
  </si>
  <si>
    <r>
      <rPr>
        <sz val="10"/>
        <color rgb="FF000000"/>
        <rFont val="Times New Roman"/>
      </rPr>
      <t xml:space="preserve">522-101-1237-0001 - Тумба под
</t>
    </r>
    <r>
      <rPr>
        <sz val="10"/>
        <color rgb="FF000000"/>
        <rFont val="Times New Roman"/>
      </rPr>
      <t>телевизор 640х450х561 мм. ЛДСП 16мм</t>
    </r>
  </si>
  <si>
    <t>Тумба под
телевизор 640х450х561 мм. ЛДСП 16мм</t>
  </si>
  <si>
    <r>
      <rPr>
        <sz val="10"/>
        <color theme="1"/>
        <rFont val="Times New Roman"/>
      </rPr>
      <t>Тумба с выдвижным ящиком и открытыми секциями. Размеры: 640х450х561мм. ЛДСП 16мм</t>
    </r>
  </si>
  <si>
    <r>
      <rPr>
        <sz val="10"/>
        <color rgb="FF000000"/>
        <rFont val="Times New Roman"/>
      </rPr>
      <t xml:space="preserve">522-101-1237-0002 - Тумба под
</t>
    </r>
    <r>
      <rPr>
        <sz val="10"/>
        <color rgb="FF000000"/>
        <rFont val="Times New Roman"/>
      </rPr>
      <t>телевизор 640х450х600 мм. ЛДСП 16мм</t>
    </r>
  </si>
  <si>
    <t>Тумба под
телевизор 640х450х600 мм. ЛДСП 16мм</t>
  </si>
  <si>
    <r>
      <rPr>
        <sz val="10"/>
        <color theme="1"/>
        <rFont val="Times New Roman"/>
      </rPr>
      <t>Тумба с 2-мя дверьми и открытой нишей. Размеры 640х450х600 мм. ЛДСП 16мм</t>
    </r>
  </si>
  <si>
    <r>
      <rPr>
        <sz val="10"/>
        <color rgb="FF000000"/>
        <rFont val="Times New Roman"/>
      </rPr>
      <t xml:space="preserve">522-101-1237-0003 - Тумба
</t>
    </r>
    <r>
      <rPr>
        <sz val="10"/>
        <color rgb="FF000000"/>
        <rFont val="Times New Roman"/>
      </rPr>
      <t>мобильная на колесах, 3 выдвижных ящика, ЛДСП 16 мм, размер 442х534х628мм</t>
    </r>
  </si>
  <si>
    <t>Тумба
мобильная на колесах, 3 выдвижных ящика, ЛДСП 16 мм, размер 442х534х628мм</t>
  </si>
  <si>
    <r>
      <rPr>
        <sz val="10"/>
        <color theme="1"/>
        <rFont val="Times New Roman"/>
      </rPr>
      <t>Тумба мобильная на колесах, 3 выдвижных ящика, ЛДСП 16 мм, размер 442х534х628мм</t>
    </r>
  </si>
  <si>
    <r>
      <rPr>
        <sz val="10"/>
        <color rgb="FF000000"/>
        <rFont val="Times New Roman"/>
      </rPr>
      <t xml:space="preserve">522-101-1237-0004 - Стол-тумба
</t>
    </r>
    <r>
      <rPr>
        <sz val="10"/>
        <color rgb="FF000000"/>
        <rFont val="Times New Roman"/>
      </rPr>
      <t>800х600х860мм</t>
    </r>
  </si>
  <si>
    <t>Стол-тумба
800х600х860мм</t>
  </si>
  <si>
    <r>
      <rPr>
        <sz val="10"/>
        <color theme="1"/>
        <rFont val="Times New Roman"/>
      </rPr>
      <t>Материал: ЛДСП, толщиной 16 мм. Фурнитура: конфирматы, стяжка BLUM, полкодержатель металлический (без пластиковых элементов), роликовые направляющие, ручка. Кромки деталей облицованы полимерным кромочным материалам (ПВХ), толщиной 1,5 мм, с 3-мя выдвижными ящиками.</t>
    </r>
  </si>
  <si>
    <r>
      <rPr>
        <sz val="10"/>
        <color rgb="FF000000"/>
        <rFont val="Times New Roman"/>
      </rPr>
      <t xml:space="preserve">522-101-1237-0005 - Тумба под
</t>
    </r>
    <r>
      <rPr>
        <sz val="10"/>
        <color rgb="FF000000"/>
        <rFont val="Times New Roman"/>
      </rPr>
      <t>музыкальный центр 1000х500х500 мм</t>
    </r>
  </si>
  <si>
    <t>Тумба под
музыкальный центр 1000х500х500 мм</t>
  </si>
  <si>
    <r>
      <rPr>
        <sz val="10"/>
        <color theme="1"/>
        <rFont val="Times New Roman"/>
      </rPr>
      <t>Материал: ЛДСП. толщиной 16 мм. Кромки деталей облицованы полимерным кромочным материалам (ПВХ), толщиной 1,5 мм., с 2-мя дверями и открытой полкой. Фурнитура: конфирматы, стяжка BLUM, полкодержатель металл. (без пластиковых элементов), ручка 128 мм. (без острых углов), навес мебельный BLUM, ножка мебельная. Имеется два отделения</t>
    </r>
  </si>
  <si>
    <r>
      <rPr>
        <sz val="10"/>
        <color rgb="FF000000"/>
        <rFont val="Times New Roman"/>
      </rPr>
      <t xml:space="preserve">522-101-1237-0006 - Тумба
</t>
    </r>
    <r>
      <rPr>
        <sz val="10"/>
        <color rgb="FF000000"/>
        <rFont val="Times New Roman"/>
      </rPr>
      <t>универсальная 1180х490х660мм. 3 выдвижных ящика, одна дверь распашная</t>
    </r>
  </si>
  <si>
    <t>Тумба
универсальная 1180х490х660мм. 3 выдвижных ящика, одна дверь распашная</t>
  </si>
  <si>
    <r>
      <rPr>
        <sz val="10"/>
        <color theme="1"/>
        <rFont val="Times New Roman"/>
      </rPr>
      <t>Тумба универсальная. Ширина - 1180мм, глубина - 490мм, высота - 660мм. Топ из ЛДСП 32мм, каркас выполнен из ЛДСП 16мм. Торцы облицованы кромкой ПВХ толщиной 2мм. Ручки металлические.</t>
    </r>
  </si>
  <si>
    <r>
      <rPr>
        <sz val="10"/>
        <color rgb="FF000000"/>
        <rFont val="Times New Roman"/>
      </rPr>
      <t xml:space="preserve">522-101-1237-0007 - Тумба
</t>
    </r>
    <r>
      <rPr>
        <sz val="10"/>
        <color rgb="FF000000"/>
        <rFont val="Times New Roman"/>
      </rPr>
      <t>мобильная на колесах 400х500х640мм, 3 выдвижных ящика, центральный замок, ЛДСП 16мм</t>
    </r>
  </si>
  <si>
    <t>Тумба
мобильная на колесах 400х500х640мм, 3 выдвижных ящика, центральный замок, ЛДСП 16мм</t>
  </si>
  <si>
    <r>
      <rPr>
        <sz val="10"/>
        <color rgb="FF000000"/>
        <rFont val="Times New Roman"/>
      </rPr>
      <t xml:space="preserve">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t>
    </r>
    <r>
      <rPr>
        <sz val="10"/>
        <color rgb="FF000000"/>
        <rFont val="Times New Roman"/>
      </rPr>
      <t>Ручки металлические.</t>
    </r>
  </si>
  <si>
    <r>
      <rPr>
        <sz val="10"/>
        <color rgb="FF000000"/>
        <rFont val="Times New Roman"/>
      </rPr>
      <t xml:space="preserve">522-101-1237-0008 - Тумба
</t>
    </r>
    <r>
      <rPr>
        <sz val="10"/>
        <color rgb="FF000000"/>
        <rFont val="Times New Roman"/>
      </rPr>
      <t>мобильная на колесах 400х500х550мм, 3 выдвижных ящика, ЛДСП 18мм</t>
    </r>
  </si>
  <si>
    <t>Тумба
мобильная на колесах 400х500х550мм, 3 выдвижных ящика, ЛДСП 18мм</t>
  </si>
  <si>
    <r>
      <rPr>
        <sz val="10"/>
        <color theme="1"/>
        <rFont val="Times New Roman"/>
      </rPr>
      <t>Тумба мобильная на колесах 400х500х550мм, 3 выдвижных ящика, ЛДСП 18мм. Торцевые кромки облицованы материалом кромочным из ПВХ толщиной 1 мм в цвет.</t>
    </r>
  </si>
  <si>
    <r>
      <rPr>
        <sz val="10"/>
        <color rgb="FF000000"/>
        <rFont val="Times New Roman"/>
      </rPr>
      <t xml:space="preserve">522-101-1237-0009 - Тумба
</t>
    </r>
    <r>
      <rPr>
        <sz val="10"/>
        <color rgb="FF000000"/>
        <rFont val="Times New Roman"/>
      </rPr>
      <t>мобильная на колесах 600х600х500мм, 3 выдвижных ящика, ЛДСП 16мм</t>
    </r>
  </si>
  <si>
    <t>Тумба
мобильная на колесах 600х600х500мм, 3 выдвижных ящика, ЛДСП 16мм</t>
  </si>
  <si>
    <r>
      <rPr>
        <sz val="10"/>
        <color theme="1"/>
        <rFont val="Times New Roman"/>
      </rPr>
      <t>Тумба мобильная на колесах 600х600х500мм. Тумба изготовлена из ЛДСП толщиной 16 мм. Габаритные размеры тумбы 600х600х500 мм. Тумба имеет 4 колесиков для передвижения.</t>
    </r>
  </si>
  <si>
    <r>
      <rPr>
        <sz val="10"/>
        <color rgb="FF000000"/>
        <rFont val="Times New Roman"/>
      </rPr>
      <t xml:space="preserve">522-101-1237-0012 - Место
</t>
    </r>
    <r>
      <rPr>
        <sz val="10"/>
        <color rgb="FF000000"/>
        <rFont val="Times New Roman"/>
      </rPr>
      <t xml:space="preserve">дневального. Тумбочка 602х450х1000мм, подставка 450х450х150мм. Материал корпуса, полок и дверей из ЛДСП 16 мм.
</t>
    </r>
    <r>
      <rPr>
        <sz val="10"/>
        <color rgb="FF000000"/>
        <rFont val="Times New Roman"/>
      </rPr>
      <t>Задняя стенка из ламинированного МДФ 5 мм</t>
    </r>
  </si>
  <si>
    <t>Место
дневального. Тумбочка 602х450х1000мм, подставка 450х450х150мм. Материал корпуса, полок и дверей из ЛДСП 16 мм.
Задняя стенка из ламинированного МДФ 5 мм</t>
  </si>
  <si>
    <r>
      <rPr>
        <sz val="10"/>
        <color rgb="FF000000"/>
        <rFont val="Times New Roman"/>
      </rPr>
      <t xml:space="preserve">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2 петли и по 1 ручке+ замок.
</t>
    </r>
    <r>
      <rPr>
        <sz val="10"/>
        <color rgb="FF000000"/>
        <rFont val="Times New Roman"/>
      </rPr>
      <t xml:space="preserve">Корпус соединяется с помощью системой эксцентриковой стяжки-минификс. На боковых стенках, верхней и нижней детали шкафа
</t>
    </r>
    <r>
      <rPr>
        <sz val="10"/>
        <color rgb="FF000000"/>
        <rFont val="Times New Roman"/>
      </rPr>
      <t>фрезеруется канал, в которую монтируется задняя стенка. Для предотвращения воздействия воды и влаги на шкаф предусмотрены 4 ножки высотой 5 см</t>
    </r>
  </si>
  <si>
    <r>
      <rPr>
        <sz val="10"/>
        <color rgb="FF000000"/>
        <rFont val="Times New Roman"/>
      </rPr>
      <t xml:space="preserve">522-101-1238-0005 - Шкаф локер
</t>
    </r>
    <r>
      <rPr>
        <sz val="10"/>
        <color rgb="FF000000"/>
        <rFont val="Times New Roman"/>
      </rPr>
      <t>металлический с электронным замком, размер 300х500х1900мм</t>
    </r>
  </si>
  <si>
    <t>Шкаф локер
металлический с электронным замком, размер 300х500х1900мм</t>
  </si>
  <si>
    <r>
      <rPr>
        <sz val="10"/>
        <color theme="1"/>
        <rFont val="Times New Roman"/>
      </rPr>
      <t>Габаритный размер: высота-1900мм, ширина-300мм, глубина-500мм. Корпус и двери выполнены из пракатоной стали толщиной 1,2 мм, двери оснащены электронными замками. Внутри шкафа имеются полки для головных уборов, под обувь, а также крючки для одежды. На верхней и нижней части двери имеются винтеляционные отверстия. Покрытие шкафа полимерно порошковая краска. Цвет по согласованию с заказчиком.</t>
    </r>
  </si>
  <si>
    <r>
      <rPr>
        <sz val="10"/>
        <color rgb="FF000000"/>
        <rFont val="Times New Roman"/>
      </rPr>
      <t xml:space="preserve">522-101-1238-0006 - Шкаф локер
</t>
    </r>
    <r>
      <rPr>
        <sz val="10"/>
        <color rgb="FF000000"/>
        <rFont val="Times New Roman"/>
      </rPr>
      <t>металлический с электронным замком в 2 уровня на 8 секций, размер 1200х500х1900мм</t>
    </r>
  </si>
  <si>
    <t>Шкаф локер
металлический с электронным замком в 2 уровня на 8 секций, размер 1200х500х1900мм</t>
  </si>
  <si>
    <r>
      <rPr>
        <sz val="10"/>
        <color rgb="FF000000"/>
        <rFont val="Times New Roman"/>
      </rPr>
      <t xml:space="preserve">Габаритный размер: высота-1900мм, ширина-1200мм, глубина-500мм. Шкаф имеет восемь секции, разделенные на два яруса. Каждый ярус разделен на два отсека. Верхний отсек предназначен для хранения головных уборов и личных предметов. Нижний отсек оснащен четырьмя крючками для хранения одежды. Металлический шкаф, предназначен для хранения одежды или спецодежды и других личных предметов и вещей.
</t>
    </r>
    <r>
      <rPr>
        <sz val="10"/>
        <color rgb="FF000000"/>
        <rFont val="Times New Roman"/>
      </rPr>
      <t xml:space="preserve">Шкафы оснащены электронными замками. На верхней и нижней части двери имеются винтеляционные отверстия. Покрытие шкафа полимерно
</t>
    </r>
    <r>
      <rPr>
        <sz val="10"/>
        <color rgb="FF000000"/>
        <rFont val="Times New Roman"/>
      </rPr>
      <t>порошковая краска.</t>
    </r>
  </si>
  <si>
    <r>
      <rPr>
        <sz val="10"/>
        <color rgb="FF000000"/>
        <rFont val="Times New Roman"/>
      </rPr>
      <t xml:space="preserve">522-101-1238-0007 - Шкаф локер 4
</t>
    </r>
    <r>
      <rPr>
        <sz val="10"/>
        <color rgb="FF000000"/>
        <rFont val="Times New Roman"/>
      </rPr>
      <t>уровня на 16 ячеек 1200х500х1800мм</t>
    </r>
  </si>
  <si>
    <t>Шкаф локер 4
уровня на 16 ячеек 1200х500х1800мм</t>
  </si>
  <si>
    <r>
      <rPr>
        <sz val="10"/>
        <color theme="1"/>
        <rFont val="Times New Roman"/>
      </rPr>
      <t>Каркас ЛДСП 16 мм, кромка ПВХ 2 мм, задняя стенка ХДФ, UEF печать. Опоры 3 см, мебельные замки, внутри петли. Цвета: серый, красный, желтый, синий. Габариты Д/Г/В 1200/500/1800 мм состоит из 16 ящиков в четыре уровня. Размер каждого ящика Д/Г/В 300/500/450мм. Присутствует УФ-печать на дверях</t>
    </r>
  </si>
  <si>
    <r>
      <rPr>
        <sz val="10"/>
        <color rgb="FF000000"/>
        <rFont val="Times New Roman"/>
      </rPr>
      <t xml:space="preserve">522-101-1238-0008 - Шкаф локер
</t>
    </r>
    <r>
      <rPr>
        <sz val="10"/>
        <color rgb="FF000000"/>
        <rFont val="Times New Roman"/>
      </rPr>
      <t>для одежды металлический на 16 ячеек, размер 1200х500х1800мм</t>
    </r>
  </si>
  <si>
    <t>Шкаф локер
для одежды металлический на 16 ячеек, размер 1200х500х1800мм</t>
  </si>
  <si>
    <r>
      <rPr>
        <sz val="10"/>
        <color rgb="FF000000"/>
        <rFont val="Times New Roman"/>
      </rPr>
      <t xml:space="preserve">Локеры в четыре уровня из 16 ячеек. Габаритные размеры: длина 1200мм, высота1800мм, ширина 500мм. Цвет основание и боковые панели Ral 7044. Цвет панели ячеек Ral 7044; Ral 5012; Ral 102. Изделие производится из холодно катонного металла толщиной 0,7мм и 0,8 мм с ребрами жесткости.
</t>
    </r>
    <r>
      <rPr>
        <sz val="10"/>
        <color rgb="FF000000"/>
        <rFont val="Times New Roman"/>
      </rPr>
      <t xml:space="preserve">Детали из х/к 0,8 мм: каркас; боковые панели; нижняяпанель(дно); дверь. Детали из х/к 0,7мм: внутренняя панель(промежуточная); задняя панель и верхняя панель. Элементы конструкции изготавливаются с ребрами жесткости, деталь как нижняя панель (дно) конструкции имеет дополнительные сварные усилители. Изделие изготавливается из отдельных сегментов, сборку конструкции производится на объекте. Покрытие основания и боковых панелей полимерной порошковой краской Ral 7044.
</t>
    </r>
    <r>
      <rPr>
        <sz val="10"/>
        <color rgb="FF000000"/>
        <rFont val="Times New Roman"/>
      </rPr>
      <t xml:space="preserve">Покрытие ячеек двери полимерной порошковой краской Ral 7044; Ral 5012; Ral 1021. Замок металлический двери ячеек с высокой секретностью 1:2000 с 2-мя ключами. Опознавательная печать на самоклеящемся материале орокале в виде текстов неправильных глаголов, Химические элементы, флаги стран, ноты и музыкальные произведения. Каркас шкафа
</t>
    </r>
    <r>
      <rPr>
        <sz val="10"/>
        <color rgb="FF000000"/>
        <rFont val="Times New Roman"/>
      </rPr>
      <t xml:space="preserve">цельно-листовой. Впереди шкафа каркас цельно -листовой. Ячейка рамки из листового металла, производится из холодного катоннового маталла.
</t>
    </r>
    <r>
      <rPr>
        <sz val="10"/>
        <color rgb="FF000000"/>
        <rFont val="Times New Roman"/>
      </rPr>
      <t>Размер каждой ячейки 300х450мм</t>
    </r>
  </si>
  <si>
    <r>
      <rPr>
        <sz val="10"/>
        <color rgb="FF000000"/>
        <rFont val="Times New Roman"/>
      </rPr>
      <t xml:space="preserve">522-101-1238-0009 - Шкаф
</t>
    </r>
    <r>
      <rPr>
        <sz val="10"/>
        <color rgb="FF000000"/>
        <rFont val="Times New Roman"/>
      </rPr>
      <t>металлический четырехсекционный 1230х1250х500мм</t>
    </r>
  </si>
  <si>
    <t>Шкаф
металлический четырехсекционный 1230х1250х500мм</t>
  </si>
  <si>
    <r>
      <rPr>
        <sz val="10"/>
        <color theme="1"/>
        <rFont val="Times New Roman"/>
      </rPr>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1230*1250*500 мм, имеется перекладина для верхгей отежды, а так жде полка под головные уборы</t>
    </r>
  </si>
  <si>
    <r>
      <rPr>
        <sz val="10"/>
        <color rgb="FF000000"/>
        <rFont val="Times New Roman"/>
      </rPr>
      <t xml:space="preserve">522-101-1238-0010 - Шкаф
</t>
    </r>
    <r>
      <rPr>
        <sz val="10"/>
        <color rgb="FF000000"/>
        <rFont val="Times New Roman"/>
      </rPr>
      <t>металлический восьмисекционный 1900х1250х500 мм</t>
    </r>
  </si>
  <si>
    <t>Шкаф
металлический восьмисекционный 1900х1250х500 мм</t>
  </si>
  <si>
    <r>
      <rPr>
        <sz val="10"/>
        <color theme="1"/>
        <rFont val="Times New Roman"/>
      </rPr>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1900*1250*500 мм, имеется перекладина для верхгей отежды, а так жде полка под головные уборы</t>
    </r>
  </si>
  <si>
    <r>
      <rPr>
        <sz val="10"/>
        <color rgb="FF000000"/>
        <rFont val="Times New Roman"/>
      </rPr>
      <t xml:space="preserve">522-101-1238-0011 - Шкаф локер 4
</t>
    </r>
    <r>
      <rPr>
        <sz val="10"/>
        <color rgb="FF000000"/>
        <rFont val="Times New Roman"/>
      </rPr>
      <t>уровня на 16 ячеек 1200х500х1800мм. Материал корпуса, полок, дверей ЛДСП 16 мм. Задняя стенка из ламинированного МДФ 5мм</t>
    </r>
  </si>
  <si>
    <t>Шкаф локер 4
уровня на 16 ячеек 1200х500х1800мм. Материал корпуса, полок, дверей ЛДСП 16 мм. Задняя стенка из ламинированного МДФ 5мм</t>
  </si>
  <si>
    <r>
      <rPr>
        <sz val="10"/>
        <color theme="1"/>
        <rFont val="Times New Roman"/>
      </rPr>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Дно ящиков соединятется таким же способом фрезерования канала канала. Для предотвращения воздействия воды и влаги на шкаф предусмотрены 4 ножки высотой 5 см. Габариты Д/Ш/В 1200/500/1800мм состоит из 16 ящиков  в четыре уровня. Размер каждого ящика Д/Ш/В 300/500/450мм</t>
    </r>
  </si>
  <si>
    <r>
      <rPr>
        <sz val="10"/>
        <color rgb="FF000000"/>
        <rFont val="Times New Roman"/>
      </rPr>
      <t xml:space="preserve">522-101-1238-0012 - Шкаф локер 4
</t>
    </r>
    <r>
      <rPr>
        <sz val="10"/>
        <color rgb="FF000000"/>
        <rFont val="Times New Roman"/>
      </rPr>
      <t>уровня на 28 ячеек 5500х500х1800мм. Материал корпуса, полок, дверей ЛДСП 16 мм. Задняя стенка из ламинированного МДФ 5мм</t>
    </r>
  </si>
  <si>
    <t>Шкаф локер 4
уровня на 28 ячеек 5500х500х1800мм. Материал корпуса, полок, дверей ЛДСП 16 мм. Задняя стенка из ламинированного МДФ 5мм</t>
  </si>
  <si>
    <r>
      <rPr>
        <sz val="10"/>
        <color theme="1"/>
        <rFont val="Times New Roman"/>
      </rPr>
      <t>Шкаф с индивидуальными ячейками в четыре уровня по высоте.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замок. Корпус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1800(h)*5500*500</t>
    </r>
  </si>
  <si>
    <r>
      <rPr>
        <sz val="10"/>
        <color rgb="FF000000"/>
        <rFont val="Times New Roman"/>
      </rPr>
      <t xml:space="preserve">522-101-1238-0013 - Шкаф локер 4
</t>
    </r>
    <r>
      <rPr>
        <sz val="10"/>
        <color rgb="FF000000"/>
        <rFont val="Times New Roman"/>
      </rPr>
      <t>уровня на 36 ячеек с замками, размеры 3600х400х1630 мм</t>
    </r>
  </si>
  <si>
    <t>Шкаф локер 4
уровня на 36 ячеек с замками, размеры 3600х400х1630 мм</t>
  </si>
  <si>
    <r>
      <rPr>
        <sz val="10"/>
        <color rgb="FF000000"/>
        <rFont val="Times New Roman"/>
      </rPr>
      <t xml:space="preserve">Должен состоять из 3 шкафов. Два боковых должны иметь 12 ячеек, закрытых дверками. Дверцы должны быть сзакругленными углами, иметь ручки и внутренний замок. Габаритные размеры каждой шкафа не менее: длина – 1200 мм, глубина – 400 мм, высота – 1630 мм. Средняя секция должна быть с 4 открытыми и 8 закрытыми ячейкам, дверцы которых также с закругленными углами, ручками и внутренним замком. Габаритные размеры не менее: длина – 1200 мм, глубина – 400 мм, высота – 1630 мм.
</t>
    </r>
    <r>
      <rPr>
        <sz val="10"/>
        <color rgb="FF000000"/>
        <rFont val="Times New Roman"/>
      </rPr>
      <t xml:space="preserve">Несущие части, полки, фасадная часть – ЛДСП не менее 16 мм, задняя стенка – ХДФ не менее 3 мм. Кромка должна быть из ПВХ не менее 0,4 мм.
</t>
    </r>
    <r>
      <rPr>
        <sz val="10"/>
        <color rgb="FF000000"/>
        <rFont val="Times New Roman"/>
      </rPr>
      <t>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r>
  </si>
  <si>
    <r>
      <rPr>
        <sz val="10"/>
        <color rgb="FF000000"/>
        <rFont val="Times New Roman"/>
      </rPr>
      <t xml:space="preserve">522-101-1238-0014 - Шкаф локер
</t>
    </r>
    <r>
      <rPr>
        <sz val="10"/>
        <color rgb="FF000000"/>
        <rFont val="Times New Roman"/>
      </rPr>
      <t>металлический на четыре отсека вертикальной и горизонтальной панелью, размеры 570х500х1840 мм</t>
    </r>
  </si>
  <si>
    <t>Шкаф локер
металлический на четыре отсека вертикальной и горизонтальной панелью, размеры 570х500х1840 мм</t>
  </si>
  <si>
    <r>
      <rPr>
        <sz val="10"/>
        <color theme="1"/>
        <rFont val="Times New Roman"/>
      </rPr>
      <t>Материал изготовления листовой металл толщиной не менее 0,5 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четыре отсека вертикальной и горизонтальной панелью, которые закрываются дверью. На дверях имеются вентиляционные вырезы, а также внутренняя панель усилитель, которая крепится к двери с помощью точечной сварки. Каждая дверь оснащена механическим замком и петлями. В каждом отдели имеется штанга для одежды.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r>
  </si>
  <si>
    <r>
      <rPr>
        <sz val="10"/>
        <color theme="1"/>
        <rFont val="Times New Roman"/>
      </rPr>
      <t>522-101-1239-0001 - Стол рабочий библиотекаря 1500х620х918 мм</t>
    </r>
  </si>
  <si>
    <r>
      <rPr>
        <sz val="10"/>
        <color rgb="FF000000"/>
        <rFont val="Times New Roman"/>
      </rPr>
      <t xml:space="preserve">Стол двухтумбовый с барьером. Стол с двумя тумбами подвесными.
</t>
    </r>
    <r>
      <rPr>
        <sz val="10"/>
        <color rgb="FF000000"/>
        <rFont val="Times New Roman"/>
      </rPr>
      <t xml:space="preserve">Каждая с двумя ящиками под формуляры. Стол выполнен из ЛДСП 16 мм.
</t>
    </r>
    <r>
      <rPr>
        <sz val="10"/>
        <color rgb="FF000000"/>
        <rFont val="Times New Roman"/>
      </rPr>
      <t>Размеры: 1500х620х918мм</t>
    </r>
  </si>
  <si>
    <r>
      <rPr>
        <sz val="10"/>
        <color theme="1"/>
        <rFont val="Times New Roman"/>
      </rPr>
      <t>522-101-1239-0002 - Стол-ресепшн библиотекаря, с выдвижной полкой, ЛДСП 16мм, размер 1200х746х996мм</t>
    </r>
  </si>
  <si>
    <r>
      <rPr>
        <sz val="10"/>
        <color theme="1"/>
        <rFont val="Times New Roman"/>
      </rPr>
      <t>Стол-ресепшн библиотекаря. Кафедра выдачи. Размер: 1200х746х996мм. Выполнен из ЛДСП 16 мм, торцы обработаны кромкой ПВХ. Стол-барьер библиотечный имеет подвесную тумбу с двумя выдвижными ящиками, расположенными на роликовых направляющих. На вертикальных стойках стола установлены полимерные подпятники, предотвращающие повреждение напольных покрытий.</t>
    </r>
  </si>
  <si>
    <r>
      <rPr>
        <sz val="10"/>
        <color theme="1"/>
        <rFont val="Times New Roman"/>
      </rPr>
      <t>522-101-1239-0003 - Стол-кафедра выдачи литературы 1200х700х750мм</t>
    </r>
  </si>
  <si>
    <r>
      <rPr>
        <sz val="10"/>
        <color theme="1"/>
        <rFont val="Times New Roman"/>
      </rPr>
      <t>Оснащен подвесной тумбой с 2-мя ящиками и надставкой. В производстве используется материал ЛДСП 16мм., торцы закатаны кромочным материалом ПВХ 1,5 мм. столешница - ЛДСП 16 мм. Фурнитура: конфирматы, стяжка BLUM, роликовые направляющие, ручки, без острых углов.</t>
    </r>
  </si>
  <si>
    <r>
      <rPr>
        <sz val="10"/>
        <color rgb="FF000000"/>
        <rFont val="Times New Roman"/>
      </rPr>
      <t xml:space="preserve">522-101-1239-0005 - Ресепшн
</t>
    </r>
    <r>
      <rPr>
        <sz val="10"/>
        <color rgb="FF000000"/>
        <rFont val="Times New Roman"/>
      </rPr>
      <t>размеры 1800х600х900 мм, столешница из ЛДСП толщиной 22 мм</t>
    </r>
  </si>
  <si>
    <t>Ресепшн
размеры 1800х600х900 мм, столешница из ЛДСП толщиной 22 мм</t>
  </si>
  <si>
    <r>
      <rPr>
        <sz val="10"/>
        <color rgb="FF000000"/>
        <rFont val="Times New Roman"/>
      </rPr>
      <t xml:space="preserve">Высота верхнего края столешницы должна быть над полом не менее 760 мм. Столешница должна быть из ЛДСП толщиной не менее 22 мм с кромкой из ПВХ толщиной не менее 2мм.Для изготовления несущих частей и различных элементов используется ЛДСП толщиной не менее 16 мм.
</t>
    </r>
    <r>
      <rPr>
        <sz val="10"/>
        <color rgb="FF000000"/>
        <rFont val="Times New Roman"/>
      </rPr>
      <t xml:space="preserve">Кромка из ПВХ должна быть толщиной не менее 0,4 мм. Стол имеет боковые опоры толщиной 32мм. Лицевая сторона стола должна быть закрыта панелями разной геометрической формы. Данные панели имеют комбинированный цвет.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t>
    </r>
    <r>
      <rPr>
        <sz val="10"/>
        <color rgb="FF000000"/>
        <rFont val="Times New Roman"/>
      </rPr>
      <t>пластины.</t>
    </r>
  </si>
  <si>
    <r>
      <rPr>
        <sz val="10"/>
        <color rgb="FF000000"/>
        <rFont val="Times New Roman"/>
      </rPr>
      <t xml:space="preserve">522-101-1239-0006 - Тумба
</t>
    </r>
    <r>
      <rPr>
        <sz val="10"/>
        <color rgb="FF000000"/>
        <rFont val="Times New Roman"/>
      </rPr>
      <t>библиотечная для периодики, размеры 1000х520х965 мм, ЛДСП 16 мм. Столешница крепиться к тумбе, в тумбе 5 выдвижных ящиков</t>
    </r>
  </si>
  <si>
    <t>Тумба
библиотечная для периодики, размеры 1000х520х965 мм, ЛДСП 16 мм. Столешница крепиться к тумбе, в тумбе 5 выдвижных ящиков</t>
  </si>
  <si>
    <r>
      <rPr>
        <sz val="10"/>
        <color rgb="FF000000"/>
        <rFont val="Times New Roman"/>
      </rPr>
      <t xml:space="preserve">Размеры столешницы должны быть, не менее 1000х520 мм. Высота верхнего края столешницы должна быть над полом не менее 965 мм.
</t>
    </r>
    <r>
      <rPr>
        <sz val="10"/>
        <color rgb="FF000000"/>
        <rFont val="Times New Roman"/>
      </rPr>
      <t xml:space="preserve">Столешница должна быть из ЛДСП толщиной не менее 16 мм с кромкой из ПВХ толщиной не менее 2мм. Для изготовления несущих частей и различных элементов используется ЛДСП толщиной не менее 16 мм.
</t>
    </r>
    <r>
      <rPr>
        <sz val="10"/>
        <color rgb="FF000000"/>
        <rFont val="Times New Roman"/>
      </rPr>
      <t>Кромка из ПВХ должна быть толщиной не менее 0,4 мм. Столешница крепиться к тумбе с помощью металлических рамок в форме прямоугольников, выполненных из трубы размером 40х20 мм толщиной не менее 1,2мм, и покрашенных полимерной краской. В тумбе располагаются 5 выдвижных ящиков на шариковых направляющих. Фасад ящика изготавливаются разной высотой, и имеют сверху эргономичный вырез, используемый для открывания ящика.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Мебельные ножки должны регулироваться по высоте для компенсации неровностей пола.</t>
    </r>
  </si>
  <si>
    <r>
      <rPr>
        <sz val="10"/>
        <color rgb="FF000000"/>
        <rFont val="Times New Roman"/>
      </rPr>
      <t xml:space="preserve">522-101-1240-0001 - Шкаф для
</t>
    </r>
    <r>
      <rPr>
        <sz val="10"/>
        <color rgb="FF000000"/>
        <rFont val="Times New Roman"/>
      </rPr>
      <t>формуляров 1048х450х1150 мм (на 8 ящиков)</t>
    </r>
  </si>
  <si>
    <t>Шкаф для
формуляров 1048х450х1150 мм (на 8 ящиков)</t>
  </si>
  <si>
    <r>
      <rPr>
        <sz val="10"/>
        <color rgb="FF000000"/>
        <rFont val="Times New Roman"/>
      </rPr>
      <t xml:space="preserve">Шкаф с 8 ящиками под формуляры. Шкаф выполнен из ЛДСП 16 мм.
</t>
    </r>
    <r>
      <rPr>
        <sz val="10"/>
        <color rgb="FF000000"/>
        <rFont val="Times New Roman"/>
      </rPr>
      <t>Размеры: 1048х450х1150мм</t>
    </r>
  </si>
  <si>
    <r>
      <rPr>
        <sz val="10"/>
        <color theme="1"/>
        <rFont val="Times New Roman"/>
      </rPr>
      <t>522-101-1240-0002 - Шкаф-стеллаж для картотечных карт, размер 849х376х1835мм, ЛДСП 16мм</t>
    </r>
  </si>
  <si>
    <r>
      <rPr>
        <sz val="10"/>
        <color theme="1"/>
        <rFont val="Times New Roman"/>
      </rPr>
      <t>Шкаф-стеллаж для картотечных карт, 4 двери и 4 выдвижные полки, ЛДСП 16 мм размер 849х376х1835мм</t>
    </r>
  </si>
  <si>
    <r>
      <rPr>
        <sz val="10"/>
        <color rgb="FF000000"/>
        <rFont val="Times New Roman"/>
      </rPr>
      <t xml:space="preserve">522-101-1240-0003 - Шкаф для
</t>
    </r>
    <r>
      <rPr>
        <sz val="10"/>
        <color rgb="FF000000"/>
        <rFont val="Times New Roman"/>
      </rPr>
      <t>формуляров 1048х450х1150 мм (на 8 ящиков), материал корпуса, полок, выдвижных ящиков ЛДСП 16 мм, задняя стенка и нижняя часть выдвижных ящиков из МДФ 5 мм.</t>
    </r>
  </si>
  <si>
    <t>Шкаф для
формуляров 1048х450х1150 мм (на 8 ящиков), материал корпуса, полок, выдвижных ящиков ЛДСП 16 мм, задняя стенка и нижняя часть выдвижных ящиков из МДФ 5 мм.</t>
  </si>
  <si>
    <r>
      <rPr>
        <sz val="10"/>
        <color theme="1"/>
        <rFont val="Times New Roman"/>
      </rPr>
      <t>Шкаф для читательских формуляров с 8 выджвижными ящиками. 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Нижняя часть ящиков соединятется таким же способом канала Для предотвращения воздействия воды и влаги на шкаф предусмотрены 4 ножки высотой 5 см. Габариты 1048х450х1150мм</t>
    </r>
  </si>
  <si>
    <r>
      <rPr>
        <sz val="10"/>
        <color rgb="FF000000"/>
        <rFont val="Times New Roman"/>
      </rPr>
      <t xml:space="preserve">522-101-1241-0001 -
</t>
    </r>
    <r>
      <rPr>
        <sz val="10"/>
        <color rgb="FF000000"/>
        <rFont val="Times New Roman"/>
      </rPr>
      <t>Шкаф-картотека на 48 ячеек, ЛДСП 16 мм, размеры 1170х440х1230мм</t>
    </r>
  </si>
  <si>
    <t>522-101-1241-0001 -
Шкаф-картотека на 48 ячеек, ЛДСП 16 мм, размеры 1170х440х1230мм</t>
  </si>
  <si>
    <r>
      <rPr>
        <sz val="10"/>
        <color theme="1"/>
        <rFont val="Times New Roman"/>
      </rPr>
      <t>Шкаф-картотека на 48 ячеек, ЛДСП 16 мм, размеры 1170х440х1230мм</t>
    </r>
  </si>
  <si>
    <r>
      <rPr>
        <sz val="10"/>
        <color rgb="FF000000"/>
        <rFont val="Times New Roman"/>
      </rPr>
      <t xml:space="preserve">522-101-1241-0002 -
</t>
    </r>
    <r>
      <rPr>
        <sz val="10"/>
        <color rgb="FF000000"/>
        <rFont val="Times New Roman"/>
      </rPr>
      <t>Шкаф-картотека на 48 ячеек, ЛДСП 16мм, размеры 1170х440х1230мм, задняя стенка и нижняя часть выдвижных ящиков из ламинированного МДФ 5 мм</t>
    </r>
  </si>
  <si>
    <t>522-101-1241-0002 -
Шкаф-картотека на 48 ячеек, ЛДСП 16мм, размеры 1170х440х1230мм, задняя стенка и нижняя часть выдвижных ящиков из ламинированного МДФ 5 мм</t>
  </si>
  <si>
    <r>
      <rPr>
        <sz val="10"/>
        <color rgb="FF000000"/>
        <rFont val="Times New Roman"/>
      </rPr>
      <t xml:space="preserve">Материал корпуса, полок, выдвижных ящиков ЛДСП, толщина ЛДСП 16 мм. Задняя стенка и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покрашены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t>
    </r>
    <r>
      <rPr>
        <sz val="10"/>
        <color rgb="FF000000"/>
        <rFont val="Times New Roman"/>
      </rPr>
      <t xml:space="preserve">Нижняя часть ящиков соединяется таким же способом канала. Для
</t>
    </r>
    <r>
      <rPr>
        <sz val="10"/>
        <color rgb="FF000000"/>
        <rFont val="Times New Roman"/>
      </rPr>
      <t>предотвращения воздействия воды и влаги на шкаф предусмотрены 4 ножки высотой 5 см</t>
    </r>
  </si>
  <si>
    <r>
      <rPr>
        <sz val="10"/>
        <color rgb="FF000000"/>
        <rFont val="Times New Roman"/>
      </rPr>
      <t xml:space="preserve">522-101-1242-0001 - Стеллаж
</t>
    </r>
    <r>
      <rPr>
        <sz val="10"/>
        <color rgb="FF000000"/>
        <rFont val="Times New Roman"/>
      </rPr>
      <t>библиотечный односторонний 920х250х2100 мм. Каркас из профильной трубы, полки из гнутого листа, краска полимерно-порошковая.</t>
    </r>
  </si>
  <si>
    <t>Стеллаж
библиотечный односторонний 920х250х2100 мм. Каркас из профильной трубы, полки из гнутого листа, краска полимерно-порошковая.</t>
  </si>
  <si>
    <r>
      <rPr>
        <sz val="10"/>
        <color theme="1"/>
        <rFont val="Times New Roman"/>
      </rPr>
      <t>Стеллаж библиотечный односторонний 920х250х2100 мм. Каркас из профильной трубы, полки из гнутого листа, краска полимерно-порошковая.</t>
    </r>
  </si>
  <si>
    <r>
      <rPr>
        <sz val="10"/>
        <color rgb="FF000000"/>
        <rFont val="Times New Roman"/>
      </rPr>
      <t xml:space="preserve">522-101-1242-0002 - Стеллаж
</t>
    </r>
    <r>
      <rPr>
        <sz val="10"/>
        <color rgb="FF000000"/>
        <rFont val="Times New Roman"/>
      </rPr>
      <t>библиотечный выставочный</t>
    </r>
  </si>
  <si>
    <t>Стеллаж
библиотечный выставочный</t>
  </si>
  <si>
    <r>
      <rPr>
        <sz val="10"/>
        <color theme="1"/>
        <rFont val="Times New Roman"/>
      </rPr>
      <t>Стеллаж библиотечный выставочный 5 скошенных полок.  Нагрузка на полку не менее 30 кг. Материал ЛДСП 16мм. Размеры/форма по согласованию. Размеры не менее 1000х320х2000 мм</t>
    </r>
  </si>
  <si>
    <r>
      <rPr>
        <sz val="10"/>
        <color rgb="FF000000"/>
        <rFont val="Times New Roman"/>
      </rPr>
      <t xml:space="preserve">522-101-1242-0003 - Стеллаж
</t>
    </r>
    <r>
      <rPr>
        <sz val="10"/>
        <color rgb="FF000000"/>
        <rFont val="Times New Roman"/>
      </rPr>
      <t xml:space="preserve">библиотечный 1000х320х2250 мм. С открытыми полками для книг.
</t>
    </r>
    <r>
      <rPr>
        <sz val="10"/>
        <color rgb="FF000000"/>
        <rFont val="Times New Roman"/>
      </rPr>
      <t>ЛДСП 16мм.</t>
    </r>
  </si>
  <si>
    <t>Стеллаж
библиотечный 1000х320х2250 мм. С открытыми полками для книг.
ЛДСП 16мм.</t>
  </si>
  <si>
    <r>
      <rPr>
        <sz val="10"/>
        <color theme="1"/>
        <rFont val="Times New Roman"/>
      </rPr>
      <t>Стеллаж библиотечный 1000х320х2250 мм. С открытыми полками для книг. ЛДСП 16мм.</t>
    </r>
  </si>
  <si>
    <r>
      <rPr>
        <sz val="10"/>
        <color rgb="FF000000"/>
        <rFont val="Times New Roman"/>
      </rPr>
      <t xml:space="preserve">522-101-1242-0004 - Стеллаж
</t>
    </r>
    <r>
      <rPr>
        <sz val="10"/>
        <color rgb="FF000000"/>
        <rFont val="Times New Roman"/>
      </rPr>
      <t xml:space="preserve">библиотечный односторонний 800х380х2000 мм. Каркас изготовлен из стального профиля.
</t>
    </r>
    <r>
      <rPr>
        <sz val="10"/>
        <color rgb="FF000000"/>
        <rFont val="Times New Roman"/>
      </rPr>
      <t>Полки ЛДСП 16 мм.</t>
    </r>
  </si>
  <si>
    <t>Стеллаж
библиотечный односторонний 800х380х2000 мм. Каркас изготовлен из стального профиля.
Полки ЛДСП 16 мм.</t>
  </si>
  <si>
    <r>
      <rPr>
        <sz val="10"/>
        <color theme="1"/>
        <rFont val="Times New Roman"/>
      </rPr>
      <t>Стеллаж библиотечный односторонний 800х380х2000 мм. Каркас изготовлен из стального профиля. Полки ЛДСП 16 мм.</t>
    </r>
  </si>
  <si>
    <r>
      <rPr>
        <sz val="10"/>
        <color rgb="FF000000"/>
        <rFont val="Times New Roman"/>
      </rPr>
      <t xml:space="preserve">522-101-1242-0005 - Стеллаж
</t>
    </r>
    <r>
      <rPr>
        <sz val="10"/>
        <color rgb="FF000000"/>
        <rFont val="Times New Roman"/>
      </rPr>
      <t xml:space="preserve">библиотечный двухсторонний 800х600х2000 мм. Каркас изготовлен из стального профиля.
</t>
    </r>
    <r>
      <rPr>
        <sz val="10"/>
        <color rgb="FF000000"/>
        <rFont val="Times New Roman"/>
      </rPr>
      <t>Полки ЛДСП 16 мм.</t>
    </r>
  </si>
  <si>
    <t>Стеллаж
библиотечный двухсторонний 800х600х2000 мм. Каркас изготовлен из стального профиля.
Полки ЛДСП 16 мм.</t>
  </si>
  <si>
    <r>
      <rPr>
        <sz val="10"/>
        <color theme="1"/>
        <rFont val="Times New Roman"/>
      </rPr>
      <t>Стеллаж библиотечный двухсторонний  800х600х2000 мм. Каркас изготовлен из стального профиля. Полки ЛДСП 16 мм.</t>
    </r>
  </si>
  <si>
    <r>
      <rPr>
        <sz val="10"/>
        <color rgb="FF000000"/>
        <rFont val="Times New Roman"/>
      </rPr>
      <t xml:space="preserve">522-101-1242-0006 - Стеллаж
</t>
    </r>
    <r>
      <rPr>
        <sz val="10"/>
        <color rgb="FF000000"/>
        <rFont val="Times New Roman"/>
      </rPr>
      <t>деревянный односторонний 800х380х2000 мм. Каркас изготовлен из ЛДСП, толщиной 16 мм</t>
    </r>
  </si>
  <si>
    <t>Стеллаж
деревянный односторонний 800х380х2000 мм. Каркас изготовлен из ЛДСП, толщиной 16 мм</t>
  </si>
  <si>
    <r>
      <rPr>
        <sz val="10"/>
        <color theme="1"/>
        <rFont val="Times New Roman"/>
      </rPr>
      <t>Стеллаж деревянный односторонний. Размеры 800х380х2000 мм. Каркас изготовлен из ЛДСП, толщиной 16 мм. Класс эмиссии Е-1. Облицованной кромкой ПВХ толщиной 1,5 мм. Четыре съемные полки, ЛДСП 16мм.</t>
    </r>
  </si>
  <si>
    <r>
      <rPr>
        <sz val="10"/>
        <color rgb="FF000000"/>
        <rFont val="Times New Roman"/>
      </rPr>
      <t xml:space="preserve">522-101-1242-0007 - Модуль
</t>
    </r>
    <r>
      <rPr>
        <sz val="10"/>
        <color rgb="FF000000"/>
        <rFont val="Times New Roman"/>
      </rPr>
      <t>библиотечный (стеллаж), материал ЛДСП типа EGGER, размер 1000х1000х2800мм</t>
    </r>
  </si>
  <si>
    <t>Модуль
библиотечный (стеллаж), материал ЛДСП типа EGGER, размер 1000х1000х2800мм</t>
  </si>
  <si>
    <r>
      <rPr>
        <sz val="10"/>
        <color rgb="FF000000"/>
        <rFont val="Times New Roman"/>
      </rPr>
      <t xml:space="preserve">Тип установки напольный. Размеры: 1000*1000* 2800мм. Металлокаркас из профильной трубы размером 80*25*2,0мм и 25*25*1,5мм. Материал ЛДСП типа EGGER . Количество полок 10. Максимальная нагрузка на полку 25 кг. Толщина стойки 16 мм. Вращающийся механизм. Металлический каркас.
</t>
    </r>
    <r>
      <rPr>
        <sz val="10"/>
        <color rgb="FF000000"/>
        <rFont val="Times New Roman"/>
      </rPr>
      <t>Подсветка полок. Шелфстокеры на полках для наименования книг.</t>
    </r>
  </si>
  <si>
    <r>
      <rPr>
        <sz val="10"/>
        <color rgb="FF000000"/>
        <rFont val="Times New Roman"/>
      </rPr>
      <t xml:space="preserve">522-101-1242-0008 - Модуль
</t>
    </r>
    <r>
      <rPr>
        <sz val="10"/>
        <color rgb="FF000000"/>
        <rFont val="Times New Roman"/>
      </rPr>
      <t>интерактивный библиотечный (стеллаж), материал ЛДСП типа EGGER, размер 2500х2500х2000 мм</t>
    </r>
  </si>
  <si>
    <t>Модуль
интерактивный библиотечный (стеллаж), материал ЛДСП типа EGGER, размер 2500х2500х2000 мм</t>
  </si>
  <si>
    <r>
      <rPr>
        <sz val="10"/>
        <color theme="1"/>
        <rFont val="Times New Roman"/>
      </rPr>
      <t>Тип установки напольный. Размеры 2500х2500х2000 мм. Металлокаркас c лестницей из профильной трубы размером 80*25*2,0мм и 25*25*1,5мм. Полки из ЛДСП типа Egger. Сочетает в себя стеллаж и сенсорное рабочее место- В модуль входит 4 рабочих интерактивных места  Весь модуль является единой конструкцией. Рабочее место состит из:                   1) Встроенный компьютер (CPU Intel Core i3 9100 Оперативная память 8GB DDR4 Твердотельный накопитель 128GB SSD)  2) Сенсорный монитор 21,5 дюйма 10 касаний, 1920:1080. 60Гц 3) Корпус системный блок внешними портами USB, mini Jack, кнопка запуска, дополнительное охлаждение, OS Windows 10Pro,  4) Розетки 2 по 220В и 2 USB встроены в стол,  5) Компьютерная мышь, клавиатура, веб камера.                 6) ПО с офлайн библиотекой из 3000 книг отечественной и мировой литературы.</t>
    </r>
  </si>
  <si>
    <r>
      <rPr>
        <sz val="10"/>
        <color rgb="FF000000"/>
        <rFont val="Times New Roman"/>
      </rPr>
      <t xml:space="preserve">522-101-1242-0009 - Стеллаж
</t>
    </r>
    <r>
      <rPr>
        <sz val="10"/>
        <color rgb="FF000000"/>
        <rFont val="Times New Roman"/>
      </rPr>
      <t>двухсторонний 1200х500х1800мм. Каркас изготовлен из стального профиля. Полки ЛДСП 16 мм</t>
    </r>
  </si>
  <si>
    <t>Стеллаж
двухсторонний 1200х500х1800мм. Каркас изготовлен из стального профиля. Полки ЛДСП 16 мм</t>
  </si>
  <si>
    <r>
      <rPr>
        <sz val="10"/>
        <color theme="1"/>
        <rFont val="Times New Roman"/>
      </rPr>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r>
  </si>
  <si>
    <r>
      <rPr>
        <sz val="10"/>
        <color rgb="FF000000"/>
        <rFont val="Times New Roman"/>
      </rPr>
      <t xml:space="preserve">522-101-1242-0010 - Стеллаж
</t>
    </r>
    <r>
      <rPr>
        <sz val="10"/>
        <color rgb="FF000000"/>
        <rFont val="Times New Roman"/>
      </rPr>
      <t>двухсторонний 1500х500х1800мм. Каркас изготовлен из стального профиля. Полки ЛДСП 16 мм</t>
    </r>
  </si>
  <si>
    <t>Стеллаж
двухсторонний 1500х500х1800мм. Каркас изготовлен из стального профиля. Полки ЛДСП 16 мм</t>
  </si>
  <si>
    <r>
      <rPr>
        <sz val="10"/>
        <color theme="1"/>
        <rFont val="Times New Roman"/>
      </rPr>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r>
  </si>
  <si>
    <r>
      <rPr>
        <sz val="10"/>
        <color rgb="FF000000"/>
        <rFont val="Times New Roman"/>
      </rPr>
      <t xml:space="preserve">522-101-1242-0011 - Стеллаж
</t>
    </r>
    <r>
      <rPr>
        <sz val="10"/>
        <color rgb="FF000000"/>
        <rFont val="Times New Roman"/>
      </rPr>
      <t xml:space="preserve">библиотечный односторонний 800х380х2000мм. Каркас изготовлен из стального профиля.
</t>
    </r>
    <r>
      <rPr>
        <sz val="10"/>
        <color rgb="FF000000"/>
        <rFont val="Times New Roman"/>
      </rPr>
      <t>Полки из МДФ 16мм</t>
    </r>
  </si>
  <si>
    <t>Стеллаж
библиотечный односторонний 800х380х2000мм. Каркас изготовлен из стального профиля.
Полки из МДФ 16мм</t>
  </si>
  <si>
    <r>
      <rPr>
        <sz val="10"/>
        <color rgb="FF000000"/>
        <rFont val="Times New Roman"/>
      </rPr>
      <t xml:space="preserve">Стеллаж библиотечный двусторонний 800х380х2000мм.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t>
    </r>
    <r>
      <rPr>
        <sz val="10"/>
        <color rgb="FF000000"/>
        <rFont val="Times New Roman"/>
      </rPr>
      <t>Кромка ПВХ с использованием высокотемпературного клея. Для предотвращения воздействия воды и влаги на стеллаж предусмотрены 4 пластиковые ножки.</t>
    </r>
  </si>
  <si>
    <r>
      <rPr>
        <sz val="10"/>
        <color rgb="FF000000"/>
        <rFont val="Times New Roman"/>
      </rPr>
      <t xml:space="preserve">522-101-1242-0012 - Стеллаж
</t>
    </r>
    <r>
      <rPr>
        <sz val="10"/>
        <color rgb="FF000000"/>
        <rFont val="Times New Roman"/>
      </rPr>
      <t xml:space="preserve">библиотечный двусторонний 800х600х2000мм. Каркас изготовлен из стального профиля.
</t>
    </r>
    <r>
      <rPr>
        <sz val="10"/>
        <color rgb="FF000000"/>
        <rFont val="Times New Roman"/>
      </rPr>
      <t>Полки из МДФ 16мм</t>
    </r>
  </si>
  <si>
    <t>Стеллаж
библиотечный двусторонний 800х600х2000мм. Каркас изготовлен из стального профиля.
Полки из МДФ 16мм</t>
  </si>
  <si>
    <r>
      <rPr>
        <sz val="10"/>
        <color rgb="FF000000"/>
        <rFont val="Times New Roman"/>
      </rPr>
      <t xml:space="preserve">Стеллаж библиотечный двусторонний 800х600х2000мм.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t>
    </r>
    <r>
      <rPr>
        <sz val="10"/>
        <color rgb="FF000000"/>
        <rFont val="Times New Roman"/>
      </rPr>
      <t>Кромка ПВХ с использованием высокотемпературного клея. Полки крепятся к стальному каркасу болтами М6  Для предотвращения воздействия воды и влаги на стеллаж предусмотрены 4 пластиковые ножки.</t>
    </r>
  </si>
  <si>
    <r>
      <rPr>
        <sz val="10"/>
        <color rgb="FF000000"/>
        <rFont val="Times New Roman"/>
      </rPr>
      <t xml:space="preserve">522-101-1242-0013 - Стеллаж
</t>
    </r>
    <r>
      <rPr>
        <sz val="10"/>
        <color rgb="FF000000"/>
        <rFont val="Times New Roman"/>
      </rPr>
      <t xml:space="preserve">библиотечный демонстрационный 1000х320х2250 мм. С 6 открытыми наклонными полками для книг.
</t>
    </r>
    <r>
      <rPr>
        <sz val="10"/>
        <color rgb="FF000000"/>
        <rFont val="Times New Roman"/>
      </rPr>
      <t>ЛДСП 16мм, задняя стенка из МДФ 5мм</t>
    </r>
  </si>
  <si>
    <t>Стеллаж
библиотечный демонстрационный 1000х320х2250 мм. С 6 открытыми наклонными полками для книг.
ЛДСП 16мм, задняя стенка из МДФ 5мм</t>
  </si>
  <si>
    <r>
      <rPr>
        <sz val="10"/>
        <color theme="1"/>
        <rFont val="Times New Roman"/>
      </rPr>
      <t>Шкаф открытый. Материал корпуса, полок ЛДСП, толщина ЛДСП 16 мм, Полки открытые, наклонные 6 штук с защитным бордюром 50 м.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1000х320х2250 мм</t>
    </r>
  </si>
  <si>
    <r>
      <rPr>
        <sz val="10"/>
        <color rgb="FF000000"/>
        <rFont val="Times New Roman"/>
      </rPr>
      <t xml:space="preserve">522-101-1242-0014 - Стелаж
</t>
    </r>
    <r>
      <rPr>
        <sz val="10"/>
        <color rgb="FF000000"/>
        <rFont val="Times New Roman"/>
      </rPr>
      <t xml:space="preserve">книжный двухсторонний 1000х450х2000мм. Каркас выполнен из профильной трубы.
</t>
    </r>
    <r>
      <rPr>
        <sz val="10"/>
        <color rgb="FF000000"/>
        <rFont val="Times New Roman"/>
      </rPr>
      <t>Полки из ЛДСП 16 мм</t>
    </r>
  </si>
  <si>
    <t>Стелаж
книжный двухсторонний 1000х450х2000мм. Каркас выполнен из профильной трубы.
Полки из ЛДСП 16 мм</t>
  </si>
  <si>
    <r>
      <rPr>
        <sz val="10"/>
        <color theme="1"/>
        <rFont val="Times New Roman"/>
      </rPr>
      <t>Стеллаж металлический книжный 2-сторонний. Размер (ВхШхД) 2000х1000х450. Каркас выполнен из профильной трубы 20х20мм, окрашенный порошковой краской RAL. Полки изготовлены из ЛДСП 16 мм</t>
    </r>
  </si>
  <si>
    <r>
      <rPr>
        <sz val="10"/>
        <color rgb="FF000000"/>
        <rFont val="Times New Roman"/>
      </rPr>
      <t xml:space="preserve">522-101-1242-0018 - Стеллаж
</t>
    </r>
    <r>
      <rPr>
        <sz val="10"/>
        <color rgb="FF000000"/>
        <rFont val="Times New Roman"/>
      </rPr>
      <t>двусторонний, 3 полки, размер не менее 800х600х1100 мм</t>
    </r>
  </si>
  <si>
    <t>Стеллаж
двусторонний, 3 полки, размер не менее 800х600х1100 мм</t>
  </si>
  <si>
    <r>
      <rPr>
        <sz val="10"/>
        <color theme="1"/>
        <rFont val="Times New Roman"/>
      </rPr>
      <t>Несущие части и полки должны быть изготовлены из ЛДСП толщиной не менее 16 мм. Кромка из ПВХ не менее 0,4 мм. Стеллаж должен быть разделен по горизонтали на три, одинаковых по высоте, полки.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r>
  </si>
  <si>
    <r>
      <rPr>
        <sz val="10"/>
        <color rgb="FF000000"/>
        <rFont val="Times New Roman"/>
      </rPr>
      <t xml:space="preserve">522-101-1242-0019 - Стеллаж
</t>
    </r>
    <r>
      <rPr>
        <sz val="10"/>
        <color rgb="FF000000"/>
        <rFont val="Times New Roman"/>
      </rPr>
      <t>двусторонний, 5 полки, размер не менее 800х600х1830 мм</t>
    </r>
  </si>
  <si>
    <t>Стеллаж
двусторонний, 5 полки, размер не менее 800х600х1830 мм</t>
  </si>
  <si>
    <r>
      <rPr>
        <sz val="10"/>
        <color theme="1"/>
        <rFont val="Times New Roman"/>
      </rPr>
      <t>Несущие части и полки должны быть изготовлены из ЛДСП толщиной не менее 16 мм. Кромка ПВХ не менее 0,4 мм. Стеллаж должен быть разделен по горизонтали на пять, одинаковых по высоте, полок.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r>
  </si>
  <si>
    <r>
      <rPr>
        <sz val="10"/>
        <color rgb="FF000000"/>
        <rFont val="Times New Roman"/>
      </rPr>
      <t xml:space="preserve">522-101-1242-0020 - Стеллаж
</t>
    </r>
    <r>
      <rPr>
        <sz val="10"/>
        <color rgb="FF000000"/>
        <rFont val="Times New Roman"/>
      </rPr>
      <t>выставочный, 5 скошенных полок, размер не менее 800х120х1800 мм</t>
    </r>
  </si>
  <si>
    <t>Стеллаж
выставочный, 5 скошенных полок, размер не менее 800х120х1800 мм</t>
  </si>
  <si>
    <r>
      <rPr>
        <sz val="10"/>
        <color theme="1"/>
        <rFont val="Times New Roman"/>
      </rPr>
      <t>Несущие части, полки, фасадная часть – ЛДСП толщиной не менее 16 мм. Кромка из ПВХ не менее 0,4 мм. пять скошенных под углом 80 градусов полок с бортиками, для размещения книг, на расстоянии по высоте 340 мм друг от друга. Сборка должна производиться с помощью конфирматов 6,3х50 и эксцентриковых стяжек. Стеллаж выполнен в двух цветах ЛДСП. Полки расположены по цвету в шахматном порядке. Должны быть в комплекте 2 уголка для крепления к стене.</t>
    </r>
  </si>
  <si>
    <r>
      <rPr>
        <sz val="10"/>
        <color rgb="FF000000"/>
        <rFont val="Times New Roman"/>
      </rPr>
      <t xml:space="preserve">522-101-1242-0021 - Стеллаж с
</t>
    </r>
    <r>
      <rPr>
        <sz val="10"/>
        <color rgb="FF000000"/>
        <rFont val="Times New Roman"/>
      </rPr>
      <t>наклонными полками, размер 1200х450х2380 мм. Каркас из профильной трубы, полки из ЛДСП толщиной не менее 16 мм</t>
    </r>
  </si>
  <si>
    <t>Стеллаж с
наклонными полками, размер 1200х450х2380 мм. Каркас из профильной трубы, полки из ЛДСП толщиной не менее 16 мм</t>
  </si>
  <si>
    <r>
      <rPr>
        <sz val="10"/>
        <color theme="1"/>
        <rFont val="Times New Roman"/>
      </rPr>
      <t>Каркас выполнен из профильной трубы размером не менее 25х25 мм толщиной не менее 1,2 мм, и окрашенной полимерной краской. Состоит из не менее 2 боковых рамок и 8 наклонных полок. Полка из ЛДСП толщиной не менее 16 мм крепится в металлическую раму через пластину, шурупом не менее 4х16 мм. Боковые опоры регулируемые.</t>
    </r>
  </si>
  <si>
    <r>
      <rPr>
        <sz val="10"/>
        <color rgb="FF000000"/>
        <rFont val="Times New Roman"/>
      </rPr>
      <t xml:space="preserve">522-101-1242-0022 - Стеллаж
</t>
    </r>
    <r>
      <rPr>
        <sz val="10"/>
        <color rgb="FF000000"/>
        <rFont val="Times New Roman"/>
      </rPr>
      <t>библиотечный двусторонний, каркас из профильной трубы, 3 полки из ЛДСП толщиной не менее 16 мм, размер не менее 800х600х1120 мм</t>
    </r>
  </si>
  <si>
    <t>Стеллаж
библиотечный двусторонний, каркас из профильной трубы, 3 полки из ЛДСП толщиной не менее 16 мм, размер не менее 800х600х1120 мм</t>
  </si>
  <si>
    <r>
      <rPr>
        <sz val="10"/>
        <color theme="1"/>
        <rFont val="Times New Roman"/>
      </rPr>
      <t>Каркас выполнен из профильной трубы размером не менее 25х25 мм толщиной не менее 1,2мм, окрашенной полимерной краской. Состоит из 2 боковых рамок размером не менее 1095х450 мм. В рамках должны быть вертикально закреплены 2 трубы размером не менее 25х25 мм толщиной не менее 1,2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r>
  </si>
  <si>
    <r>
      <rPr>
        <sz val="10"/>
        <color rgb="FF000000"/>
        <rFont val="Times New Roman"/>
      </rPr>
      <t xml:space="preserve">522-101-1242-0023 - Стеллаж
</t>
    </r>
    <r>
      <rPr>
        <sz val="10"/>
        <color rgb="FF000000"/>
        <rFont val="Times New Roman"/>
      </rPr>
      <t>библиотечный двусторонний, каркас из профильной трубы, 5 полок из ЛДСП толщиной не менее 16 мм, размер не менее 800х600х1840 мм</t>
    </r>
  </si>
  <si>
    <t>Стеллаж
библиотечный двусторонний, каркас из профильной трубы, 5 полок из ЛДСП толщиной не менее 16 мм, размер не менее 800х600х1840 мм</t>
  </si>
  <si>
    <r>
      <rPr>
        <sz val="10"/>
        <color theme="1"/>
        <rFont val="Times New Roman"/>
      </rPr>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1814х450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r>
  </si>
  <si>
    <r>
      <rPr>
        <sz val="10"/>
        <color rgb="FF000000"/>
        <rFont val="Times New Roman"/>
      </rPr>
      <t xml:space="preserve">522-101-1242-0024 - Стеллаж
</t>
    </r>
    <r>
      <rPr>
        <sz val="10"/>
        <color rgb="FF000000"/>
        <rFont val="Times New Roman"/>
      </rPr>
      <t>библиотечный односторонний, каркас из профильной трубы, 5 полок из ЛДСП толщиной не менее 16 мм, размер не менее 800х350х1840 мм</t>
    </r>
  </si>
  <si>
    <t>Стеллаж
библиотечный односторонний, каркас из профильной трубы, 5 полок из ЛДСП толщиной не менее 16 мм, размер не менее 800х350х1840 мм</t>
  </si>
  <si>
    <r>
      <rPr>
        <sz val="10"/>
        <color theme="1"/>
        <rFont val="Times New Roman"/>
      </rPr>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1814х350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694х294 мм к рамке через металлическую пластину шурупом не менее 4х20 мм. Боковые опоры должны иметь регулируемые опоры.</t>
    </r>
  </si>
  <si>
    <r>
      <rPr>
        <sz val="10"/>
        <color rgb="FF000000"/>
        <rFont val="Times New Roman"/>
      </rPr>
      <t xml:space="preserve">522-101-1242-0025 - Стеллаж
</t>
    </r>
    <r>
      <rPr>
        <sz val="10"/>
        <color rgb="FF000000"/>
        <rFont val="Times New Roman"/>
      </rPr>
      <t>полукруглый библиотечный, размер 1970х985х1450 мм</t>
    </r>
  </si>
  <si>
    <t>Стеллаж
полукруглый библиотечный, размер 1970х985х1450 мм</t>
  </si>
  <si>
    <r>
      <rPr>
        <sz val="10"/>
        <color rgb="FF000000"/>
        <rFont val="Times New Roman"/>
      </rPr>
      <t xml:space="preserve">Модуль представляет собой односторонний стеллаж выполненный в виде полукруга. Высота верхнего края должна быть над полом не менее 1450 мм.
</t>
    </r>
    <r>
      <rPr>
        <sz val="10"/>
        <color rgb="FF000000"/>
        <rFont val="Times New Roman"/>
      </rPr>
      <t>Стеллаж состоит из 3 модулей разной высоты с открытыми нишами, расстояние между которыми должно быть не менее 336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r>
  </si>
  <si>
    <r>
      <rPr>
        <sz val="10"/>
        <color rgb="FF000000"/>
        <rFont val="Times New Roman"/>
      </rPr>
      <t xml:space="preserve">522-101-1242-0026 - Стеллаж
</t>
    </r>
    <r>
      <rPr>
        <sz val="10"/>
        <color rgb="FF000000"/>
        <rFont val="Times New Roman"/>
      </rPr>
      <t>полукруглый библиотечный, размер 2980х1490х1200 мм</t>
    </r>
  </si>
  <si>
    <t>Стеллаж
полукруглый библиотечный, размер 2980х1490х1200 мм</t>
  </si>
  <si>
    <r>
      <rPr>
        <sz val="10"/>
        <color rgb="FF000000"/>
        <rFont val="Times New Roman"/>
      </rPr>
      <t xml:space="preserve">Модуль представляет собой односторонний стеллаж выполненный в виде полукруга. Высота верхнего края должна быть над полом не менее 1200 мм.
</t>
    </r>
    <r>
      <rPr>
        <sz val="10"/>
        <color rgb="FF000000"/>
        <rFont val="Times New Roman"/>
      </rPr>
      <t>Стеллаж состоит из 4 модулей, одного с 3 нишами и трех с двумя нишами.Расстояние между полками должно быть не менее 368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r>
  </si>
  <si>
    <r>
      <rPr>
        <sz val="10"/>
        <color rgb="FF000000"/>
        <rFont val="Times New Roman"/>
      </rPr>
      <t xml:space="preserve">522-101-1242-0027 - Стеллаж с 8
</t>
    </r>
    <r>
      <rPr>
        <sz val="10"/>
        <color rgb="FF000000"/>
        <rFont val="Times New Roman"/>
      </rPr>
      <t>открытыми ячейками, в 4 из которых установлены квадратные короба из ЛДСП 16 мм, размер 1445х350х755 мм</t>
    </r>
  </si>
  <si>
    <t>Стеллаж с 8
открытыми ячейками, в 4 из которых установлены квадратные короба из ЛДСП 16 мм, размер 1445х350х755 мм</t>
  </si>
  <si>
    <r>
      <rPr>
        <sz val="10"/>
        <color rgb="FF000000"/>
        <rFont val="Times New Roman"/>
      </rPr>
      <t xml:space="preserve">Каркас должен быть выполнен из профильной трубы размером не менее 25х25 мм толщиной не менее 1,2мм, окрашенной полимерной краской. Стеллаж выполнен в виде 8 открытых ячеек, в четырех из которых установлены квадратные короба из ЛДСП толщиной не менее 16 мм, разных цветов. Кромка из ПВХ должна быть толщиной не менее 0,4 мм.
</t>
    </r>
    <r>
      <rPr>
        <sz val="10"/>
        <color rgb="FF000000"/>
        <rFont val="Times New Roman"/>
      </rPr>
      <t>Металлический каркас должен иметь регулируемые опоры.</t>
    </r>
  </si>
  <si>
    <r>
      <rPr>
        <sz val="10"/>
        <color rgb="FF000000"/>
        <rFont val="Times New Roman"/>
      </rPr>
      <t xml:space="preserve">522-101-1242-0028 - Стеллаж
</t>
    </r>
    <r>
      <rPr>
        <sz val="10"/>
        <color rgb="FF000000"/>
        <rFont val="Times New Roman"/>
      </rPr>
      <t>модульный полукруглый с мягким элементом, размер 1490х1490х1200 мм</t>
    </r>
  </si>
  <si>
    <t>Стеллаж
модульный полукруглый с мягким элементом, размер 1490х1490х1200 мм</t>
  </si>
  <si>
    <r>
      <rPr>
        <sz val="10"/>
        <color theme="1"/>
        <rFont val="Times New Roman"/>
      </rPr>
      <t>Стеллааж состоит из 2 модулей. Первый модуль представляет собой двухсторонний стеллаж выполненный в виде октанты окружности. Высота верхнего края должна быть над полом не менее 460 мм. Сиденье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должна быть перегородка, для увеличения жесткости.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 Второй модуль представляет собой двухсторонний стеллаж выполненный в виде октанты окружности. Высота верхнего края должна быть над полом не менее 1200 мм. Стеллаж имеет по 3 открытые полки с каждой стороны, расстояние между которыми должно быть не менее 360мм.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r>
  </si>
  <si>
    <r>
      <rPr>
        <sz val="10"/>
        <color rgb="FF000000"/>
        <rFont val="Times New Roman"/>
      </rPr>
      <t xml:space="preserve">522-101-1242-0029 - Стеллаж
</t>
    </r>
    <r>
      <rPr>
        <sz val="10"/>
        <color rgb="FF000000"/>
        <rFont val="Times New Roman"/>
      </rPr>
      <t>односторонний модульный для хранения с мягким элементом, размер 1100х940х1820 мм</t>
    </r>
  </si>
  <si>
    <t>Стеллаж
односторонний модульный для хранения с мягким элементом, размер 1100х940х1820 мм</t>
  </si>
  <si>
    <r>
      <rPr>
        <sz val="10"/>
        <color rgb="FF000000"/>
        <rFont val="Times New Roman"/>
      </rPr>
      <t xml:space="preserve">Модуль представляет собой односторонний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две дверки с ручками.
</t>
    </r>
    <r>
      <rPr>
        <sz val="10"/>
        <color rgb="FF000000"/>
        <rFont val="Times New Roman"/>
      </rPr>
      <t xml:space="preserve">Петля для дверок должна быть внешняя с европланкой с функцией
</t>
    </r>
    <r>
      <rPr>
        <sz val="10"/>
        <color rgb="FF000000"/>
        <rFont val="Times New Roman"/>
      </rPr>
      <t>«softclose».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r>
  </si>
  <si>
    <r>
      <rPr>
        <sz val="10"/>
        <color rgb="FF000000"/>
        <rFont val="Times New Roman"/>
      </rPr>
      <t xml:space="preserve">522-101-1242-0030 - Стеллаж
</t>
    </r>
    <r>
      <rPr>
        <sz val="10"/>
        <color rgb="FF000000"/>
        <rFont val="Times New Roman"/>
      </rPr>
      <t>двухсторонний модульный с мягким элементом, размер 1100х520х1820 мм</t>
    </r>
  </si>
  <si>
    <t>Стеллаж
двухсторонний модульный с мягким элементом, размер 1100х520х1820 мм</t>
  </si>
  <si>
    <r>
      <rPr>
        <sz val="10"/>
        <color theme="1"/>
        <rFont val="Times New Roman"/>
      </rPr>
      <t>Модуль представляет собой двухсторонний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жесткая тумба.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r>
  </si>
  <si>
    <r>
      <rPr>
        <sz val="10"/>
        <color theme="1"/>
        <rFont val="Times New Roman"/>
      </rPr>
      <t>522-101-1242-0031 - Стеллаж для литературы, материал ЛДСП 32 мм, наклонные г-образные полки из оргстекла толщиной не менее 4 мм, кромка из ПВХ не менее 2 мм, размеры 520х350х1500 мм</t>
    </r>
  </si>
  <si>
    <r>
      <rPr>
        <sz val="10"/>
        <color theme="1"/>
        <rFont val="Times New Roman"/>
      </rPr>
      <t>Стеллаж выполнен в форме стелы из ЛДСП не менее 32 мм и имеет в сзади ребро жесткости. Наклонные г-образные полки изготовлены из оргстекла толщиной не менее 4 мм. Кромка из ПВХ не менее 2 мм. В основании имеются пластиковые подпятники. Сборка должна производиться с помощью конфирматов 6,3х50 и эксцентриковых стяжек.</t>
    </r>
  </si>
  <si>
    <r>
      <rPr>
        <sz val="10"/>
        <color theme="1"/>
        <rFont val="Times New Roman"/>
      </rPr>
      <t>522-101-1242-0032 - Стеллаж для документов, шесть ниш, три из которых не закрыты задней стенкой, размеры 800х420х1230 мм</t>
    </r>
  </si>
  <si>
    <r>
      <rPr>
        <sz val="10"/>
        <color rgb="FF000000"/>
        <rFont val="Times New Roman"/>
      </rPr>
      <t xml:space="preserve">Стеллаж открытый с шестью нишами, три из которых не закрыты задней стенкой. Одна боковина изготовлена из профильной квадратной трубы 20х20мм толщиной не менее 1,2мм и покрыта порошковой полимерной краской. Несущие части, полки, задняя стенка изготовлены из ЛДСП толщиной не менее 16 мм. Кромка из ПВХ не менее 0,4 мм. Сборка должна производиться с помощью конфирматов 6,3х50 и эксцентриковых стяжек.
</t>
    </r>
    <r>
      <rPr>
        <sz val="10"/>
        <color rgb="FF000000"/>
        <rFont val="Times New Roman"/>
      </rPr>
      <t xml:space="preserve">Места установки крепёжных изделий должны быть закрыты заглушками.Мебельные ножки должны регулироваться по высоте для
</t>
    </r>
    <r>
      <rPr>
        <sz val="10"/>
        <color rgb="FF000000"/>
        <rFont val="Times New Roman"/>
      </rPr>
      <t>компенсации неровностей пола.</t>
    </r>
  </si>
  <si>
    <r>
      <rPr>
        <sz val="10"/>
        <color rgb="FF000000"/>
        <rFont val="Times New Roman"/>
      </rPr>
      <t xml:space="preserve">522-101-1242-0033 - Система
</t>
    </r>
    <r>
      <rPr>
        <sz val="10"/>
        <color rgb="FF000000"/>
        <rFont val="Times New Roman"/>
      </rPr>
      <t>модульная настенная 6 секций, размеры 1130х250х1300 мм, ЛДСП 16 мм, кромка ПВХ. Шесть открытых секций в виде прямоугольника размером 350х350 мм</t>
    </r>
  </si>
  <si>
    <t>Система
модульная настенная 6 секций, размеры 1130х250х1300 мм, ЛДСП 16 мм, кромка ПВХ. Шесть открытых секций в виде прямоугольника размером 350х350 мм</t>
  </si>
  <si>
    <r>
      <rPr>
        <sz val="10"/>
        <color theme="1"/>
        <rFont val="Times New Roman"/>
      </rPr>
      <t>Несущие части, полки – ЛДСП толщиной не менее 16 мм. Кромка из ПВХ не менее 0,4 мм. Сборка должна производиться с помощью стяжки эксцентриковая и шкант буковый 8х30 мм. Модуль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Предусмотрено крепление модуля к стене.</t>
    </r>
  </si>
  <si>
    <r>
      <rPr>
        <sz val="10"/>
        <color rgb="FF000000"/>
        <rFont val="Times New Roman"/>
      </rPr>
      <t xml:space="preserve">522-101-1242-0034 - Система
</t>
    </r>
    <r>
      <rPr>
        <sz val="10"/>
        <color rgb="FF000000"/>
        <rFont val="Times New Roman"/>
      </rPr>
      <t>модульная настенная 8 секций, размеры 1670х250х1310 мм, ЛДСП 16 мм, кромка ПВХ. Восемь открытых секций в виде прямоугольника размером 350х350 мм</t>
    </r>
  </si>
  <si>
    <t>Система
модульная настенная 8 секций, размеры 1670х250х1310 мм, ЛДСП 16 мм, кромка ПВХ. Восемь открытых секций в виде прямоугольника размером 350х350 мм</t>
  </si>
  <si>
    <r>
      <rPr>
        <sz val="10"/>
        <color theme="1"/>
        <rFont val="Times New Roman"/>
      </rPr>
      <t>Несущие части, полки – ЛДСП толщиной не менее 16 мм. Кромка из ПВХ не менее 0,4 мм. Сборка должна производиться с помощью  стяжка эксцентриковая и шкант буковый 8х30 мм. Модуль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Предусмотрено крепление модуля к стене.</t>
    </r>
  </si>
  <si>
    <r>
      <rPr>
        <sz val="10"/>
        <color rgb="FF000000"/>
        <rFont val="Times New Roman"/>
      </rPr>
      <t xml:space="preserve">522-101-1242-0035 - Система
</t>
    </r>
    <r>
      <rPr>
        <sz val="10"/>
        <color rgb="FF000000"/>
        <rFont val="Times New Roman"/>
      </rPr>
      <t>модульная настенная Лесенка 3 секции, размеры 1018х266х768 мм, ЛДСП 16 мм, кромка ПВХ.</t>
    </r>
  </si>
  <si>
    <t>Система
модульная настенная Лесенка 3 секции, размеры 1018х266х768 мм, ЛДСП 16 мм, кромка ПВХ.</t>
  </si>
  <si>
    <r>
      <rPr>
        <sz val="10"/>
        <color theme="1"/>
        <rFont val="Times New Roman"/>
      </rPr>
      <t>Система модульная настенная Лесенка 3 секции Габаритные размеры должны быть, не менее 1018х266х768 мм. Несущие части, полки – ЛДСП толщиной не менее 16 мм. Кромка из ПВХ не менее 0,4 мм. Сборка должна производиться с помощью конфирматов 6,3х50 и эксцентриковых стяжек. Модуль состоит из 3 секций, 2 секции имею 2 полки с боковыми опорами, а третья три полки, также с боковыми опорами. Предусмотрено крепление модуля к стене.</t>
    </r>
  </si>
  <si>
    <r>
      <rPr>
        <sz val="10"/>
        <color rgb="FF000000"/>
        <rFont val="Times New Roman"/>
      </rPr>
      <t xml:space="preserve">522-101-1243-0001 - Трибуна
</t>
    </r>
    <r>
      <rPr>
        <sz val="10"/>
        <color rgb="FF000000"/>
        <rFont val="Times New Roman"/>
      </rPr>
      <t>600х500х1200мм. ЛДСП 16мм</t>
    </r>
  </si>
  <si>
    <t>Трибуна
600х500х1200мм. ЛДСП 16мм</t>
  </si>
  <si>
    <r>
      <rPr>
        <sz val="10"/>
        <color theme="1"/>
        <rFont val="Times New Roman"/>
      </rPr>
      <t>Трибуна для выступлений 600х500х1200мм. Материал корпуса ЛДСП, толщина материала 16 мм. Кромка ПВХ с использованием высокотемпературного клея. Для предотвращения воздействия воды и влаги предусмотрены пластиковые подпятники.</t>
    </r>
  </si>
  <si>
    <r>
      <rPr>
        <sz val="10"/>
        <color rgb="FF000000"/>
        <rFont val="Times New Roman"/>
      </rPr>
      <t xml:space="preserve">522-101-1243-0002 - Трибуна
</t>
    </r>
    <r>
      <rPr>
        <sz val="10"/>
        <color rgb="FF000000"/>
        <rFont val="Times New Roman"/>
      </rPr>
      <t>700х490х1240 мм. ЛДСП 16мм</t>
    </r>
  </si>
  <si>
    <t>Трибуна
700х490х1240 мм. ЛДСП 16мм</t>
  </si>
  <si>
    <r>
      <rPr>
        <sz val="10"/>
        <color theme="1"/>
        <rFont val="Times New Roman"/>
      </rPr>
      <t>Трибуна 700х490х1240 мм. ЛДСП 16мм</t>
    </r>
  </si>
  <si>
    <r>
      <rPr>
        <sz val="10"/>
        <color theme="1"/>
        <rFont val="Times New Roman"/>
      </rPr>
      <t>522-101-1243-0003 - Спич-трибуна 600х500х1195 мм</t>
    </r>
  </si>
  <si>
    <r>
      <rPr>
        <sz val="10"/>
        <color theme="1"/>
        <rFont val="Times New Roman"/>
      </rPr>
      <t>Материал: ЛДСП, толщиной 16 мм.   Кромки деталей облицованы полимерным кромочным материалам (ПВХ), толщиной 1,5 мм. Фурнитура: конфирматы, стяжка типа BLUM</t>
    </r>
  </si>
  <si>
    <r>
      <rPr>
        <sz val="10"/>
        <color rgb="FF000000"/>
        <rFont val="Times New Roman"/>
      </rPr>
      <t xml:space="preserve">522-101-1243-0004 - Трибуна
</t>
    </r>
    <r>
      <rPr>
        <sz val="10"/>
        <color rgb="FF000000"/>
        <rFont val="Times New Roman"/>
      </rPr>
      <t xml:space="preserve">640х470х1125мм. ЛДСП 16мм, 2
</t>
    </r>
    <r>
      <rPr>
        <sz val="10"/>
        <color rgb="FF000000"/>
        <rFont val="Times New Roman"/>
      </rPr>
      <t>полки</t>
    </r>
  </si>
  <si>
    <t>Трибуна
640х470х1125мм. ЛДСП 16мм, 2
полки</t>
  </si>
  <si>
    <r>
      <rPr>
        <sz val="10"/>
        <color rgb="FF000000"/>
        <rFont val="Times New Roman"/>
      </rPr>
      <t xml:space="preserve">Трибуна. Материал ЛДСП, толщина материала 16 мм, кромка ПВХ с исполькозованием высокотемпературного клея. Для предотвращения воздействия воды и влаги на стол предусмотрены пластикоые подпятники.
</t>
    </r>
    <r>
      <rPr>
        <sz val="10"/>
        <color rgb="FF000000"/>
        <rFont val="Times New Roman"/>
      </rPr>
      <t>Корпус соединяется с помощью системой Minifiх. имеются 2 зафиксированные полки. НА верхней полке имеется бортик в 40 мм, для удержания жокументов. Габариты 640*470*1125мм с полкой, бортами</t>
    </r>
  </si>
  <si>
    <r>
      <rPr>
        <sz val="10"/>
        <color theme="1"/>
        <rFont val="Times New Roman"/>
      </rPr>
      <t>522-101-1243-0005 - Спич-трибуна 550х500х1200мм. ЛДСП 16мм</t>
    </r>
  </si>
  <si>
    <r>
      <rPr>
        <sz val="10"/>
        <color theme="1"/>
        <rFont val="Times New Roman"/>
      </rPr>
      <t>Спич-трибуна выполнена из ЛДСП 16мм, торцы обработаны кромкой ПВХ толщиной 2мм.</t>
    </r>
  </si>
  <si>
    <r>
      <rPr>
        <sz val="10"/>
        <color rgb="FF000000"/>
        <rFont val="Times New Roman"/>
      </rPr>
      <t xml:space="preserve">522-101-1245-0001 - Доска классная настенная магнитно-меловая.
</t>
    </r>
    <r>
      <rPr>
        <sz val="10"/>
        <color rgb="FF000000"/>
        <rFont val="Times New Roman"/>
      </rPr>
      <t>Размер 1500х1000мм.</t>
    </r>
  </si>
  <si>
    <t>Доска классная настенная магнитно-меловая.
Размер 1500х1000мм.</t>
  </si>
  <si>
    <r>
      <rPr>
        <sz val="10"/>
        <color theme="1"/>
        <rFont val="Times New Roman"/>
      </rPr>
      <t>Доска классная настенная магнитно-меловая. Размер 1500х1000мм.</t>
    </r>
  </si>
  <si>
    <r>
      <rPr>
        <sz val="10"/>
        <color rgb="FF000000"/>
        <rFont val="Times New Roman"/>
      </rPr>
      <t xml:space="preserve">522-101-1245-0002 - Доска классная настенная магнитно-меловая.
</t>
    </r>
    <r>
      <rPr>
        <sz val="10"/>
        <color rgb="FF000000"/>
        <rFont val="Times New Roman"/>
      </rPr>
      <t>Размер 1700х1000мм.</t>
    </r>
  </si>
  <si>
    <t>Доска классная настенная магнитно-меловая.
Размер 1700х1000мм.</t>
  </si>
  <si>
    <r>
      <rPr>
        <sz val="10"/>
        <color theme="1"/>
        <rFont val="Times New Roman"/>
      </rPr>
      <t>Доска классная настенная магнитно-меловая. Размер 1700х1000мм.</t>
    </r>
  </si>
  <si>
    <r>
      <rPr>
        <sz val="10"/>
        <color rgb="FF000000"/>
        <rFont val="Times New Roman"/>
      </rPr>
      <t xml:space="preserve">522-101-1245-0003 - Доска
</t>
    </r>
    <r>
      <rPr>
        <sz val="10"/>
        <color rgb="FF000000"/>
        <rFont val="Times New Roman"/>
      </rPr>
      <t>магнитно-маркерная и магнитно-меловая, размер 1500х1000мм</t>
    </r>
  </si>
  <si>
    <t>Доска
магнитно-маркерная и магнитно-меловая, размер 1500х1000мм</t>
  </si>
  <si>
    <r>
      <rPr>
        <sz val="10"/>
        <color theme="1"/>
        <rFont val="Times New Roman"/>
      </rPr>
      <t>Доска классная, меловая и маркерная, покрытие магнитное. Цвет зеленый и белый. Доска из стали с прочным эмалевым антибликовым покрытием, устойчивая к царапанию и стиранию. В комплект входит лоток для маркеров. Записи на доску наносятся при помощи цветных маркеров и удаляются специальной губкой, входящих в комплект поставки. В комплекте: набор цветных маркеров, губка для стирания, крепежные и декоративные элементы.</t>
    </r>
  </si>
  <si>
    <r>
      <rPr>
        <sz val="10"/>
        <color rgb="FF000000"/>
        <rFont val="Times New Roman"/>
      </rPr>
      <t xml:space="preserve">522-101-1248-0001 - Доска
</t>
    </r>
    <r>
      <rPr>
        <sz val="10"/>
        <color rgb="FF000000"/>
        <rFont val="Times New Roman"/>
      </rPr>
      <t>настенная аудиторная трехстворчатая размерами 1000x3000 мм, мел+маркер</t>
    </r>
  </si>
  <si>
    <t>Доска
настенная аудиторная трехстворчатая размерами 1000x3000 мм, мел+маркер</t>
  </si>
  <si>
    <r>
      <rPr>
        <sz val="10"/>
        <color theme="1"/>
        <rFont val="Times New Roman"/>
      </rPr>
      <t>Доска настенная аудиторная трехстворчатая размерами 1000x3000 мм, мел+маркер</t>
    </r>
  </si>
  <si>
    <r>
      <rPr>
        <sz val="10"/>
        <color rgb="FF000000"/>
        <rFont val="Times New Roman"/>
      </rPr>
      <t xml:space="preserve">522-101-1249 - Доска
</t>
    </r>
    <r>
      <rPr>
        <sz val="10"/>
        <color rgb="FF000000"/>
        <rFont val="Times New Roman"/>
      </rPr>
      <t xml:space="preserve">магнитно-маркерная на треноге.
</t>
    </r>
    <r>
      <rPr>
        <sz val="10"/>
        <color rgb="FF000000"/>
        <rFont val="Times New Roman"/>
      </rPr>
      <t>Размер 900х1000мм.</t>
    </r>
  </si>
  <si>
    <t>Доска
магнитно-маркерная на треноге.
Размер 900х1000мм.</t>
  </si>
  <si>
    <r>
      <rPr>
        <sz val="10"/>
        <color theme="1"/>
        <rFont val="Times New Roman"/>
      </rPr>
      <t>Доска магнитно-маркерная на треноге. Размер 900х1000мм.</t>
    </r>
  </si>
  <si>
    <r>
      <rPr>
        <sz val="10"/>
        <color rgb="FF000000"/>
        <rFont val="Times New Roman"/>
      </rPr>
      <t xml:space="preserve">522-101-1251-0001 - Шкаф
</t>
    </r>
    <r>
      <rPr>
        <sz val="10"/>
        <color rgb="FF000000"/>
        <rFont val="Times New Roman"/>
      </rPr>
      <t>металлический, взломостойкий, размеры 900х440х355мм</t>
    </r>
  </si>
  <si>
    <t>Шкаф
металлический, взломостойкий, размеры 900х440х355мм</t>
  </si>
  <si>
    <r>
      <rPr>
        <sz val="10"/>
        <color theme="1"/>
        <rFont val="Times New Roman"/>
      </rPr>
      <t>Цельная конструкция, из листового металла. Полка и запирающий отсек "трейзер"- сталь листовая, толщинной 2мм. Размеры запирающего отсека "трейзер" -107,5х297мм. Покрытие полимерно-порошковой краски. Класс взломостойкости- SI.</t>
    </r>
  </si>
  <si>
    <r>
      <rPr>
        <sz val="10"/>
        <color rgb="FF000000"/>
        <rFont val="Times New Roman"/>
      </rPr>
      <t xml:space="preserve">522-101-1251-0002 - Шкаф
</t>
    </r>
    <r>
      <rPr>
        <sz val="10"/>
        <color rgb="FF000000"/>
        <rFont val="Times New Roman"/>
      </rPr>
      <t>металлический, размер 800х500х1830мм, 2 распашные двери, ригельный замок</t>
    </r>
  </si>
  <si>
    <t>Шкаф
металлический, размер 800х500х1830мм, 2 распашные двери, ригельный замок</t>
  </si>
  <si>
    <r>
      <rPr>
        <sz val="10"/>
        <color theme="1"/>
        <rFont val="Times New Roman"/>
      </rPr>
      <t>Шкаф металлический, размер 800х500х1830мм, 2 распашные двери, ригельный замок, 3 полки, цвет серый</t>
    </r>
  </si>
  <si>
    <r>
      <rPr>
        <sz val="10"/>
        <color rgb="FF000000"/>
        <rFont val="Times New Roman"/>
      </rPr>
      <t xml:space="preserve">522-101-1251-0003 - Шкаф с 6
</t>
    </r>
    <r>
      <rPr>
        <sz val="10"/>
        <color rgb="FF000000"/>
        <rFont val="Times New Roman"/>
      </rPr>
      <t>ящиками для хранения документов, материал изготовления листовой металл толщиной не менее 0,5 мм, размеры 570х600х1335 мм</t>
    </r>
  </si>
  <si>
    <t>Шкаф с 6
ящиками для хранения документов, материал изготовления листовой металл толщиной не менее 0,5 мм, размеры 570х600х1335 мм</t>
  </si>
  <si>
    <r>
      <rPr>
        <sz val="10"/>
        <color theme="1"/>
        <rFont val="Times New Roman"/>
      </rPr>
      <t>Материал изготовления листовой металл толщиной не менее 0,5мм,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шесть горизонтальных закрытых отсеков.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r>
  </si>
  <si>
    <r>
      <rPr>
        <sz val="10"/>
        <color rgb="FF000000"/>
        <rFont val="Times New Roman"/>
      </rPr>
      <t xml:space="preserve">522-101-1252-0001 - Вешалка
</t>
    </r>
    <r>
      <rPr>
        <sz val="10"/>
        <color rgb="FF000000"/>
        <rFont val="Times New Roman"/>
      </rPr>
      <t>гардеробная двухсторонняя на 40 крючков</t>
    </r>
  </si>
  <si>
    <t>Вешалка
гардеробная двухсторонняя на 40 крючков</t>
  </si>
  <si>
    <r>
      <rPr>
        <sz val="10"/>
        <color theme="1"/>
        <rFont val="Times New Roman"/>
      </rPr>
      <t>Размеры не менее длина 1800мм, высота 1770мм. Металлический каркас.</t>
    </r>
  </si>
  <si>
    <r>
      <rPr>
        <sz val="10"/>
        <color rgb="FF000000"/>
        <rFont val="Times New Roman"/>
      </rPr>
      <t xml:space="preserve">522-101-1252-0002 - Вешалка
</t>
    </r>
    <r>
      <rPr>
        <sz val="10"/>
        <color rgb="FF000000"/>
        <rFont val="Times New Roman"/>
      </rPr>
      <t>гардеробная на 18/24/32 крючка</t>
    </r>
  </si>
  <si>
    <t>Вешалка
гардеробная на 18/24/32 крючка</t>
  </si>
  <si>
    <r>
      <rPr>
        <sz val="10"/>
        <color theme="1"/>
        <rFont val="Times New Roman"/>
      </rPr>
      <t>Вешалка гардеробная напольная, металлический каркас, ЛДСП 16 мм, 18/24/32 крючка, размеры не менее 1184х862х1600мм.</t>
    </r>
  </si>
  <si>
    <r>
      <rPr>
        <sz val="10"/>
        <color rgb="FF000000"/>
        <rFont val="Times New Roman"/>
      </rPr>
      <t xml:space="preserve">522-101-1252-0003 - Скамья
</t>
    </r>
    <r>
      <rPr>
        <sz val="10"/>
        <color rgb="FF000000"/>
        <rFont val="Times New Roman"/>
      </rPr>
      <t>гардеробная со спинкой и встроенной вешалкой с крючками</t>
    </r>
  </si>
  <si>
    <t>Скамья
гардеробная со спинкой и встроенной вешалкой с крючками</t>
  </si>
  <si>
    <r>
      <rPr>
        <sz val="10"/>
        <color theme="1"/>
        <rFont val="Times New Roman"/>
      </rPr>
      <t>Цвет синий. Обивка искусственная кожа. Материал ЛДСП. Материал каркаса металл. Размер (ДхШхВ): 1500 x 360 x 1690мм.</t>
    </r>
  </si>
  <si>
    <r>
      <rPr>
        <sz val="10"/>
        <color rgb="FF000000"/>
        <rFont val="Times New Roman"/>
      </rPr>
      <t xml:space="preserve">522-101-1252-0004 - Вешалка
</t>
    </r>
    <r>
      <rPr>
        <sz val="10"/>
        <color rgb="FF000000"/>
        <rFont val="Times New Roman"/>
      </rPr>
      <t>гардеробная металлическая, 6 крючков</t>
    </r>
  </si>
  <si>
    <t>Вешалка
гардеробная металлическая, 6 крючков</t>
  </si>
  <si>
    <r>
      <rPr>
        <sz val="10"/>
        <color theme="1"/>
        <rFont val="Times New Roman"/>
      </rPr>
      <t>Цвет белый. Материал металл. Количество крючков: 6. Ширина 500мм, высота 1750мм.</t>
    </r>
  </si>
  <si>
    <r>
      <rPr>
        <sz val="10"/>
        <color rgb="FF000000"/>
        <rFont val="Times New Roman"/>
      </rPr>
      <t xml:space="preserve">522-101-1253-0001 - Стол
</t>
    </r>
    <r>
      <rPr>
        <sz val="10"/>
        <color rgb="FF000000"/>
        <rFont val="Times New Roman"/>
      </rPr>
      <t xml:space="preserve">двухтумбовый с 2 направляющими выдвижными ящиками и тумбой с дверью. Размер 1500х700х750 мм.
</t>
    </r>
    <r>
      <rPr>
        <sz val="10"/>
        <color rgb="FF000000"/>
        <rFont val="Times New Roman"/>
      </rPr>
      <t>ЛДСП 18мм</t>
    </r>
  </si>
  <si>
    <t>Стол
двухтумбовый с 2 направляющими выдвижными ящиками и тумбой с дверью. Размер 1500х700х750 мм.
ЛДСП 18мм</t>
  </si>
  <si>
    <r>
      <rPr>
        <sz val="10"/>
        <color theme="1"/>
        <rFont val="Times New Roman"/>
      </rPr>
      <t>Стол двухтумбовый с 2 направляющими выдвижными ящиками и тумбой с дверью. Размер 1500х700х750 мм. ЛДСП 18мм, класс эмиссии Е-1, облицованной кромкой ПВХ толщиной 1,5мм.</t>
    </r>
  </si>
  <si>
    <r>
      <rPr>
        <sz val="10"/>
        <color rgb="FF000000"/>
        <rFont val="Times New Roman"/>
      </rPr>
      <t xml:space="preserve">522-101-1253-0002 - Стол
</t>
    </r>
    <r>
      <rPr>
        <sz val="10"/>
        <color rgb="FF000000"/>
        <rFont val="Times New Roman"/>
      </rPr>
      <t>двухтумбовый с 4 направляющими выдвижными ящиками и тумбой с дверью. Размер 1500х600х750 мм</t>
    </r>
  </si>
  <si>
    <t>Стол
двухтумбовый с 4 направляющими выдвижными ящиками и тумбой с дверью. Размер 1500х600х750 мм</t>
  </si>
  <si>
    <r>
      <rPr>
        <sz val="10"/>
        <color rgb="FF000000"/>
        <rFont val="Times New Roman"/>
      </rPr>
      <t xml:space="preserve">Материал: ЛДСП толщиной 16мм., столешница 32 мм. Кромки деталей облицованы полимерным кромочным материалом (ПВХ), толщиной 1,5 мм.
</t>
    </r>
    <r>
      <rPr>
        <sz val="10"/>
        <color rgb="FF000000"/>
        <rFont val="Times New Roman"/>
      </rPr>
      <t>Тумбы стационарные, одна из них имеет 4 выдвижных ящика, вторая - вставную полку за глухой дверцей.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(без острых углов), навес мебельный типа BLUM.</t>
    </r>
  </si>
  <si>
    <r>
      <rPr>
        <sz val="10"/>
        <color rgb="FF000000"/>
        <rFont val="Times New Roman"/>
      </rPr>
      <t xml:space="preserve">522-101-1253-0003 - Стол
</t>
    </r>
    <r>
      <rPr>
        <sz val="10"/>
        <color rgb="FF000000"/>
        <rFont val="Times New Roman"/>
      </rPr>
      <t xml:space="preserve">двухтумбовый с 4 направляющими выдвижными ящиками и тумбой с дверью. Размер 1800х800х750 мм.
</t>
    </r>
    <r>
      <rPr>
        <sz val="10"/>
        <color rgb="FF000000"/>
        <rFont val="Times New Roman"/>
      </rPr>
      <t>ЛДСП 16мм</t>
    </r>
  </si>
  <si>
    <t>Стол
двухтумбовый с 4 направляющими выдвижными ящиками и тумбой с дверью. Размер 1800х800х750 мм.
ЛДСП 16мм</t>
  </si>
  <si>
    <r>
      <rPr>
        <sz val="10"/>
        <color theme="1"/>
        <rFont val="Times New Roman"/>
      </rPr>
      <t>Стол двухтумбовый с 4 направляющими выдвижными ящиками и тумбой с дверью. Размер 1800х800х750 мм. ЛДСП 16мм</t>
    </r>
  </si>
  <si>
    <r>
      <rPr>
        <sz val="10"/>
        <color rgb="FF000000"/>
        <rFont val="Times New Roman"/>
      </rPr>
      <t xml:space="preserve">522-101-1254-0001 - Комплект
</t>
    </r>
    <r>
      <rPr>
        <sz val="10"/>
        <color rgb="FF000000"/>
        <rFont val="Times New Roman"/>
      </rPr>
      <t>мебели для руководителя. Стол руководителя 2150х1600х750мм, стеллаж 2450х400х2100мм</t>
    </r>
  </si>
  <si>
    <t>Комплект
мебели для руководителя. Стол руководителя 2150х1600х750мм, стеллаж 2450х400х2100мм</t>
  </si>
  <si>
    <r>
      <rPr>
        <sz val="10"/>
        <color rgb="FF000000"/>
        <rFont val="Times New Roman"/>
      </rPr>
      <t xml:space="preserve">Комплект мебели для руководителя состоит из стола и стеллажа.  Стол руководителя, размер: 2150х1600х750мм. Материал: ЛДСП 18мм. Цвет по согласованию. Стеллаж, размер: 2450х400х2100мм. Материал: ЛДСП 18мм.
</t>
    </r>
    <r>
      <rPr>
        <sz val="10"/>
        <color rgb="FF000000"/>
        <rFont val="Times New Roman"/>
      </rPr>
      <t>Цвет по согласованию.  На ножках установлены пластиковые пятки.</t>
    </r>
  </si>
  <si>
    <r>
      <rPr>
        <sz val="10"/>
        <color rgb="FF000000"/>
        <rFont val="Times New Roman"/>
      </rPr>
      <t xml:space="preserve">522-101-1255-0001 - Кровать
</t>
    </r>
    <r>
      <rPr>
        <sz val="10"/>
        <color rgb="FF000000"/>
        <rFont val="Times New Roman"/>
      </rPr>
      <t>односпальная, материал ЛДСП 18мм, размер 900х2000мм</t>
    </r>
  </si>
  <si>
    <t>Кровать
односпальная, материал ЛДСП 18мм, размер 900х2000мм</t>
  </si>
  <si>
    <r>
      <rPr>
        <sz val="10"/>
        <color theme="1"/>
        <rFont val="Times New Roman"/>
      </rPr>
      <t>Кровать односпальная без матраса. Изголовье твердое. Основание в комплекте. Материал ЛДСП 18 мм. Размер кровати: 900х2000 мм.</t>
    </r>
  </si>
  <si>
    <r>
      <rPr>
        <sz val="10"/>
        <color rgb="FF000000"/>
        <rFont val="Times New Roman"/>
      </rPr>
      <t xml:space="preserve">522-101-1256-0001 - Кровать
</t>
    </r>
    <r>
      <rPr>
        <sz val="10"/>
        <color rgb="FF000000"/>
        <rFont val="Times New Roman"/>
      </rPr>
      <t>двухъярусная металлическая с лестницей, размер 2000х900х1800мм</t>
    </r>
  </si>
  <si>
    <t>Кровать
двухъярусная металлическая с лестницей, размер 2000х900х1800мм</t>
  </si>
  <si>
    <r>
      <rPr>
        <sz val="10"/>
        <color rgb="FF000000"/>
        <rFont val="Times New Roman"/>
      </rPr>
      <t xml:space="preserve">Кровать двухъярусная металлическая с четырьмя металлическими ребрами жесткости, ограничителями на втором ярусе и лестницей. Размер спального места: 800х1900мм. Основание кроватей: сварная сетка, с ячейками 50х100мм. Способ крепежа: клин. Профиль: металлическая труба 20х40мм.
</t>
    </r>
    <r>
      <rPr>
        <sz val="10"/>
        <color rgb="FF000000"/>
        <rFont val="Times New Roman"/>
      </rPr>
      <t>Спинка: круглая труба. Тип покраски: порошковая. Габариты кровати: 2000х900х1800мм.</t>
    </r>
  </si>
  <si>
    <r>
      <rPr>
        <sz val="10"/>
        <color rgb="FF000000"/>
        <rFont val="Times New Roman"/>
      </rPr>
      <t xml:space="preserve">522-101-1258-0001 - Кресло
</t>
    </r>
    <r>
      <rPr>
        <sz val="10"/>
        <color rgb="FF000000"/>
        <rFont val="Times New Roman"/>
      </rPr>
      <t>офисное мягкое, без боковин, размеры: не менее 550х790х815мм</t>
    </r>
  </si>
  <si>
    <t>Кресло
офисное мягкое, без боковин, размеры: не менее 550х790х815мм</t>
  </si>
  <si>
    <r>
      <rPr>
        <sz val="10"/>
        <color rgb="FF000000"/>
        <rFont val="Times New Roman"/>
      </rPr>
      <t xml:space="preserve">Каркас деревянный, опоры дерево, материал обивки: ткань или экокожа.
</t>
    </r>
    <r>
      <rPr>
        <sz val="10"/>
        <color rgb="FF000000"/>
        <rFont val="Times New Roman"/>
      </rPr>
      <t>Габаритные размеры: не менее 550х790х815мм</t>
    </r>
  </si>
  <si>
    <r>
      <rPr>
        <sz val="10"/>
        <color rgb="FF000000"/>
        <rFont val="Times New Roman"/>
      </rPr>
      <t xml:space="preserve">522-101-1258-0002 - Кресло
</t>
    </r>
    <r>
      <rPr>
        <sz val="10"/>
        <color rgb="FF000000"/>
        <rFont val="Times New Roman"/>
      </rPr>
      <t>офисное мягкое, размеры: 900х700х750мм</t>
    </r>
  </si>
  <si>
    <t>Кресло
офисное мягкое, размеры: 900х700х750мм</t>
  </si>
  <si>
    <r>
      <rPr>
        <sz val="10"/>
        <color theme="1"/>
        <rFont val="Times New Roman"/>
      </rPr>
      <t>Каркас деревянный, опоры массив дерева, материал обивки: ткань или экокожа. Габаритные размеры: 900х700х750мм</t>
    </r>
  </si>
  <si>
    <r>
      <rPr>
        <sz val="10"/>
        <color rgb="FF000000"/>
        <rFont val="Times New Roman"/>
      </rPr>
      <t xml:space="preserve">522-101-1258-0003 - Кресло
</t>
    </r>
    <r>
      <rPr>
        <sz val="10"/>
        <color rgb="FF000000"/>
        <rFont val="Times New Roman"/>
      </rPr>
      <t>офисное мягкое, размеры: 900х800х750мм</t>
    </r>
  </si>
  <si>
    <t>Кресло
офисное мягкое, размеры: 900х800х750мм</t>
  </si>
  <si>
    <r>
      <rPr>
        <sz val="10"/>
        <color rgb="FF000000"/>
        <rFont val="Times New Roman"/>
      </rPr>
      <t xml:space="preserve">Каркас деревянный, опоры металл, материал обивки: ткань или экокожа.
</t>
    </r>
    <r>
      <rPr>
        <sz val="10"/>
        <color rgb="FF000000"/>
        <rFont val="Times New Roman"/>
      </rPr>
      <t>Габаритные размеры: 900х800х750мм</t>
    </r>
  </si>
  <si>
    <r>
      <rPr>
        <sz val="10"/>
        <color rgb="FF000000"/>
        <rFont val="Times New Roman"/>
      </rPr>
      <t xml:space="preserve">522-101-1258-0004 - Кресло
</t>
    </r>
    <r>
      <rPr>
        <sz val="10"/>
        <color rgb="FF000000"/>
        <rFont val="Times New Roman"/>
      </rPr>
      <t>офисное мягкое, размеры: 750х650х800мм</t>
    </r>
  </si>
  <si>
    <t>Кресло
офисное мягкое, размеры: 750х650х800мм</t>
  </si>
  <si>
    <r>
      <rPr>
        <sz val="10"/>
        <color rgb="FF000000"/>
        <rFont val="Times New Roman"/>
      </rPr>
      <t xml:space="preserve">Каркас деревянный, опоры пластик, материал обивки: ткань или экокожа.
</t>
    </r>
    <r>
      <rPr>
        <sz val="10"/>
        <color rgb="FF000000"/>
        <rFont val="Times New Roman"/>
      </rPr>
      <t>Габаритные размеры:   750х650х800мм</t>
    </r>
  </si>
  <si>
    <r>
      <rPr>
        <sz val="10"/>
        <color rgb="FF000000"/>
        <rFont val="Times New Roman"/>
      </rPr>
      <t xml:space="preserve">522-101-1258-0005 - Кресло
</t>
    </r>
    <r>
      <rPr>
        <sz val="10"/>
        <color rgb="FF000000"/>
        <rFont val="Times New Roman"/>
      </rPr>
      <t>модульное. Материал ткань. Размер 920х650мм</t>
    </r>
  </si>
  <si>
    <t>Кресло
модульное. Материал ткань. Размер 920х650мм</t>
  </si>
  <si>
    <r>
      <rPr>
        <sz val="10"/>
        <color theme="1"/>
        <rFont val="Times New Roman"/>
      </rPr>
      <t>Кресло модульное. Материал ткань. Размер 920х650мм</t>
    </r>
  </si>
  <si>
    <r>
      <rPr>
        <sz val="10"/>
        <color theme="1"/>
        <rFont val="Times New Roman"/>
      </rPr>
      <t>522-101-1259-0001 - Диван офисный 3-х секционный, без боковин, размеры: 2830х830х1150мм</t>
    </r>
  </si>
  <si>
    <r>
      <rPr>
        <sz val="10"/>
        <color theme="1"/>
        <rFont val="Times New Roman"/>
      </rPr>
      <t>Не трансформируемый без боковин. Состоит из 3х секций. Высота спинки 1150мм. Каркас деревянный, опоры пластик, материал обивки: ткань или экокожа. Габаритные размеры:       2830х830х1150мм</t>
    </r>
  </si>
  <si>
    <r>
      <rPr>
        <sz val="10"/>
        <color theme="1"/>
        <rFont val="Times New Roman"/>
      </rPr>
      <t>522-101-1259-0002 - Диван офисный 4-х секционный, размеры: 3500х2500х780мм</t>
    </r>
  </si>
  <si>
    <r>
      <rPr>
        <sz val="10"/>
        <color theme="1"/>
        <rFont val="Times New Roman"/>
      </rPr>
      <t>Не трансформируемый, каркас деревянный . Опоры металл, материал обивки: ткань или экокожа. Габаритные размеры: 3500х2500х780мм</t>
    </r>
  </si>
  <si>
    <r>
      <rPr>
        <sz val="10"/>
        <color theme="1"/>
        <rFont val="Times New Roman"/>
      </rPr>
      <t>522-101-1259-0003 - Диван офисный 3-х секционный, размеры: 2000х700х750мм</t>
    </r>
  </si>
  <si>
    <r>
      <rPr>
        <sz val="10"/>
        <color theme="1"/>
        <rFont val="Times New Roman"/>
      </rPr>
      <t>Не трансформируемый, каркас деревянный, опоры металл, материал обивки: ткань или экокожа. Габаритные размеры:  2000х700х750мм</t>
    </r>
  </si>
  <si>
    <r>
      <rPr>
        <sz val="10"/>
        <color rgb="FF000000"/>
        <rFont val="Times New Roman"/>
      </rPr>
      <t xml:space="preserve">522-101-1260-0001 - Диван 2-х
</t>
    </r>
    <r>
      <rPr>
        <sz val="10"/>
        <color rgb="FF000000"/>
        <rFont val="Times New Roman"/>
      </rPr>
      <t>местный офисный без боковин, размеры: 1100х700х1000мм</t>
    </r>
  </si>
  <si>
    <t>Диван 2-х
местный офисный без боковин, размеры: 1100х700х1000мм</t>
  </si>
  <si>
    <r>
      <rPr>
        <sz val="10"/>
        <color theme="1"/>
        <rFont val="Times New Roman"/>
      </rPr>
      <t>Не трансформируемый, каркас деревянный, опоры пластик, материал обивки: ткань или экокожа. Габаритные размеры: 1100х700х1000мм</t>
    </r>
  </si>
  <si>
    <r>
      <rPr>
        <sz val="10"/>
        <color rgb="FF000000"/>
        <rFont val="Times New Roman"/>
      </rPr>
      <t xml:space="preserve">522-101-1260-0002 - Диван 2-х
</t>
    </r>
    <r>
      <rPr>
        <sz val="10"/>
        <color rgb="FF000000"/>
        <rFont val="Times New Roman"/>
      </rPr>
      <t>местный офисный без боковин, размеры: 600х950х1150мм</t>
    </r>
  </si>
  <si>
    <t>Диван 2-х
местный офисный без боковин, размеры: 600х950х1150мм</t>
  </si>
  <si>
    <r>
      <rPr>
        <sz val="10"/>
        <color theme="1"/>
        <rFont val="Times New Roman"/>
      </rPr>
      <t>Не трансформируемый, каркас деревянный, опоры пластик, материал обивки: ткань или экокожа. Габаритные размеры:  600х950х1150мм</t>
    </r>
  </si>
  <si>
    <r>
      <rPr>
        <sz val="10"/>
        <color rgb="FF000000"/>
        <rFont val="Times New Roman"/>
      </rPr>
      <t xml:space="preserve">522-101-1260-0003 - Диван 2-х
</t>
    </r>
    <r>
      <rPr>
        <sz val="10"/>
        <color rgb="FF000000"/>
        <rFont val="Times New Roman"/>
      </rPr>
      <t>местный офисный без боковин, подушки спинки, размеры: 1400х900х750мм</t>
    </r>
  </si>
  <si>
    <t>Диван 2-х
местный офисный без боковин, подушки спинки, размеры: 1400х900х750мм</t>
  </si>
  <si>
    <r>
      <rPr>
        <sz val="10"/>
        <color theme="1"/>
        <rFont val="Times New Roman"/>
      </rPr>
      <t>Не трансформируемый, каркас деревянный, опоры металл, подушки спинки, материал обивки: ткань или экокожа. Габаритные размеры: 1400х900х750мм</t>
    </r>
  </si>
  <si>
    <r>
      <rPr>
        <sz val="10"/>
        <color rgb="FF000000"/>
        <rFont val="Times New Roman"/>
      </rPr>
      <t xml:space="preserve">522-101-1260-0004 - Диван 2-х
</t>
    </r>
    <r>
      <rPr>
        <sz val="10"/>
        <color rgb="FF000000"/>
        <rFont val="Times New Roman"/>
      </rPr>
      <t>местный офисный без боковин, размеры: 1400х900х750мм</t>
    </r>
  </si>
  <si>
    <t>Диван 2-х
местный офисный без боковин, размеры: 1400х900х750мм</t>
  </si>
  <si>
    <r>
      <rPr>
        <sz val="10"/>
        <color theme="1"/>
        <rFont val="Times New Roman"/>
      </rPr>
      <t>Не трансформируемый, каркас деревянный, опоры металл, материал обивки: ткань или экокожа. Габаритные размеры: 1400х900х750мм</t>
    </r>
  </si>
  <si>
    <r>
      <rPr>
        <sz val="10"/>
        <color rgb="FF000000"/>
        <rFont val="Times New Roman"/>
      </rPr>
      <t xml:space="preserve">522-101-1260-0005 - Диван 2-х
</t>
    </r>
    <r>
      <rPr>
        <sz val="10"/>
        <color rgb="FF000000"/>
        <rFont val="Times New Roman"/>
      </rPr>
      <t>местный офисный, размеры: 1560х950х850мм</t>
    </r>
  </si>
  <si>
    <t>Диван 2-х
местный офисный, размеры: 1560х950х850мм</t>
  </si>
  <si>
    <r>
      <rPr>
        <sz val="10"/>
        <color theme="1"/>
        <rFont val="Times New Roman"/>
      </rPr>
      <t>Не трансформируемый. Каркас деревянный.  Опоры металл. Материал обивки: ткань или экокожа. Габаритные размеры:             1560х950х850</t>
    </r>
  </si>
  <si>
    <r>
      <rPr>
        <sz val="10"/>
        <color rgb="FF000000"/>
        <rFont val="Times New Roman"/>
      </rPr>
      <t xml:space="preserve">522-101-1260-0006 - Диван 2-х
</t>
    </r>
    <r>
      <rPr>
        <sz val="10"/>
        <color rgb="FF000000"/>
        <rFont val="Times New Roman"/>
      </rPr>
      <t>местный офисный, размеры: 1600х700х750мм</t>
    </r>
  </si>
  <si>
    <t>Диван 2-х
местный офисный, размеры: 1600х700х750мм</t>
  </si>
  <si>
    <r>
      <rPr>
        <sz val="10"/>
        <color theme="1"/>
        <rFont val="Times New Roman"/>
      </rPr>
      <t>Не трансформируемый. Каркас деревянный, опоры металл, материал обивки: ткань или экокожа. Габаритные размеры:         1600х700х750мм</t>
    </r>
  </si>
  <si>
    <r>
      <rPr>
        <sz val="10"/>
        <color rgb="FF000000"/>
        <rFont val="Times New Roman"/>
      </rPr>
      <t xml:space="preserve">522-101-1260-0007 - Диван 2-х
</t>
    </r>
    <r>
      <rPr>
        <sz val="10"/>
        <color rgb="FF000000"/>
        <rFont val="Times New Roman"/>
      </rPr>
      <t>местный офисный без боковин, размеры: 1700х660х450мм</t>
    </r>
  </si>
  <si>
    <t>Диван 2-х
местный офисный без боковин, размеры: 1700х660х450мм</t>
  </si>
  <si>
    <r>
      <rPr>
        <sz val="10"/>
        <color theme="1"/>
        <rFont val="Times New Roman"/>
      </rPr>
      <t>Не трансформируемый. Каркас деревянный, опоры пластик, материал обивки: ткань или экокожа. Габаритные размеры: 1700х660х450мм</t>
    </r>
  </si>
  <si>
    <r>
      <rPr>
        <sz val="10"/>
        <color rgb="FF000000"/>
        <rFont val="Times New Roman"/>
      </rPr>
      <t xml:space="preserve">522-101-1260-0008 - Диван 2-х
</t>
    </r>
    <r>
      <rPr>
        <sz val="10"/>
        <color rgb="FF000000"/>
        <rFont val="Times New Roman"/>
      </rPr>
      <t>местный офисный, высота спинки с трех сторон 1400мм, габаритные размеры: 1600х750х1400мм</t>
    </r>
  </si>
  <si>
    <t>Диван 2-х
местный офисный, высота спинки с трех сторон 1400мм, габаритные размеры: 1600х750х1400мм</t>
  </si>
  <si>
    <r>
      <rPr>
        <sz val="10"/>
        <color theme="1"/>
        <rFont val="Times New Roman"/>
      </rPr>
      <t>Не трансформируемый. Каркас деревянный, опоры металл, материал обивки: ткань или экокожа. Высота спинки с трех сторон 1400мм, 2 подушки. Габаритные размеры: 1600х750х1400мм</t>
    </r>
  </si>
  <si>
    <r>
      <rPr>
        <sz val="10"/>
        <color rgb="FF000000"/>
        <rFont val="Times New Roman"/>
      </rPr>
      <t xml:space="preserve">522-101-1260-0009 - Диван
</t>
    </r>
    <r>
      <rPr>
        <sz val="10"/>
        <color rgb="FF000000"/>
        <rFont val="Times New Roman"/>
      </rPr>
      <t>офисный, зонированный, высота спинки 1230мм, габаритные размеры: 1090х1850х1230мм</t>
    </r>
  </si>
  <si>
    <t>Диван
офисный, зонированный, высота спинки 1230мм, габаритные размеры: 1090х1850х1230мм</t>
  </si>
  <si>
    <r>
      <rPr>
        <sz val="10"/>
        <color rgb="FF000000"/>
        <rFont val="Times New Roman"/>
      </rPr>
      <t xml:space="preserve">Не трансформируемый. Каркас деревянный, опоры пластик, материал обивки: ткань или экокожа. Мобильная перегородка при перемещении позволяет создать закрытое со всех сторон пространство, зона с монтированным диваном и подставкой под ноги. Высота спинки 1230мм.
</t>
    </r>
    <r>
      <rPr>
        <sz val="10"/>
        <color rgb="FF000000"/>
        <rFont val="Times New Roman"/>
      </rPr>
      <t>Габаритные размеры: 1090х1850х1230мм</t>
    </r>
  </si>
  <si>
    <r>
      <rPr>
        <sz val="10"/>
        <color rgb="FF000000"/>
        <rFont val="Times New Roman"/>
      </rPr>
      <t xml:space="preserve">522-101-1261-0001 - Диван 3-х
</t>
    </r>
    <r>
      <rPr>
        <sz val="10"/>
        <color rgb="FF000000"/>
        <rFont val="Times New Roman"/>
      </rPr>
      <t>местный офисный, размеры: 1800х850х700мм</t>
    </r>
  </si>
  <si>
    <t>Диван 3-х
местный офисный, размеры: 1800х850х700мм</t>
  </si>
  <si>
    <r>
      <rPr>
        <sz val="10"/>
        <color theme="1"/>
        <rFont val="Times New Roman"/>
      </rPr>
      <t>Не трансформируемый. Каркас деревянный, опоры металл, материал обивки: ткань или экокожа. Габаритные размеры: 1800х850х700мм</t>
    </r>
  </si>
  <si>
    <r>
      <rPr>
        <sz val="10"/>
        <color rgb="FF000000"/>
        <rFont val="Times New Roman"/>
      </rPr>
      <t xml:space="preserve">522-101-1261-0002 - Диван 3-х
</t>
    </r>
    <r>
      <rPr>
        <sz val="10"/>
        <color rgb="FF000000"/>
        <rFont val="Times New Roman"/>
      </rPr>
      <t>местный офисный, размеры: 2000х900х900мм</t>
    </r>
  </si>
  <si>
    <t>Диван 3-х
местный офисный, размеры: 2000х900х900мм</t>
  </si>
  <si>
    <r>
      <rPr>
        <sz val="10"/>
        <color theme="1"/>
        <rFont val="Times New Roman"/>
      </rPr>
      <t>Не трансформируемый. Каркас деревянный, опоры металл, материал обивки: ткань или экокожа. Габаритные размеры: 2000х900х900мм</t>
    </r>
  </si>
  <si>
    <r>
      <rPr>
        <sz val="10"/>
        <color rgb="FF000000"/>
        <rFont val="Times New Roman"/>
      </rPr>
      <t xml:space="preserve">522-101-1261-0003 - Диван 3-х
</t>
    </r>
    <r>
      <rPr>
        <sz val="10"/>
        <color rgb="FF000000"/>
        <rFont val="Times New Roman"/>
      </rPr>
      <t>местный офисный, размеры: 1800х700х750мм</t>
    </r>
  </si>
  <si>
    <t>Диван 3-х
местный офисный, размеры: 1800х700х750мм</t>
  </si>
  <si>
    <r>
      <rPr>
        <sz val="10"/>
        <color theme="1"/>
        <rFont val="Times New Roman"/>
      </rPr>
      <t>Не трансформируемый. Каркас деревянный, опоры металл, материал обивки: ткань или экокожа. Габаритные размеры: 1800х700х750мм</t>
    </r>
  </si>
  <si>
    <r>
      <rPr>
        <sz val="10"/>
        <color rgb="FF000000"/>
        <rFont val="Times New Roman"/>
      </rPr>
      <t xml:space="preserve">522-101-1261-0004 - Диван 3-х
</t>
    </r>
    <r>
      <rPr>
        <sz val="10"/>
        <color rgb="FF000000"/>
        <rFont val="Times New Roman"/>
      </rPr>
      <t>местный офисный, размеры: 2100х850х700мм</t>
    </r>
  </si>
  <si>
    <t>Диван 3-х
местный офисный, размеры: 2100х850х700мм</t>
  </si>
  <si>
    <r>
      <rPr>
        <sz val="10"/>
        <color theme="1"/>
        <rFont val="Times New Roman"/>
      </rPr>
      <t>Не трансформируемый. Каркас деревянный, опоры металл, материал обивки: ткань или экокожа. Габаритные размеры: 2100х850х700мм</t>
    </r>
  </si>
  <si>
    <r>
      <rPr>
        <sz val="10"/>
        <color rgb="FF000000"/>
        <rFont val="Times New Roman"/>
      </rPr>
      <t xml:space="preserve">522-101-1261-0005 - Диван 3-х
</t>
    </r>
    <r>
      <rPr>
        <sz val="10"/>
        <color rgb="FF000000"/>
        <rFont val="Times New Roman"/>
      </rPr>
      <t>местный офисный, опоры пластик, размеры: 2200х950х840мм</t>
    </r>
  </si>
  <si>
    <t>Диван 3-х
местный офисный, опоры пластик, размеры: 2200х950х840мм</t>
  </si>
  <si>
    <r>
      <rPr>
        <sz val="10"/>
        <color theme="1"/>
        <rFont val="Times New Roman"/>
      </rPr>
      <t>Не трансформируемый. Каркас деревянный, опоры пластик, материал обивки: ткань или экокожа. Габаритные размеры: 2200х950х840мм</t>
    </r>
  </si>
  <si>
    <r>
      <rPr>
        <sz val="10"/>
        <color rgb="FF000000"/>
        <rFont val="Times New Roman"/>
      </rPr>
      <t xml:space="preserve">522-101-1261-0006 - Диван 3-х
</t>
    </r>
    <r>
      <rPr>
        <sz val="10"/>
        <color rgb="FF000000"/>
        <rFont val="Times New Roman"/>
      </rPr>
      <t>местный офисный, опоры металл, размеры: 2200х950х840мм</t>
    </r>
  </si>
  <si>
    <t>Диван 3-х
местный офисный, опоры металл, размеры: 2200х950х840мм</t>
  </si>
  <si>
    <r>
      <rPr>
        <sz val="10"/>
        <color theme="1"/>
        <rFont val="Times New Roman"/>
      </rPr>
      <t>Не трансформируемый. Каркас деревянный, опоры металл, материал обивки: ткань или экокожа. Габаритные размеры: 2200х950х840мм</t>
    </r>
  </si>
  <si>
    <r>
      <rPr>
        <sz val="10"/>
        <color rgb="FF000000"/>
        <rFont val="Times New Roman"/>
      </rPr>
      <t xml:space="preserve">522-101-1261-0007 - Диван 3-х
</t>
    </r>
    <r>
      <rPr>
        <sz val="10"/>
        <color rgb="FF000000"/>
        <rFont val="Times New Roman"/>
      </rPr>
      <t>местный офисный, размеры: 2170х950х850мм</t>
    </r>
  </si>
  <si>
    <t>Диван 3-х
местный офисный, размеры: 2170х950х850мм</t>
  </si>
  <si>
    <r>
      <rPr>
        <sz val="10"/>
        <color theme="1"/>
        <rFont val="Times New Roman"/>
      </rPr>
      <t>Механизм трансформации "Книжка". Каркас деревянный, опоры металл, материал обивки: ткань или экокожа. Габаритные размеры: 2170х950х850мм</t>
    </r>
  </si>
  <si>
    <r>
      <rPr>
        <sz val="10"/>
        <color rgb="FF000000"/>
        <rFont val="Times New Roman"/>
      </rPr>
      <t xml:space="preserve">522-101-1261-0008 - Диван 3-х
</t>
    </r>
    <r>
      <rPr>
        <sz val="10"/>
        <color rgb="FF000000"/>
        <rFont val="Times New Roman"/>
      </rPr>
      <t>местный офисный, размеры: 2000х800х750мм</t>
    </r>
  </si>
  <si>
    <t>Диван 3-х
местный офисный, размеры: 2000х800х750мм</t>
  </si>
  <si>
    <r>
      <rPr>
        <sz val="10"/>
        <color theme="1"/>
        <rFont val="Times New Roman"/>
      </rPr>
      <t>Не трансформируемый. Каркас деревянный, опоры металл, материал обивки: ткань или экокожа. Габаритные размеры: 2000х800х750мм</t>
    </r>
  </si>
  <si>
    <r>
      <rPr>
        <sz val="10"/>
        <color rgb="FF000000"/>
        <rFont val="Times New Roman"/>
      </rPr>
      <t xml:space="preserve">522-101-1261-0009 - Диван 3-х
</t>
    </r>
    <r>
      <rPr>
        <sz val="10"/>
        <color rgb="FF000000"/>
        <rFont val="Times New Roman"/>
      </rPr>
      <t>местный офисный, размеры: 1800х650х800мм</t>
    </r>
  </si>
  <si>
    <t>Диван 3-х
местный офисный, размеры: 1800х650х800мм</t>
  </si>
  <si>
    <r>
      <rPr>
        <sz val="10"/>
        <color theme="1"/>
        <rFont val="Times New Roman"/>
      </rPr>
      <t>Не трансформируемый. Каркас деревянный, опоры пластик, материал обивки: ткань или экокожа. Габаритные размеры: 1800х650х800мм</t>
    </r>
  </si>
  <si>
    <r>
      <rPr>
        <sz val="10"/>
        <color rgb="FF000000"/>
        <rFont val="Times New Roman"/>
      </rPr>
      <t xml:space="preserve">522-101-1261-0010 - Диван 3-х
</t>
    </r>
    <r>
      <rPr>
        <sz val="10"/>
        <color rgb="FF000000"/>
        <rFont val="Times New Roman"/>
      </rPr>
      <t>местный офисный, размеры: 2000х700х750мм</t>
    </r>
  </si>
  <si>
    <t>Диван 3-х
местный офисный, размеры: 2000х700х750мм</t>
  </si>
  <si>
    <r>
      <rPr>
        <sz val="10"/>
        <color theme="1"/>
        <rFont val="Times New Roman"/>
      </rPr>
      <t>Не трансформируемый. Каркас деревянный, опоры металл, материал обивки: ткань или экокожа. Габаритные размеры: 2000х700х750мм</t>
    </r>
  </si>
  <si>
    <r>
      <rPr>
        <sz val="10"/>
        <color rgb="FF000000"/>
        <rFont val="Times New Roman"/>
      </rPr>
      <t xml:space="preserve">522-101-1261-0011 - Диван 3-х
</t>
    </r>
    <r>
      <rPr>
        <sz val="10"/>
        <color rgb="FF000000"/>
        <rFont val="Times New Roman"/>
      </rPr>
      <t>местный, размеры: 2200х530х780мм</t>
    </r>
  </si>
  <si>
    <t>Диван 3-х
местный, размеры: 2200х530х780мм</t>
  </si>
  <si>
    <r>
      <rPr>
        <sz val="10"/>
        <color theme="1"/>
        <rFont val="Times New Roman"/>
      </rPr>
      <t>Диван трёхместный, длина 2200 мм, высота спинки от пола 780 мм, глубина посадочного места 530 мм. Каркас имеет жесткий каркас изготовленный  из ЛДСП, обит ППУ (пенополиуретан) различных толщин (10-40 мм). Ткань - экокожа. Фурнитура: конфирматы, шурупы, скобы мебельные. Диван имеет пластиковые ножки, защищающие пол от повреждений.</t>
    </r>
  </si>
  <si>
    <r>
      <rPr>
        <sz val="10"/>
        <color rgb="FF000000"/>
        <rFont val="Times New Roman"/>
      </rPr>
      <t xml:space="preserve">522-101-1261-0012 - Диван 3-х
</t>
    </r>
    <r>
      <rPr>
        <sz val="10"/>
        <color rgb="FF000000"/>
        <rFont val="Times New Roman"/>
      </rPr>
      <t>местный. Сиденье и спинка из полиуретана, ПВХ/кожи, ПВХ. Черные ножки из нержавеющей стали. Размер: 1900х750х790мм</t>
    </r>
  </si>
  <si>
    <t>Диван 3-х
местный. Сиденье и спинка из полиуретана, ПВХ/кожи, ПВХ. Черные ножки из нержавеющей стали. Размер: 1900х750х790мм</t>
  </si>
  <si>
    <r>
      <rPr>
        <sz val="10"/>
        <color theme="1"/>
        <rFont val="Times New Roman"/>
      </rPr>
      <t>Пена высокой плотности 40#. Каркас из дерева. Стальная параллельная внутренняя пружина. Черный полиуретан A70-40.</t>
    </r>
  </si>
  <si>
    <r>
      <rPr>
        <sz val="10"/>
        <color rgb="FF000000"/>
        <rFont val="Times New Roman"/>
      </rPr>
      <t xml:space="preserve">522-101-1261-0013 - Диван 3-х
</t>
    </r>
    <r>
      <rPr>
        <sz val="10"/>
        <color rgb="FF000000"/>
        <rFont val="Times New Roman"/>
      </rPr>
      <t>местный. Сиденье и спинка из полиуретана, ПВХ/кожи, ПВХ. Черные ножки из нержавеющей стали. Размер: 1930х760х720мм</t>
    </r>
  </si>
  <si>
    <t>Диван 3-х
местный. Сиденье и спинка из полиуретана, ПВХ/кожи, ПВХ. Черные ножки из нержавеющей стали. Размер: 1930х760х720мм</t>
  </si>
  <si>
    <r>
      <rPr>
        <sz val="10"/>
        <color theme="1"/>
        <rFont val="Times New Roman"/>
      </rPr>
      <t>Пена высокой плотности 40#. Каркас из дерева. Стальная параллельная внутренняя пружина.  Оранжевый полиуретан A70-28.</t>
    </r>
  </si>
  <si>
    <r>
      <rPr>
        <sz val="10"/>
        <color rgb="FF000000"/>
        <rFont val="Times New Roman"/>
      </rPr>
      <t xml:space="preserve">522-101-1261-0014 - Диван 3-х
</t>
    </r>
    <r>
      <rPr>
        <sz val="10"/>
        <color rgb="FF000000"/>
        <rFont val="Times New Roman"/>
      </rPr>
      <t>местный. Сиденье и спинка из полиуретана, ПВХ/кожи, ПВХ. Каркас из металла. Размер: 1800х750х700мм</t>
    </r>
  </si>
  <si>
    <t>Диван 3-х
местный. Сиденье и спинка из полиуретана, ПВХ/кожи, ПВХ. Каркас из металла. Размер: 1800х750х700мм</t>
  </si>
  <si>
    <r>
      <rPr>
        <sz val="10"/>
        <color theme="1"/>
        <rFont val="Times New Roman"/>
      </rPr>
      <t>Пена высокой плотности. Цвет: Жёлтый, синий</t>
    </r>
  </si>
  <si>
    <r>
      <rPr>
        <sz val="10"/>
        <color rgb="FF000000"/>
        <rFont val="Times New Roman"/>
      </rPr>
      <t xml:space="preserve">522-101-1262-0001 - Пуф
</t>
    </r>
    <r>
      <rPr>
        <sz val="10"/>
        <color rgb="FF000000"/>
        <rFont val="Times New Roman"/>
      </rPr>
      <t>500*400мм</t>
    </r>
  </si>
  <si>
    <t>Пуф
500*400мм</t>
  </si>
  <si>
    <r>
      <rPr>
        <sz val="10"/>
        <color theme="1"/>
        <rFont val="Times New Roman"/>
      </rPr>
      <t>Пуф 500*400мм. Подходит для зоны рекреации и офиса, учебного заведения. Материал по согласованию</t>
    </r>
  </si>
  <si>
    <r>
      <rPr>
        <sz val="10"/>
        <color rgb="FF000000"/>
        <rFont val="Times New Roman"/>
      </rPr>
      <t xml:space="preserve">522-101-1262-0002 - Пуф мягкий
</t>
    </r>
    <r>
      <rPr>
        <sz val="10"/>
        <color rgb="FF000000"/>
        <rFont val="Times New Roman"/>
      </rPr>
      <t>квадратный, размеры: 450х450х450мм</t>
    </r>
  </si>
  <si>
    <t>Пуф мягкий
квадратный, размеры: 450х450х450мм</t>
  </si>
  <si>
    <r>
      <rPr>
        <sz val="10"/>
        <color theme="1"/>
        <rFont val="Times New Roman"/>
      </rPr>
      <t>Пуф мягкий квадратный. Каркас деревянный, опоры пластик, материал обивки: ткань или  экокожа. Габаритные размеры:450х450х450мм</t>
    </r>
  </si>
  <si>
    <r>
      <rPr>
        <sz val="10"/>
        <color rgb="FF000000"/>
        <rFont val="Times New Roman"/>
      </rPr>
      <t xml:space="preserve">522-101-1262-0003 - Пуф мягкий
</t>
    </r>
    <r>
      <rPr>
        <sz val="10"/>
        <color rgb="FF000000"/>
        <rFont val="Times New Roman"/>
      </rPr>
      <t>круглый, размеры: диаметр 450мм, высота 450мм</t>
    </r>
  </si>
  <si>
    <t>Пуф мягкий
круглый, размеры: диаметр 450мм, высота 450мм</t>
  </si>
  <si>
    <r>
      <rPr>
        <sz val="10"/>
        <color theme="1"/>
        <rFont val="Times New Roman"/>
      </rPr>
      <t>Пуф мягкий круглый. Каркас деревянный, опоры пластик, материал обивки: ткань или экокожа. Габаритные размеры: диаметр 450мм, высота 450мм</t>
    </r>
  </si>
  <si>
    <r>
      <rPr>
        <sz val="10"/>
        <color theme="1"/>
        <rFont val="Times New Roman"/>
      </rPr>
      <t>522-101-1262-0004 - Пуф мягкий в форме камня, размеры: диаметр 520мм, высота 450мм</t>
    </r>
  </si>
  <si>
    <r>
      <rPr>
        <sz val="10"/>
        <color theme="1"/>
        <rFont val="Times New Roman"/>
      </rPr>
      <t>Пуф мягкий в форме камня. Каркас деревянный, опоры пластик, материал обивки: ткань или экокожа. Габаритные размеры: диаметр 520мм, высота 450мм</t>
    </r>
  </si>
  <si>
    <r>
      <rPr>
        <sz val="10"/>
        <color rgb="FF000000"/>
        <rFont val="Times New Roman"/>
      </rPr>
      <t xml:space="preserve">522-101-1262-0005 - Пуф мягкий
</t>
    </r>
    <r>
      <rPr>
        <sz val="10"/>
        <color rgb="FF000000"/>
        <rFont val="Times New Roman"/>
      </rPr>
      <t>прямоугольный, размеры: 1500х450х450мм</t>
    </r>
  </si>
  <si>
    <t>Пуф мягкий
прямоугольный, размеры: 1500х450х450мм</t>
  </si>
  <si>
    <r>
      <rPr>
        <sz val="10"/>
        <color theme="1"/>
        <rFont val="Times New Roman"/>
      </rPr>
      <t>Пуф мягкий прямоугольный. Каркас деревянный, опора пластик, материал обивки: ткань или экокожа. Габаритные размеры: 1500х450х450мм</t>
    </r>
  </si>
  <si>
    <r>
      <rPr>
        <sz val="10"/>
        <color rgb="FF000000"/>
        <rFont val="Times New Roman"/>
      </rPr>
      <t xml:space="preserve">522-101-1262-0006 - Пуф мягкий
</t>
    </r>
    <r>
      <rPr>
        <sz val="10"/>
        <color rgb="FF000000"/>
        <rFont val="Times New Roman"/>
      </rPr>
      <t>прямоугольный,  размеры: 1000х400х450мм</t>
    </r>
  </si>
  <si>
    <t>Пуф мягкий
прямоугольный,  размеры: 1000х400х450мм</t>
  </si>
  <si>
    <r>
      <rPr>
        <sz val="10"/>
        <color theme="1"/>
        <rFont val="Times New Roman"/>
      </rPr>
      <t>Пуф мягкий прямоугольный. Каркас деревянный, опора пластик, материал обивки: ткань или экокожа. Габаритные размеры: 1000х400х450мм</t>
    </r>
  </si>
  <si>
    <r>
      <rPr>
        <sz val="10"/>
        <color rgb="FF000000"/>
        <rFont val="Times New Roman"/>
      </rPr>
      <t xml:space="preserve">522-101-1262-0007 - Пуф мягкий
</t>
    </r>
    <r>
      <rPr>
        <sz val="10"/>
        <color rgb="FF000000"/>
        <rFont val="Times New Roman"/>
      </rPr>
      <t>прямоугольный,  размеры: 1200х400х450мм</t>
    </r>
  </si>
  <si>
    <t>Пуф мягкий
прямоугольный,  размеры: 1200х400х450мм</t>
  </si>
  <si>
    <r>
      <rPr>
        <sz val="10"/>
        <color theme="1"/>
        <rFont val="Times New Roman"/>
      </rPr>
      <t>Пуф мягкий прямоугольный. Каркас деревянный, опора пластик, материал обивки: ткань или экокожа. Габаритные размеры: 1200х400х450мм</t>
    </r>
  </si>
  <si>
    <r>
      <rPr>
        <sz val="10"/>
        <color theme="1"/>
        <rFont val="Times New Roman"/>
      </rPr>
      <t>522-101-1262-0008 - Пуф мягкий в виде фигуры молекулы, размеры: радиус 750мм, высота 450мм</t>
    </r>
  </si>
  <si>
    <r>
      <rPr>
        <sz val="10"/>
        <color theme="1"/>
        <rFont val="Times New Roman"/>
      </rPr>
      <t>Пуф мягкий в виде фигуры молекулы. Каркас деревянный, опора пластик, материал обивки: ткань или экокожа. Габаритные размеры: радиус 750мм, высота 450мм</t>
    </r>
  </si>
  <si>
    <r>
      <rPr>
        <sz val="10"/>
        <color theme="1"/>
        <rFont val="Times New Roman"/>
      </rPr>
      <t>522-101-1262-0009 - Пуф мягкий со спинкой, размеры: 550х500х400мм</t>
    </r>
  </si>
  <si>
    <r>
      <rPr>
        <sz val="10"/>
        <color theme="1"/>
        <rFont val="Times New Roman"/>
      </rPr>
      <t>Пуф мягкий со спинкой. Каркас деревянный, опора пластик, материал обивки: ткань или экокожа. Габаритные размеры: 550х500х400мм</t>
    </r>
  </si>
  <si>
    <r>
      <rPr>
        <sz val="10"/>
        <color theme="1"/>
        <rFont val="Times New Roman"/>
      </rPr>
      <t>522-101-1262-0010 - Пуф мягкий со спинкой, размеры: 720х720х650мм</t>
    </r>
  </si>
  <si>
    <r>
      <rPr>
        <sz val="10"/>
        <color theme="1"/>
        <rFont val="Times New Roman"/>
      </rPr>
      <t>Пуф мягкий со спинкой. Каркас деревянный, опора пластик, материал обивки: ткань или экокожа. Габаритные размеры: 720х720х650мм</t>
    </r>
  </si>
  <si>
    <r>
      <rPr>
        <sz val="10"/>
        <color theme="1"/>
        <rFont val="Times New Roman"/>
      </rPr>
      <t>522-101-1262-0011 - Пуф мягкий со спинкой,  размеры: 600х700х880мм</t>
    </r>
  </si>
  <si>
    <r>
      <rPr>
        <sz val="10"/>
        <color theme="1"/>
        <rFont val="Times New Roman"/>
      </rPr>
      <t>Пуф мягкий со спинкой. Каркас деревянный, опора металл, материал обивки: ткань или экокожа. Габаритные размеры: 600х700х880мм</t>
    </r>
  </si>
  <si>
    <r>
      <rPr>
        <sz val="10"/>
        <color theme="1"/>
        <rFont val="Times New Roman"/>
      </rPr>
      <t>522-101-1262-0012 - Пуф мягкий со спинкой, размеры: 530х500х750мм</t>
    </r>
  </si>
  <si>
    <r>
      <rPr>
        <sz val="10"/>
        <color theme="1"/>
        <rFont val="Times New Roman"/>
      </rPr>
      <t>Пуф мягкий со спинкой. Каркас деревянный, опора металл, материал обивки: ткань или экокожа. Габаритные размеры: 530х500х750мм</t>
    </r>
  </si>
  <si>
    <r>
      <rPr>
        <sz val="10"/>
        <color theme="1"/>
        <rFont val="Times New Roman"/>
      </rPr>
      <t>522-101-1262-0013 - Набор пуфов мягкий (4 шт.), размеры общего набора: 1000х1300х450мм</t>
    </r>
  </si>
  <si>
    <r>
      <rPr>
        <sz val="10"/>
        <color theme="1"/>
        <rFont val="Times New Roman"/>
      </rPr>
      <t>Набор состоит из 4 пуфов мягких. Каркас деревянный, опора пластик, материал обивки: ткань или экокожа. Габаритные размеры общего набора: 1000х1300х450мм</t>
    </r>
  </si>
  <si>
    <r>
      <rPr>
        <sz val="10"/>
        <color theme="1"/>
        <rFont val="Times New Roman"/>
      </rPr>
      <t>522-101-1262-0014 - Набор пуфов мягкий (не менее 8 шт.), размеры общего набора: не менее 610х700х450мм</t>
    </r>
  </si>
  <si>
    <r>
      <rPr>
        <sz val="10"/>
        <color theme="1"/>
        <rFont val="Times New Roman"/>
      </rPr>
      <t>Набор состоит из не менее 8 пуфов мягких. Каркас деревянный, опора пластик, материал обивки: ткань или экокожа. Габаритные размеры общего набора: не менее 610х700х450мм</t>
    </r>
  </si>
  <si>
    <r>
      <rPr>
        <sz val="10"/>
        <color theme="1"/>
        <rFont val="Times New Roman"/>
      </rPr>
      <t>522-101-1262-0015 - Набор пуфов со спинкой мягкий (3 шт.), размеры общего набора:  1650х500х750мм</t>
    </r>
  </si>
  <si>
    <r>
      <rPr>
        <sz val="10"/>
        <color theme="1"/>
        <rFont val="Times New Roman"/>
      </rPr>
      <t>Набор состоит из 3 пуфов мягких со спинкой. Каркас деревянный, опора металл, материал обивки: ткань или экокожа. Габаритные размеры общего набора: 1650х500х750мм</t>
    </r>
  </si>
  <si>
    <r>
      <rPr>
        <sz val="10"/>
        <color theme="1"/>
        <rFont val="Times New Roman"/>
      </rPr>
      <t>522-101-1262-0016 - Набор пуфов со спинкой мягкий (3 шт.), размеры общего набора: 1800х700х880мм</t>
    </r>
  </si>
  <si>
    <r>
      <rPr>
        <sz val="10"/>
        <color theme="1"/>
        <rFont val="Times New Roman"/>
      </rPr>
      <t>Набор состоит из 3 пуфов мягких со спинкой. Каркас деревянный, опора металл, материал обивки: ткань или экокожа. Габаритные размеры общего набора: 1800х700х880мм</t>
    </r>
  </si>
  <si>
    <r>
      <rPr>
        <sz val="10"/>
        <color theme="1"/>
        <rFont val="Times New Roman"/>
      </rPr>
      <t>522-101-1262-0017 - Набор пуфов со спинкой мягкий (5 шт.), размеры общего набора: 1500х1300х810мм</t>
    </r>
  </si>
  <si>
    <r>
      <rPr>
        <sz val="10"/>
        <color theme="1"/>
        <rFont val="Times New Roman"/>
      </rPr>
      <t>Набор состоит из 5 пуфов мягких. Каркас деревянный, опора металл, материал обивки: ткань или экокожа. Габаритные размеры общего набора: 1500х1300х810мм</t>
    </r>
  </si>
  <si>
    <r>
      <rPr>
        <sz val="10"/>
        <color rgb="FF000000"/>
        <rFont val="Times New Roman"/>
      </rPr>
      <t xml:space="preserve">522-101-1262-0018 - Пуф
</t>
    </r>
    <r>
      <rPr>
        <sz val="10"/>
        <color rgb="FF000000"/>
        <rFont val="Times New Roman"/>
      </rPr>
      <t>модульный. Размер 497х623х400мм</t>
    </r>
  </si>
  <si>
    <t>Пуф
модульный. Размер 497х623х400мм</t>
  </si>
  <si>
    <r>
      <rPr>
        <sz val="10"/>
        <color theme="1"/>
        <rFont val="Times New Roman"/>
      </rPr>
      <t>Выполнен из ппу самой высотокой плотности, плотной ткани, которая не принимает форму тела, возвращается в исходную форму.</t>
    </r>
  </si>
  <si>
    <r>
      <rPr>
        <sz val="10"/>
        <color theme="1"/>
        <rFont val="Times New Roman"/>
      </rPr>
      <t>522-101-1263-0001 - Кресло типа Спутник. Основа металлокаркас, обивка синтетический велюр, низковорсовый, спинка из пенополиуретана, подлокотники из цельного бруса, материал бук.</t>
    </r>
  </si>
  <si>
    <r>
      <rPr>
        <sz val="10"/>
        <color theme="1"/>
        <rFont val="Times New Roman"/>
      </rPr>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r>
  </si>
  <si>
    <r>
      <rPr>
        <sz val="10"/>
        <color theme="1"/>
        <rFont val="Times New Roman"/>
      </rPr>
      <t>522-101-1263-0002 - Кресло типа Мега. Основа металлокаркас, наполнитель эластичный поролон холодного вспеивания, подлокотники из цельного бруса, материал бук.</t>
    </r>
  </si>
  <si>
    <r>
      <rPr>
        <sz val="10"/>
        <color rgb="FF000000"/>
        <rFont val="Times New Roman"/>
      </rPr>
      <t xml:space="preserve">Размеры: ширина 520 мм, высота 920 мм, глубина в слож. 550 мм, глубина в разлож.
</t>
    </r>
    <r>
      <rPr>
        <sz val="10"/>
        <color rgb="FF000000"/>
        <rFont val="Times New Roman"/>
      </rPr>
      <t>700 мм</t>
    </r>
  </si>
  <si>
    <r>
      <rPr>
        <sz val="10"/>
        <color theme="1"/>
        <rFont val="Times New Roman"/>
      </rPr>
      <t>522-101-1263-0003 - Кресло типа Премьер. Основа металлокаркас, наполнитель ППУ, подлокотники из цельного бруса, материал бук.</t>
    </r>
  </si>
  <si>
    <r>
      <rPr>
        <sz val="10"/>
        <color theme="1"/>
        <rFont val="Times New Roman"/>
      </rPr>
      <t>Размеры: ширина 520 мм, высота 860 мм, глубина в слож. 440 мм, глубина в разлож. 600 мм</t>
    </r>
  </si>
  <si>
    <r>
      <rPr>
        <sz val="10"/>
        <color theme="1"/>
        <rFont val="Times New Roman"/>
      </rPr>
      <t>522-101-1263-0004 - Кресло типа Соло. Основа металлокаркас, наполнитель эластичный поролон холодного вспеивания, подлокотники из цельного бруса, материал бук.</t>
    </r>
  </si>
  <si>
    <r>
      <rPr>
        <sz val="10"/>
        <color theme="1"/>
        <rFont val="Times New Roman"/>
      </rPr>
      <t>Размеры: межцентровое расстояние - 580 мм, высота 960 мм, глубина 700 мм</t>
    </r>
  </si>
  <si>
    <r>
      <rPr>
        <sz val="10"/>
        <color theme="1"/>
        <rFont val="Times New Roman"/>
      </rPr>
      <t>522-101-1263-0005 - Кресло типа Уно. Наполнение эластичный пенополиуретан ППУ,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t>
    </r>
  </si>
  <si>
    <r>
      <rPr>
        <sz val="10"/>
        <color theme="1"/>
        <rFont val="Times New Roman"/>
      </rPr>
      <t>Размеры: высота — 900 мм, ширина — 520 мм, глубина в сложенном состоянии — 225 мм, глубина в разложенном состоянии — 655 мм</t>
    </r>
  </si>
  <si>
    <r>
      <rPr>
        <sz val="10"/>
        <color theme="1"/>
        <rFont val="Times New Roman"/>
      </rPr>
      <t>522-101-1263-0006 - Кресло типа Каскад КД-123. Основа металлокаркас, обивка синтетический велюр, низковорсовый, спинка из пенополиуретана, подлокотники из цельного бруса, материал бук.</t>
    </r>
  </si>
  <si>
    <r>
      <rPr>
        <sz val="10"/>
        <color theme="1"/>
        <rFont val="Times New Roman"/>
      </rPr>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r>
  </si>
  <si>
    <r>
      <rPr>
        <sz val="10"/>
        <color theme="1"/>
        <rFont val="Times New Roman"/>
      </rPr>
      <t>522-101-1263-0007 - Кресло типа Каскад КД-126. Основа металлокаркас, наполнитель эластичный поролон холодного вспеивания, подлокотники из цельного бруса, материал бук.</t>
    </r>
  </si>
  <si>
    <r>
      <rPr>
        <sz val="10"/>
        <color theme="1"/>
        <rFont val="Times New Roman"/>
      </rPr>
      <t>Размеры: ширина 520 мм, высота 920 мм, глубина в слож. 550 мм, глубина в разлож. 700 мм</t>
    </r>
  </si>
  <si>
    <r>
      <rPr>
        <sz val="10"/>
        <color theme="1"/>
        <rFont val="Times New Roman"/>
      </rPr>
      <t>522-101-1263-0008 - Кресло типа Каскад КД-124. Основа металлокаркас, наполнитель ППУ, подлокотники из цельного бруса, материал бук.</t>
    </r>
  </si>
  <si>
    <r>
      <rPr>
        <sz val="10"/>
        <color theme="1"/>
        <rFont val="Times New Roman"/>
      </rPr>
      <t>Размеры: ширина 520 мм, высота 860 мм, глубина в слож. 440 мм, глубина в разлож. 600 мм</t>
    </r>
  </si>
  <si>
    <r>
      <rPr>
        <sz val="10"/>
        <color theme="1"/>
        <rFont val="Times New Roman"/>
      </rPr>
      <t>522-101-1263-0009 - Кресло типа Каскад КД-113. Основа металлокаркас, наполнитель эластичный поролон холодного вспеивания, подлокотники из цельного бруса, материал бук.</t>
    </r>
  </si>
  <si>
    <r>
      <rPr>
        <sz val="10"/>
        <color theme="1"/>
        <rFont val="Times New Roman"/>
      </rPr>
      <t>Размеры: межцентровое расстояние - 580 мм, высота 960 мм, глубина 700 мм</t>
    </r>
  </si>
  <si>
    <r>
      <rPr>
        <sz val="10"/>
        <color rgb="FF000000"/>
        <rFont val="Times New Roman"/>
      </rPr>
      <t xml:space="preserve">522-101-1263-0010 - Кресло
</t>
    </r>
    <r>
      <rPr>
        <sz val="10"/>
        <color rgb="FF000000"/>
        <rFont val="Times New Roman"/>
      </rPr>
      <t>театральное, мягкие элементы спинки и сидения обтянуты мебельной тканью, подлокотники МДФ, опоры металл, с откидывающимся сидением</t>
    </r>
  </si>
  <si>
    <t>Кресло
театральное, мягкие элементы спинки и сидения обтянуты мебельной тканью, подлокотники МДФ, опоры металл, с откидывающимся сидением</t>
  </si>
  <si>
    <r>
      <rPr>
        <sz val="10"/>
        <color theme="1"/>
        <rFont val="Times New Roman"/>
      </rPr>
      <t>Габаритные размеры: 655х690х850мм. Каркас  выполнен из калиброванного хвойного бруса 1 категории и березовой  фанеры класс эмиссии Е1. Соединения шиповые, на клее ПВА (водная основа) и мебельной скобе, опоры металл. Подлокотники МДФ цвет Венге. Мягкие элементы сиденья и спинки изготовлены из эластичного и прочного пенополиуритана. Усиленный каркас спинки и сиденья с возможностью консольного крепления или анкерного крепления к полу, с откидывающимся сидением. Мягкие элементы спинки и сидения обтянуты мебельной тканью.  Цвет по согласованию с заказчиком. Подлокотники из мдф с отделкой пленкой ПВХ.</t>
    </r>
  </si>
  <si>
    <r>
      <rPr>
        <sz val="10"/>
        <color rgb="FF000000"/>
        <rFont val="Times New Roman"/>
      </rPr>
      <t xml:space="preserve">522-101-1263-0011 - Кресло
</t>
    </r>
    <r>
      <rPr>
        <sz val="10"/>
        <color rgb="FF000000"/>
        <rFont val="Times New Roman"/>
      </rPr>
      <t>театральное, обивочный материал велюр, накладки на подлокотники из цельного массива дерева, опоры металл, с откидывающимся сидением</t>
    </r>
  </si>
  <si>
    <t>Кресло
театральное, обивочный материал велюр, накладки на подлокотники из цельного массива дерева, опоры металл, с откидывающимся сидением</t>
  </si>
  <si>
    <r>
      <rPr>
        <sz val="10"/>
        <color rgb="FF000000"/>
        <rFont val="Times New Roman"/>
      </rPr>
      <t xml:space="preserve">Габаритные размеры: 620х700х1000мм. Каркас  выполнен из калиброванного  хвойного бруса 1 категории и березовой  фанеры класс эмиссии Е1. Соединения шиповые , на клее ПВА( водная основа) и мебельной скобе, опоры металл.  Мягкие элементы сиденья  и спинки изготовлены из эластичного и прочного пенополиуритана. С откидывающимся сидением, накладки на подлокотники выполнены из цельного массива дерева, покрыты высококачественными полиуретановыми лаками. Обивочный материал велюр, цвет по
</t>
    </r>
    <r>
      <rPr>
        <sz val="10"/>
        <color rgb="FF000000"/>
        <rFont val="Times New Roman"/>
      </rPr>
      <t>согласованию с заказчиком. Максимальная нагрузка 120кг</t>
    </r>
  </si>
  <si>
    <r>
      <rPr>
        <sz val="10"/>
        <color rgb="FF000000"/>
        <rFont val="Times New Roman"/>
      </rPr>
      <t xml:space="preserve">522-101-1263-0012 - Кресло
</t>
    </r>
    <r>
      <rPr>
        <sz val="10"/>
        <color rgb="FF000000"/>
        <rFont val="Times New Roman"/>
      </rPr>
      <t>театральное, металлокаркас высокой прочности из толстостенных труб, подлокотники из высококачественной фанеры, ткань - триплированная износостойкая, подушки из пенополиуретана повышенной плотности</t>
    </r>
  </si>
  <si>
    <t>Кресло
театральное, металлокаркас высокой прочности из толстостенных труб, подлокотники из высококачественной фанеры, ткань</t>
  </si>
  <si>
    <t>триплированная износостойкая, подушки из пенополиуретана повышенной плотности</t>
  </si>
  <si>
    <r>
      <rPr>
        <sz val="10"/>
        <color rgb="FF000000"/>
        <rFont val="Times New Roman"/>
      </rPr>
      <t xml:space="preserve">Размеры: высота 880мм, ширина 500-550мм, глубина в сложенном состоянии 525мм, глубина в разложенном состоянии 690мм. Металлокаркас высокой прочности из толстостенных труб, полимерная окраска.
</t>
    </r>
    <r>
      <rPr>
        <sz val="10"/>
        <color rgb="FF000000"/>
        <rFont val="Times New Roman"/>
      </rPr>
      <t xml:space="preserve">Подлокотники из высококачественной фанеры. Ткань - триплированная износостойкая. Подушки из пенополиуретана повышенной плотности. Толщина ППУ 50 мм. Плотная ткань устойчивая к износу, триплированная сеткой и ППУ, возможность изготовления чехлов на молниях для удобства
</t>
    </r>
    <r>
      <rPr>
        <sz val="10"/>
        <color rgb="FF000000"/>
        <rFont val="Times New Roman"/>
      </rPr>
      <t>их чистки.</t>
    </r>
  </si>
  <si>
    <r>
      <rPr>
        <sz val="10"/>
        <color rgb="FF000000"/>
        <rFont val="Times New Roman"/>
      </rPr>
      <t xml:space="preserve">522-101-1263-0013 - Кресло для
</t>
    </r>
    <r>
      <rPr>
        <sz val="10"/>
        <color rgb="FF000000"/>
        <rFont val="Times New Roman"/>
      </rPr>
      <t>актового зала. Сидение и спинка мягкие обитые. Сиденье откидывается. Рама металлическая чёрного цвета. Обивка: искусственная кожа, ткань</t>
    </r>
  </si>
  <si>
    <t>Кресло для
актового зала. Сидение и спинка мягкие обитые. Сиденье откидывается. Рама металлическая чёрного цвета. Обивка: искусственная кожа, ткань</t>
  </si>
  <si>
    <r>
      <rPr>
        <sz val="10"/>
        <color theme="1"/>
        <rFont val="Times New Roman"/>
      </rPr>
      <t>Кресло для актового зала. Сидение и спинка мягкие обитые. Рама металлическая чёрного цвета. Габаритные размеры: Длина 1800мм. Ширина 560мм. Высота 785мм. Обивка: искусственная кожа, ткань</t>
    </r>
  </si>
  <si>
    <r>
      <rPr>
        <sz val="10"/>
        <color rgb="FF000000"/>
        <rFont val="Times New Roman"/>
      </rPr>
      <t xml:space="preserve">522-101-1263-0014 - Кресло
</t>
    </r>
    <r>
      <rPr>
        <sz val="10"/>
        <color rgb="FF000000"/>
        <rFont val="Times New Roman"/>
      </rPr>
      <t>театральное, каркас металлический цветной, подлокотники с деревянной накладкой, обивка - гобелен. Размер: 480х420х670мм</t>
    </r>
  </si>
  <si>
    <t>Кресло
театральное, каркас металлический цветной, подлокотники с деревянной накладкой, обивка</t>
  </si>
  <si>
    <t>гобелен. Размер: 480х420х670мм</t>
  </si>
  <si>
    <r>
      <rPr>
        <sz val="10"/>
        <color rgb="FF000000"/>
        <rFont val="Times New Roman"/>
      </rPr>
      <t xml:space="preserve">Кресло театральное, каркас металлический цветной, подлокотники с деревянной накладкой, обивка - гобелен. Размер: 480х420х670мм. Высота
</t>
    </r>
    <r>
      <rPr>
        <sz val="10"/>
        <color rgb="FF000000"/>
        <rFont val="Times New Roman"/>
      </rPr>
      <t>от пола до сиденья 460мм.</t>
    </r>
  </si>
  <si>
    <r>
      <rPr>
        <sz val="10"/>
        <color rgb="FF000000"/>
        <rFont val="Times New Roman"/>
      </rPr>
      <t xml:space="preserve">522-101-1263-0015 - Кресло
</t>
    </r>
    <r>
      <rPr>
        <sz val="10"/>
        <color rgb="FF000000"/>
        <rFont val="Times New Roman"/>
      </rPr>
      <t>театральное, каркас металлический цветной, подлокотники с деревянной накладкой, обивка - гобелен</t>
    </r>
  </si>
  <si>
    <t>гобелен</t>
  </si>
  <si>
    <r>
      <rPr>
        <sz val="10"/>
        <color rgb="FF000000"/>
        <rFont val="Times New Roman"/>
      </rPr>
      <t xml:space="preserve">Кресло театральное, каркас металлический цветной, подлокотники с деревянной накладкой, обивка - гобелен. Высота спинки 590мм. Высота от
</t>
    </r>
    <r>
      <rPr>
        <sz val="10"/>
        <color rgb="FF000000"/>
        <rFont val="Times New Roman"/>
      </rPr>
      <t>пола до сиденья 490мм.</t>
    </r>
  </si>
  <si>
    <r>
      <rPr>
        <sz val="10"/>
        <color rgb="FF000000"/>
        <rFont val="Times New Roman"/>
      </rPr>
      <t xml:space="preserve">522-101-1263-0017 - Кресло для
</t>
    </r>
    <r>
      <rPr>
        <sz val="10"/>
        <color rgb="FF000000"/>
        <rFont val="Times New Roman"/>
      </rPr>
      <t>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r>
  </si>
  <si>
    <t>Кресло для
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</si>
  <si>
    <r>
      <rPr>
        <sz val="10"/>
        <color theme="1"/>
        <rFont val="Times New Roman"/>
      </rPr>
      <t>Кресло для актового зала на металлокаркасе. Спинка размером 700 × 440 × 140 мм и сиденье размером 440 × 460 × 130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r>
  </si>
  <si>
    <r>
      <rPr>
        <sz val="10"/>
        <color rgb="FF000000"/>
        <rFont val="Times New Roman"/>
      </rPr>
      <t xml:space="preserve">522-101-1263-0018 - Кресло для
</t>
    </r>
    <r>
      <rPr>
        <sz val="10"/>
        <color rgb="FF000000"/>
        <rFont val="Times New Roman"/>
      </rPr>
      <t>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r>
  </si>
  <si>
    <t>Кресло для
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</si>
  <si>
    <r>
      <rPr>
        <sz val="10"/>
        <color theme="1"/>
        <rFont val="Times New Roman"/>
      </rPr>
      <t>Кресло для актового зала на металлокаркасе. Спинка размером 700 × 440 × 130 мм и сиденье размером 470 × 460 × 160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сиденья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r>
  </si>
  <si>
    <r>
      <rPr>
        <sz val="10"/>
        <color rgb="FF000000"/>
        <rFont val="Times New Roman"/>
      </rPr>
      <t xml:space="preserve">522-101-1263-0019 - Кресло для
</t>
    </r>
    <r>
      <rPr>
        <sz val="10"/>
        <color rgb="FF000000"/>
        <rFont val="Times New Roman"/>
      </rPr>
      <t>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r>
  </si>
  <si>
    <t>Кресло для
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</si>
  <si>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на металлокаркасе. Сиденье размером 450 × 450 × 150 мм и спинка размером 685 × 450 × 120 мм изготовлены из пенополиуретана высокой плотности (≥ 50 кг/м³). В комплект поставки входит высококачественная холоднокатаная стальная пластина толщиной 1,5 мм, обеспечивающая жёсткость и прочность конструкции. Внутренняя панель спинки выполнена из фанеры, внешняя — из древесины лиственных пород высокой плотности, с покрытием экологически чистым лаком.
</t>
    </r>
    <r>
      <rPr>
        <sz val="10"/>
        <color rgb="FF000000"/>
        <rFont val="Times New Roman"/>
      </rPr>
      <t xml:space="preserve">Панель сиденья оснащена звукопоглощающими вентиляционными отверстиями в форме сот, что улучшает акустические характеристики и вентиляцию. В комплект входит откидная доска для письма. Подлокотники изготовлены из натурального дуба. Механизм возврата пружинного типа обеспечивает автоматическое и плавное возвращение сиденья в исходное положение.Обивка кресла изготовлена из износостойкой полиэстеровой ткани, устойчивой к выцветанию. Боковая панель выполнена из деревянных досок, покрытых пенополиуретаном и обтянутых износостойкой тканью с внутренним переплетением. Крепление кресла к полу осуществляется с
</t>
    </r>
    <r>
      <rPr>
        <sz val="10"/>
        <color rgb="FF000000"/>
        <rFont val="Times New Roman"/>
      </rPr>
      <t>помощью анкерных элементов</t>
    </r>
  </si>
  <si>
    <r>
      <rPr>
        <sz val="10"/>
        <color rgb="FF000000"/>
        <rFont val="Times New Roman"/>
      </rPr>
      <t xml:space="preserve">522-101-1263-0020 - Кресло для
</t>
    </r>
    <r>
      <rPr>
        <sz val="10"/>
        <color rgb="FF000000"/>
        <rFont val="Times New Roman"/>
      </rPr>
      <t>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r>
  </si>
  <si>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</si>
  <si>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на металлокаркасе. Спинка 715×470×120 мм из полиуретана (≥ 600 кг/м³) и сиденье 485×480×140 мм из полиуретана (≥ 45 кг/м³). Задняя внутренняя панель спинки выполнена из формованной фанеры размером 660×410×6 мм. Задняя наружная панель изготовлена из многослойной доски из твёрдых пород древесины высокой плотности и имеет размеры 725 × 520 × 15 мм. Внешняя панель сиденья выполнена из многослойной древесины лиственных пород размером 460 × 425 × 15 мм.
</t>
    </r>
    <r>
      <rPr>
        <sz val="10"/>
        <color rgb="FF000000"/>
        <rFont val="Times New Roman"/>
      </rPr>
      <t xml:space="preserve">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изготовлена из натурального дуба толщиной 20 мм. В комплект входит откидной столик для письма. Обивочная ткань устойчива к образованию пятен и выцветанию, отличается высокой износостойкостью. Боковая панель выполнена из прочного полипропилена. Рама подлокотника изготовлена из горячекатаной стали толщиной 2,0 мм, нижняя опорная пластина — из
</t>
    </r>
    <r>
      <rPr>
        <sz val="10"/>
        <color rgb="FF000000"/>
        <rFont val="Times New Roman"/>
      </rPr>
      <t>холоднокатаной штампованной стали толщиной 2,0 мм.</t>
    </r>
  </si>
  <si>
    <r>
      <rPr>
        <sz val="10"/>
        <color rgb="FF000000"/>
        <rFont val="Times New Roman"/>
      </rPr>
      <t xml:space="preserve">522-101-1263-0021 - Кресло для
</t>
    </r>
    <r>
      <rPr>
        <sz val="10"/>
        <color rgb="FF000000"/>
        <rFont val="Times New Roman"/>
      </rPr>
      <t>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r>
  </si>
  <si>
    <t>Кресло для
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</si>
  <si>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на металлокаркасе. Сиденье размером 460 × 450 × 150 мм и спинка размером 710 × 460 × 130 мм изготовлены из пенополиуретана высокой плотности (≥ 50 кг/м³).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способствующими дополнительной вентиляции и улучшению акустики. В конструкцию кресла входит откидная доска для письма.
</t>
    </r>
    <r>
      <rPr>
        <sz val="10"/>
        <color rgb="FF000000"/>
        <rFont val="Times New Roman"/>
      </rPr>
      <t xml:space="preserve">Поверхность подлокотника изготовлена из натурального дуба. Обивка выполнена из прочной износостойкой полиэстеровой ткани, устойчивой к выцветанию и загрязнениям. Механизм возврата пружинного типа обеспечивает автоматическое и плавное возвращение сиденья в исходное положение.Боковая панель выполнена из деревянных досок, покрытых пенополиуретаном и обтянутых износостойкой тканью с внутренним переплетом. Крепление кресла к полу осуществляется с помощью анкерных
</t>
    </r>
    <r>
      <rPr>
        <sz val="10"/>
        <color rgb="FF000000"/>
        <rFont val="Times New Roman"/>
      </rPr>
      <t>элементов</t>
    </r>
  </si>
  <si>
    <r>
      <rPr>
        <sz val="10"/>
        <color rgb="FF000000"/>
        <rFont val="Times New Roman"/>
      </rPr>
      <t xml:space="preserve">522-101-1263-0022 - Кресло для
</t>
    </r>
    <r>
      <rPr>
        <sz val="10"/>
        <color rgb="FF000000"/>
        <rFont val="Times New Roman"/>
      </rPr>
      <t>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r>
  </si>
  <si>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</si>
  <si>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на металлокаркасе. Спинка изготовлена из пенополиуретана высокой плотности размерами 715 × 470 × 120 мм и плотностью 60 кг/м³. Сиденье выполнено из пенополиуретана высокой плотности размером 485 × 480 × 140 мм и плотностью 45 кг/м³. Задняя внутренняя панель спинки изготовлена из формованной под давлением фанеры размером 660 × 410 × 6 мм. Задняя наружная панель выполнена из многослойной доски из твёрдых пород древесины высокой плотности, размерами 725 × 520 × 15 мм. Внешняя панель сиденья выполнена из многослойной лиственной древесины с размерами 460 × 425 × 15 мм.
</t>
    </r>
    <r>
      <rPr>
        <sz val="10"/>
        <color rgb="FF000000"/>
        <rFont val="Times New Roman"/>
      </rPr>
      <t xml:space="preserve">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выполнена из натурального дуба толщиной 20 мм. В комплект входит откидной столик для письма. Боковая панель изготовлена из прочного полипропилена. Рама подлокотника выполнена из горячекатаной стали толщиной 2,0 мм, а нижняя опорная пластина — из холоднокатаной штампованной стали такой же толщины. Обивка кресла выполнена из полиэстеровой ткани, обладающей высокой износостойкостью и устойчивостью к выцветанию.
</t>
    </r>
    <r>
      <rPr>
        <sz val="10"/>
        <color rgb="FF000000"/>
        <rFont val="Times New Roman"/>
      </rPr>
      <t>Крепление кресла к полу осуществляется с помощью анкерных элементов</t>
    </r>
  </si>
  <si>
    <r>
      <rPr>
        <sz val="10"/>
        <color rgb="FF000000"/>
        <rFont val="Times New Roman"/>
      </rPr>
      <t xml:space="preserve">522-101-1263-0023 - Кресло для
</t>
    </r>
    <r>
      <rPr>
        <sz val="10"/>
        <color rgb="FF000000"/>
        <rFont val="Times New Roman"/>
      </rPr>
      <t>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r>
  </si>
  <si>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</si>
  <si>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r>
      <rPr>
        <sz val="10"/>
        <color rgb="FF000000"/>
        <rFont val="Times New Roman"/>
      </rPr>
      <t xml:space="preserve">Кресло для актового зала с основанием из алюминия. Спинка выполнена из пенополиуретана высокой плотности размерами 710 × 465 × 140 мм и плотностью 45 кг/м³. Сиденье — также из пенополиуретана высокой плотности, размером 500 × 450 × 140 мм, с плотностью 55 кг/м³. Задняя наружная панель спинки изготовлена из многослойной плиты древесины лиственных пород (750 × 515 × 15 мм), внутренняя панель — из фанеры (680 × 480 × 6 мм). Внешняя панель сиденья выполнена из многослойной доски из твёрдых пород древесины размером 460 × 430 × 14 мм. Механизм возврата — демпфирующий, обеспечивает плавное поднятие сиденья.
</t>
    </r>
    <r>
      <rPr>
        <sz val="10"/>
        <color rgb="FF000000"/>
        <rFont val="Times New Roman"/>
      </rPr>
      <t xml:space="preserve">Подлокотники изготовлены из натурального дуба (245 × 60 × 20 мм). В комплект входит откидная доска для письма из алюминиевого сплава с ПВХ-панелью. Обивка кресла выполнена из полиэстеровой ткани, обладающей высокой износостойкостью и устойчивостью к выцветанию.
</t>
    </r>
    <r>
      <rPr>
        <sz val="10"/>
        <color rgb="FF000000"/>
        <rFont val="Times New Roman"/>
      </rPr>
      <t>Крепление кресла к полу осуществляется с помощью анкерных элементов.</t>
    </r>
  </si>
  <si>
    <r>
      <rPr>
        <sz val="10"/>
        <color rgb="FF000000"/>
        <rFont val="Times New Roman"/>
      </rPr>
      <t xml:space="preserve">522-101-1263-0024 - Кресло для
</t>
    </r>
    <r>
      <rPr>
        <sz val="10"/>
        <color rgb="FF000000"/>
        <rFont val="Times New Roman"/>
      </rPr>
      <t xml:space="preserve">актового зала. Основа металлокаркас, спинка размером 700×465×85 мм и сиденье размером 450×455×150 мм из
</t>
    </r>
    <r>
      <rPr>
        <sz val="10"/>
        <color rgb="FF000000"/>
        <rFont val="Times New Roman"/>
      </rPr>
      <t>пенополиуретана, обивка из полиэстеровой износостойкой ткани, механизм возврата, подлокотники из натурального дуба</t>
    </r>
  </si>
  <si>
    <t>Кресло для
актового зала. Основа металлокаркас, спинка размером 700×465×85 мм и сиденье размером 450×455×150 мм из
пенополиуретана, обивка из полиэстеровой износостойкой ткани, механизм возврата, подлокотники из натурального дуба</t>
  </si>
  <si>
    <r>
      <rPr>
        <sz val="10"/>
        <color rgb="FF000000"/>
        <rFont val="Times New Roman"/>
      </rPr>
      <t xml:space="preserve">Кресло для актового зала с основанием из алюминия. Спинка размером 700
</t>
    </r>
    <r>
      <rPr>
        <sz val="10"/>
        <color rgb="FF000000"/>
        <rFont val="Times New Roman"/>
      </rPr>
      <t>× 465 × 85 мм и сиденье размером 450 × 455 × 150 мм изготовлены из пенополиуретана высокой плотности. Внутренняя панель спинки выполнена из фанеры, внешняя — из многослойного шпона толщиной 15 мм. Поверхность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Боковая панель выполнена из древесноволокнистой плиты средней плотности (МДФ), отформованной методом литья под давлением, с наружной отделкой из пенополиуретана и износостойкой тканевой обивки. Механизм возврата пружинного типа обеспечивает автоматическое и плавное возвращение сиденья в исходное положение. Крепление кресла к полу осуществляется с помощью анкерных элементов.</t>
    </r>
  </si>
  <si>
    <r>
      <rPr>
        <sz val="10"/>
        <color rgb="FF000000"/>
        <rFont val="Times New Roman"/>
      </rPr>
      <t xml:space="preserve">522-101-1263-0025 - Кресло для
</t>
    </r>
    <r>
      <rPr>
        <sz val="10"/>
        <color rgb="FF000000"/>
        <rFont val="Times New Roman"/>
      </rPr>
      <t>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r>
  </si>
  <si>
    <t>Кресло для
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</si>
  <si>
    <r>
      <rPr>
        <sz val="10"/>
        <color theme="1"/>
        <rFont val="Times New Roman"/>
      </rPr>
      <t>Кресло для актового зала с основанием из алюминия. Сиденье размером 470 × 450 × 170 мм и спинка размером 700 × 430 × 120 мм изготовлены из пенополиуретана высокой плотности (≥ 50 кг/м³). Внутренние и внешние панели сиденья и спинки выполнены из фанеры твёрдых пород, облицованные износостойкой текстурированной тканью. Механизм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Несущая конструкция корпуса сиденья изготовлена из холоднокатаной стальной пластины толщиной 1,5 мм. Крепление кресла к полу осуществляется с помощью анкерных элементов.</t>
    </r>
  </si>
  <si>
    <r>
      <rPr>
        <sz val="10"/>
        <color rgb="FF000000"/>
        <rFont val="Times New Roman"/>
      </rPr>
      <t xml:space="preserve">522-101-1263-0026 - Кресло для
</t>
    </r>
    <r>
      <rPr>
        <sz val="10"/>
        <color rgb="FF000000"/>
        <rFont val="Times New Roman"/>
      </rPr>
      <t>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r>
  </si>
  <si>
    <t>Кресло для
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</si>
  <si>
    <r>
      <rPr>
        <sz val="10"/>
        <color theme="1"/>
        <rFont val="Times New Roman"/>
      </rPr>
      <t>Кресло для актового зала на металлокаркасе. Межосевое расстояние составляет 580 мм. Высота спинки — 1080–1090 мм, высота посадочного места — 575 мм. Сиденье и спинка выполнены из пенополиуретана высокой плотности (≥ 55 кг/м³. Наружные панели спинки и сиденья изготовлены из прочного полипропилена. Обивка выполнена из износостойкой ткани, устойчивой к выцветанию. Подлокотник изготовлен из стальной пластины и трубы, верхняя накладка — из чёрного полипропилена. Боковая панель выполнена из фанеры и обтянута снаружи хлопчатобумажной тканью толщиной 5 мм. Сиденье оснащено пружинным механизмом автоматического возврата, обеспечивающим надёжное и плавное возвращение в исходное положение.</t>
    </r>
  </si>
  <si>
    <r>
      <rPr>
        <sz val="10"/>
        <color rgb="FF000000"/>
        <rFont val="Times New Roman"/>
      </rPr>
      <t xml:space="preserve">522-101-1263-0027 - Кресло для
</t>
    </r>
    <r>
      <rPr>
        <sz val="10"/>
        <color rgb="FF000000"/>
        <rFont val="Times New Roman"/>
      </rPr>
      <t>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r>
  </si>
  <si>
    <t>Кресло для
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</si>
  <si>
    <r>
      <rPr>
        <sz val="10"/>
        <color rgb="FF000000"/>
        <rFont val="Times New Roman"/>
      </rPr>
      <t xml:space="preserve">Кресло для актового зала с основанием из алюминия. Спинка размером 700
</t>
    </r>
    <r>
      <rPr>
        <sz val="10"/>
        <color rgb="FF000000"/>
        <rFont val="Times New Roman"/>
      </rPr>
      <t>× 450 × 150 мм и сиденье размером 450 × 460 × 170 мм выполнены из пенополиуретана высокой плотности ( ≥ 55 кг/м3). Наружные панели сиденья и спинки изготовлены многослойных досок твёрдых пород древесины, внутренняя панель спинки — из фанеры. Обивка выполнена из влагостойкой, пылезащитной и противообрастающей ткани, устойчивой к износу и выцветанию. Подлокотник выполнен из натурального дуба или бука. Встроенный столик для письма изготовлен из прочного композитного материала ABS. Сиденье оснащено пружинным механизмом автоматического возврата, обеспечивающим плавное и бесшумное возвращение в исходное положение. Крепление кресла к полу осуществляется с помощью анкерных элементов.</t>
    </r>
  </si>
  <si>
    <r>
      <rPr>
        <sz val="10"/>
        <color rgb="FF000000"/>
        <rFont val="Times New Roman"/>
      </rPr>
      <t xml:space="preserve">522-101-1263-0028 - Кресло для
</t>
    </r>
    <r>
      <rPr>
        <sz val="10"/>
        <color rgb="FF000000"/>
        <rFont val="Times New Roman"/>
      </rPr>
      <t>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r>
  </si>
  <si>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</si>
  <si>
    <r>
      <rPr>
        <sz val="10"/>
        <color rgb="FF000000"/>
        <rFont val="Times New Roman"/>
      </rPr>
      <t xml:space="preserve">Кресло для актового зала с основанием из алюминия. Спинка размером 710
</t>
    </r>
    <r>
      <rPr>
        <sz val="10"/>
        <color rgb="FF000000"/>
        <rFont val="Times New Roman"/>
      </rPr>
      <t>× 465 × 140 мм выполнена из пенополиуретана высокой плотности (45 кг/м³). Сиденье размером 500 × 450 × 140 мм изготовлено из полиуретана с плотностью 55 кг/м³. Задняя наружная панель спинки выполнена из многослойной плиты лиственных пород (750 × 515 × 15 мм), внутренняя панель — из формованной фанеры (680 × 480 × 6 мм). Внешняя панель сиденья изготовлена из многослойной доски твёрдых пород древесины, размерами 460 × 430 × 14 мм. Сиденье оснащено пружинным механизмом автоматического возврата, обеспечивающим плавное и надёжное возвращение в исходное положение. Подлокотник выполнен из натурального дуба и имеет размеры 245 × 60 × 20 мм. Обивочная ткань выполнена из полиэстра , отличается высокой износостойкостью и устойчивостью к выцветанию. Крепление кресла к полу осуществляется с помощью анкерных элементов.</t>
    </r>
  </si>
  <si>
    <r>
      <rPr>
        <sz val="10"/>
        <color rgb="FF000000"/>
        <rFont val="Times New Roman"/>
      </rPr>
      <t xml:space="preserve">522-101-1263-0029 - Кресло VIP для
</t>
    </r>
    <r>
      <rPr>
        <sz val="10"/>
        <color rgb="FF000000"/>
        <rFont val="Times New Roman"/>
      </rPr>
      <t>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r>
  </si>
  <si>
    <t>Кресло VIP для
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</si>
  <si>
    <r>
      <rPr>
        <sz val="10"/>
        <color rgb="FF000000"/>
        <rFont val="Times New Roman"/>
      </rPr>
      <t xml:space="preserve">Кресло VIP с электроприводом и основанием из цельной древесины.
</t>
    </r>
    <r>
      <rPr>
        <sz val="10"/>
        <color rgb="FF000000"/>
        <rFont val="Times New Roman"/>
      </rPr>
      <t xml:space="preserve">Размеры: расстояние между центрами сидений составляет 600 мм; глубина сиденья — 850 мм, высота спинки — 1000 мм, высота сиденья — 610 мм, а в разложенном положении — до 1640 мм. Подлокотник оснащён чехлом с глубокой декоративной утяжкой и матовой крышкой для чашки.
</t>
    </r>
    <r>
      <rPr>
        <sz val="10"/>
        <color rgb="FF000000"/>
        <rFont val="Times New Roman"/>
      </rPr>
      <t xml:space="preserve">Поручень-бокс фиксируется с применением высококачественного полиуретана толщиной 10 мм, наружный слой выполнен из прочного и износостойкого материала. Обивка может быть выполнена из натуральной кожи любого цвета по выбору заказчика либо из высококачественной мебельной ткани. Внутренним наполнителем служит огнестойкий пенополиуретан. Электропривод основан на встроенной стойке с бесшумным механизмом действия и не требует технического
</t>
    </r>
    <r>
      <rPr>
        <sz val="10"/>
        <color rgb="FF000000"/>
        <rFont val="Times New Roman"/>
      </rPr>
      <t>обслуживания. Крепление кресла к полу не требуется</t>
    </r>
  </si>
  <si>
    <r>
      <rPr>
        <sz val="10"/>
        <color rgb="FF000000"/>
        <rFont val="Times New Roman"/>
      </rPr>
      <t xml:space="preserve">522-101-1263-0030 - Кресло VIP для
</t>
    </r>
    <r>
      <rPr>
        <sz val="10"/>
        <color rgb="FF000000"/>
        <rFont val="Times New Roman"/>
      </rPr>
      <t>актового зала. Каркас из массива древесины, основание из алюминия, обивка из микрофибровой кожи, устойчивой к износу</t>
    </r>
  </si>
  <si>
    <t>Кресло VIP для
актового зала. Каркас из массива древесины, основание из алюминия, обивка из микрофибровой кожи, устойчивой к износу</t>
  </si>
  <si>
    <r>
      <rPr>
        <sz val="10"/>
        <color rgb="FF000000"/>
        <rFont val="Times New Roman"/>
      </rPr>
      <t xml:space="preserve">Кресло VIP для актового зала с основанием из алюминия. Одноместное (длиной от 800 до 1200 мм), двухместное (от 1500 до 1800 мм), а также в раскладной модификации — по индивидуальному заказу. Глубина сиденья составляет 500–600 мм. Высота сиденья от пола — 400–450 мм, высота спинки — 500–700 мм, ширина подлокотника — от 100 до 200 мм.
</t>
    </r>
    <r>
      <rPr>
        <sz val="10"/>
        <color rgb="FF000000"/>
        <rFont val="Times New Roman"/>
      </rPr>
      <t xml:space="preserve">Допустимая нагрузка на одно посадочное место — не менее 150 кг. Каркас кресла выполнен из массива древесины. В качестве наполнителя используются пенополиуретан с плотностью не менее 35 кг/м³, а также, при необходимости, пенополиуретан с эффектом памяти или слой латекса — для повышенного комфорта. В конструкции основания может применяться пружинная система или пенопласт высокой плотности. Обивка выполнена из микрофибровой кожи, устойчивой к износу. Все используемые материалы соответствуют требованиям пожарной безопасности, предусмотренным для зрительных залов, актовых помещений и
</t>
    </r>
    <r>
      <rPr>
        <sz val="10"/>
        <color rgb="FF000000"/>
        <rFont val="Times New Roman"/>
      </rPr>
      <t>кинотеатров. Крепление кресла к полу не требуется</t>
    </r>
  </si>
  <si>
    <r>
      <rPr>
        <sz val="10"/>
        <color rgb="FF000000"/>
        <rFont val="Times New Roman"/>
      </rPr>
      <t xml:space="preserve">522-101-1263-0031 - Кресло
</t>
    </r>
    <r>
      <rPr>
        <sz val="10"/>
        <color rgb="FF000000"/>
        <rFont val="Times New Roman"/>
      </rPr>
      <t>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r>
  </si>
  <si>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</si>
  <si>
    <r>
      <rPr>
        <sz val="10"/>
        <color rgb="FF000000"/>
        <rFont val="Times New Roman"/>
      </rPr>
      <t xml:space="preserve">Кресло-реклайнер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Глубина сиденья составляет 500–600 мм и обеспечивает надёжную поддержку ног. Высота сиденья от пола — 400–450 мм, высота спинки — 500–700 мм. Ширина подлокотников варьируется от 100 до 200 мм.
</t>
    </r>
    <r>
      <rPr>
        <sz val="10"/>
        <color rgb="FF000000"/>
        <rFont val="Times New Roman"/>
      </rPr>
      <t xml:space="preserve">Допустимая нагрузка на одно посадочное место — не менее 150 кг. В качестве наполнителя используется пенополиуретан с плотностью не менее 35 кг/м³. Для повышения уровня комфорта возможны варианты с пеной с эффектом памяти или латексным слоем. Опорная часть конструкции включает пружинную систему либо пенопласт высокой плотности. Обивка кресла выполнена из микрофибровой кожи, отличающейся высокой износостойкостью и простотой в уходе. Все материалы соответствуют требованиям пожарной безопасности, предусмотренным для кинотеатров,
</t>
    </r>
    <r>
      <rPr>
        <sz val="10"/>
        <color rgb="FF000000"/>
        <rFont val="Times New Roman"/>
      </rPr>
      <t>актовых и общественных залов. Крепление кресла к полу не требуется</t>
    </r>
  </si>
  <si>
    <r>
      <rPr>
        <sz val="10"/>
        <color rgb="FF000000"/>
        <rFont val="Times New Roman"/>
      </rPr>
      <t xml:space="preserve">522-101-1263-0032 - Кресло
</t>
    </r>
    <r>
      <rPr>
        <sz val="10"/>
        <color rgb="FF000000"/>
        <rFont val="Times New Roman"/>
      </rPr>
      <t>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r>
  </si>
  <si>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</si>
  <si>
    <r>
      <rPr>
        <sz val="10"/>
        <color rgb="FF000000"/>
        <rFont val="Times New Roman"/>
      </rPr>
      <t xml:space="preserve">Кресло-реклайнер с откидной спинкой и выдвижной подставкой ног. Каркас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Глубина сиденья составляет 500–600 мм, обеспечивая надёжную опору для ног; высота сиденья от пола
</t>
    </r>
    <r>
      <rPr>
        <sz val="10"/>
        <color rgb="FF000000"/>
        <rFont val="Times New Roman"/>
      </rPr>
      <t xml:space="preserve">— 400–450 мм, высота спинки — 500–700 мм, ширина подлокотников —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По желанию возможна комплектация слоем латекса или пеной с эффектом памяти для повышения комфорта. В основании кресла может применяться пружинная система либо пенопласт высокой плотности, в зависимости от модели. Обивка выполнена из микрофибровой кожи, устойчивой к износу и простотой в уходе. Все применяемые материалы соответствуют требованиям пожарной безопасности, установленным для кинотеатров и общественных учреждений. Крепление кресла к полу не
</t>
    </r>
    <r>
      <rPr>
        <sz val="10"/>
        <color rgb="FF000000"/>
        <rFont val="Times New Roman"/>
      </rPr>
      <t>требуется</t>
    </r>
  </si>
  <si>
    <r>
      <rPr>
        <sz val="10"/>
        <color rgb="FF000000"/>
        <rFont val="Times New Roman"/>
      </rPr>
      <t xml:space="preserve">522-101-1263-0033 - Кресло для
</t>
    </r>
    <r>
      <rPr>
        <sz val="10"/>
        <color rgb="FF000000"/>
        <rFont val="Times New Roman"/>
      </rPr>
      <t>актового зала, опора каркаса изготавливается из стальных квадратных труб, поворотный механизм, обивка из ткани, размеры 600х600х990 мм</t>
    </r>
  </si>
  <si>
    <t>Кресло для
актового зала, опора каркаса изготавливается из стальных квадратных труб, поворотный механизм, обивка из ткани, размеры 600х600х990 мм</t>
  </si>
  <si>
    <r>
      <rPr>
        <sz val="10"/>
        <color rgb="FF000000"/>
        <rFont val="Times New Roman"/>
      </rPr>
      <t xml:space="preserve">Опора каркаса изготавливается из стальных квадратных труб 50х50х1,2 мм, к которому приварен прямоугольный фланец для крепления к полу изготовленный из листового металла толщиной 3 мм. Кресла крепятся на опорную балку из квадратной трубы 60х60 мм. толщиной не менее 3 мм.
</t>
    </r>
    <r>
      <rPr>
        <sz val="10"/>
        <color rgb="FF000000"/>
        <rFont val="Times New Roman"/>
      </rPr>
      <t xml:space="preserve">Каркас подлокотников и спинки изготовлен из плоскоовальной трубы 50х25 толщиной не менее 1,2 мм и 40х20 мм толщиной не менее 1,2 мм, которые гнутся по узкой плоскости. Подлокотник изготовлен из щитовой сосны. Все соединения спинки и подлокотника выполнены по методу выреза сквозного отверстия по профилю трубы и дальнейшего соединения с помощью сварки. Также на балке имеется пластина толщиной 2 мм для крепления спинки. Механизм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Поворотный механизм имеет 2 рабочих положения, которые позволяют придать сиденью горизонтальное или вертикальное положение. Ответные элементы механизма поворота крепятся к сиденью при помощи болтов. Основание спинки и сидушки выполнено из фанеры, на которую в последующем приклеивается вторично вспененный ППУ высокой плотности и одевается чехол из ткани. Возможно
</t>
    </r>
    <r>
      <rPr>
        <sz val="10"/>
        <color rgb="FF000000"/>
        <rFont val="Times New Roman"/>
      </rPr>
      <t>изготовление 2-х, 3-х и 4-х секционных кресел.</t>
    </r>
  </si>
  <si>
    <r>
      <rPr>
        <sz val="10"/>
        <color theme="1"/>
        <rFont val="Times New Roman"/>
      </rPr>
      <t>522-101-1264-0001 - Кресло типа Каскад КД-22У. Полумягкое кресло со складывающимся сиденьем, обивка износоустойчивая высококачественная ткань, каркас из металлической трубы</t>
    </r>
  </si>
  <si>
    <r>
      <rPr>
        <sz val="10"/>
        <color rgb="FF000000"/>
        <rFont val="Times New Roman"/>
      </rPr>
      <t xml:space="preserve">С возможностью штабелироваться близко друг к другу. Каркас из металлической трубы прямоугольного и квадратного сечения, эластичный поролон плотность 25 кг/м3,
</t>
    </r>
    <r>
      <rPr>
        <sz val="10"/>
        <color rgb="FF000000"/>
        <rFont val="Times New Roman"/>
      </rPr>
      <t xml:space="preserve">обивка ткань износоустойчивая ткань. Спинка кресла имеет радиусную форму. Металлоконструкции покрыты полимерно-порошковой эмалью.
</t>
    </r>
    <r>
      <rPr>
        <sz val="10"/>
        <color rgb="FF000000"/>
        <rFont val="Times New Roman"/>
      </rPr>
      <t>Каркас выполнен из металлической трубы методом дорновой гибки, не допускается гофрирование (сморщивание) трубы в месте гибки.</t>
    </r>
  </si>
  <si>
    <r>
      <rPr>
        <sz val="10"/>
        <color theme="1"/>
        <rFont val="Times New Roman"/>
      </rPr>
      <t>522-101-1264-0002 - Кресло типа Каскад КД-15. Материал пластик, основание металлический каркас, сиденье откидывается</t>
    </r>
  </si>
  <si>
    <r>
      <rPr>
        <sz val="10"/>
        <color theme="1"/>
        <rFont val="Times New Roman"/>
      </rPr>
      <t>Размеры: высота 915мм, глубина в разложенном состоянии – 550 мм, глубина в сложенном состоянии – 230 мм, межцентровое расстояние кресел от 470 до 520 мм</t>
    </r>
  </si>
  <si>
    <r>
      <rPr>
        <sz val="10"/>
        <color theme="1"/>
        <rFont val="Times New Roman"/>
      </rPr>
      <t>522-101-1264-0003 - Кресло типа Каскад КД-05. Материал пластик, основание металлический каркас, пружинный механизм возврата сиденья в сложенное положение</t>
    </r>
  </si>
  <si>
    <r>
      <rPr>
        <sz val="10"/>
        <color theme="1"/>
        <rFont val="Times New Roman"/>
      </rPr>
      <t>Размеры: высота 915мм, глубина в разложенном состоянии – 550 мм, глубина в сложенном состоянии – 230 мм, межцентровое расстояние кресел от 470 до 520 мм</t>
    </r>
  </si>
  <si>
    <r>
      <rPr>
        <sz val="10"/>
        <color theme="1"/>
        <rFont val="Times New Roman"/>
      </rPr>
      <t>522-101-1264-0004 - Кресло типа Каскад КД-02. Материал пластик, основание металлический каркас, сиденье с механизмом возврата гравитационным</t>
    </r>
  </si>
  <si>
    <r>
      <rPr>
        <sz val="10"/>
        <color theme="1"/>
        <rFont val="Times New Roman"/>
      </rPr>
      <t>Сиденье и спинка повышенной ударопрочности. Размеры: высота 870 мм, глубина в разложенном состоянии – 540 мм, глубина в сложенном состоянии – 230 мм, межцентровое расстояние кресел от 470 до 520 мм</t>
    </r>
  </si>
  <si>
    <r>
      <rPr>
        <sz val="10"/>
        <color theme="1"/>
        <rFont val="Times New Roman"/>
      </rPr>
      <t>522-101-1264-0005 - Кресло типа Каскад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t>
    </r>
  </si>
  <si>
    <r>
      <rPr>
        <sz val="10"/>
        <color theme="1"/>
        <rFont val="Times New Roman"/>
      </rPr>
      <t>Размеры: ширина 520мм, высота 840 мм, глубина в сложенном 250мм, в разложенном 680 мм</t>
    </r>
  </si>
  <si>
    <r>
      <rPr>
        <sz val="10"/>
        <color rgb="FF000000"/>
        <rFont val="Times New Roman"/>
      </rPr>
      <t xml:space="preserve">522-101-1264-0006 - Сиденье
</t>
    </r>
    <r>
      <rPr>
        <sz val="10"/>
        <color rgb="FF000000"/>
        <rFont val="Times New Roman"/>
      </rPr>
      <t>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r>
  </si>
  <si>
    <t>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</si>
  <si>
    <r>
      <rPr>
        <sz val="10"/>
        <color rgb="FF000000"/>
        <rFont val="Times New Roman"/>
      </rPr>
      <t xml:space="preserve">Сиденье складное
</t>
    </r>
    <r>
      <rPr>
        <sz val="10"/>
        <color rgb="FF000000"/>
        <rFont val="Times New Roman"/>
      </rPr>
      <t xml:space="preserve">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Эргономичная форма сиденья.
</t>
    </r>
    <r>
      <rPr>
        <sz val="10"/>
        <color rgb="FF000000"/>
        <rFont val="Times New Roman"/>
      </rPr>
      <t xml:space="preserve">Основа для сидения: изготовлен из металла, порошковое покрытие для обработки поверхности после защиты от ржавчины в помещении.
</t>
    </r>
    <r>
      <rPr>
        <sz val="10"/>
        <color rgb="FF000000"/>
        <rFont val="Times New Roman"/>
      </rPr>
      <t xml:space="preserve">Складной механизм: гравитационная складная система.
</t>
    </r>
    <r>
      <rPr>
        <sz val="10"/>
        <color rgb="FF000000"/>
        <rFont val="Times New Roman"/>
      </rPr>
      <t xml:space="preserve">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t>
    </r>
    <r>
      <rPr>
        <sz val="10"/>
        <color rgb="FF000000"/>
        <rFont val="Times New Roman"/>
      </rPr>
      <t xml:space="preserve">Напольное крепление.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t>
    </r>
    <r>
      <rPr>
        <sz val="10"/>
        <color rgb="FF000000"/>
        <rFont val="Times New Roman"/>
      </rPr>
      <t>Размеры: 450 ширина, 390 высота, 500 глубина, мм.</t>
    </r>
  </si>
  <si>
    <r>
      <rPr>
        <sz val="10"/>
        <color rgb="FF000000"/>
        <rFont val="Times New Roman"/>
      </rPr>
      <t xml:space="preserve">522-101-1264-0007 - Сиденье
</t>
    </r>
    <r>
      <rPr>
        <sz val="10"/>
        <color rgb="FF000000"/>
        <rFont val="Times New Roman"/>
      </rPr>
      <t xml:space="preserve">нескладное, размеры:
</t>
    </r>
    <r>
      <rPr>
        <sz val="10"/>
        <color rgb="FF000000"/>
        <rFont val="Times New Roman"/>
      </rPr>
      <t>446-458х467-478х400мм. Сиденье и спинка из полиэтилена высокой плотности, опора труба электросварная круглая с полимерно-порошковым покрытием</t>
    </r>
  </si>
  <si>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</si>
  <si>
    <r>
      <rPr>
        <sz val="10"/>
        <color rgb="FF000000"/>
        <rFont val="Times New Roman"/>
      </rPr>
      <t xml:space="preserve">Сиденье статичное
</t>
    </r>
    <r>
      <rPr>
        <sz val="10"/>
        <color rgb="FF000000"/>
        <rFont val="Times New Roman"/>
      </rPr>
      <t xml:space="preserve">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t>
    </r>
    <r>
      <rPr>
        <sz val="10"/>
        <color rgb="FF000000"/>
        <rFont val="Times New Roman"/>
      </rPr>
      <t xml:space="preserve">Основа для сидения: ножки, отлитые из алюминиевого пресса с помощью металлических крепежных элементов.
</t>
    </r>
    <r>
      <rPr>
        <sz val="10"/>
        <color rgb="FF000000"/>
        <rFont val="Times New Roman"/>
      </rPr>
      <t xml:space="preserve">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t>
    </r>
    <r>
      <rPr>
        <sz val="10"/>
        <color rgb="FF000000"/>
        <rFont val="Times New Roman"/>
      </rPr>
      <t xml:space="preserve">Установка: установка на пол/подступенок.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t>
    </r>
    <r>
      <rPr>
        <sz val="10"/>
        <color rgb="FF000000"/>
        <rFont val="Times New Roman"/>
      </rPr>
      <t xml:space="preserve">Размеры: 446/458 ширина, 400 высота, 467/478 глубина, мм.
</t>
    </r>
    <r>
      <rPr>
        <sz val="10"/>
        <color rgb="FF000000"/>
        <rFont val="Times New Roman"/>
      </rPr>
      <t>Несколько способов установки отвечают сложным требованиям к установке на объекте.</t>
    </r>
  </si>
  <si>
    <r>
      <rPr>
        <sz val="10"/>
        <color rgb="FF000000"/>
        <rFont val="Times New Roman"/>
      </rPr>
      <t xml:space="preserve">522-101-1264-0008 - Кресло
</t>
    </r>
    <r>
      <rPr>
        <sz val="10"/>
        <color rgb="FF000000"/>
        <rFont val="Times New Roman"/>
      </rPr>
      <t>пластиковое складное, размер 550х480х840мм, металлокаркас с полимерно-порошковым покрытием</t>
    </r>
  </si>
  <si>
    <t>Кресло
пластиковое складное, размер 550х480х840мм, металлокаркас с полимерно-порошковым покрытием</t>
  </si>
  <si>
    <r>
      <rPr>
        <sz val="10"/>
        <color rgb="FF000000"/>
        <rFont val="Times New Roman"/>
      </rPr>
      <t xml:space="preserve">Складное пластмассовое кресло в комлекте с кронштейном. Кресло предназначено для установки на открытых и закрытых спортивных сооружениях (стадионы, ледовые дворцы, спортивные комплексы). Антивандальное исполнение. Эргономичный, стильный дизайн.
</t>
    </r>
    <r>
      <rPr>
        <sz val="10"/>
        <color rgb="FF000000"/>
        <rFont val="Times New Roman"/>
      </rPr>
      <t xml:space="preserve">Металлокаркас защищен полимерно-порошковым покрытием либо методом горячего оцинкования. Испытано на прочность, долговечность, статичную нагрузку и износоустойчивость. Температурный режим эксплуатации от – 40 С до + 50 С. Защищено от воздействия ультрафиолетовых лучей.
</t>
    </r>
    <r>
      <rPr>
        <sz val="10"/>
        <color rgb="FF000000"/>
        <rFont val="Times New Roman"/>
      </rPr>
      <t xml:space="preserve">Выполнено из материалов, замедляющих процесс горения. Габариты :
</t>
    </r>
    <r>
      <rPr>
        <sz val="10"/>
        <color rgb="FF000000"/>
        <rFont val="Times New Roman"/>
      </rPr>
      <t>Глубина 550мм. Ширина 480мм. Высота от пола 840мм. (430мм. от пола до сидения)</t>
    </r>
  </si>
  <si>
    <r>
      <rPr>
        <sz val="10"/>
        <color rgb="FF000000"/>
        <rFont val="Times New Roman"/>
      </rPr>
      <t xml:space="preserve">522-101-1264-0009 - Скамья
</t>
    </r>
    <r>
      <rPr>
        <sz val="10"/>
        <color rgb="FF000000"/>
        <rFont val="Times New Roman"/>
      </rPr>
      <t>зрительская для спортивных сооружений на 5 мест (пластиковые сиденья). Размеры: длина - 2500 мм, высота сидения - 450 мм, со спинкой - 725 мм; глубина - 423 мм</t>
    </r>
  </si>
  <si>
    <t>Скамья
зрительская для спортивных сооружений на 5 мест (пластиковые сиденья). Размеры: длина</t>
  </si>
  <si>
    <t>2500 мм, высота сидения</t>
  </si>
  <si>
    <t>450 мм, со спинкой</t>
  </si>
  <si>
    <t>725 мм; глубина</t>
  </si>
  <si>
    <t>423 мм</t>
  </si>
  <si>
    <r>
      <rPr>
        <sz val="10"/>
        <color theme="1"/>
        <rFont val="Times New Roman"/>
      </rPr>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r>
  </si>
  <si>
    <r>
      <rPr>
        <sz val="10"/>
        <color rgb="FF000000"/>
        <rFont val="Times New Roman"/>
      </rPr>
      <t xml:space="preserve">522-101-1264-0010 - Скамья
</t>
    </r>
    <r>
      <rPr>
        <sz val="10"/>
        <color rgb="FF000000"/>
        <rFont val="Times New Roman"/>
      </rPr>
      <t>зрительская для спортивных сооружений на 3 места (пластиковые сиденья). Размеры: длина - 1425 мм, высота сидения - 450 мм, со спинкой - 725 мм; глубина - 423 мм</t>
    </r>
  </si>
  <si>
    <t>Скамья
зрительская для спортивных сооружений на 3 места (пластиковые сиденья). Размеры: длина</t>
  </si>
  <si>
    <t>1425 мм, высота сидения</t>
  </si>
  <si>
    <r>
      <rPr>
        <sz val="10"/>
        <color theme="1"/>
        <rFont val="Times New Roman"/>
      </rPr>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r>
  </si>
  <si>
    <r>
      <rPr>
        <sz val="10"/>
        <color theme="1"/>
        <rFont val="Times New Roman"/>
      </rPr>
      <t>522-101-1265-0001 - Столик круглой формы, столешница  из ЛДСП 16мм, ножки металл, размеры: диаметр 500мм, высота 750мм</t>
    </r>
  </si>
  <si>
    <r>
      <rPr>
        <sz val="10"/>
        <color theme="1"/>
        <rFont val="Times New Roman"/>
      </rPr>
      <t>Столешница выполнена из ЛДСП 16 мм, кромка ПВХ с исполькозованием высокотемпературного клея. Маталлические части стола изготовлены из листового металла толщиной 8 мм. Изделия окрашены методом электростатического порошкового напыления. Торцы профилей закрыты пластиковыми заглушками для предотвращения повреждения потребителей</t>
    </r>
  </si>
  <si>
    <r>
      <rPr>
        <sz val="10"/>
        <color rgb="FF000000"/>
        <rFont val="Times New Roman"/>
      </rPr>
      <t xml:space="preserve">522-101-1265-0002 - Стол
</t>
    </r>
    <r>
      <rPr>
        <sz val="10"/>
        <color rgb="FF000000"/>
        <rFont val="Times New Roman"/>
      </rPr>
      <t>журнальный прямоугольной формы, столешница из ЛДСП 32мм, каркас из ЛДСП 16мм, размер 1000х700х500мм</t>
    </r>
  </si>
  <si>
    <t>Стол
журнальный прямоугольной формы, столешница из ЛДСП 32мм, каркас из ЛДСП 16мм, размер 1000х700х500мм</t>
  </si>
  <si>
    <r>
      <rPr>
        <sz val="10"/>
        <color theme="1"/>
        <rFont val="Times New Roman"/>
      </rPr>
      <t>Ширина - 1000мм, глубина - 700мм, высота - 500мм. Столешница из ЛДСП 32мм, каркас выполнен из ЛДСП 16мм. Торцы облицованы  кромкой ПВХ толщиной 2мм.</t>
    </r>
  </si>
  <si>
    <r>
      <rPr>
        <sz val="10"/>
        <color rgb="FF000000"/>
        <rFont val="Times New Roman"/>
      </rPr>
      <t xml:space="preserve">522-101-1265-0003 - Стол
</t>
    </r>
    <r>
      <rPr>
        <sz val="10"/>
        <color rgb="FF000000"/>
        <rFont val="Times New Roman"/>
      </rPr>
      <t>журнальный с двумя круглыми столешницами, радиус 600мм, высота 400мм, радиус 800мм, высота 450мм, столешница из HPL пластика 12мм, основание металлическое</t>
    </r>
  </si>
  <si>
    <t>Стол
журнальный с двумя круглыми столешницами, радиус 600мм, высота 400мм, радиус 800мм, высота 450мм, столешница из HPL пластика 12мм, основание металлическое</t>
  </si>
  <si>
    <r>
      <rPr>
        <sz val="10"/>
        <color theme="1"/>
        <rFont val="Times New Roman"/>
      </rPr>
      <t>Стол журнальный с двумя круглыми столешницами, радиус 600мм, высота 400мм, радиус 800мм, высота 450мм. Основание металлическое, покрашено методом электростатического порошкового напыления. Материал рабочей поверхности стола: химически стойкий пластик HPL толщиной 12 мм (комплект  из 2 столиков)</t>
    </r>
  </si>
  <si>
    <r>
      <rPr>
        <sz val="10"/>
        <color rgb="FF000000"/>
        <rFont val="Times New Roman"/>
      </rPr>
      <t xml:space="preserve">522-101-1266-0001 - Тумба
</t>
    </r>
    <r>
      <rPr>
        <sz val="10"/>
        <color rgb="FF000000"/>
        <rFont val="Times New Roman"/>
      </rPr>
      <t>лабораторная 500х600х780мм</t>
    </r>
  </si>
  <si>
    <t>Тумба
лабораторная 500х600х780мм</t>
  </si>
  <si>
    <r>
      <rPr>
        <sz val="10"/>
        <color theme="1"/>
        <rFont val="Times New Roman"/>
      </rPr>
      <t>Тумба с лабораторной раковиной. Тумба выполнена из листового металла. Лабораторная раковина изготовлена   из полипропиленового пластика, устойчивая к щелочам, кислотам и высоким температурам. Смеситель для лаборатории изготовлен из латуни. На поверхность нанесено многослойное эпоксидное покрытие, устойчивое к щелочам и кислотам</t>
    </r>
  </si>
  <si>
    <r>
      <rPr>
        <sz val="10"/>
        <color rgb="FF000000"/>
        <rFont val="Times New Roman"/>
      </rPr>
      <t xml:space="preserve">522-101-1266-0002 - Тумба
</t>
    </r>
    <r>
      <rPr>
        <sz val="10"/>
        <color rgb="FF000000"/>
        <rFont val="Times New Roman"/>
      </rPr>
      <t>лабораторная с раковиной, смесителем и сушкой. Размер 500х500х850 мм</t>
    </r>
  </si>
  <si>
    <t>Тумба
лабораторная с раковиной, смесителем и сушкой. Размер 500х500х850 мм</t>
  </si>
  <si>
    <r>
      <rPr>
        <sz val="10"/>
        <color rgb="FF000000"/>
        <rFont val="Times New Roman"/>
      </rPr>
      <t xml:space="preserve">Стол-мойка производственный со смесителем. Размеры 500х500х850мм. Материал ЛДСП, толщина материала 16 мм, кромка ПВХ с использованием высокотемпературного клея. Столешница выполнена из химстойкой панели HPL12 мм. Раковина из полипропиленового химически стойкого пластика, размером 390х290х260мм. Настенная сушка 550х400х120мм, сифон, смеситель в комплекте из пропилена для холодной и горячей воды.
</t>
    </r>
    <r>
      <rPr>
        <sz val="10"/>
        <color rgb="FF000000"/>
        <rFont val="Times New Roman"/>
      </rPr>
      <t>Канализация - комплектующие к подключению. Установлены пластиковые подпятники, регулируемые.</t>
    </r>
  </si>
  <si>
    <r>
      <rPr>
        <sz val="10"/>
        <color rgb="FF000000"/>
        <rFont val="Times New Roman"/>
      </rPr>
      <t xml:space="preserve">522-101-1266-0004 - Тумба
</t>
    </r>
    <r>
      <rPr>
        <sz val="10"/>
        <color rgb="FF000000"/>
        <rFont val="Times New Roman"/>
      </rPr>
      <t>лабораторная на колесах с одной дверцей, ЛДСП 16 мм, размеры 500х400х650 мм</t>
    </r>
  </si>
  <si>
    <t>Тумба
лабораторная на колесах с одной дверцей, ЛДСП 16 мм, размеры 500х400х650 мм</t>
  </si>
  <si>
    <r>
      <rPr>
        <sz val="10"/>
        <color theme="1"/>
        <rFont val="Times New Roman"/>
      </rPr>
      <t>Тумба лабораторная на колесах с одной дверцей Габаритные размеры тумбы должны быть, не менее: ширина 500 мм, глубина 400 мм, высота 650 мм. Материал изготовления корпуса, фасада и задней стенки должна быть ЛДСП толщиной не менее 16 мм. Торцы должны быть отделаны кромкой из ПВХ толщиной не менее 0,4 мм. Конструктивно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Сборка должна производиться с помощью конфирматов 6,4х50 мм и эксцентриковых стяжек. Тумба должна опираться на роликовые опоры высотой не менее 50 мм.</t>
    </r>
  </si>
  <si>
    <r>
      <rPr>
        <sz val="10"/>
        <color rgb="FF000000"/>
        <rFont val="Times New Roman"/>
      </rPr>
      <t xml:space="preserve">522-101-1266-0005 - Тумба
</t>
    </r>
    <r>
      <rPr>
        <sz val="10"/>
        <color rgb="FF000000"/>
        <rFont val="Times New Roman"/>
      </rPr>
      <t>лабораторная на колесах с выдвижными ящиками, ЛДСП 16 мм, размеры 500х440х600 мм</t>
    </r>
  </si>
  <si>
    <t>Тумба
лабораторная на колесах с выдвижными ящиками, ЛДСП 16 мм, размеры 500х440х600 мм</t>
  </si>
  <si>
    <r>
      <rPr>
        <sz val="10"/>
        <color theme="1"/>
        <rFont val="Times New Roman"/>
      </rPr>
      <t>Тумба лабораторная на колесах с выдвижными ящиками. Габаритные размеры тумбы не менее: ширина 500 мм, глубина 440 мм, высота 600 мм. Материал изготовления корпуса и фасада ЛДСП толщиной не менее 16 мм. Торцы обработаны кромкой из ПВХ толщиной не менее 0,4 мм., а крышки тумбы не менее 2 мм. Конструктивно тумба состоит из четырех ящиков высотой 142 мм, с жестким дном и направляющими полного выдвижения с доводчиком, имеющий мебельную ручку-скобу. Сборка производиться с помощью конфирматов 6,4х50 мм и эксцентриковых стяжек. Тумба опирается на колесные опоры.</t>
    </r>
  </si>
  <si>
    <r>
      <rPr>
        <sz val="10"/>
        <color rgb="FF000000"/>
        <rFont val="Times New Roman"/>
      </rPr>
      <t xml:space="preserve">522-101-1267-0001 - Шкаф
</t>
    </r>
    <r>
      <rPr>
        <sz val="10"/>
        <color rgb="FF000000"/>
        <rFont val="Times New Roman"/>
      </rPr>
      <t>металлический односекционный типа GUARD с одной ячейкой, размеры 300х500х1830 мм, индивидуальный замок "Вертушка"</t>
    </r>
  </si>
  <si>
    <t>Шкаф
металлический односекционный типа GUARD с одной ячейкой, размеры 300х500х1830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</si>
  <si>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</si>
  <si>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522-101-1267-0002 - Шкаф
</t>
    </r>
    <r>
      <rPr>
        <sz val="10"/>
        <color rgb="FF000000"/>
        <rFont val="Times New Roman"/>
      </rPr>
      <t>металлический односекционный типа GUARD с одной ячейкой, размеры 300х400х1800 мм, индивидуальный замок "Вертушка"</t>
    </r>
  </si>
  <si>
    <t>Шкаф
металлический односекционный типа GUARD с одной ячейкой, размеры 300х400х1800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</si>
  <si>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</si>
  <si>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522-101-1267-0003 - Шкаф
</t>
    </r>
    <r>
      <rPr>
        <sz val="10"/>
        <color rgb="FF000000"/>
        <rFont val="Times New Roman"/>
      </rPr>
      <t>металлический односекционный типа GUARD с одной ячейкой, размеры 300х500х1860 мм, индивидуальный замок "Вертушка"</t>
    </r>
  </si>
  <si>
    <t>Шкаф
металлический односекционный типа GUARD с одной ячейкой, размеры 300х500х1860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</si>
  <si>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</si>
  <si>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522-101-1267-0004 - Шкаф
</t>
    </r>
    <r>
      <rPr>
        <sz val="10"/>
        <color rgb="FF000000"/>
        <rFont val="Times New Roman"/>
      </rPr>
      <t>металлический односекционный типа GUARD с одной ячейкой, размеры 325х500х1800 мм, индивидуальный замок "Вертушка"</t>
    </r>
  </si>
  <si>
    <t>Шкаф
металлический односекционный типа GUARD с одной ячейкой, размеры 325х500х1800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</si>
  <si>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</si>
  <si>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522-101-1267-0005 - Шкаф
</t>
    </r>
    <r>
      <rPr>
        <sz val="10"/>
        <color rgb="FF000000"/>
        <rFont val="Times New Roman"/>
      </rPr>
      <t>металлический односекционный типа GUARD с одной ячейкой, размеры 400х500х1830 мм, индивидуальный замок "Вертушка"</t>
    </r>
  </si>
  <si>
    <t>Шкаф
металлический односекционный типа GUARD с одной ячейкой, размеры 400х500х1830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</si>
  <si>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</si>
  <si>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522-101-1267-0006 - Шкаф
</t>
    </r>
    <r>
      <rPr>
        <sz val="10"/>
        <color rgb="FF000000"/>
        <rFont val="Times New Roman"/>
      </rPr>
      <t>металлический односекционный типа GUARD с одной ячейкой, размеры 400х500х1860 мм, индивидуальный замок "Вертушка"</t>
    </r>
  </si>
  <si>
    <t>Шкаф
металлический односекционный типа GUARD с одной ячейкой, размеры 400х500х1860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</si>
  <si>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</si>
  <si>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522-101-1267-0007 - Шкаф
</t>
    </r>
    <r>
      <rPr>
        <sz val="10"/>
        <color rgb="FF000000"/>
        <rFont val="Times New Roman"/>
      </rPr>
      <t>металлический односекционный типа GUARD с одной ячейкой, размеры 460х380х1830 мм, индивидуальный замок "Вертушка"</t>
    </r>
  </si>
  <si>
    <t>Шкаф
металлический односекционный типа GUARD с одной ячейкой, размеры 460х380х1830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</si>
  <si>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</si>
  <si>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522-101-1267-0008 - Шкаф
</t>
    </r>
    <r>
      <rPr>
        <sz val="10"/>
        <color rgb="FF000000"/>
        <rFont val="Times New Roman"/>
      </rPr>
      <t>металлический односекционный типа GUARD с одной ячейкой, размеры 500х550х2000 мм, индивидуальный замок "Вертушка"</t>
    </r>
  </si>
  <si>
    <t>Шкаф
металлический односекционный типа GUARD с одной ячейкой, размеры 500х550х2000 мм, индивидуальный замок "Вертушка"</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</si>
  <si>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</si>
  <si>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522-101-1267-0009 - Шкаф
</t>
    </r>
    <r>
      <rPr>
        <sz val="10"/>
        <color rgb="FF000000"/>
        <rFont val="Times New Roman"/>
      </rPr>
      <t>металлический односекционный типа GUARD с одной ячейкой, размеры 300х500х1830 мм, индивидуальный замок "Практик"</t>
    </r>
  </si>
  <si>
    <t>Шкаф
металлический односекционный типа GUARD с одной ячейкой, размеры 300х500х1830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</si>
  <si>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</si>
  <si>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522-101-1267-0010 - Шкаф
</t>
    </r>
    <r>
      <rPr>
        <sz val="10"/>
        <color rgb="FF000000"/>
        <rFont val="Times New Roman"/>
      </rPr>
      <t>металлический односекционный типа GUARD с одной ячейкой, размеры 300х400х1800 мм, индивидуальный замок "Практик"</t>
    </r>
  </si>
  <si>
    <t>Шкаф
металлический односекционный типа GUARD с одной ячейкой, размеры 300х400х1800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</si>
  <si>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</si>
  <si>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522-101-1267-0011 - Шкаф
</t>
    </r>
    <r>
      <rPr>
        <sz val="10"/>
        <color rgb="FF000000"/>
        <rFont val="Times New Roman"/>
      </rPr>
      <t>металлический односекционный типа GUARD с одной ячейкой, размеры 300х500х1860 мм, индивидуальный замок "Практик"</t>
    </r>
  </si>
  <si>
    <t>Шкаф
металлический односекционный типа GUARD с одной ячейкой, размеры 300х500х1860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</si>
  <si>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</si>
  <si>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522-101-1267-0012 - Шкаф
</t>
    </r>
    <r>
      <rPr>
        <sz val="10"/>
        <color rgb="FF000000"/>
        <rFont val="Times New Roman"/>
      </rPr>
      <t>металлический односекционный типа GUARD с одной ячейкой, размеры 325х500х1800 мм, индивидуальный замок "Практик"</t>
    </r>
  </si>
  <si>
    <t>Шкаф
металлический односекционный типа GUARD с одной ячейкой, размеры 325х500х1800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</si>
  <si>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</si>
  <si>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522-101-1267-0013 - Шкаф
</t>
    </r>
    <r>
      <rPr>
        <sz val="10"/>
        <color rgb="FF000000"/>
        <rFont val="Times New Roman"/>
      </rPr>
      <t>металлический односекционный типа GUARD с одной ячейкой, размеры 400х500х1830 мм, индивидуальный замок "Практик"</t>
    </r>
  </si>
  <si>
    <t>Шкаф
металлический односекционный типа GUARD с одной ячейкой, размеры 400х500х1830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</si>
  <si>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</si>
  <si>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522-101-1267-0014 - Шкаф
</t>
    </r>
    <r>
      <rPr>
        <sz val="10"/>
        <color rgb="FF000000"/>
        <rFont val="Times New Roman"/>
      </rPr>
      <t>металлический односекционный типа GUARD с одной ячейкой, размеры 400х500х1860 мм, индивидуальный замок "Практик"</t>
    </r>
  </si>
  <si>
    <t>Шкаф
металлический односекционный типа GUARD с одной ячейкой, размеры 400х500х1860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</si>
  <si>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</si>
  <si>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522-101-1267-0015 - Шкаф
</t>
    </r>
    <r>
      <rPr>
        <sz val="10"/>
        <color rgb="FF000000"/>
        <rFont val="Times New Roman"/>
      </rPr>
      <t>металлический односекционный типа GUARD с одной ячейкой, размеры 460х380х1830 мм, индивидуальный замок "Практик"</t>
    </r>
  </si>
  <si>
    <t>Шкаф
металлический односекционный типа GUARD с одной ячейкой, размеры 460х380х1830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</si>
  <si>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</si>
  <si>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522-101-1267-0016 - Шкаф
</t>
    </r>
    <r>
      <rPr>
        <sz val="10"/>
        <color rgb="FF000000"/>
        <rFont val="Times New Roman"/>
      </rPr>
      <t>металлический односекционный типа GUARD с одной ячейкой, размеры 500х550х2000 мм, индивидуальный замок "Практик"</t>
    </r>
  </si>
  <si>
    <t>Шкаф
металлический односекционный типа GUARD с одной ячейкой, размеры 500х550х2000 мм, индивидуальный замок "Практик"</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</si>
  <si>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 xml:space="preserve">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</si>
  <si>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522-101-1267-0017 - Шкаф
</t>
    </r>
    <r>
      <rPr>
        <sz val="10"/>
        <color rgb="FF000000"/>
        <rFont val="Times New Roman"/>
      </rPr>
      <t>металлический односекционный типа GUARD с одной ячейкой, размеры 300х500х1830 мм, индивидуальный электронный замок, браслет</t>
    </r>
  </si>
  <si>
    <t>Шкаф
металлический односекционный типа GUARD с одной ячейкой, размеры 300х500х1830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</si>
  <si>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</si>
  <si>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522-101-1267-0018 - Шкаф
</t>
    </r>
    <r>
      <rPr>
        <sz val="10"/>
        <color rgb="FF000000"/>
        <rFont val="Times New Roman"/>
      </rPr>
      <t>металлический односекционный типа GUARD с одной ячейкой, размеры 300х400х1800 мм, индивидуальный электронный замок, браслет</t>
    </r>
  </si>
  <si>
    <t>Шкаф
металлический односекционный типа GUARD с одной ячейкой, размеры 300х400х1800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</si>
  <si>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</si>
  <si>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522-101-1267-0019 - Шкаф
</t>
    </r>
    <r>
      <rPr>
        <sz val="10"/>
        <color rgb="FF000000"/>
        <rFont val="Times New Roman"/>
      </rPr>
      <t>металлический односекционный типа GUARD с одной ячейкой, размеры 300х500х1860 мм, индивидуальный электронный замок, браслет</t>
    </r>
  </si>
  <si>
    <t>Шкаф
металлический односекционный типа GUARD с одной ячейкой, размеры 300х500х1860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</si>
  <si>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</si>
  <si>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522-101-1267-0020 - Шкаф
</t>
    </r>
    <r>
      <rPr>
        <sz val="10"/>
        <color rgb="FF000000"/>
        <rFont val="Times New Roman"/>
      </rPr>
      <t>металлический односекционный типа GUARD с одной ячейкой, размеры 325х500х1800 мм, индивидуальный электронный замок, браслет</t>
    </r>
  </si>
  <si>
    <t>Шкаф
металлический односекционный типа GUARD с одной ячейкой, размеры 325х500х1800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</si>
  <si>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</si>
  <si>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522-101-1267-0021 - Шкаф
</t>
    </r>
    <r>
      <rPr>
        <sz val="10"/>
        <color rgb="FF000000"/>
        <rFont val="Times New Roman"/>
      </rPr>
      <t>металлический односекционный типа GUARD с одной ячейкой, размеры 400х500х1830 мм, индивидуальный электронный замок, браслет</t>
    </r>
  </si>
  <si>
    <t>Шкаф
металлический односекционный типа GUARD с одной ячейкой, размеры 400х500х1830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</si>
  <si>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</si>
  <si>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522-101-1267-0022 - Шкаф
</t>
    </r>
    <r>
      <rPr>
        <sz val="10"/>
        <color rgb="FF000000"/>
        <rFont val="Times New Roman"/>
      </rPr>
      <t>металлический односекционный типа GUARD с одной ячейкой, размеры 400х500х1860 мм, индивидуальный электронный замок, браслет</t>
    </r>
  </si>
  <si>
    <t>Шкаф
металлический односекционный типа GUARD с одной ячейкой, размеры 400х500х1860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</si>
  <si>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</si>
  <si>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522-101-1267-0023 - Шкаф
</t>
    </r>
    <r>
      <rPr>
        <sz val="10"/>
        <color rgb="FF000000"/>
        <rFont val="Times New Roman"/>
      </rPr>
      <t>металлический односекционный типа GUARD с одной ячейкой, размеры 460х380х1830 мм, индивидуальный электронный замок, браслет</t>
    </r>
  </si>
  <si>
    <t>Шкаф
металлический односекционный типа GUARD с одной ячейкой, размеры 460х380х1830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</si>
  <si>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</si>
  <si>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522-101-1267-0024 - Шкаф
</t>
    </r>
    <r>
      <rPr>
        <sz val="10"/>
        <color rgb="FF000000"/>
        <rFont val="Times New Roman"/>
      </rPr>
      <t>металлический односекционный типа GUARD с одной ячейкой, размеры 500х550х2000 мм, индивидуальный электронный замок, браслет</t>
    </r>
  </si>
  <si>
    <t>Шкаф
металлический односекционный типа GUARD с одной ячейкой, размеры 500х550х2000 мм, индивидуальный электронный замок, браслет</t>
  </si>
  <si>
    <r>
      <rPr>
        <sz val="10"/>
        <color rgb="FF000000"/>
        <rFont val="Times New Roman"/>
      </rPr>
      <t xml:space="preserve">2 полки, 1 штанга, 2 крючка на штанге, 1 крючок на двери. Конструкция модульная, сборно-разборная из листовой стали, не менее 0,5 мм. Окрашен.
</t>
    </r>
    <r>
      <rPr>
        <sz val="10"/>
        <color rgb="FF000000"/>
        <rFont val="Times New Roman"/>
      </rPr>
      <t>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</si>
  <si>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522-101-1267-0025 - Шкаф
</t>
    </r>
    <r>
      <rPr>
        <sz val="10"/>
        <color rgb="FF000000"/>
        <rFont val="Times New Roman"/>
      </rPr>
      <t>металлический односекционный типа GUARD с двумя ячейками, размеры 300х500х1830 мм, индивидуальный замок "Вертушка"</t>
    </r>
  </si>
  <si>
    <t>Шкаф
металлический односекционный типа GUARD с двумя ячейками, размеры 300х500х1830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</si>
  <si>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</si>
  <si>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522-101-1267-0026 - Шкаф
</t>
    </r>
    <r>
      <rPr>
        <sz val="10"/>
        <color rgb="FF000000"/>
        <rFont val="Times New Roman"/>
      </rPr>
      <t>металлический односекционный типа GUARD с двумя ячейками, размеры 400х500х1830 мм, индивидуальный замок "Вертушка"</t>
    </r>
  </si>
  <si>
    <t>Шкаф
металлический односекционный типа GUARD с двумя ячейками, размеры 400х500х1830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</si>
  <si>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</si>
  <si>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522-101-1267-0027 - Шкаф
</t>
    </r>
    <r>
      <rPr>
        <sz val="10"/>
        <color rgb="FF000000"/>
        <rFont val="Times New Roman"/>
      </rPr>
      <t>металлический односекционный типа GUARD с двумя ячейками, размеры 400х500х2300 мм, индивидуальный замок "Вертушка"</t>
    </r>
  </si>
  <si>
    <t>Шкаф
металлический односекционный типа GUARD с двумя ячейками, размеры 400х500х2300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</si>
  <si>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</si>
  <si>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522-101-1267-0028 - Шкаф
</t>
    </r>
    <r>
      <rPr>
        <sz val="10"/>
        <color rgb="FF000000"/>
        <rFont val="Times New Roman"/>
      </rPr>
      <t>металлический односекционный типа GUARD с двумя ячейками, размеры 300х500х1830 мм, индивидуальный электронный замок, браслет</t>
    </r>
  </si>
  <si>
    <t>Шкаф
металлический односекционный типа GUARD с двумя ячейками, размеры 300х500х1830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</si>
  <si>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</si>
  <si>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522-101-1267-0029 - Шкаф
</t>
    </r>
    <r>
      <rPr>
        <sz val="10"/>
        <color rgb="FF000000"/>
        <rFont val="Times New Roman"/>
      </rPr>
      <t>металлический односекционный типа GUARD с двумя ячейками, размеры 400х500х1830 мм, индивидуальный электронный замок, браслет</t>
    </r>
  </si>
  <si>
    <t>Шкаф
металлический односекционный типа GUARD с двумя ячейками, размеры 400х500х1830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</si>
  <si>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</si>
  <si>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522-101-1267-0030 - Шкаф
</t>
    </r>
    <r>
      <rPr>
        <sz val="10"/>
        <color rgb="FF000000"/>
        <rFont val="Times New Roman"/>
      </rPr>
      <t>металлический односекционный типа GUARD с двумя ячейками, размеры 400х500х2300 мм, индивидуальный электронный замок, браслет</t>
    </r>
  </si>
  <si>
    <t>Шкаф
металлический односекционный типа GUARD с двумя ячейками, размеры 400х500х2300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</si>
  <si>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</si>
  <si>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522-101-1267-0031 - Шкаф
</t>
    </r>
    <r>
      <rPr>
        <sz val="10"/>
        <color rgb="FF000000"/>
        <rFont val="Times New Roman"/>
      </rPr>
      <t>металлический односекционный типа GUARD с двумя ячейками, размеры 300х500х1830 мм, индивидуальный замок "Практик"</t>
    </r>
  </si>
  <si>
    <t>Шкаф
металлический односекционный типа GUARD с двумя ячейками, размеры 300х500х1830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</si>
  <si>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</si>
  <si>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522-101-1267-0032 - Шкаф
</t>
    </r>
    <r>
      <rPr>
        <sz val="10"/>
        <color rgb="FF000000"/>
        <rFont val="Times New Roman"/>
      </rPr>
      <t>металлический односекционный типа GUARD с двумя ячейками, размеры 400х500х1830 мм, индивидуальный замок "Практик"</t>
    </r>
  </si>
  <si>
    <t>Шкаф
металлический односекционный типа GUARD с двумя ячейками, размеры 400х500х1830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</si>
  <si>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</si>
  <si>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522-101-1267-0033 - Шкаф
</t>
    </r>
    <r>
      <rPr>
        <sz val="10"/>
        <color rgb="FF000000"/>
        <rFont val="Times New Roman"/>
      </rPr>
      <t>металлический односекционный типа GUARD с двумя ячейками, размеры 400х500х2300 мм, индивидуальный замок "Практик"</t>
    </r>
  </si>
  <si>
    <t>Шкаф
металлический односекционный типа GUARD с двумя ячейками, размеры 400х500х2300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</si>
  <si>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</si>
  <si>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522-101-1267-0034 - Шкаф
</t>
    </r>
    <r>
      <rPr>
        <sz val="10"/>
        <color rgb="FF000000"/>
        <rFont val="Times New Roman"/>
      </rPr>
      <t>металлический односекционный типа GUARD с четырьмя ячейками, размеры 300х500х1830 мм, индивидуальный замок "Вертушка"</t>
    </r>
  </si>
  <si>
    <t>Шкаф
металлический односекционный типа GUARD с четырьмя ячейками, размеры 300х500х1830 мм, индивидуальный замок "Вертушка"</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</si>
  <si>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</si>
  <si>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522-101-1267-0035 - Шкаф
</t>
    </r>
    <r>
      <rPr>
        <sz val="10"/>
        <color rgb="FF000000"/>
        <rFont val="Times New Roman"/>
      </rPr>
      <t>металлический односекционный типа GUARD с четырьмя ячейками, размеры 250х300х1500 мм, индивидуальный замок "Вертушка"</t>
    </r>
  </si>
  <si>
    <t>Шкаф
металлический односекционный типа GUARD с четырьмя ячейками, размеры 250х300х1500 мм, индивидуальный замок "Вертушка"</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</si>
  <si>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</si>
  <si>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522-101-1267-0036 - Шкаф
</t>
    </r>
    <r>
      <rPr>
        <sz val="10"/>
        <color rgb="FF000000"/>
        <rFont val="Times New Roman"/>
      </rPr>
      <t>металлический односекционный типа GUARD с четырьмя ячейками, размеры 250х300х1600 мм, индивидуальный замок "Вертушка"</t>
    </r>
  </si>
  <si>
    <t>Шкаф
металлический односекционный типа GUARD с четырьмя ячейками, размеры 250х300х1600 мм, индивидуальный замок "Вертушка"</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</si>
  <si>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</si>
  <si>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522-101-1267-0037 - Шкаф
</t>
    </r>
    <r>
      <rPr>
        <sz val="10"/>
        <color rgb="FF000000"/>
        <rFont val="Times New Roman"/>
      </rPr>
      <t>металлический односекционный типа GUARD с четырьмя ячейками, размеры 300х300х1500 мм, индивидуальный замок "Вертушка"</t>
    </r>
  </si>
  <si>
    <t>Шкаф
металлический односекционный типа GUARD с четырьмя ячейками, размеры 300х300х1500 мм, индивидуальный замок "Вертушка"</t>
  </si>
  <si>
    <r>
      <rPr>
        <sz val="10"/>
        <color rgb="FF000000"/>
        <rFont val="Times New Roman"/>
      </rPr>
      <t xml:space="preserve">Конструкция  модульная, сборно-разборная из  листовой стали, не менее 0,7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</si>
  <si>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522-101-1267-0038 - Шкаф
</t>
    </r>
    <r>
      <rPr>
        <sz val="10"/>
        <color rgb="FF000000"/>
        <rFont val="Times New Roman"/>
      </rPr>
      <t>металлический односекционный типа GUARD с четырьмя ячейками, размеры 300х500х1830 мм, индивидуальный замок "Практик"</t>
    </r>
  </si>
  <si>
    <t>Шкаф
металлический односекционный типа GUARD с четырьмя ячейками, размеры 300х500х1830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</si>
  <si>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</si>
  <si>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522-101-1267-0039 - Шкаф
</t>
    </r>
    <r>
      <rPr>
        <sz val="10"/>
        <color rgb="FF000000"/>
        <rFont val="Times New Roman"/>
      </rPr>
      <t>металлический односекционный типа GUARD с четырьмя ячейками, размеры 250х300х1500 мм, индивидуальный замок "Практик"</t>
    </r>
  </si>
  <si>
    <t>Шкаф
металлический односекционный типа GUARD с четырьмя ячейками, размеры 250х300х1500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</si>
  <si>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</si>
  <si>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522-101-1267-0040 - Шкаф
</t>
    </r>
    <r>
      <rPr>
        <sz val="10"/>
        <color rgb="FF000000"/>
        <rFont val="Times New Roman"/>
      </rPr>
      <t>металлический односекционный типа GUARD с четырьмя ячейками, размеры 250х300х1600 мм, индивидуальный замок "Практик"</t>
    </r>
  </si>
  <si>
    <t>Шкаф
металлический односекционный типа GUARD с четырьмя ячейками, размеры 250х300х1600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</si>
  <si>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</si>
  <si>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522-101-1267-0041 - Шкаф
</t>
    </r>
    <r>
      <rPr>
        <sz val="10"/>
        <color rgb="FF000000"/>
        <rFont val="Times New Roman"/>
      </rPr>
      <t>металлический односекционный типа GUARD с четырьмя ячейками, размеры 300х500х1830 мм, индивидуальный электронный замок, браслет</t>
    </r>
  </si>
  <si>
    <t>Шкаф
металлический односекционный типа GUARD с четырьмя ячейками, размеры 300х500х1830 мм, индивидуальный электронный замок, браслет</t>
  </si>
  <si>
    <r>
      <rPr>
        <sz val="10"/>
        <color theme="1"/>
        <rFont val="Times New Roman"/>
      </rPr>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</si>
  <si>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522-101-1267-0042 - Шкаф
</t>
    </r>
    <r>
      <rPr>
        <sz val="10"/>
        <color rgb="FF000000"/>
        <rFont val="Times New Roman"/>
      </rPr>
      <t>металлический односекционный типа GUARD с четырьмя ячейками, размеры 250х300х1500 мм, индивидуальный электронный замок, браслет</t>
    </r>
  </si>
  <si>
    <t>Шкаф
металлический односекционный типа GUARD с четырьмя ячейками, размеры 250х300х1500 мм, индивидуальный электронный замок, браслет</t>
  </si>
  <si>
    <r>
      <rPr>
        <sz val="10"/>
        <color theme="1"/>
        <rFont val="Times New Roman"/>
      </rPr>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</si>
  <si>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522-101-1267-0043 - Шкаф
</t>
    </r>
    <r>
      <rPr>
        <sz val="10"/>
        <color rgb="FF000000"/>
        <rFont val="Times New Roman"/>
      </rPr>
      <t>металлический односекционный типа GUARD с четырьмя ячейками, размеры 250х300х1600 мм, индивидуальный электронный замок, браслет</t>
    </r>
  </si>
  <si>
    <t>Шкаф
металлический односекционный типа GUARD с четырьмя ячейками, размеры 250х300х1600 мм, индивидуальный электронный замок, браслет</t>
  </si>
  <si>
    <r>
      <rPr>
        <sz val="10"/>
        <color theme="1"/>
        <rFont val="Times New Roman"/>
      </rPr>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</si>
  <si>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522-101-1268-0001 - Шкаф
</t>
    </r>
    <r>
      <rPr>
        <sz val="10"/>
        <color rgb="FF000000"/>
        <rFont val="Times New Roman"/>
      </rPr>
      <t>металлический двухсекционный типа GUARD с двумя ячейками, размеры 575х500х1830 мм, индивидуальный замок "Вертушка"</t>
    </r>
  </si>
  <si>
    <t>Шкаф
металлический двухсекционный типа GUARD с двумя ячейками, размеры 575х500х1830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</si>
  <si>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</si>
  <si>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522-101-1268-0002 - Шкаф
</t>
    </r>
    <r>
      <rPr>
        <sz val="10"/>
        <color rgb="FF000000"/>
        <rFont val="Times New Roman"/>
      </rPr>
      <t>металлический двухсекционный типа GUARD с двумя ячейками, размеры 418х500х1830 мм, индивидуальный замок "Вертушка"</t>
    </r>
  </si>
  <si>
    <t>Шкаф
металлический двухсекционный типа GUARD с двумя ячейками, размеры 418х500х1830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</si>
  <si>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</si>
  <si>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522-101-1268-0003 - Шкаф
</t>
    </r>
    <r>
      <rPr>
        <sz val="10"/>
        <color rgb="FF000000"/>
        <rFont val="Times New Roman"/>
      </rPr>
      <t>металлический двухсекционный типа GUARD с двумя ячейками, размеры 575х500х1500 мм, индивидуальный замок "Вертушка"</t>
    </r>
  </si>
  <si>
    <t>Шкаф
металлический двухсекционный типа GUARD с двумя ячейками, размеры 575х500х1500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</si>
  <si>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</si>
  <si>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522-101-1268-0004 - Шкаф
</t>
    </r>
    <r>
      <rPr>
        <sz val="10"/>
        <color rgb="FF000000"/>
        <rFont val="Times New Roman"/>
      </rPr>
      <t>металлический двухсекционный типа GUARD с двумя ячейками, размеры 600х500х1500 мм, индивидуальный замок "Вертушка"</t>
    </r>
  </si>
  <si>
    <t>Шкаф
металлический двухсекционный типа GUARD с двумя ячейками, размеры 600х500х1500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</si>
  <si>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</si>
  <si>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522-101-1268-0005 - Шкаф
</t>
    </r>
    <r>
      <rPr>
        <sz val="10"/>
        <color rgb="FF000000"/>
        <rFont val="Times New Roman"/>
      </rPr>
      <t>металлический двухсекционный типа GUARD с двумя ячейками, размеры 600х500х1760 мм, индивидуальный замок "Вертушка"</t>
    </r>
  </si>
  <si>
    <t>Шкаф
металлический двухсекционный типа GUARD с двумя ячейками, размеры 600х500х1760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</si>
  <si>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</si>
  <si>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522-101-1268-0006 - Шкаф
</t>
    </r>
    <r>
      <rPr>
        <sz val="10"/>
        <color rgb="FF000000"/>
        <rFont val="Times New Roman"/>
      </rPr>
      <t>металлический двухсекционный типа GUARD с двумя ячейками, размеры 600х500х1830 мм, индивидуальный замок "Вертушка"</t>
    </r>
  </si>
  <si>
    <t>Шкаф
металлический двухсекционный типа GUARD с двумя ячейками, размеры 600х500х1830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</si>
  <si>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</si>
  <si>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522-101-1268-0007 - Шкаф
</t>
    </r>
    <r>
      <rPr>
        <sz val="10"/>
        <color rgb="FF000000"/>
        <rFont val="Times New Roman"/>
      </rPr>
      <t>металлический двухсекционный типа GUARD с двумя ячейками, размеры 800х500х1830 мм, индивидуальный замок "Вертушка"</t>
    </r>
  </si>
  <si>
    <t>Шкаф
металлический двухсекционный типа GUARD с двумя ячейками, размеры 800х500х1830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</si>
  <si>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</si>
  <si>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522-101-1268-0008 - Шкаф
</t>
    </r>
    <r>
      <rPr>
        <sz val="10"/>
        <color rgb="FF000000"/>
        <rFont val="Times New Roman"/>
      </rPr>
      <t>металлический двухсекционный типа GUARD с двумя ячейками, размеры 800х500х1860 мм, индивидуальный замок "Вертушка"</t>
    </r>
  </si>
  <si>
    <t>Шкаф
металлический двухсекционный типа GUARD с двумя ячейками, размеры 800х500х1860 мм, индивидуальный замок "Вертушка"</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</si>
  <si>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</si>
  <si>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522-101-1268-0009 - Шкаф
</t>
    </r>
    <r>
      <rPr>
        <sz val="10"/>
        <color rgb="FF000000"/>
        <rFont val="Times New Roman"/>
      </rPr>
      <t>металлический двухсекционный типа GUARD с двумя ячейками, размеры 575х500х1830 мм, индивидуальный замок "Практик"</t>
    </r>
  </si>
  <si>
    <t>Шкаф
металлический двухсекционный типа GUARD с двумя ячейками, размеры 575х500х1830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</si>
  <si>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</si>
  <si>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522-101-1268-0010 - Шкаф
</t>
    </r>
    <r>
      <rPr>
        <sz val="10"/>
        <color rgb="FF000000"/>
        <rFont val="Times New Roman"/>
      </rPr>
      <t>металлический двухсекционный типа GUARD с двумя ячейками, размеры 418х500х1830 мм, индивидуальный замок "Практик"</t>
    </r>
  </si>
  <si>
    <t>Шкаф
металлический двухсекционный типа GUARD с двумя ячейками, размеры 418х500х1830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</si>
  <si>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</si>
  <si>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522-101-1268-0011 - Шкаф
</t>
    </r>
    <r>
      <rPr>
        <sz val="10"/>
        <color rgb="FF000000"/>
        <rFont val="Times New Roman"/>
      </rPr>
      <t>металлический двухсекционный типа GUARD с двумя ячейками, размеры 575х500х1500 мм, индивидуальный замок "Практик"</t>
    </r>
  </si>
  <si>
    <t>Шкаф
металлический двухсекционный типа GUARD с двумя ячейками, размеры 575х500х1500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</si>
  <si>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</si>
  <si>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522-101-1268-0012 - Шкаф
</t>
    </r>
    <r>
      <rPr>
        <sz val="10"/>
        <color rgb="FF000000"/>
        <rFont val="Times New Roman"/>
      </rPr>
      <t>металлический двухсекционный типа GUARD с двумя ячейками, размеры 600х500х1500 мм, индивидуальный замок "Практик"</t>
    </r>
  </si>
  <si>
    <t>Шкаф
металлический двухсекционный типа GUARD с двумя ячейками, размеры 600х500х1500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</si>
  <si>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</si>
  <si>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522-101-1268-0013 - Шкаф
</t>
    </r>
    <r>
      <rPr>
        <sz val="10"/>
        <color rgb="FF000000"/>
        <rFont val="Times New Roman"/>
      </rPr>
      <t>металлический двухсекционный типа GUARD с двумя ячейками, размеры 600х500х1760 мм, индивидуальный замок "Практик"</t>
    </r>
  </si>
  <si>
    <t>Шкаф
металлический двухсекционный типа GUARD с двумя ячейками, размеры 600х500х1760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</si>
  <si>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</si>
  <si>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522-101-1268-0014 - Шкаф
</t>
    </r>
    <r>
      <rPr>
        <sz val="10"/>
        <color rgb="FF000000"/>
        <rFont val="Times New Roman"/>
      </rPr>
      <t>металлический двухсекционный типа GUARD с двумя ячейками, размеры 600х500х1830 мм, индивидуальный замок "Практик"</t>
    </r>
  </si>
  <si>
    <t>Шкаф
металлический двухсекционный типа GUARD с двумя ячейками, размеры 600х500х1830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</si>
  <si>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</si>
  <si>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522-101-1268-0015 - Шкаф
</t>
    </r>
    <r>
      <rPr>
        <sz val="10"/>
        <color rgb="FF000000"/>
        <rFont val="Times New Roman"/>
      </rPr>
      <t>металлический двухсекционный типа GUARD с двумя ячейками, размеры 800х500х1830 мм, индивидуальный замок "Практик"</t>
    </r>
  </si>
  <si>
    <t>Шкаф
металлический двухсекционный типа GUARD с двумя ячейками, размеры 800х500х1830 мм, индивидуальный замок "Практик"</t>
  </si>
  <si>
    <r>
      <rPr>
        <sz val="10"/>
        <color theme="1"/>
        <rFont val="Times New Roman"/>
      </rPr>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</si>
  <si>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522-101-1268-0017 - Шкаф
</t>
    </r>
    <r>
      <rPr>
        <sz val="10"/>
        <color rgb="FF000000"/>
        <rFont val="Times New Roman"/>
      </rPr>
      <t>металлический двухсекционный типа GUARD с двумя ячейками, размеры 575х500х1830 мм, индивидуальный электронный замок, браслет</t>
    </r>
  </si>
  <si>
    <t>Шкаф
металлический двухсекционный типа GUARD с двумя ячейками, размеры 575х500х1830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</si>
  <si>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</si>
  <si>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522-101-1268-0018 - Шкаф
</t>
    </r>
    <r>
      <rPr>
        <sz val="10"/>
        <color rgb="FF000000"/>
        <rFont val="Times New Roman"/>
      </rPr>
      <t>металлический двухсекционный типа GUARD с двумя ячейками, размеры 418х500х1830 мм, индивидуальный электронный замок, браслет</t>
    </r>
  </si>
  <si>
    <t>Шкаф
металлический двухсекционный типа GUARD с двумя ячейками, размеры 418х500х1830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</si>
  <si>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средствам дезинфекционной обработки покрытие. Скрепление конструкции
</t>
    </r>
    <r>
      <rPr>
        <sz val="10"/>
        <color rgb="FF000000"/>
        <rFont val="Times New Roman"/>
      </rPr>
      <t>за счет зацепов и крепежа. Имеется возможность наращивания секций.</t>
    </r>
  </si>
  <si>
    <r>
      <rPr>
        <sz val="10"/>
        <color rgb="FF000000"/>
        <rFont val="Times New Roman"/>
      </rPr>
      <t xml:space="preserve">522-101-1268-0019 - Шкаф
</t>
    </r>
    <r>
      <rPr>
        <sz val="10"/>
        <color rgb="FF000000"/>
        <rFont val="Times New Roman"/>
      </rPr>
      <t>металлический двухсекционный типа GUARD с двумя ячейками, размеры 575х500х1500 мм, индивидуальный электронный замок, браслет</t>
    </r>
  </si>
  <si>
    <t>Шкаф
металлический двухсекционный типа GUARD с двумя ячейками, размеры 575х500х1500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</si>
  <si>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</si>
  <si>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522-101-1268-0020 - Шкаф
</t>
    </r>
    <r>
      <rPr>
        <sz val="10"/>
        <color rgb="FF000000"/>
        <rFont val="Times New Roman"/>
      </rPr>
      <t>металлический двухсекционный типа GUARD с двумя ячейками, размеры 600х500х1500 мм, индивидуальный электронный замок, браслет</t>
    </r>
  </si>
  <si>
    <t>Шкаф
металлический двухсекционный типа GUARD с двумя ячейками, размеры 600х500х1500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</si>
  <si>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</si>
  <si>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522-101-1268-0021 - Шкаф
</t>
    </r>
    <r>
      <rPr>
        <sz val="10"/>
        <color rgb="FF000000"/>
        <rFont val="Times New Roman"/>
      </rPr>
      <t>металлический двухсекционный типа GUARD с двумя ячейками, размеры 600х500х1760 мм, индивидуальный электронный замок, браслет</t>
    </r>
  </si>
  <si>
    <t>Шкаф
металлический двухсекционный типа GUARD с двумя ячейками, размеры 600х500х1760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</si>
  <si>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</si>
  <si>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522-101-1268-0022 - Шкаф
</t>
    </r>
    <r>
      <rPr>
        <sz val="10"/>
        <color rgb="FF000000"/>
        <rFont val="Times New Roman"/>
      </rPr>
      <t>металлический двухсекционный типа GUARD с двумя ячейками, размеры 600х500х1830 мм, индивидуальный электронный замок, браслет</t>
    </r>
  </si>
  <si>
    <t>Шкаф
металлический двухсекционный типа GUARD с двумя ячейками, размеры 600х500х1830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</si>
  <si>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</si>
  <si>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522-101-1268-0023 - Шкаф
</t>
    </r>
    <r>
      <rPr>
        <sz val="10"/>
        <color rgb="FF000000"/>
        <rFont val="Times New Roman"/>
      </rPr>
      <t>металлический двухсекционный типа GUARD с двумя ячейками, размеры 800х500х1830 мм, индивидуальный электронный замок, браслет</t>
    </r>
  </si>
  <si>
    <t>Шкаф
металлический двухсекционный типа GUARD с двумя ячейками, размеры 800х500х1830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</si>
  <si>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</si>
  <si>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522-101-1268-0024 - Шкаф
</t>
    </r>
    <r>
      <rPr>
        <sz val="10"/>
        <color rgb="FF000000"/>
        <rFont val="Times New Roman"/>
      </rPr>
      <t>металлический двухсекционный типа GUARD с двумя ячейками, размеры 800х500х1860 мм, индивидуальный электронный замок, браслет</t>
    </r>
  </si>
  <si>
    <t>Шкаф
металлический двухсекционный типа GUARD с двумя ячейками, размеры 800х500х1860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</si>
  <si>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устойчивое к ультрафиолетовому излучению,
</t>
    </r>
    <r>
      <rPr>
        <sz val="10"/>
        <color rgb="FF000000"/>
        <rFont val="Times New Roman"/>
      </rPr>
      <t>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</si>
  <si>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rgb="FF000000"/>
        <rFont val="Times New Roman"/>
      </rPr>
      <t xml:space="preserve">522-101-1268-0025 - Шкаф
</t>
    </r>
    <r>
      <rPr>
        <sz val="10"/>
        <color rgb="FF000000"/>
        <rFont val="Times New Roman"/>
      </rPr>
      <t>металлический двухсекционный типа GUARD с четырьмя ячейками, размеры 575х500х1830 мм, индивидуальный замок "Вертушка"</t>
    </r>
  </si>
  <si>
    <t>Шкаф
металлический двухсекционный типа GUARD с четырьмя ячейками, размеры 575х500х1830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</si>
  <si>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</si>
  <si>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522-101-1268-0026 - Шкаф
</t>
    </r>
    <r>
      <rPr>
        <sz val="10"/>
        <color rgb="FF000000"/>
        <rFont val="Times New Roman"/>
      </rPr>
      <t>металлический двухсекционный типа GUARD с четырьмя ячейками, размеры 575х600х1830 мм, индивидуальный замок "Вертушка"</t>
    </r>
  </si>
  <si>
    <t>Шкаф
металлический двухсекционный типа GUARD с четырьмя ячейками, размеры 575х600х1830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</si>
  <si>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</si>
  <si>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522-101-1268-0027 - Шкаф
</t>
    </r>
    <r>
      <rPr>
        <sz val="10"/>
        <color rgb="FF000000"/>
        <rFont val="Times New Roman"/>
      </rPr>
      <t>металлический двухсекционный типа GUARD с четырьмя ячейками, размеры 600х500х1800 мм, индивидуальный замок "Вертушка"</t>
    </r>
  </si>
  <si>
    <t>Шкаф
металлический двухсекционный типа GUARD с четырьмя ячейками, размеры 600х500х1800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</si>
  <si>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</si>
  <si>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522-101-1268-0028 - Шкаф
</t>
    </r>
    <r>
      <rPr>
        <sz val="10"/>
        <color rgb="FF000000"/>
        <rFont val="Times New Roman"/>
      </rPr>
      <t>металлический двухсекционный типа GUARD с четырьмя ячейками, размеры 600х500х1830 мм, индивидуальный замок "Вертушка"</t>
    </r>
  </si>
  <si>
    <t>Шкаф
металлический двухсекционный типа GUARD с четырьмя ячейками, размеры 600х500х1830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</si>
  <si>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</si>
  <si>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522-101-1268-0029 - Шкаф
</t>
    </r>
    <r>
      <rPr>
        <sz val="10"/>
        <color rgb="FF000000"/>
        <rFont val="Times New Roman"/>
      </rPr>
      <t>металлический двухсекционный типа GUARD с четырьмя ячейками, размеры 600х500х1850 мм, индивидуальный замок "Вертушка"</t>
    </r>
  </si>
  <si>
    <t>Шкаф
металлический двухсекционный типа GUARD с четырьмя ячейками, размеры 600х500х1850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</si>
  <si>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</si>
  <si>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522-101-1268-0030 - Шкаф
</t>
    </r>
    <r>
      <rPr>
        <sz val="10"/>
        <color rgb="FF000000"/>
        <rFont val="Times New Roman"/>
      </rPr>
      <t>металлический двухсекционный типа GUARD с четырьмя ячейками, размеры 760х400х1880 мм, индивидуальный замок "Вертушка"</t>
    </r>
  </si>
  <si>
    <t>Шкаф
металлический двухсекционный типа GUARD с четырьмя ячейками, размеры 760х400х1880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</si>
  <si>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</si>
  <si>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522-101-1268-0031 - Шкаф
</t>
    </r>
    <r>
      <rPr>
        <sz val="10"/>
        <color rgb="FF000000"/>
        <rFont val="Times New Roman"/>
      </rPr>
      <t>металлический двухсекционный типа GUARD с четырьмя ячейками, размеры 800х400х1880 мм, индивидуальный замок "Вертушка"</t>
    </r>
  </si>
  <si>
    <t>Шкаф
металлический двухсекционный типа GUARD с четырьмя ячейками, размеры 800х400х1880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</si>
  <si>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</si>
  <si>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522-101-1268-0032 - Шкаф
</t>
    </r>
    <r>
      <rPr>
        <sz val="10"/>
        <color rgb="FF000000"/>
        <rFont val="Times New Roman"/>
      </rPr>
      <t>металлический двухсекционный типа GUARD с четырьмя ячейками, размеры 575х500х1830 мм, индивидуальный замок "Практик"</t>
    </r>
  </si>
  <si>
    <t>Шкаф
металлический двухсекционный типа GUARD с четырьмя ячейками, размеры 575х500х1830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</si>
  <si>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</si>
  <si>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522-101-1268-0033 - Шкаф
</t>
    </r>
    <r>
      <rPr>
        <sz val="10"/>
        <color rgb="FF000000"/>
        <rFont val="Times New Roman"/>
      </rPr>
      <t>металлический двухсекционный типа GUARD с четырьмя ячейками, размеры 575х600х1830 мм, индивидуальный замок "Практик"</t>
    </r>
  </si>
  <si>
    <t>Шкаф
металлический двухсекционный типа GUARD с четырьмя ячейками, размеры 575х600х1830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</si>
  <si>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</si>
  <si>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522-101-1268-0034 - Шкаф
</t>
    </r>
    <r>
      <rPr>
        <sz val="10"/>
        <color rgb="FF000000"/>
        <rFont val="Times New Roman"/>
      </rPr>
      <t>металлический двухсекционный типа GUARD с четырьмя ячейками, размеры 600х500х1800 мм, индивидуальный замок "Практик"</t>
    </r>
  </si>
  <si>
    <t>Шкаф
металлический двухсекционный типа GUARD с четырьмя ячейками, размеры 600х500х1800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</si>
  <si>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</si>
  <si>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522-101-1268-0035 - Шкаф
</t>
    </r>
    <r>
      <rPr>
        <sz val="10"/>
        <color rgb="FF000000"/>
        <rFont val="Times New Roman"/>
      </rPr>
      <t>металлический двухсекционный типа GUARD с четырьмя ячейками, размеры 600х500х1830 мм, индивидуальный замок "Практик"</t>
    </r>
  </si>
  <si>
    <t>Шкаф
металлический двухсекционный типа GUARD с четырьмя ячейками, размеры 600х500х1830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</si>
  <si>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</si>
  <si>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522-101-1268-0036 - Шкаф
</t>
    </r>
    <r>
      <rPr>
        <sz val="10"/>
        <color rgb="FF000000"/>
        <rFont val="Times New Roman"/>
      </rPr>
      <t>металлический двухсекционный типа GUARD с четырьмя ячейками, размеры 600х500х1850 мм, индивидуальный замок "Практик"</t>
    </r>
  </si>
  <si>
    <t>Шкаф
металлический двухсекционный типа GUARD с четырьмя ячейками, размеры 600х500х1850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</si>
  <si>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</si>
  <si>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522-101-1268-0037 - Шкаф
</t>
    </r>
    <r>
      <rPr>
        <sz val="10"/>
        <color rgb="FF000000"/>
        <rFont val="Times New Roman"/>
      </rPr>
      <t>металлический двухсекционный типа GUARD с четырьмя ячейками, размеры 760х400х1880 мм, индивидуальный замок "Практик"</t>
    </r>
  </si>
  <si>
    <t>Шкаф
металлический двухсекционный типа GUARD с четырьмя ячейками, размеры 760х400х1880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</si>
  <si>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</si>
  <si>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522-101-1268-0038 - Шкаф
</t>
    </r>
    <r>
      <rPr>
        <sz val="10"/>
        <color rgb="FF000000"/>
        <rFont val="Times New Roman"/>
      </rPr>
      <t>металлический двухсекционный типа GUARD с четырьмя ячейками, размеры 800х400х1880 мм, индивидуальный замок "Практик"</t>
    </r>
  </si>
  <si>
    <t>Шкаф
металлический двухсекционный типа GUARD с четырьмя ячейками, размеры 800х400х1880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</si>
  <si>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</si>
  <si>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522-101-1268-0039 - Шкаф
</t>
    </r>
    <r>
      <rPr>
        <sz val="10"/>
        <color rgb="FF000000"/>
        <rFont val="Times New Roman"/>
      </rPr>
      <t>металлический двухсекционный типа GUARD с четырьмя ячейками, размеры 575х500х1830 мм, индивидуальный электронный замок, браслет</t>
    </r>
  </si>
  <si>
    <t>Шкаф
металлический двухсекционный типа GUARD с четырьмя ячейками, размеры 575х500х1830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</si>
  <si>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</si>
  <si>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522-101-1268-0040 - Шкаф
</t>
    </r>
    <r>
      <rPr>
        <sz val="10"/>
        <color rgb="FF000000"/>
        <rFont val="Times New Roman"/>
      </rPr>
      <t>металлический двухсекционный типа GUARD с четырьмя ячейками, размеры 575х600х1830 мм, индивидуальный электронный замок, браслет</t>
    </r>
  </si>
  <si>
    <t>Шкаф
металлический двухсекционный типа GUARD с четырьмя ячейками, размеры 575х600х1830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</si>
  <si>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</si>
  <si>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522-101-1268-0041 - Шкаф
</t>
    </r>
    <r>
      <rPr>
        <sz val="10"/>
        <color rgb="FF000000"/>
        <rFont val="Times New Roman"/>
      </rPr>
      <t>металлический двухсекционный типа GUARD с четырьмя ячейками, размеры 600х500х1800 мм, индивидуальный электронный замок, браслет</t>
    </r>
  </si>
  <si>
    <t>Шкаф
металлический двухсекционный типа GUARD с четырьмя ячейками, размеры 600х500х1800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</si>
  <si>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</si>
  <si>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522-101-1268-0042 - Шкаф
</t>
    </r>
    <r>
      <rPr>
        <sz val="10"/>
        <color rgb="FF000000"/>
        <rFont val="Times New Roman"/>
      </rPr>
      <t>металлический двухсекционный типа GUARD с четырьмя ячейками, размеры 600х500х1830 мм, индивидуальный электронный замок, браслет</t>
    </r>
  </si>
  <si>
    <t>Шкаф
металлический двухсекционный типа GUARD с четырьмя ячейками, размеры 600х500х1830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</si>
  <si>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</si>
  <si>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522-101-1268-0043 - Шкаф
</t>
    </r>
    <r>
      <rPr>
        <sz val="10"/>
        <color rgb="FF000000"/>
        <rFont val="Times New Roman"/>
      </rPr>
      <t>металлический двухсекционный типа GUARD с четырьмя ячейками, размеры 600х500х1850 мм, индивидуальный электронный замок, браслет</t>
    </r>
  </si>
  <si>
    <t>Шкаф
металлический двухсекционный типа GUARD с четырьмя ячейками, размеры 600х500х1850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</si>
  <si>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</si>
  <si>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522-101-1268-0044 - Шкаф
</t>
    </r>
    <r>
      <rPr>
        <sz val="10"/>
        <color rgb="FF000000"/>
        <rFont val="Times New Roman"/>
      </rPr>
      <t>металлический двухсекционный типа GUARD с четырьмя ячейками, размеры 760х400х1880 мм, индивидуальный электронный замок, браслет</t>
    </r>
  </si>
  <si>
    <t>Шкаф
металлический двухсекционный типа GUARD с четырьмя ячейками, размеры 760х400х1880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</si>
  <si>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</si>
  <si>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522-101-1268-0045 - Шкаф
</t>
    </r>
    <r>
      <rPr>
        <sz val="10"/>
        <color rgb="FF000000"/>
        <rFont val="Times New Roman"/>
      </rPr>
      <t>металлический двухсекционный типа GUARD с четырьмя ячейками, размеры 800х400х1880 мм, индивидуальный электронный замок, браслет</t>
    </r>
  </si>
  <si>
    <t>Шкаф
металлический двухсекционный типа GUARD с четырьмя ячейками, размеры 800х400х1880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</si>
  <si>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</si>
  <si>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522-101-1268-0046 -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575х500х1830 мм, индивидуальный замок "Вертушка"</t>
    </r>
  </si>
  <si>
    <t>Шкаф
металлический двухсекционный типа GUARD с четырьмя закрытыми ячейками и четырьми открытыми ячейками, размеры 575х500х1830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</si>
  <si>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</si>
  <si>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522-101-1268-0047 -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575х400х1860 мм, индивидуальный замок "Вертушка"</t>
    </r>
  </si>
  <si>
    <t>Шкаф
металлический двухсекционный типа GUARD с четырьмя закрытыми ячейками и четырьми открытыми ячейками, размеры 575х400х1860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</si>
  <si>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</si>
  <si>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522-101-1268-0048 -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575х500х1860 мм, индивидуальный замок "Вертушка"</t>
    </r>
  </si>
  <si>
    <t>Шкаф
металлический двухсекционный типа GUARD с четырьмя закрытыми ячейками и четырьми открытыми ячейками, размеры 575х500х1860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</si>
  <si>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</si>
  <si>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522-101-1268-0049 -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575х500х1830 мм, индивидуальный замок "Практик"</t>
    </r>
  </si>
  <si>
    <t>Шкаф
металлический двухсекционный типа GUARD с четырьмя закрытыми ячейками и четырьми открытыми ячейками, размеры 575х500х1830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</si>
  <si>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</si>
  <si>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522-101-1268-0050 -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575х400х1860 мм, индивидуальный замок "Практик"</t>
    </r>
  </si>
  <si>
    <t>Шкаф
металлический двухсекционный типа GUARD с четырьмя закрытыми ячейками и четырьми открытыми ячейками, размеры 575х400х1860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</si>
  <si>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</si>
  <si>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522-101-1268-0051 -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575х500х1860 мм, индивидуальный замок "Практик"</t>
    </r>
  </si>
  <si>
    <t>Шкаф
металлический двухсекционный типа GUARD с четырьмя закрытыми ячейками и четырьми открытыми ячейками, размеры 575х500х1860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</si>
  <si>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</si>
  <si>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522-101-1268-0052 -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575х500х1830 мм, индивидуальный электронный замок, браслет</t>
    </r>
  </si>
  <si>
    <t>Шкаф
металлический двухсекционный типа GUARD с четырьмя закрытыми ячейками и четырьми открытыми ячейками, размеры 575х500х1830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</si>
  <si>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</si>
  <si>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522-101-1268-0053 -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575х400х1860 мм, индивидуальный электронный замок, браслет</t>
    </r>
  </si>
  <si>
    <t>Шкаф
металлический двухсекционный типа GUARD с четырьмя закрытыми ячейками и четырьми открытыми ячейками, размеры 575х400х1860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</si>
  <si>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</si>
  <si>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522-101-1268-0054 - Шкаф
</t>
    </r>
    <r>
      <rPr>
        <sz val="10"/>
        <color rgb="FF000000"/>
        <rFont val="Times New Roman"/>
      </rPr>
      <t>металлический двухсекционный типа GUARD с четырьмя закрытыми ячейками и четырьми открытыми ячейками, размеры 575х500х1860 мм, индивидуальный электронный замок, браслет</t>
    </r>
  </si>
  <si>
    <t>Шкаф
металлический двухсекционный типа GUARD с четырьмя закрытыми ячейками и четырьми открытыми ячейками, размеры 575х500х1860 мм, индивидуальный электронный замок, браслет</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</si>
  <si>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</si>
  <si>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522-101-1268-0055 - Шкаф
</t>
    </r>
    <r>
      <rPr>
        <sz val="10"/>
        <color rgb="FF000000"/>
        <rFont val="Times New Roman"/>
      </rPr>
      <t>металлический двухсекционный типа GUARD с четырьмя ячейками с полкой, размеры 575х500х1830 мм, индивидуальный замок "Вертушка"</t>
    </r>
  </si>
  <si>
    <t>Шкаф
металлический двухсекционный типа GUARD с четырьмя ячейками с полкой, размеры 575х500х1830 мм, индивидуальный замок "Вертушка"</t>
  </si>
  <si>
    <r>
      <rPr>
        <sz val="10"/>
        <color rgb="FF000000"/>
        <rFont val="Times New Roman"/>
      </rPr>
      <t xml:space="preserve">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</si>
  <si>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522-101-1268-0056 - Шкаф
</t>
    </r>
    <r>
      <rPr>
        <sz val="10"/>
        <color rgb="FF000000"/>
        <rFont val="Times New Roman"/>
      </rPr>
      <t>металлический двухсекционный типа GUARD с четырьмя ячейками с полкой, размеры 575х400х1860 мм, индивидуальный замок "Вертушка"</t>
    </r>
  </si>
  <si>
    <t>Шкаф
металлический двухсекционный типа GUARD с четырьмя ячейками с полкой, размеры 575х400х1860 мм, индивидуальный замок "Вертушка"</t>
  </si>
  <si>
    <r>
      <rPr>
        <sz val="10"/>
        <color rgb="FF000000"/>
        <rFont val="Times New Roman"/>
      </rPr>
      <t xml:space="preserve">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</si>
  <si>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522-101-1268-0057 - Шкаф
</t>
    </r>
    <r>
      <rPr>
        <sz val="10"/>
        <color rgb="FF000000"/>
        <rFont val="Times New Roman"/>
      </rPr>
      <t>металлический двухсекционный типа GUARD с восемью ячейками, размеры 575х500х1830 мм, индивидуальный замок "Вертушка"</t>
    </r>
  </si>
  <si>
    <t>Шкаф
металлический двухсекционный типа GUARD с восемью ячейками, размеры 575х500х1830 мм, индивидуальный замок "Вертушка"</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</si>
  <si>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</si>
  <si>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522-101-1268-0058 - Шкаф
</t>
    </r>
    <r>
      <rPr>
        <sz val="10"/>
        <color rgb="FF000000"/>
        <rFont val="Times New Roman"/>
      </rPr>
      <t>металлический двухсекционный типа GUARD с восемью ячейками, размеры 575х500х1830 мм, индивидуальный замок "Практик"</t>
    </r>
  </si>
  <si>
    <t>Шкаф
металлический двухсекционный типа GUARD с восемью ячейками, размеры 575х500х1830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</si>
  <si>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</si>
  <si>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522-101-1269-0001 - Шкаф
</t>
    </r>
    <r>
      <rPr>
        <sz val="10"/>
        <color rgb="FF000000"/>
        <rFont val="Times New Roman"/>
      </rPr>
      <t>металлический трехсекционный типа GUARD с тремя ячейками, размеры 850х500х1830 мм, индивидуальный замок "Вертушка"</t>
    </r>
  </si>
  <si>
    <t>Шкаф
металлический трехсекционный типа GUARD с тремя ячейками, размеры 850х500х1830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</si>
  <si>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</si>
  <si>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522-101-1269-0002 - Шкаф
</t>
    </r>
    <r>
      <rPr>
        <sz val="10"/>
        <color rgb="FF000000"/>
        <rFont val="Times New Roman"/>
      </rPr>
      <t>металлический трехсекционный типа GUARD с тремя ячейками, размеры 850х500х1500 мм, индивидуальный замок "Вертушка"</t>
    </r>
  </si>
  <si>
    <t>Шкаф
металлический трехсекционный типа GUARD с тремя ячейками, размеры 850х500х1500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</si>
  <si>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</si>
  <si>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522-101-1269-0003 - Шкаф
</t>
    </r>
    <r>
      <rPr>
        <sz val="10"/>
        <color rgb="FF000000"/>
        <rFont val="Times New Roman"/>
      </rPr>
      <t>металлический трехсекционный типа GUARD с тремя ячейками, размеры 900х500х1830 мм, индивидуальный замок "Вертушка"</t>
    </r>
  </si>
  <si>
    <t>Шкаф
металлический трехсекционный типа GUARD с тремя ячейками, размеры 900х500х1830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</si>
  <si>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</si>
  <si>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522-101-1269-0004 - Шкаф
</t>
    </r>
    <r>
      <rPr>
        <sz val="10"/>
        <color rgb="FF000000"/>
        <rFont val="Times New Roman"/>
      </rPr>
      <t>металлический трехсекционный типа GUARD с тремя ячейками, размеры 850х500х1830 мм, индивидуальный замок "Практик"</t>
    </r>
  </si>
  <si>
    <t>Шкаф
металлический трехсекционный типа GUARD с тремя ячейками, размеры 850х500х1830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</si>
  <si>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</si>
  <si>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522-101-1269-0005 - Шкаф
</t>
    </r>
    <r>
      <rPr>
        <sz val="10"/>
        <color rgb="FF000000"/>
        <rFont val="Times New Roman"/>
      </rPr>
      <t>металлический трехсекционный типа GUARD с тремя ячейками, размеры 850х500х1500 мм, индивидуальный замок "Практик"</t>
    </r>
  </si>
  <si>
    <t>Шкаф
металлический трехсекционный типа GUARD с тремя ячейками, размеры 850х500х1500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</si>
  <si>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</si>
  <si>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522-101-1269-0006 - Шкаф
</t>
    </r>
    <r>
      <rPr>
        <sz val="10"/>
        <color rgb="FF000000"/>
        <rFont val="Times New Roman"/>
      </rPr>
      <t>металлический трехсекционный типа GUARD с тремя ячейками, размеры 900х500х1830 мм, индивидуальный замок "Практик"</t>
    </r>
  </si>
  <si>
    <t>Шкаф
металлический трехсекционный типа GUARD с тремя ячейками, размеры 900х500х1830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</si>
  <si>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</si>
  <si>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522-101-1269-0007 - Шкаф
</t>
    </r>
    <r>
      <rPr>
        <sz val="10"/>
        <color rgb="FF000000"/>
        <rFont val="Times New Roman"/>
      </rPr>
      <t>металлический трехсекционный типа GUARD с тремя ячейками, размеры 850х500х1830 мм, индивидуальный электронный замок, браслет</t>
    </r>
  </si>
  <si>
    <t>Шкаф
металлический трехсекционный типа GUARD с тремя ячейками, размеры 850х500х1830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</si>
  <si>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</si>
  <si>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522-101-1269-0008 - Шкаф
</t>
    </r>
    <r>
      <rPr>
        <sz val="10"/>
        <color rgb="FF000000"/>
        <rFont val="Times New Roman"/>
      </rPr>
      <t>металлический трехсекционный типа GUARD с тремя ячейками, размеры 850х500х1500 мм, индивидуальный электронный замок, браслет</t>
    </r>
  </si>
  <si>
    <t>Шкаф
металлический трехсекционный типа GUARD с тремя ячейками, размеры 850х500х1500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</si>
  <si>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</si>
  <si>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522-101-1269-0009 - Шкаф
</t>
    </r>
    <r>
      <rPr>
        <sz val="10"/>
        <color rgb="FF000000"/>
        <rFont val="Times New Roman"/>
      </rPr>
      <t>металлический трехсекционный типа GUARD с тремя ячейками, размеры 900х500х1830 мм, индивидуальный электронный замок, браслет</t>
    </r>
  </si>
  <si>
    <t>Шкаф
металлический трехсекционный типа GUARD с тремя ячейками, размеры 900х500х1830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</si>
  <si>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</si>
  <si>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522-101-1269-0010 - Шкаф
</t>
    </r>
    <r>
      <rPr>
        <sz val="10"/>
        <color rgb="FF000000"/>
        <rFont val="Times New Roman"/>
      </rPr>
      <t>металлический трехсекционный типа GUARD с шестью ячейками, размеры 850х500х1830 мм, индивидуальный замок "Практик"</t>
    </r>
  </si>
  <si>
    <t>Шкаф
металлический трехсекционный типа GUARD с шестью ячейками, размеры 850х500х1830 мм, индивидуальный замок "Практик"</t>
  </si>
  <si>
    <r>
      <rPr>
        <sz val="10"/>
        <color rgb="FF000000"/>
        <rFont val="Times New Roman"/>
      </rPr>
      <t xml:space="preserve">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</si>
  <si>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522-101-1269-0011 - Шкаф
</t>
    </r>
    <r>
      <rPr>
        <sz val="10"/>
        <color rgb="FF000000"/>
        <rFont val="Times New Roman"/>
      </rPr>
      <t>металлический трехсекционный типа GUARD с шестью ячейками, размеры 850х500х1830 мм, индивидуальный замок "Вертушка"</t>
    </r>
  </si>
  <si>
    <t>Шкаф
металлический трехсекционный типа GUARD с шестью ячейками, размеры 850х500х1830 мм, индивидуальный замок "Вертушка"</t>
  </si>
  <si>
    <r>
      <rPr>
        <sz val="10"/>
        <color rgb="FF000000"/>
        <rFont val="Times New Roman"/>
      </rPr>
      <t xml:space="preserve">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</si>
  <si>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522-101-1269-0012 - Шкаф
</t>
    </r>
    <r>
      <rPr>
        <sz val="10"/>
        <color rgb="FF000000"/>
        <rFont val="Times New Roman"/>
      </rPr>
      <t>металлический трехсекционный типа GUARD с девятью ячейками, размеры 850х500х1830 мм, индивидуальный замок "Вертушка"</t>
    </r>
  </si>
  <si>
    <t>Шкаф
металлический трехсекционный типа GUARD с девятью ячейками, размеры 850х500х1830 мм, индивидуальный замок "Вертушка"</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</si>
  <si>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t>
    </r>
  </si>
  <si>
    <r>
      <rPr>
        <sz val="10"/>
        <color rgb="FF000000"/>
        <rFont val="Times New Roman"/>
      </rPr>
      <t xml:space="preserve">522-101-1269-0013 - Шкаф
</t>
    </r>
    <r>
      <rPr>
        <sz val="10"/>
        <color rgb="FF000000"/>
        <rFont val="Times New Roman"/>
      </rPr>
      <t>металлический трехсекционный типа GUARD с девятью ячейками, размеры 850х500х1830 мм, индивидуальный замок "Практик"</t>
    </r>
  </si>
  <si>
    <t>Шкаф
металлический трехсекционный типа GUARD с девятью ячейками, размеры 850х500х1830 мм, индивидуальный замок "Практик"</t>
  </si>
  <si>
    <r>
      <rPr>
        <sz val="10"/>
        <color rgb="FF000000"/>
        <rFont val="Times New Roman"/>
      </rPr>
      <t xml:space="preserve">В каждой ячейке:  1 штанга, 2 крючка на штанге, 1 крючок на двери.
</t>
    </r>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</si>
  <si>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522-101-1269-0014 - Шкаф
</t>
    </r>
    <r>
      <rPr>
        <sz val="10"/>
        <color rgb="FF000000"/>
        <rFont val="Times New Roman"/>
      </rPr>
      <t>металлический трехсекционный типа GUARD с двенадцатью ячейками, размеры 850х500х1830 мм, индивидуальный замок "Вертушка"</t>
    </r>
  </si>
  <si>
    <t>Шкаф
металлический трехсекционный типа GUARD с двенадцатью ячейками, размеры 850х500х1830 мм, индивидуальный замок "Вертушка"</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</si>
  <si>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</si>
  <si>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522-101-1269-0015 - Шкаф
</t>
    </r>
    <r>
      <rPr>
        <sz val="10"/>
        <color rgb="FF000000"/>
        <rFont val="Times New Roman"/>
      </rPr>
      <t>металлический трехсекционный типа GUARD с двенадцатью ячейками, размеры 850х500х1830 мм, индивидуальный замок "Практик"</t>
    </r>
  </si>
  <si>
    <t>Шкаф
металлический трехсекционный типа GUARD с двенадцатью ячейками, размеры 850х500х1830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</si>
  <si>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</si>
  <si>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522-101-1270-0001 - Шкаф
</t>
    </r>
    <r>
      <rPr>
        <sz val="10"/>
        <color rgb="FF000000"/>
        <rFont val="Times New Roman"/>
      </rPr>
      <t>металлический четырехсекционный типа GUARD с четырьмя ячейками, размеры 1150х500х1830 мм, индивидуальный замок "Вертушка"</t>
    </r>
  </si>
  <si>
    <t>Шкаф
металлический четырехсекционный типа GUARD с четырьмя ячейками, размеры 1150х500х1830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</si>
  <si>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</si>
  <si>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522-101-1270-0002 - Шкаф
</t>
    </r>
    <r>
      <rPr>
        <sz val="10"/>
        <color rgb="FF000000"/>
        <rFont val="Times New Roman"/>
      </rPr>
      <t>металлический четырехсекционный типа GUARD с четырьмя ячейками, размеры 1150х500х1500 мм, индивидуальный замок "Вертушка"</t>
    </r>
  </si>
  <si>
    <t>Шкаф
металлический четырехсекционный типа GUARD с четырьмя ячейками, размеры 1150х500х1500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</si>
  <si>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</si>
  <si>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522-101-1270-0003 - Шкаф
</t>
    </r>
    <r>
      <rPr>
        <sz val="10"/>
        <color rgb="FF000000"/>
        <rFont val="Times New Roman"/>
      </rPr>
      <t>металлический четырехсекционный типа GUARD с четырьмя ячейками, размеры 1150х500х1700 мм, индивидуальный замок "Вертушка"</t>
    </r>
  </si>
  <si>
    <t>Шкаф
металлический четырехсекционный типа GUARD с четырьмя ячейками, размеры 1150х500х1700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</si>
  <si>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</si>
  <si>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522-101-1270-0004 - Шкаф
</t>
    </r>
    <r>
      <rPr>
        <sz val="10"/>
        <color rgb="FF000000"/>
        <rFont val="Times New Roman"/>
      </rPr>
      <t>металлический четырехсекционный типа GUARD с четырьмя ячейками, размеры 1250х500х1230 мм, индивидуальный замок "Вертушка"</t>
    </r>
  </si>
  <si>
    <t>Шкаф
металлический четырехсекционный типа GUARD с четырьмя ячейками, размеры 1250х500х1230 мм, индивидуальный замок "Вертушка"</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</si>
  <si>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</si>
  <si>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522-101-1270-0005 - Шкаф
</t>
    </r>
    <r>
      <rPr>
        <sz val="10"/>
        <color rgb="FF000000"/>
        <rFont val="Times New Roman"/>
      </rPr>
      <t>металлический четырехсекционный типа GUARD с четырьмя ячейками, размеры 1150х500х1830 мм, индивидуальный замок "Практик"</t>
    </r>
  </si>
  <si>
    <t>Шкаф
металлический четырехсекционный типа GUARD с четырьмя ячейками, размеры 1150х500х1830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</si>
  <si>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</si>
  <si>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522-101-1270-0006 - Шкаф
</t>
    </r>
    <r>
      <rPr>
        <sz val="10"/>
        <color rgb="FF000000"/>
        <rFont val="Times New Roman"/>
      </rPr>
      <t>металлический четырехсекционный типа GUARD с четырьмя ячейками, размеры 1150х500х1500 мм, индивидуальный замок "Практик"</t>
    </r>
  </si>
  <si>
    <t>Шкаф
металлический четырехсекционный типа GUARD с четырьмя ячейками, размеры 1150х500х1500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</si>
  <si>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</si>
  <si>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522-101-1270-0007 - Шкаф
</t>
    </r>
    <r>
      <rPr>
        <sz val="10"/>
        <color rgb="FF000000"/>
        <rFont val="Times New Roman"/>
      </rPr>
      <t>металлический четырехсекционный типа GUARD с четырьмя ячейками, размеры 1150х500х1700 мм, индивидуальный замок "Практик"</t>
    </r>
  </si>
  <si>
    <t>Шкаф
металлический четырехсекционный типа GUARD с четырьмя ячейками, размеры 1150х500х1700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</si>
  <si>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</si>
  <si>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522-101-1270-0008 - Шкаф
</t>
    </r>
    <r>
      <rPr>
        <sz val="10"/>
        <color rgb="FF000000"/>
        <rFont val="Times New Roman"/>
      </rPr>
      <t>металлический четырехсекционный типа GUARD с четырьмя ячейками, размеры 1250х500х1230 мм, индивидуальный замок "Практик"</t>
    </r>
  </si>
  <si>
    <t>Шкаф
металлический четырехсекционный типа GUARD с четырьмя ячейками, размеры 1250х500х1230 мм, индивидуальный замок "Практик"</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</si>
  <si>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t>
    </r>
    <r>
      <rPr>
        <sz val="10"/>
        <color rgb="FF000000"/>
        <rFont val="Times New Roman"/>
      </rPr>
      <t xml:space="preserve">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t>
    </r>
    <r>
      <rPr>
        <sz val="10"/>
        <color rgb="FF000000"/>
        <rFont val="Times New Roman"/>
      </rPr>
      <t xml:space="preserve">Скрепление конструкции за счет зацепов и крепежа. Имеется возможность
</t>
    </r>
    <r>
      <rPr>
        <sz val="10"/>
        <color rgb="FF000000"/>
        <rFont val="Times New Roman"/>
      </rPr>
      <t>наращивания секций.</t>
    </r>
  </si>
  <si>
    <r>
      <rPr>
        <sz val="10"/>
        <color rgb="FF000000"/>
        <rFont val="Times New Roman"/>
      </rPr>
      <t xml:space="preserve">522-101-1270-0009 - Шкаф
</t>
    </r>
    <r>
      <rPr>
        <sz val="10"/>
        <color rgb="FF000000"/>
        <rFont val="Times New Roman"/>
      </rPr>
      <t>металлический четырехсекционный типа GUARD с четырьмя ячейками, размеры 1150х500х1830 мм, индивидуальный электронный замок, браслет</t>
    </r>
  </si>
  <si>
    <t>Шкаф
металлический четырехсекционный типа GUARD с четырьмя ячейками, размеры 1150х500х1830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</si>
  <si>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</si>
  <si>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522-101-1270-0010 - Шкаф
</t>
    </r>
    <r>
      <rPr>
        <sz val="10"/>
        <color rgb="FF000000"/>
        <rFont val="Times New Roman"/>
      </rPr>
      <t>металлический четырехсекционный типа GUARD с четырьмя ячейками, размеры 1150х500х1500 мм, индивидуальный электронный замок, браслет</t>
    </r>
  </si>
  <si>
    <t>Шкаф
металлический четырехсекционный типа GUARD с четырьмя ячейками, размеры 1150х500х1500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</si>
  <si>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</si>
  <si>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522-101-1270-0011 - Шкаф
</t>
    </r>
    <r>
      <rPr>
        <sz val="10"/>
        <color rgb="FF000000"/>
        <rFont val="Times New Roman"/>
      </rPr>
      <t>металлический четырехсекционный типа GUARD с четырьмя ячейками, размеры 1150х500х1700 мм, индивидуальный электронный замок, браслет</t>
    </r>
  </si>
  <si>
    <t>Шкаф
металлический четырехсекционный типа GUARD с четырьмя ячейками, размеры 1150х500х1700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</si>
  <si>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t>
    </r>
    <r>
      <rPr>
        <sz val="10"/>
        <color rgb="FF000000"/>
        <rFont val="Times New Roman"/>
      </rPr>
      <t>секций.</t>
    </r>
  </si>
  <si>
    <r>
      <rPr>
        <sz val="10"/>
        <color rgb="FF000000"/>
        <rFont val="Times New Roman"/>
      </rPr>
      <t xml:space="preserve">522-101-1270-0012 - Шкаф
</t>
    </r>
    <r>
      <rPr>
        <sz val="10"/>
        <color rgb="FF000000"/>
        <rFont val="Times New Roman"/>
      </rPr>
      <t>металлический четырехсекционный типа GUARD с четырьмя ячейками, размеры 1250х500х1230 мм, индивидуальный электронный замок, браслет</t>
    </r>
  </si>
  <si>
    <t>Шкаф
металлический четырехсекционный типа GUARD с четырьмя ячейками, размеры 1250х500х1230 мм, индивидуальный электронный замок, браслет</t>
  </si>
  <si>
    <r>
      <rPr>
        <sz val="10"/>
        <color rgb="FF000000"/>
        <rFont val="Times New Roman"/>
      </rPr>
      <t xml:space="preserve">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t>
    </r>
    <r>
      <rPr>
        <sz val="10"/>
        <color rgb="FF000000"/>
        <rFont val="Times New Roman"/>
      </rPr>
      <t xml:space="preserve">Порошково-полимерное покрытие, устойчивое к ультрафиолетовому излучению, средствам дезинфекционной обработки.  Скрепление
</t>
    </r>
    <r>
      <rPr>
        <sz val="10"/>
        <color rgb="FF000000"/>
        <rFont val="Times New Roman"/>
      </rPr>
      <t>конструкции за счет зацепов и крепежа. Имеется возможность наращивания секций.</t>
    </r>
  </si>
  <si>
    <r>
      <rPr>
        <sz val="10"/>
        <color rgb="FF000000"/>
        <rFont val="Times New Roman"/>
      </rPr>
      <t xml:space="preserve">522-101-1271-0001 - Шкаф
</t>
    </r>
    <r>
      <rPr>
        <sz val="10"/>
        <color rgb="FF000000"/>
        <rFont val="Times New Roman"/>
      </rPr>
      <t>металлический пятисекционный типа GUARD с двадцатью пятью ячейками, размеры 1250х350х1280 мм, индивидуальный замок "Практик"</t>
    </r>
  </si>
  <si>
    <t>Шкаф
металлический пятисекционный типа GUARD с двадцатью пятью ячейками, размеры 1250х350х1280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</si>
  <si>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</si>
  <si>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522-101-1271-0002 - Шкаф
</t>
    </r>
    <r>
      <rPr>
        <sz val="10"/>
        <color rgb="FF000000"/>
        <rFont val="Times New Roman"/>
      </rPr>
      <t>металлический пятисекционный типа GUARD с тридцатью ячейками, размеры 1780х400х2280 мм, индивидуальный замок "Практик"</t>
    </r>
  </si>
  <si>
    <t>Шкаф
металлический пятисекционный типа GUARD с тридцатью ячейками, размеры 1780х400х2280 мм, индивидуальный замок "Практик"</t>
  </si>
  <si>
    <r>
      <rPr>
        <sz val="10"/>
        <color rgb="FF000000"/>
        <rFont val="Times New Roman"/>
      </rPr>
      <t xml:space="preserve">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t>
    </r>
    <r>
      <rPr>
        <sz val="10"/>
        <color rgb="FF000000"/>
        <rFont val="Times New Roman"/>
      </rPr>
      <t>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r>
  </si>
  <si>
    <r>
      <rPr>
        <sz val="10"/>
        <color rgb="FF000000"/>
        <rFont val="Times New Roman"/>
      </rPr>
      <t xml:space="preserve">522-101-1271-0003 - Шкаф
</t>
    </r>
    <r>
      <rPr>
        <sz val="10"/>
        <color rgb="FF000000"/>
        <rFont val="Times New Roman"/>
      </rPr>
      <t>металлический пятисекционный типа GUARD с тридцатью открытыми ячейками, размеры 1780х400х2280 мм</t>
    </r>
  </si>
  <si>
    <t>Шкаф
металлический пятисекционный типа GUARD с тридцатью открытыми ячейками, размеры 1780х400х2280 мм</t>
  </si>
  <si>
    <r>
      <rPr>
        <sz val="10"/>
        <color theme="1"/>
        <rFont val="Times New Roman"/>
      </rPr>
      <t>Конструкция модульная, сборно-разборная из  листовой стали, не менее 0,5 мм. Окрашен.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r>
  </si>
  <si>
    <r>
      <rPr>
        <sz val="10"/>
        <color theme="1"/>
        <rFont val="Times New Roman"/>
      </rPr>
      <t>522-101-1304 - Утюг</t>
    </r>
  </si>
  <si>
    <r>
      <rPr>
        <sz val="10"/>
        <color theme="1"/>
        <rFont val="Times New Roman"/>
      </rPr>
      <t>Утюг: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t>
    </r>
  </si>
  <si>
    <r>
      <rPr>
        <sz val="10"/>
        <color theme="1"/>
        <rFont val="Times New Roman"/>
      </rPr>
      <t>522-101-1306 - Дозатор жидкого мыла</t>
    </r>
  </si>
  <si>
    <r>
      <rPr>
        <sz val="10"/>
        <color theme="1"/>
        <rFont val="Times New Roman"/>
      </rPr>
      <t>Пластиковый с глазком, объем не менее 1000 мл, размеры длина 115мм, глубина 110мм, высота 245мм</t>
    </r>
  </si>
  <si>
    <r>
      <rPr>
        <sz val="10"/>
        <color rgb="FF000000"/>
        <rFont val="Times New Roman"/>
      </rPr>
      <t xml:space="preserve">522-102-0101-0001 - Стол
</t>
    </r>
    <r>
      <rPr>
        <sz val="10"/>
        <color rgb="FF000000"/>
        <rFont val="Times New Roman"/>
      </rPr>
      <t>обеденный на 8 мест, с сиденьями (складной механизм) 2550х1530х760 мм.</t>
    </r>
  </si>
  <si>
    <t>Стол
обеденный на 8 мест, с сиденьями (складной механизм) 2550х1530х760 мм.</t>
  </si>
  <si>
    <r>
      <rPr>
        <sz val="10"/>
        <color theme="1"/>
        <rFont val="Times New Roman"/>
      </rPr>
      <t>Стол обеденный на 8 мест, с сиденьями (складной механизм) 2550х1530х760 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r>
  </si>
  <si>
    <r>
      <rPr>
        <sz val="10"/>
        <color rgb="FF000000"/>
        <rFont val="Times New Roman"/>
      </rPr>
      <t xml:space="preserve">522-102-0101-0002 - Стол
</t>
    </r>
    <r>
      <rPr>
        <sz val="10"/>
        <color rgb="FF000000"/>
        <rFont val="Times New Roman"/>
      </rPr>
      <t>обеденный с 4-мя стульями, размер не менее 1500х600х700мм</t>
    </r>
  </si>
  <si>
    <t>Стол
обеденный с 4-мя стульями, размер не менее 1500х600х700мм</t>
  </si>
  <si>
    <r>
      <rPr>
        <sz val="10"/>
        <color rgb="FF000000"/>
        <rFont val="Times New Roman"/>
      </rPr>
      <t xml:space="preserve">Стол обеденный с 4-мя стульями, размер не менее 1500х600х700мм.
</t>
    </r>
    <r>
      <rPr>
        <sz val="10"/>
        <color rgb="FF000000"/>
        <rFont val="Times New Roman"/>
      </rPr>
      <t>Основание металлокаркас.</t>
    </r>
  </si>
  <si>
    <r>
      <rPr>
        <sz val="10"/>
        <color rgb="FF000000"/>
        <rFont val="Times New Roman"/>
      </rPr>
      <t xml:space="preserve">522-102-0101-0003 - Стол
</t>
    </r>
    <r>
      <rPr>
        <sz val="10"/>
        <color rgb="FF000000"/>
        <rFont val="Times New Roman"/>
      </rPr>
      <t>обеденный на 6 мест, с сиденьями. Размер не менее 1530х1530х760мм</t>
    </r>
  </si>
  <si>
    <t>Стол
обеденный на 6 мест, с сиденьями. Размер не менее 1530х1530х760мм</t>
  </si>
  <si>
    <r>
      <rPr>
        <sz val="10"/>
        <color theme="1"/>
        <rFont val="Times New Roman"/>
      </rPr>
      <t>Стол обеденный на 6 мест, с сиденьями. Размер не менее 1530х1530х760мм.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r>
  </si>
  <si>
    <r>
      <rPr>
        <sz val="10"/>
        <color rgb="FF000000"/>
        <rFont val="Times New Roman"/>
      </rPr>
      <t xml:space="preserve">522-102-0101-0004 - Стул
</t>
    </r>
    <r>
      <rPr>
        <sz val="10"/>
        <color rgb="FF000000"/>
        <rFont val="Times New Roman"/>
      </rPr>
      <t>обеденный штабелируемый, сиденье выполнено из полипропилена</t>
    </r>
  </si>
  <si>
    <t>Стул
обеденный штабелируемый, сиденье выполнено из полипропилена</t>
  </si>
  <si>
    <r>
      <rPr>
        <sz val="10"/>
        <color theme="1"/>
        <rFont val="Times New Roman"/>
      </rPr>
      <t>Стул штабелируемый высота - 850мм, ширина - 450мм, глубина - 570мм. Сиденье выполнено из полипропилена со специальными армирующими добавками, которые обеспечивают дополнительную прочность и долговечность, поверхность - под кожу с прострочкой, цвета на выбор</t>
    </r>
  </si>
  <si>
    <r>
      <rPr>
        <sz val="10"/>
        <color rgb="FF000000"/>
        <rFont val="Times New Roman"/>
      </rPr>
      <t xml:space="preserve">522-102-0101-0005 - Стол
</t>
    </r>
    <r>
      <rPr>
        <sz val="10"/>
        <color rgb="FF000000"/>
        <rFont val="Times New Roman"/>
      </rPr>
      <t>обеденный на 12 мест, с сиденьями (складной механизм). Размер не менее 3050х1530х760мм</t>
    </r>
  </si>
  <si>
    <t>Стол
обеденный на 12 мест, с сиденьями (складной механизм). Размер не менее 3050х1530х760мм</t>
  </si>
  <si>
    <r>
      <rPr>
        <sz val="10"/>
        <color theme="1"/>
        <rFont val="Times New Roman"/>
      </rPr>
      <t>Стол обеденный на 12 мест, с сиденьями (складной механизм). Размер не менее 3050х1530х760мм.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r>
  </si>
  <si>
    <r>
      <rPr>
        <sz val="10"/>
        <color rgb="FF000000"/>
        <rFont val="Times New Roman"/>
      </rPr>
      <t xml:space="preserve">522-102-0101-0006 - Стол 8-и
</t>
    </r>
    <r>
      <rPr>
        <sz val="10"/>
        <color rgb="FF000000"/>
        <rFont val="Times New Roman"/>
      </rPr>
      <t>местный 2400х750х750мм со стульями в комплекте</t>
    </r>
  </si>
  <si>
    <t>Стол 8-и
местный 2400х750х750мм со стульями в комплекте</t>
  </si>
  <si>
    <r>
      <rPr>
        <sz val="10"/>
        <color rgb="FF000000"/>
        <rFont val="Times New Roman"/>
      </rPr>
      <t xml:space="preserve">Стол состоит из двух частей, размер каждой части 1200х750х750 мм (общий размер 2400х750х750 мм) + 8 стульев. Столешница изготавливается из химически и температурно стойкого материала - Постформинг, толщиной 32 мм.Основание - металлокаркас, изготовлен из профильных труб 50*50 мм. Толщина стенки профильной трубы 1,5 мм, покраска полимерно-порошковая белого цвета.
</t>
    </r>
    <r>
      <rPr>
        <sz val="10"/>
        <color rgb="FF000000"/>
        <rFont val="Times New Roman"/>
      </rPr>
      <t>Стул со спинкой. Каркас металлический, сиденье и мягкая вставка спинки обиты искуственной кожей. Сиденье круглое.</t>
    </r>
  </si>
  <si>
    <r>
      <rPr>
        <sz val="10"/>
        <color rgb="FF000000"/>
        <rFont val="Times New Roman"/>
      </rPr>
      <t xml:space="preserve">522-102-0101-0007 - Стол 6-и
</t>
    </r>
    <r>
      <rPr>
        <sz val="10"/>
        <color rgb="FF000000"/>
        <rFont val="Times New Roman"/>
      </rPr>
      <t>местный 1800х750х750мм со стульями в комплекте</t>
    </r>
  </si>
  <si>
    <t>Стол 6-и
местный 1800х750х750мм со стульями в комплекте</t>
  </si>
  <si>
    <r>
      <rPr>
        <sz val="10"/>
        <color rgb="FF000000"/>
        <rFont val="Times New Roman"/>
      </rPr>
      <t xml:space="preserve">Размер стола 1800х750х750 мм + 6 стульев. Столешница изготавливается из химически и температурно стойкого материала - Постформинг, толщиной 32 мм. Основание - металлокаркас, изготовлен из профильных труб 50*50 мм. Толщина стенки профильной трубы 1,5 мм, покраска
</t>
    </r>
    <r>
      <rPr>
        <sz val="10"/>
        <color rgb="FF000000"/>
        <rFont val="Times New Roman"/>
      </rPr>
      <t xml:space="preserve">полимерно-порошковая белого цвета.
</t>
    </r>
    <r>
      <rPr>
        <sz val="10"/>
        <color rgb="FF000000"/>
        <rFont val="Times New Roman"/>
      </rPr>
      <t>Стул со спинкой. Каркас металлический, сиденье и мягкая вставка спинки обиты искуственной кожей. Сиденье круглое.</t>
    </r>
  </si>
  <si>
    <r>
      <rPr>
        <sz val="10"/>
        <color rgb="FF000000"/>
        <rFont val="Times New Roman"/>
      </rPr>
      <t xml:space="preserve">522-102-0101-0008 - Стол
</t>
    </r>
    <r>
      <rPr>
        <sz val="10"/>
        <color rgb="FF000000"/>
        <rFont val="Times New Roman"/>
      </rPr>
      <t>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r>
  </si>
  <si>
    <t>Стол
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</si>
  <si>
    <r>
      <rPr>
        <sz val="10"/>
        <color rgb="FF000000"/>
        <rFont val="Times New Roman"/>
      </rPr>
      <t xml:space="preserve">Цвета ножек по согласованию. Материал и метод изготовления  ножек - 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7 мм. По кайме стола загиб, высота загиба 27 мм.
</t>
    </r>
    <r>
      <rPr>
        <sz val="10"/>
        <color rgb="FF000000"/>
        <rFont val="Times New Roman"/>
      </rPr>
      <t>Цвета пленки столешницы по согласованию</t>
    </r>
  </si>
  <si>
    <r>
      <rPr>
        <sz val="10"/>
        <color rgb="FF000000"/>
        <rFont val="Times New Roman"/>
      </rPr>
      <t xml:space="preserve">522-102-0101-0009 - Стол
</t>
    </r>
    <r>
      <rPr>
        <sz val="10"/>
        <color rgb="FF000000"/>
        <rFont val="Times New Roman"/>
      </rPr>
      <t>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r>
  </si>
  <si>
    <t>Стол
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</si>
  <si>
    <r>
      <rPr>
        <sz val="10"/>
        <color rgb="FF000000"/>
        <rFont val="Times New Roman"/>
      </rPr>
      <t xml:space="preserve">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2,5 мм. По кайме стола загиб, высота загиба 27 мм.
</t>
    </r>
    <r>
      <rPr>
        <sz val="10"/>
        <color rgb="FF000000"/>
        <rFont val="Times New Roman"/>
      </rPr>
      <t>Цвета пленки столешницы по согласованию</t>
    </r>
  </si>
  <si>
    <r>
      <rPr>
        <sz val="10"/>
        <color rgb="FF000000"/>
        <rFont val="Times New Roman"/>
      </rPr>
      <t xml:space="preserve">522-102-0101-0010 - Стол
</t>
    </r>
    <r>
      <rPr>
        <sz val="10"/>
        <color rgb="FF000000"/>
        <rFont val="Times New Roman"/>
      </rPr>
      <t>обеденный на 4 места, размер 1200х800х750мм. Столешница из высокопрочного HPL пластика, толщиной 11,5мм</t>
    </r>
  </si>
  <si>
    <t>Стол
обеденный на 4 места, размер 1200х800х750мм. Столешница из высокопрочного HPL пластика, толщиной 11,5мм</t>
  </si>
  <si>
    <r>
      <rPr>
        <sz val="10"/>
        <color theme="1"/>
        <rFont val="Times New Roman"/>
      </rPr>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высокопрочный HPL -пластик. Толщина столешницы: 11,5 мм. Цвета  столешницы по согласованию</t>
    </r>
  </si>
  <si>
    <r>
      <rPr>
        <sz val="10"/>
        <color rgb="FF000000"/>
        <rFont val="Times New Roman"/>
      </rPr>
      <t xml:space="preserve">522-102-0101-0011 - Стол
</t>
    </r>
    <r>
      <rPr>
        <sz val="10"/>
        <color rgb="FF000000"/>
        <rFont val="Times New Roman"/>
      </rPr>
      <t>обеденный 1500х600х700мм. Столешница из ДСП 16 мм, облицована пластиковым покрытием, металлический каркас</t>
    </r>
  </si>
  <si>
    <t>Стол
обеденный 1500х600х700мм. Столешница из ДСП 16 мм, облицована пластиковым покрытием, металлический каркас</t>
  </si>
  <si>
    <r>
      <rPr>
        <sz val="10"/>
        <color theme="1"/>
        <rFont val="Times New Roman"/>
      </rPr>
      <t>Стол обеденный 1500х600х700мм. Стол изготавливается на металлическом каркасе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16 мм, облицована пластиковым покрытием, торцы обрамлены кромкой ПВХ 2 мм.</t>
    </r>
  </si>
  <si>
    <r>
      <rPr>
        <sz val="10"/>
        <color rgb="FF000000"/>
        <rFont val="Times New Roman"/>
      </rPr>
      <t xml:space="preserve">522-102-0101-0012 - Стол
</t>
    </r>
    <r>
      <rPr>
        <sz val="10"/>
        <color rgb="FF000000"/>
        <rFont val="Times New Roman"/>
      </rPr>
      <t>обеденный на 4 места, размер 1200х800х800мм. Столешница из ДСП 18мм, облицованная пластиком, металлический каркас</t>
    </r>
  </si>
  <si>
    <t>Стол
обеденный на 4 места, размер 1200х800х800мм. Столешница из ДСП 18мм, облицованная пластиком, металлический каркас</t>
  </si>
  <si>
    <r>
      <rPr>
        <sz val="10"/>
        <color rgb="FF000000"/>
        <rFont val="Times New Roman"/>
      </rPr>
      <t xml:space="preserve">Металлический каркас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18 мм, облицована пластиковым покрытием, торцы обрамлены кантом ПВХ 2 мм.
</t>
    </r>
    <r>
      <rPr>
        <sz val="10"/>
        <color rgb="FF000000"/>
        <rFont val="Times New Roman"/>
      </rPr>
      <t>Под столешницей предусмотрены металлические кронштейны для подвешивания табуретов.</t>
    </r>
  </si>
  <si>
    <r>
      <rPr>
        <sz val="10"/>
        <color rgb="FF000000"/>
        <rFont val="Times New Roman"/>
      </rPr>
      <t xml:space="preserve">522-102-0101-0013 - Скамья
</t>
    </r>
    <r>
      <rPr>
        <sz val="10"/>
        <color rgb="FF000000"/>
        <rFont val="Times New Roman"/>
      </rPr>
      <t>обеденная 3-х местная 1500х250х400 мм. Каркас металлический, сиденье ЛДСП 16 мм</t>
    </r>
  </si>
  <si>
    <t>Скамья
обеденная 3-х местная 1500х250х400 мм. Каркас металлический, сиденье ЛДСП 16 мм</t>
  </si>
  <si>
    <r>
      <rPr>
        <sz val="10"/>
        <color theme="1"/>
        <rFont val="Times New Roman"/>
      </rPr>
      <t>Скамья обеденная 3-х местная 1500х250х400 мм. Каркас металлический, сиденье ЛДСП 16 мм, кромка ПВХ</t>
    </r>
  </si>
  <si>
    <r>
      <rPr>
        <sz val="10"/>
        <color rgb="FF000000"/>
        <rFont val="Times New Roman"/>
      </rPr>
      <t xml:space="preserve">522-102-0101-0014 - Стол
</t>
    </r>
    <r>
      <rPr>
        <sz val="10"/>
        <color rgb="FF000000"/>
        <rFont val="Times New Roman"/>
      </rPr>
      <t>обеденный 800х800х750мм, прямой каркас металлический цветной, столешница из ЛДСП 16мм</t>
    </r>
  </si>
  <si>
    <t>Стол
обеденный 800х800х750мм, прямой каркас металлический цветной, столешница из ЛДСП 16мм</t>
  </si>
  <si>
    <r>
      <rPr>
        <sz val="10"/>
        <color theme="1"/>
        <rFont val="Times New Roman"/>
      </rPr>
      <t>Стол обеденный 800х800х750мм, прямой каркас металлический цветной, столешница из ЛДСП 16мм</t>
    </r>
  </si>
  <si>
    <r>
      <rPr>
        <sz val="10"/>
        <color rgb="FF000000"/>
        <rFont val="Times New Roman"/>
      </rPr>
      <t xml:space="preserve">522-102-0101-0015 - Стол
</t>
    </r>
    <r>
      <rPr>
        <sz val="10"/>
        <color rgb="FF000000"/>
        <rFont val="Times New Roman"/>
      </rPr>
      <t xml:space="preserve">обеденный 800х800х770мм,
</t>
    </r>
    <r>
      <rPr>
        <sz val="10"/>
        <color rgb="FF000000"/>
        <rFont val="Times New Roman"/>
      </rPr>
      <t>L-образный каркас металлический цветной, столешница из ЛДСП 16мм</t>
    </r>
  </si>
  <si>
    <t>Стол
обеденный 800х800х770мм,
L-образный каркас металлический цветной, столешница из ЛДСП 16мм</t>
  </si>
  <si>
    <r>
      <rPr>
        <sz val="10"/>
        <color theme="1"/>
        <rFont val="Times New Roman"/>
      </rPr>
      <t>Стол обеденный 800х800х770мм, L-образный каркас металлический цветной, столешница из ЛДСП 16мм</t>
    </r>
  </si>
  <si>
    <r>
      <rPr>
        <sz val="10"/>
        <color rgb="FF000000"/>
        <rFont val="Times New Roman"/>
      </rPr>
      <t xml:space="preserve">522-102-0101-0016 - Стол
</t>
    </r>
    <r>
      <rPr>
        <sz val="10"/>
        <color rgb="FF000000"/>
        <rFont val="Times New Roman"/>
      </rPr>
      <t>обеденный 1200х800х770мм, каркас металлический цветной, столешница из ЛДСП 16мм</t>
    </r>
  </si>
  <si>
    <t>Стол
обеденный 1200х800х770мм, каркас металлический цветной, столешница из ЛДСП 16мм</t>
  </si>
  <si>
    <r>
      <rPr>
        <sz val="10"/>
        <color theme="1"/>
        <rFont val="Times New Roman"/>
      </rPr>
      <t>Стол обеденный 1200х800х770мм, каркас металлический цветной, столешница из ЛДСП 16мм</t>
    </r>
  </si>
  <si>
    <r>
      <rPr>
        <sz val="10"/>
        <color rgb="FF000000"/>
        <rFont val="Times New Roman"/>
      </rPr>
      <t xml:space="preserve">522-102-0101-0017 - Стол
</t>
    </r>
    <r>
      <rPr>
        <sz val="10"/>
        <color rgb="FF000000"/>
        <rFont val="Times New Roman"/>
      </rPr>
      <t>обеденный на 12 мест, с сиденьями (складной механизм) 3050х1530х760мм. Столешница из ламинированного МДФ 18мм, сиденье из полипропилена, металлокаркас</t>
    </r>
  </si>
  <si>
    <t>Стол
обеденный на 12 мест, с сиденьями (складной механизм) 3050х1530х760мм. Столешница из ламинированного МДФ 18мм, сиденье из полипропилена, металлокаркас</t>
  </si>
  <si>
    <r>
      <rPr>
        <sz val="10"/>
        <color theme="1"/>
        <rFont val="Times New Roman"/>
      </rPr>
      <t>Стол обеденный мобильный на 12 мест, с сиденьями. Столешница лиминированая плита МДФ 18 мм. Кромка ПВХ с использованием высокотемпературного клея.  (складной механизм). Металлические детали складного обеденного стола изготовлены из круглых труб 25х1,5 мм и 22х1,5 мм, а листовые части вырезаны 2 мм чисто и гладко на лазерном станке с ЧПУ. Для удобного и легкого складывания стола, когда он не используется, используется газовый амортизатор. Изделия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Габариты 3050х1530х760 мм</t>
    </r>
  </si>
  <si>
    <r>
      <rPr>
        <sz val="10"/>
        <color rgb="FF000000"/>
        <rFont val="Times New Roman"/>
      </rPr>
      <t xml:space="preserve">522-102-0101-0018 - Стол
</t>
    </r>
    <r>
      <rPr>
        <sz val="10"/>
        <color rgb="FF000000"/>
        <rFont val="Times New Roman"/>
      </rPr>
      <t xml:space="preserve">обеденный на 6 мест, с сиденьями.
</t>
    </r>
    <r>
      <rPr>
        <sz val="10"/>
        <color rgb="FF000000"/>
        <rFont val="Times New Roman"/>
      </rPr>
      <t xml:space="preserve">Размер 1530х1530х760 мм.
</t>
    </r>
    <r>
      <rPr>
        <sz val="10"/>
        <color rgb="FF000000"/>
        <rFont val="Times New Roman"/>
      </rPr>
      <t>Столешница из ламинированного МДФ 18мм, сиденье из полипропилена, металлокаркас</t>
    </r>
  </si>
  <si>
    <t>Стол
обеденный на 6 мест, с сиденьями.
Размер 1530х1530х760 мм.
Столешница из ламинированного МДФ 18мм, сиденье из полипропилена, металлокаркас</t>
  </si>
  <si>
    <r>
      <rPr>
        <sz val="10"/>
        <color theme="1"/>
        <rFont val="Times New Roman"/>
      </rPr>
      <t>Стол обеденный на 6 мест, с сиденьями. Столешница из ламинированной плиты МДФ 18мм. Кромка ПВХ с использованием высокотемпературного клея. Металлические части обеденного стола изготовлены из круглых труб 25x1,5 мм и 22x1,5 мм. Изделия окрашены методом электростатического порошкового напыления. Концы профилей закрыты пластиковыми заглушками для предотвращения повреждения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Размер 1530х1530х760 мм.</t>
    </r>
  </si>
  <si>
    <r>
      <rPr>
        <sz val="10"/>
        <color rgb="FF000000"/>
        <rFont val="Times New Roman"/>
      </rPr>
      <t xml:space="preserve">522-102-0101-0021 - Стол
</t>
    </r>
    <r>
      <rPr>
        <sz val="10"/>
        <color rgb="FF000000"/>
        <rFont val="Times New Roman"/>
      </rPr>
      <t>обеденный, размер 1200х800х740 мм, столешница из HPL 22 мм, 4 опоры из трубы конической формы</t>
    </r>
  </si>
  <si>
    <t>Стол
обеденный, размер 1200х800х740 мм, столешница из HPL 22 мм, 4 опоры из трубы конической формы</t>
  </si>
  <si>
    <r>
      <rPr>
        <sz val="10"/>
        <color rgb="FF000000"/>
        <rFont val="Times New Roman"/>
      </rPr>
      <t xml:space="preserve">Габаритные размеры столешницы 1200 х 800 мм. Высота верхнего края столешницы над уровнем пола 740 мм. Материал столешницы HPL СЛОПЛАСТ ЛАБ толщиной не менее 22 мм. Торцы столешницы имеют округлую форму. Столешница крепится к опорамболтами с футорками.
</t>
    </r>
    <r>
      <rPr>
        <sz val="10"/>
        <color rgb="FF000000"/>
        <rFont val="Times New Roman"/>
      </rPr>
      <t>Стол состоит из 4 опор, которые располагаются под углом к столешнице, изготовленной из трубы конической формы толщиной не менее 1,2 мм и покрытые полимерной краской.</t>
    </r>
  </si>
  <si>
    <r>
      <rPr>
        <sz val="10"/>
        <color rgb="FF000000"/>
        <rFont val="Times New Roman"/>
      </rPr>
      <t xml:space="preserve">522-102-0101-0022 - Стол
</t>
    </r>
    <r>
      <rPr>
        <sz val="10"/>
        <color rgb="FF000000"/>
        <rFont val="Times New Roman"/>
      </rPr>
      <t xml:space="preserve">обеденный на 4 человека.
</t>
    </r>
    <r>
      <rPr>
        <sz val="10"/>
        <color rgb="FF000000"/>
        <rFont val="Times New Roman"/>
      </rPr>
      <t>Столешница ЛДСП покрытая HPL пластиком, толщина 22 мм, каркас металлический труба 60х30 мм, размеры 1200х700х750 мм</t>
    </r>
  </si>
  <si>
    <t>Стол
обеденный на 4 человека.
Столешница ЛДСП покрытая HPL пластиком, толщина 22 мм, каркас металлический труба 60х30 мм, размеры 1200х700х750 мм</t>
  </si>
  <si>
    <r>
      <rPr>
        <sz val="10"/>
        <color theme="1"/>
        <rFont val="Times New Roman"/>
      </rPr>
      <t>Столешница ЛДСП покрытая HPL пластиком, толщина 22мм, цвет белый, металл: труба 60х30 мм, цвет антрацит RAL7016</t>
    </r>
  </si>
  <si>
    <r>
      <rPr>
        <sz val="10"/>
        <color rgb="FF000000"/>
        <rFont val="Times New Roman"/>
      </rPr>
      <t xml:space="preserve">522-102-0101-0023 - Стол
</t>
    </r>
    <r>
      <rPr>
        <sz val="10"/>
        <color rgb="FF000000"/>
        <rFont val="Times New Roman"/>
      </rPr>
      <t xml:space="preserve">обеденный на 6 человек.
</t>
    </r>
    <r>
      <rPr>
        <sz val="10"/>
        <color rgb="FF000000"/>
        <rFont val="Times New Roman"/>
      </rPr>
      <t>Столешница ЛДСП покрытая HPL пластиком, толщина 22 мм, каркас металлический труба 60х30 мм, размеры 1800х700х750 мм</t>
    </r>
  </si>
  <si>
    <t>Стол
обеденный на 6 человек.
Столешница ЛДСП покрытая HPL пластиком, толщина 22 мм, каркас металлический труба 60х30 мм, размеры 1800х700х750 мм</t>
  </si>
  <si>
    <r>
      <rPr>
        <sz val="10"/>
        <color theme="1"/>
        <rFont val="Times New Roman"/>
      </rPr>
      <t>Столешница ЛДСП покрытая HPL пластиком, толщина 22мм, цвет белый, металл: труба 60х30 мм, цвет антрацит  RAL7016</t>
    </r>
  </si>
  <si>
    <r>
      <rPr>
        <sz val="10"/>
        <color rgb="FF000000"/>
        <rFont val="Times New Roman"/>
      </rPr>
      <t xml:space="preserve">522-102-0101-0024 - Стол
</t>
    </r>
    <r>
      <rPr>
        <sz val="10"/>
        <color rgb="FF000000"/>
        <rFont val="Times New Roman"/>
      </rPr>
      <t xml:space="preserve">обеденный на 4 человека.
</t>
    </r>
    <r>
      <rPr>
        <sz val="10"/>
        <color rgb="FF000000"/>
        <rFont val="Times New Roman"/>
      </rPr>
      <t>Столешница ЛДСП покрытая HPL пластиком, толщина 22 мм, каркас металлический труба 60х15 мм, размеры 1200х700х750 мм</t>
    </r>
  </si>
  <si>
    <t>Стол
обеденный на 4 человека.
Столешница ЛДСП покрытая HPL пластиком, толщина 22 мм, каркас металлический труба 60х15 мм, размеры 1200х700х750 мм</t>
  </si>
  <si>
    <r>
      <rPr>
        <sz val="10"/>
        <color theme="1"/>
        <rFont val="Times New Roman"/>
      </rPr>
      <t>Столешница ЛДСП покрытая HPL пластиком, толщина 22мм, металл: труба 60х15 мм, цвет белый  RAL9016</t>
    </r>
  </si>
  <si>
    <r>
      <rPr>
        <sz val="10"/>
        <color rgb="FF000000"/>
        <rFont val="Times New Roman"/>
      </rPr>
      <t xml:space="preserve">522-102-0101-0025 - Стол
</t>
    </r>
    <r>
      <rPr>
        <sz val="10"/>
        <color rgb="FF000000"/>
        <rFont val="Times New Roman"/>
      </rPr>
      <t xml:space="preserve">обеденный на 6 человек.
</t>
    </r>
    <r>
      <rPr>
        <sz val="10"/>
        <color rgb="FF000000"/>
        <rFont val="Times New Roman"/>
      </rPr>
      <t>Столешница ЛДСП покрытая HPL пластиком, толщина 22 мм, каркас металлический труба 60х15 мм, размеры 1800х700х750 мм</t>
    </r>
  </si>
  <si>
    <t>Стол
обеденный на 6 человек.
Столешница ЛДСП покрытая HPL пластиком, толщина 22 мм, каркас металлический труба 60х15 мм, размеры 1800х700х750 мм</t>
  </si>
  <si>
    <r>
      <rPr>
        <sz val="10"/>
        <color theme="1"/>
        <rFont val="Times New Roman"/>
      </rPr>
      <t>Столешница ЛДСП покрытая HPL пластиком, толщина 22мм, металл: труба 60х15 мм, цвет белый  RAL9016</t>
    </r>
  </si>
  <si>
    <r>
      <rPr>
        <sz val="10"/>
        <color rgb="FF000000"/>
        <rFont val="Times New Roman"/>
      </rPr>
      <t xml:space="preserve">522-102-0101-0026 - Стол
</t>
    </r>
    <r>
      <rPr>
        <sz val="10"/>
        <color rgb="FF000000"/>
        <rFont val="Times New Roman"/>
      </rPr>
      <t xml:space="preserve">обеденный на 4 человека.
</t>
    </r>
    <r>
      <rPr>
        <sz val="10"/>
        <color rgb="FF000000"/>
        <rFont val="Times New Roman"/>
      </rPr>
      <t>Столешница ДСП покрытая HPL пластиком, толщина 22 мм, каркас металлический П-образной формы диаметром 60 мм, размеры 1200х700х750 мм</t>
    </r>
  </si>
  <si>
    <t>Стол
обеденный на 4 человека.
Столешница ДСП покрытая HPL пластиком, толщина 22 мм, каркас металлический П-образной формы диаметром 60 мм, размеры 1200х700х750 мм</t>
  </si>
  <si>
    <r>
      <rPr>
        <sz val="10"/>
        <color theme="1"/>
        <rFont val="Times New Roman"/>
      </rPr>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 мм и прямоугольного профиля не менее 50х25х1,5 мм.</t>
    </r>
  </si>
  <si>
    <r>
      <rPr>
        <sz val="10"/>
        <color rgb="FF000000"/>
        <rFont val="Times New Roman"/>
      </rPr>
      <t xml:space="preserve">522-102-0101-0027 - Стол
</t>
    </r>
    <r>
      <rPr>
        <sz val="10"/>
        <color rgb="FF000000"/>
        <rFont val="Times New Roman"/>
      </rPr>
      <t xml:space="preserve">обеденный на 6 человек.
</t>
    </r>
    <r>
      <rPr>
        <sz val="10"/>
        <color rgb="FF000000"/>
        <rFont val="Times New Roman"/>
      </rPr>
      <t>Столешница ДСП покрытая HPL пластиком, толщина 22 мм, каркас металлический П-образной формы диаметром 60 мм, размеры 1800х700х750 мм</t>
    </r>
  </si>
  <si>
    <t>Стол
обеденный на 6 человек.
Столешница ДСП покрытая HPL пластиком, толщина 22 мм, каркас металлический П-образной формы диаметром 60 мм, размеры 1800х700х750 мм</t>
  </si>
  <si>
    <r>
      <rPr>
        <sz val="10"/>
        <color theme="1"/>
        <rFont val="Times New Roman"/>
      </rPr>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1,5мм и прямоугольного профиля не менее 50х25х1,5 мм.</t>
    </r>
  </si>
  <si>
    <r>
      <rPr>
        <sz val="10"/>
        <color rgb="FF000000"/>
        <rFont val="Times New Roman"/>
      </rPr>
      <t xml:space="preserve">522-102-0102-0001 - Стул барный.
</t>
    </r>
    <r>
      <rPr>
        <sz val="10"/>
        <color rgb="FF000000"/>
        <rFont val="Times New Roman"/>
      </rPr>
      <t xml:space="preserve">Сидение выполнено из полипропилена. Изогнутая спинка сидения. Металлический каркас.
</t>
    </r>
    <r>
      <rPr>
        <sz val="10"/>
        <color rgb="FF000000"/>
        <rFont val="Times New Roman"/>
      </rPr>
      <t>Размер: 460х480х1150мм</t>
    </r>
  </si>
  <si>
    <t>Стул барный.
Сидение выполнено из полипропилена. Изогнутая спинка сидения. Металлический каркас.
Размер: 460х480х1150мм</t>
  </si>
  <si>
    <r>
      <rPr>
        <sz val="10"/>
        <color theme="1"/>
        <rFont val="Times New Roman"/>
      </rPr>
      <t>Сидение выполнено из полипропилена с армирующими добавками. По всей площади сидения толщина пластика варьируется от 5 мм до 8 мм из-за конструктивных особенностей. Изогнутая спинка сидения. Металлический каркас окрашен порошковой краской, устойчивой к механическому воздействию</t>
    </r>
  </si>
  <si>
    <r>
      <rPr>
        <sz val="10"/>
        <color rgb="FF000000"/>
        <rFont val="Times New Roman"/>
      </rPr>
      <t xml:space="preserve">522-102-0102-0002 - Стул типа
</t>
    </r>
    <r>
      <rPr>
        <sz val="10"/>
        <color rgb="FF000000"/>
        <rFont val="Times New Roman"/>
      </rPr>
      <t>Фаиза. Каркас металлический цветной. Обивка эко-кожа. Размер: 380х380х890мм</t>
    </r>
  </si>
  <si>
    <t>Стул типа
Фаиза. Каркас металлический цветной. Обивка эко-кожа. Размер: 380х380х890мм</t>
  </si>
  <si>
    <r>
      <rPr>
        <sz val="10"/>
        <color theme="1"/>
        <rFont val="Times New Roman"/>
      </rPr>
      <t>Каркас металлический цветной. Обивка эко-кожа. Размер: 380х380х890мм</t>
    </r>
  </si>
  <si>
    <r>
      <rPr>
        <sz val="10"/>
        <color theme="1"/>
        <rFont val="Times New Roman"/>
      </rPr>
      <t>522-102-0102-0003 - Стул типа Алия Плюс. Каркас металлический цветной. Обивка эко-кожа. Размер: 380х380х910мм</t>
    </r>
  </si>
  <si>
    <r>
      <rPr>
        <sz val="10"/>
        <color theme="1"/>
        <rFont val="Times New Roman"/>
      </rPr>
      <t>Каркас металлический цветной. Обивка эко-кожа. Размер: 380х380х910мм</t>
    </r>
  </si>
  <si>
    <r>
      <rPr>
        <sz val="10"/>
        <color rgb="FF000000"/>
        <rFont val="Times New Roman"/>
      </rPr>
      <t xml:space="preserve">522-102-0102-0004 - Стул типа
</t>
    </r>
    <r>
      <rPr>
        <sz val="10"/>
        <color rgb="FF000000"/>
        <rFont val="Times New Roman"/>
      </rPr>
      <t xml:space="preserve">Мод.150. Каркас металлический цветной (вальцованная труба).
</t>
    </r>
    <r>
      <rPr>
        <sz val="10"/>
        <color rgb="FF000000"/>
        <rFont val="Times New Roman"/>
      </rPr>
      <t>Обивка эко-кожа. Размер: 445х385х980мм</t>
    </r>
  </si>
  <si>
    <t>Стул типа
Мод.150. Каркас металлический цветной (вальцованная труба).
Обивка эко-кожа. Размер: 445х385х980мм</t>
  </si>
  <si>
    <r>
      <rPr>
        <sz val="10"/>
        <color rgb="FF000000"/>
        <rFont val="Times New Roman"/>
      </rPr>
      <t xml:space="preserve">Каркас металлический цветной (вальцованная труба). Обивка эко-кожа.
</t>
    </r>
    <r>
      <rPr>
        <sz val="10"/>
        <color rgb="FF000000"/>
        <rFont val="Times New Roman"/>
      </rPr>
      <t>Размер: 445х385х980мм</t>
    </r>
  </si>
  <si>
    <r>
      <rPr>
        <sz val="10"/>
        <color theme="1"/>
        <rFont val="Times New Roman"/>
      </rPr>
      <t>522-103-0102 - Стеллаж производственный, размеры не менее 1500х500х1800мм</t>
    </r>
  </si>
  <si>
    <t>Стеллаж производственный, размеры не менее 1500х500х1800мм</t>
  </si>
  <si>
    <r>
      <rPr>
        <sz val="10"/>
        <color theme="1"/>
        <rFont val="Times New Roman"/>
      </rPr>
      <t>Количество полок 4. Максимальная загрузка на полку не менее 80кг. 4 регулируемые по высоте полки, усиленные ребрами жесткости, и регулируемые по высоте пластиковые опоры. Разборный каркас выполнен из уголка 40x40 мм нержавеющей стали, полки - из нержавеющей стали.</t>
    </r>
  </si>
  <si>
    <r>
      <rPr>
        <sz val="10"/>
        <color rgb="FF000000"/>
        <rFont val="Times New Roman"/>
      </rPr>
      <t xml:space="preserve">522-103-0106-0037 - Стеллаж
</t>
    </r>
    <r>
      <rPr>
        <sz val="10"/>
        <color rgb="FF000000"/>
        <rFont val="Times New Roman"/>
      </rPr>
      <t xml:space="preserve">производственный СТПСУН-7-5-18-4, размеры 700х500х1800 мм, 4 сплошные
</t>
    </r>
    <r>
      <rPr>
        <sz val="10"/>
        <color rgb="FF000000"/>
        <rFont val="Times New Roman"/>
      </rPr>
      <t xml:space="preserve">цельные полки, стойки - уголок из нержавеющей стали 1,5 мм; полки из нержавеющей стали 0,8 мм.
</t>
    </r>
    <r>
      <rPr>
        <sz val="10"/>
        <color rgb="FF000000"/>
        <rFont val="Times New Roman"/>
      </rPr>
      <t>Максимальная равномерно распределенная нагрузка на полку до 80 кг</t>
    </r>
  </si>
  <si>
    <t>Стеллаж
производственный СТПСУН-7-5-18-4, размеры 700х500х1800 мм, 4 сплошные
цельные полки, стойки</t>
  </si>
  <si>
    <t>уголок из нержавеющей стали 1,5 мм; полки из нержавеющей стали 0,8 мм.
Максимальная равномерно распределенная нагрузка на полку до 80 кг</t>
  </si>
  <si>
    <r>
      <rPr>
        <sz val="10"/>
        <color theme="1"/>
        <rFont val="Times New Roman"/>
      </rPr>
      <t>4 сплошные цельные полки,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</si>
  <si>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522-103-0106-0038 - Стеллаж
</t>
    </r>
    <r>
      <rPr>
        <sz val="10"/>
        <color rgb="FF000000"/>
        <rFont val="Times New Roman"/>
      </rPr>
      <t xml:space="preserve">производственный СТПСУН-10-4-18-4, размеры
</t>
    </r>
    <r>
      <rPr>
        <sz val="10"/>
        <color rgb="FF000000"/>
        <rFont val="Times New Roman"/>
      </rPr>
      <t xml:space="preserve">1000х400х1800 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</si>
  <si>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СТПСУН-10-4-18-4, размеры
1000х400х1800 мм, 4 сплошные цельные полки, стойки</t>
  </si>
  <si>
    <t>уголок из нержавеющей стали 1,5 мм; полки из нержавеющей стали 0,8 мм.
Максимальная равномерно
распределенная нагрузка на полку до 80 кг</t>
  </si>
  <si>
    <r>
      <rPr>
        <sz val="10"/>
        <color theme="1"/>
        <rFont val="Times New Roman"/>
      </rPr>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</si>
  <si>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522-103-0106-0039 - Стеллаж
</t>
    </r>
    <r>
      <rPr>
        <sz val="10"/>
        <color rgb="FF000000"/>
        <rFont val="Times New Roman"/>
      </rPr>
      <t xml:space="preserve">производственный СТПСУН-10-4-18-4, размеры
</t>
    </r>
    <r>
      <rPr>
        <sz val="10"/>
        <color rgb="FF000000"/>
        <rFont val="Times New Roman"/>
      </rPr>
      <t xml:space="preserve">1000х500х1800мм,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</si>
  <si>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СТПСУН-10-4-18-4, размеры
1000х500х1800мм, 4 сплошные цельные полки, стойки</t>
  </si>
  <si>
    <r>
      <rPr>
        <sz val="10"/>
        <color theme="1"/>
        <rFont val="Times New Roman"/>
      </rPr>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</si>
  <si>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522-103-0106-0040 - Стеллаж
</t>
    </r>
    <r>
      <rPr>
        <sz val="10"/>
        <color rgb="FF000000"/>
        <rFont val="Times New Roman"/>
      </rPr>
      <t xml:space="preserve">производственный СТПСУН-11,5-5-16-4, размеры
</t>
    </r>
    <r>
      <rPr>
        <sz val="10"/>
        <color rgb="FF000000"/>
        <rFont val="Times New Roman"/>
      </rPr>
      <t xml:space="preserve">1150х500х1600 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распределенная нагрузка на полку
</t>
    </r>
    <r>
      <rPr>
        <sz val="10"/>
        <color rgb="FF000000"/>
        <rFont val="Times New Roman"/>
      </rPr>
      <t>до 80 кг</t>
    </r>
  </si>
  <si>
    <t>Стеллаж
производственный СТПСУН-11,5-5-16-4, размеры
1150х500х1600 мм, 4 сплошные цельные полки, стойки</t>
  </si>
  <si>
    <t>уголок из нержавеющей стали 1,5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</si>
  <si>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уголок из нержавеющей стали AISI 430 толщиной 1,5 мм; полки - нержавеющая сталь AISI 430 толщиной
</t>
    </r>
    <r>
      <rPr>
        <sz val="10"/>
        <color rgb="FF000000"/>
        <rFont val="Times New Roman"/>
      </rPr>
      <t>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</si>
  <si>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522-103-0106-0041 - Стеллаж
</t>
    </r>
    <r>
      <rPr>
        <sz val="10"/>
        <color rgb="FF000000"/>
        <rFont val="Times New Roman"/>
      </rPr>
      <t xml:space="preserve">производственный СТПСУН-12-4-18-4, размеры
</t>
    </r>
    <r>
      <rPr>
        <sz val="10"/>
        <color rgb="FF000000"/>
        <rFont val="Times New Roman"/>
      </rPr>
      <t xml:space="preserve">1200х400х1800 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</si>
  <si>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СТПСУН-12-4-18-4, размеры
1200х400х1800 мм, 4 сплошные цельные полки, стойки</t>
  </si>
  <si>
    <r>
      <rPr>
        <sz val="10"/>
        <color rgb="FF000000"/>
        <rFont val="Times New Roman"/>
      </rPr>
      <t xml:space="preserve">4 сплошные полки. Полки цельные, стойки - уголок из нержавеющей стали AISI 430 толщиной 1,5 мм; полки - нержавеющая сталь AISI 430 толщиной
</t>
    </r>
    <r>
      <rPr>
        <sz val="10"/>
        <color rgb="FF000000"/>
        <rFont val="Times New Roman"/>
      </rPr>
      <t>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</si>
  <si>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522-103-0106-0042 - Стеллаж
</t>
    </r>
    <r>
      <rPr>
        <sz val="10"/>
        <color rgb="FF000000"/>
        <rFont val="Times New Roman"/>
      </rPr>
      <t xml:space="preserve">производственный СТПСУН-15-5-18-4, размеры
</t>
    </r>
    <r>
      <rPr>
        <sz val="10"/>
        <color rgb="FF000000"/>
        <rFont val="Times New Roman"/>
      </rPr>
      <t xml:space="preserve">1500х500х1800 мм, 4 сплошные цельные полки, стойки - уголок из нержавеющей стали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</si>
  <si>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СТПСУН-15-5-18-4, размеры
1500х500х1800 мм, 4 сплошные цельные полки, стойки</t>
  </si>
  <si>
    <r>
      <rPr>
        <sz val="10"/>
        <color rgb="FF000000"/>
        <rFont val="Times New Roman"/>
      </rPr>
      <t xml:space="preserve">4 сплошные полки. Полки цельные, стойки - уголок из нержавеющей стали AISI 430 толщиной 1,5 мм; полки - нержавеющая сталь AISI 430 толщиной
</t>
    </r>
    <r>
      <rPr>
        <sz val="10"/>
        <color rgb="FF000000"/>
        <rFont val="Times New Roman"/>
      </rPr>
      <t>0.8 мм; усиление полки (ребро жесткости) - нержавеющая сталь AISI 430 толщиной 0.8 мм. Регулируемые по высоте пластиковые опоры.</t>
    </r>
  </si>
  <si>
    <r>
      <rPr>
        <sz val="10"/>
        <color rgb="FF000000"/>
        <rFont val="Times New Roman"/>
      </rPr>
      <t xml:space="preserve">522-103-0106-0043 - Стеллаж
</t>
    </r>
    <r>
      <rPr>
        <sz val="10"/>
        <color rgb="FF000000"/>
        <rFont val="Times New Roman"/>
      </rPr>
      <t xml:space="preserve">производственный СТПСТН-9-5-18-4, размеры
</t>
    </r>
    <r>
      <rPr>
        <sz val="10"/>
        <color rgb="FF000000"/>
        <rFont val="Times New Roman"/>
      </rPr>
      <t xml:space="preserve">900х500х1800 мм, 4 сплошные цельные полки, стойки - труба 40х40 нержавеющая сталь; полки из нержавеющей стали 0,8 мм.
</t>
    </r>
    <r>
      <rPr>
        <sz val="10"/>
        <color rgb="FF000000"/>
        <rFont val="Times New Roman"/>
      </rPr>
      <t xml:space="preserve">Максимальная равномерно распределенная нагрузка на полку
</t>
    </r>
    <r>
      <rPr>
        <sz val="10"/>
        <color rgb="FF000000"/>
        <rFont val="Times New Roman"/>
      </rPr>
      <t>до 80 кг</t>
    </r>
  </si>
  <si>
    <t>Стеллаж
производственный СТПСТН-9-5-18-4, размеры
900х500х1800 мм, 4 сплошные цельные полки, стойки</t>
  </si>
  <si>
    <t>труба 40х40 нержавеющая сталь;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</si>
  <si>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</si>
  <si>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522-103-0106-0044 - Стеллаж
</t>
    </r>
    <r>
      <rPr>
        <sz val="10"/>
        <color rgb="FF000000"/>
        <rFont val="Times New Roman"/>
      </rPr>
      <t xml:space="preserve">производственный СТПСТН-10-4-18-4, размеры
</t>
    </r>
    <r>
      <rPr>
        <sz val="10"/>
        <color rgb="FF000000"/>
        <rFont val="Times New Roman"/>
      </rPr>
      <t xml:space="preserve">1000х400х1800 мм, 4 сплошные цельные полки, стойки - труба 40х40 нержавеющая сталь;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</si>
  <si>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СТПСТН-10-4-18-4, размеры
1000х400х1800 мм, 4 сплошные цельные полки, стойки</t>
  </si>
  <si>
    <t>труба 40х40 нержавеющая сталь;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</si>
  <si>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</si>
  <si>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522-103-0106-0045 - Стеллаж
</t>
    </r>
    <r>
      <rPr>
        <sz val="10"/>
        <color rgb="FF000000"/>
        <rFont val="Times New Roman"/>
      </rPr>
      <t xml:space="preserve">производственный СТПСТН-10-5-18-4, размеры
</t>
    </r>
    <r>
      <rPr>
        <sz val="10"/>
        <color rgb="FF000000"/>
        <rFont val="Times New Roman"/>
      </rPr>
      <t xml:space="preserve">1000х500х1800 мм, 4 сплошные цельные полки, стойки - труба 40х40 нержавеющая сталь;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</si>
  <si>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СТПСТН-10-5-18-4, размеры
1000х500х1800 мм, 4 сплошные цельные полки, стойки</t>
  </si>
  <si>
    <r>
      <rPr>
        <sz val="10"/>
        <color rgb="FF000000"/>
        <rFont val="Times New Roman"/>
      </rPr>
      <t xml:space="preserve">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</si>
  <si>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522-103-0106-0046 - Стеллаж
</t>
    </r>
    <r>
      <rPr>
        <sz val="10"/>
        <color rgb="FF000000"/>
        <rFont val="Times New Roman"/>
      </rPr>
      <t xml:space="preserve">производственный СТПСТН-12-4-18-4, размеры
</t>
    </r>
    <r>
      <rPr>
        <sz val="10"/>
        <color rgb="FF000000"/>
        <rFont val="Times New Roman"/>
      </rPr>
      <t xml:space="preserve">1200х400х1800 мм, 4 сплошные цельные полки, стойки - труба 40х40 нержавеющая сталь; полки из нержавеющей стали 0,8 мм.
</t>
    </r>
    <r>
      <rPr>
        <sz val="10"/>
        <color rgb="FF000000"/>
        <rFont val="Times New Roman"/>
      </rPr>
      <t xml:space="preserve">Максимальная равномерно распределенная нагрузка на полку
</t>
    </r>
    <r>
      <rPr>
        <sz val="10"/>
        <color rgb="FF000000"/>
        <rFont val="Times New Roman"/>
      </rPr>
      <t>до 80 кг</t>
    </r>
  </si>
  <si>
    <t>Стеллаж
производственный СТПСТН-12-4-18-4, размеры
1200х400х1800 мм, 4 сплошные цельные полки, стойки</t>
  </si>
  <si>
    <r>
      <rPr>
        <sz val="10"/>
        <color rgb="FF000000"/>
        <rFont val="Times New Roman"/>
      </rPr>
      <t xml:space="preserve">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</si>
  <si>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522-103-0106-0047 - Стеллаж
</t>
    </r>
    <r>
      <rPr>
        <sz val="10"/>
        <color rgb="FF000000"/>
        <rFont val="Times New Roman"/>
      </rPr>
      <t xml:space="preserve">производственный СТПСТН-12-5-18-4, размеры
</t>
    </r>
    <r>
      <rPr>
        <sz val="10"/>
        <color rgb="FF000000"/>
        <rFont val="Times New Roman"/>
      </rPr>
      <t>1200х500х1800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</si>
  <si>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СТПСТН-12-5-18-4, размеры
1200х500х1800 мм, 4 сплошные цельные полки, стойки</t>
  </si>
  <si>
    <t>труба нержавеющая сталь 40х40х1,2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</si>
  <si>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</si>
  <si>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522-103-0106-0048 - Стеллаж
</t>
    </r>
    <r>
      <rPr>
        <sz val="10"/>
        <color rgb="FF000000"/>
        <rFont val="Times New Roman"/>
      </rPr>
      <t xml:space="preserve">производственный СТПСУТН-13-4-18-4, размеры
</t>
    </r>
    <r>
      <rPr>
        <sz val="10"/>
        <color rgb="FF000000"/>
        <rFont val="Times New Roman"/>
      </rPr>
      <t>1300х400х1800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</si>
  <si>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СТПСУТН-13-4-18-4, размеры
1300х400х1800 мм, 4 сплошные цельные полки, стойки</t>
  </si>
  <si>
    <r>
      <rPr>
        <sz val="10"/>
        <color rgb="FF000000"/>
        <rFont val="Times New Roman"/>
      </rPr>
      <t xml:space="preserve">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</si>
  <si>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522-103-0106-0049 - Стеллаж
</t>
    </r>
    <r>
      <rPr>
        <sz val="10"/>
        <color rgb="FF000000"/>
        <rFont val="Times New Roman"/>
      </rPr>
      <t xml:space="preserve">производственный СТПСТН-15-5-18-4, размеры
</t>
    </r>
    <r>
      <rPr>
        <sz val="10"/>
        <color rgb="FF000000"/>
        <rFont val="Times New Roman"/>
      </rPr>
      <t>1500х500х1800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</si>
  <si>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СТПСТН-15-5-18-4, размеры
1500х500х1800 мм, 4 сплошные цельные полки, стойки</t>
  </si>
  <si>
    <r>
      <rPr>
        <sz val="10"/>
        <color rgb="FF000000"/>
        <rFont val="Times New Roman"/>
      </rPr>
      <t xml:space="preserve">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</si>
  <si>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522-103-0106-0050 - Стеллаж
</t>
    </r>
    <r>
      <rPr>
        <sz val="10"/>
        <color rgb="FF000000"/>
        <rFont val="Times New Roman"/>
      </rPr>
      <t xml:space="preserve">производственный СТПСТН-17-4-18-4, размеры
</t>
    </r>
    <r>
      <rPr>
        <sz val="10"/>
        <color rgb="FF000000"/>
        <rFont val="Times New Roman"/>
      </rPr>
      <t>1700х400х1800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</si>
  <si>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СТПСТН-17-4-18-4, размеры
1700х400х1800 мм, 4 сплошные цельные полки, стойки</t>
  </si>
  <si>
    <r>
      <rPr>
        <sz val="10"/>
        <color rgb="FF000000"/>
        <rFont val="Times New Roman"/>
      </rPr>
      <t xml:space="preserve">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</si>
  <si>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522-103-0106-0051 - Стеллаж
</t>
    </r>
    <r>
      <rPr>
        <sz val="10"/>
        <color rgb="FF000000"/>
        <rFont val="Times New Roman"/>
      </rPr>
      <t xml:space="preserve">производственный СТПСТН-20-4-18-4, размеры
</t>
    </r>
    <r>
      <rPr>
        <sz val="10"/>
        <color rgb="FF000000"/>
        <rFont val="Times New Roman"/>
      </rPr>
      <t>2000х400х1800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r>
  </si>
  <si>
    <t>Стеллаж
производственный СТПСТН-20-4-18-4, размеры
2000х400х1800 мм, 4 сплошные цельные полки, стойки</t>
  </si>
  <si>
    <r>
      <rPr>
        <sz val="10"/>
        <color rgb="FF000000"/>
        <rFont val="Times New Roman"/>
      </rPr>
      <t xml:space="preserve">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t>
    </r>
  </si>
  <si>
    <r>
      <rPr>
        <sz val="10"/>
        <color rgb="FF000000"/>
        <rFont val="Times New Roman"/>
      </rPr>
      <t xml:space="preserve">522-103-0106-0052 - Стеллаж
</t>
    </r>
    <r>
      <rPr>
        <sz val="10"/>
        <color rgb="FF000000"/>
        <rFont val="Times New Roman"/>
      </rPr>
      <t xml:space="preserve">производственный СТПСУОЦ-10-5-18-4, размеры
</t>
    </r>
    <r>
      <rPr>
        <sz val="10"/>
        <color rgb="FF000000"/>
        <rFont val="Times New Roman"/>
      </rPr>
      <t xml:space="preserve">1000х500х1800 мм, 4 сплошные цельные полки, стойки - оцинкованная сталь 1,5 мм; полки из нержавеющей стали 0,8 мм.
</t>
    </r>
    <r>
      <rPr>
        <sz val="10"/>
        <color rgb="FF000000"/>
        <rFont val="Times New Roman"/>
      </rPr>
      <t xml:space="preserve">Максимальная равномерно распределенная нагрузка на полку
</t>
    </r>
    <r>
      <rPr>
        <sz val="10"/>
        <color rgb="FF000000"/>
        <rFont val="Times New Roman"/>
      </rPr>
      <t>до 80 кг</t>
    </r>
  </si>
  <si>
    <t>Стеллаж
производственный СТПСУОЦ-10-5-18-4, размеры
1000х500х1800 мм, 4 сплошные цельные полки, стойки</t>
  </si>
  <si>
    <t>оцинкованная сталь 1,5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</si>
  <si>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t>
    </r>
    <r>
      <rPr>
        <sz val="10"/>
        <color rgb="FF000000"/>
        <rFont val="Times New Roman"/>
      </rPr>
      <t>Шаг регулировки высоты полок 100 мм.</t>
    </r>
  </si>
  <si>
    <r>
      <rPr>
        <sz val="10"/>
        <color rgb="FF000000"/>
        <rFont val="Times New Roman"/>
      </rPr>
      <t xml:space="preserve">522-103-0106-0053 - Стеллаж
</t>
    </r>
    <r>
      <rPr>
        <sz val="10"/>
        <color rgb="FF000000"/>
        <rFont val="Times New Roman"/>
      </rPr>
      <t xml:space="preserve">производственный СТПСУОЦ-12-5-18-4, размеры
</t>
    </r>
    <r>
      <rPr>
        <sz val="10"/>
        <color rgb="FF000000"/>
        <rFont val="Times New Roman"/>
      </rPr>
      <t xml:space="preserve">1200х500х1800 мм, 4 сплошные цельные полки, стойки оцинкованная сталь 1,5 мм; полки из нержавеющей стали 0,8 мм.
</t>
    </r>
    <r>
      <rPr>
        <sz val="10"/>
        <color rgb="FF000000"/>
        <rFont val="Times New Roman"/>
      </rPr>
      <t xml:space="preserve">Максимальная равномерно
</t>
    </r>
    <r>
      <rPr>
        <sz val="10"/>
        <color rgb="FF000000"/>
        <rFont val="Times New Roman"/>
      </rPr>
      <t>распределенная нагрузка на полку до 80 кг</t>
    </r>
  </si>
  <si>
    <t>Стеллаж
производственный СТПСУОЦ-12-5-18-4, размеры
1200х500х1800 мм, 4 сплошные цельные полки, стойки оцинкованная сталь 1,5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</si>
  <si>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 Шаг регулировки высоты полок 100 мм.</t>
    </r>
  </si>
  <si>
    <r>
      <rPr>
        <sz val="10"/>
        <color rgb="FF000000"/>
        <rFont val="Times New Roman"/>
      </rPr>
      <t xml:space="preserve">522-103-0106-0054 - Стеллаж
</t>
    </r>
    <r>
      <rPr>
        <sz val="10"/>
        <color rgb="FF000000"/>
        <rFont val="Times New Roman"/>
      </rPr>
      <t xml:space="preserve">производственный СТПСУОЦ-12-5-16-4, размеры
</t>
    </r>
    <r>
      <rPr>
        <sz val="10"/>
        <color rgb="FF000000"/>
        <rFont val="Times New Roman"/>
      </rPr>
      <t>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r>
  </si>
  <si>
    <t>Стеллаж
производственный СТПСУОЦ-12-5-16-4, размеры
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</si>
  <si>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 Шаг регулировки высоты полок 100 мм.</t>
    </r>
  </si>
  <si>
    <r>
      <rPr>
        <sz val="10"/>
        <color rgb="FF000000"/>
        <rFont val="Times New Roman"/>
      </rPr>
      <t xml:space="preserve">522-103-0106-0055 - Стеллаж
</t>
    </r>
    <r>
      <rPr>
        <sz val="10"/>
        <color rgb="FF000000"/>
        <rFont val="Times New Roman"/>
      </rPr>
      <t xml:space="preserve">производственный СТПСУОЦ-12-5-16-5, размеры
</t>
    </r>
    <r>
      <rPr>
        <sz val="10"/>
        <color rgb="FF000000"/>
        <rFont val="Times New Roman"/>
      </rPr>
      <t>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r>
  </si>
  <si>
    <t>Стеллаж
производственный СТПСУОЦ-12-5-16-5, размеры
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</si>
  <si>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r>
      <rPr>
        <sz val="10"/>
        <color rgb="FF000000"/>
        <rFont val="Times New Roman"/>
      </rPr>
      <t xml:space="preserve">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 Шаг регулировки высоты полок 100 мм.</t>
    </r>
  </si>
  <si>
    <r>
      <rPr>
        <sz val="10"/>
        <color rgb="FF000000"/>
        <rFont val="Times New Roman"/>
      </rPr>
      <t xml:space="preserve">522-103-0106-0056 - Стеллаж
</t>
    </r>
    <r>
      <rPr>
        <sz val="10"/>
        <color rgb="FF000000"/>
        <rFont val="Times New Roman"/>
      </rPr>
      <t xml:space="preserve">производственный СТПСУОЦ-14-5-16-5, размеры
</t>
    </r>
    <r>
      <rPr>
        <sz val="10"/>
        <color rgb="FF000000"/>
        <rFont val="Times New Roman"/>
      </rPr>
      <t>1200х500х1800 мм, 5 сплошных полок, стойки - оцинкованная сталь 1,5 мм; полки - нержавеющая сталь 0,8 мм. Максимальная равномерно распределенная нагрузка на полку до 80 кг</t>
    </r>
  </si>
  <si>
    <t>Стеллаж
производственный СТПСУОЦ-14-5-16-5, размеры
1200х500х1800 мм, 5 сплошных полок, стойки</t>
  </si>
  <si>
    <t>оцинкованная сталь 1,5 мм; полки</t>
  </si>
  <si>
    <t>нержавеющая сталь 0,8 мм. Максимальная равномерно распределенная нагрузка на полку до 80 кг</t>
  </si>
  <si>
    <r>
      <rPr>
        <sz val="10"/>
        <color rgb="FF000000"/>
        <rFont val="Times New Roman"/>
      </rPr>
      <t xml:space="preserve">5 сплошных полок,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t>
    </r>
    <r>
      <rPr>
        <sz val="10"/>
        <color rgb="FF000000"/>
        <rFont val="Times New Roman"/>
      </rPr>
      <t>0.8 мм. Регулируемые по высоте пластиковые опоры. Шаг регулировки высоты полок 100 мм.</t>
    </r>
  </si>
  <si>
    <r>
      <rPr>
        <sz val="10"/>
        <color rgb="FF000000"/>
        <rFont val="Times New Roman"/>
      </rPr>
      <t xml:space="preserve">522-103-0106-0057 - Стеллаж
</t>
    </r>
    <r>
      <rPr>
        <sz val="10"/>
        <color rgb="FF000000"/>
        <rFont val="Times New Roman"/>
      </rPr>
      <t xml:space="preserve">производственный СТПСУОЦ-15-5-16-4, размеры
</t>
    </r>
    <r>
      <rPr>
        <sz val="10"/>
        <color rgb="FF000000"/>
        <rFont val="Times New Roman"/>
      </rPr>
      <t>1500х500х1600 мм, 4 сплошные полки, стойки - оцинкованная сталь 1,5 мм; полки - нержавеющая сталь 0,8 мм. Максимальная равномерно распределенная нагрузка на полку до 80 кг</t>
    </r>
  </si>
  <si>
    <t>Стеллаж
производственный СТПСУОЦ-15-5-16-4, размеры
1500х500х1600 мм, 4 сплошные полки, стойки</t>
  </si>
  <si>
    <r>
      <rPr>
        <sz val="10"/>
        <color rgb="FF000000"/>
        <rFont val="Times New Roman"/>
      </rPr>
      <t xml:space="preserve">4 сплошные полки. Полки сплошные,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t>
    </r>
    <r>
      <rPr>
        <sz val="10"/>
        <color rgb="FF000000"/>
        <rFont val="Times New Roman"/>
      </rPr>
      <t>Шаг регулировки высоты полок 100 мм.</t>
    </r>
  </si>
  <si>
    <r>
      <rPr>
        <sz val="10"/>
        <color rgb="FF000000"/>
        <rFont val="Times New Roman"/>
      </rPr>
      <t xml:space="preserve">522-103-0106-0058 - Стеллаж
</t>
    </r>
    <r>
      <rPr>
        <sz val="10"/>
        <color rgb="FF000000"/>
        <rFont val="Times New Roman"/>
      </rPr>
      <t xml:space="preserve">производственный СТПСУОЦ-15-5-18-4, размеры
</t>
    </r>
    <r>
      <rPr>
        <sz val="10"/>
        <color rgb="FF000000"/>
        <rFont val="Times New Roman"/>
      </rPr>
      <t>1500х500х1800 мм, 4 сплошные полки, стойки - оцинкованная сталь 1,5 мм; полки - нержавеющая сталь 0,8 мм. Максимальная равномерно распределенная нагрузка на полку до 80 кг</t>
    </r>
  </si>
  <si>
    <t>Стеллаж
производственный СТПСУОЦ-15-5-18-4, размеры
1500х500х1800 мм, 4 сплошные полки, стойки</t>
  </si>
  <si>
    <r>
      <rPr>
        <sz val="10"/>
        <color rgb="FF000000"/>
        <rFont val="Times New Roman"/>
      </rPr>
      <t xml:space="preserve">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t>
    </r>
    <r>
      <rPr>
        <sz val="10"/>
        <color rgb="FF000000"/>
        <rFont val="Times New Roman"/>
      </rPr>
      <t>Шаг регулировки высоты полок 100 мм.</t>
    </r>
  </si>
  <si>
    <r>
      <rPr>
        <sz val="10"/>
        <color rgb="FF000000"/>
        <rFont val="Times New Roman"/>
      </rPr>
      <t xml:space="preserve">522-103-0106-0059 - Стеллаж
</t>
    </r>
    <r>
      <rPr>
        <sz val="10"/>
        <color rgb="FF000000"/>
        <rFont val="Times New Roman"/>
      </rPr>
      <t xml:space="preserve">производственный СТПСУОЦ-12-5-18-4, размеры
</t>
    </r>
    <r>
      <rPr>
        <sz val="10"/>
        <color rgb="FF000000"/>
        <rFont val="Times New Roman"/>
      </rPr>
      <t xml:space="preserve">1200х500х1800 мм, 4
</t>
    </r>
    <r>
      <rPr>
        <sz val="10"/>
        <color rgb="FF000000"/>
        <rFont val="Times New Roman"/>
      </rPr>
      <t xml:space="preserve">перфорированный полки, стойки - оцинкованная сталь 1,5 мм; полки - нержавеющая сталь 0,8 мм.
</t>
    </r>
    <r>
      <rPr>
        <sz val="10"/>
        <color rgb="FF000000"/>
        <rFont val="Times New Roman"/>
      </rPr>
      <t>Максимальная равномерно распределенная нагрузка на полку до 80 кг</t>
    </r>
  </si>
  <si>
    <t>Стеллаж
производственный СТПСУОЦ-12-5-18-4, размеры
1200х500х1800 мм, 4
перфорированный полки, стойки</t>
  </si>
  <si>
    <t>нержавеющая сталь 0,8 мм.
Максимальная равномерно распределенная нагрузка на полку до 80 кг</t>
  </si>
  <si>
    <r>
      <rPr>
        <sz val="10"/>
        <color rgb="FF000000"/>
        <rFont val="Times New Roman"/>
      </rPr>
      <t xml:space="preserve">4 перфорированный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t>
    </r>
    <r>
      <rPr>
        <sz val="10"/>
        <color rgb="FF000000"/>
        <rFont val="Times New Roman"/>
      </rPr>
      <t>Шаг регулировки высоты полок 100 мм.</t>
    </r>
  </si>
  <si>
    <r>
      <rPr>
        <sz val="10"/>
        <color theme="1"/>
        <rFont val="Times New Roman"/>
      </rPr>
      <t>522-103-0107-0003 - Стеллаж для сушки посуды, нержавеющая сталь, размер 1000х500х1500мм</t>
    </r>
  </si>
  <si>
    <t>Стеллаж для сушки посуды, нержавеющая сталь, размер 1000х500х1500мм</t>
  </si>
  <si>
    <r>
      <rPr>
        <sz val="10"/>
        <color theme="1"/>
        <rFont val="Times New Roman"/>
      </rPr>
      <t>Стеллаж для хранения кухонного инвентаря. Стойки сделаны из оцинкованной стали, толщиной 2 мм. Перфорированные полки из нержавеющей стали, толщиной 0,8 мм. Размер стеллажа: 1000х500х1500мм.</t>
    </r>
  </si>
  <si>
    <r>
      <rPr>
        <sz val="10"/>
        <color rgb="FF000000"/>
        <rFont val="Times New Roman"/>
      </rPr>
      <t xml:space="preserve">522-103-0111 - Стол
</t>
    </r>
    <r>
      <rPr>
        <sz val="10"/>
        <color rgb="FF000000"/>
        <rFont val="Times New Roman"/>
      </rPr>
      <t>производственный пристенный с бортом. Размеры не менее 1500х700х850мм</t>
    </r>
  </si>
  <si>
    <t>Стол
производственный пристенный с бортом. Размеры не менее 1500х700х850мм</t>
  </si>
  <si>
    <r>
      <rPr>
        <sz val="10"/>
        <color theme="1"/>
        <rFont val="Times New Roman"/>
      </rPr>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r>
  </si>
  <si>
    <r>
      <rPr>
        <sz val="10"/>
        <color rgb="FF000000"/>
        <rFont val="Times New Roman"/>
      </rPr>
      <t xml:space="preserve">522-103-0113 - Стол
</t>
    </r>
    <r>
      <rPr>
        <sz val="10"/>
        <color rgb="FF000000"/>
        <rFont val="Times New Roman"/>
      </rPr>
      <t>производственный пристенный с бортом. Размеры не менее 1200х700х850мм</t>
    </r>
  </si>
  <si>
    <t>Стол
производственный пристенный с бортом. Размеры не менее 1200х700х850мм</t>
  </si>
  <si>
    <r>
      <rPr>
        <sz val="10"/>
        <color theme="1"/>
        <rFont val="Times New Roman"/>
      </rPr>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r>
  </si>
  <si>
    <r>
      <rPr>
        <sz val="10"/>
        <color theme="1"/>
        <rFont val="Times New Roman"/>
      </rPr>
      <t>522-103-0117-0004 - Стол для сбора отходов ССОБ-6-7ТН, размеры 600х700х850 мм, столешница нержавеющая сталь 0,8 мм, усиленная листом ДСП 16 мм, отверстие для отходов 200 мм</t>
    </r>
  </si>
  <si>
    <t>Стол для сбора отходов ССОБ-6-7ТН, размеры 600х700х850 мм, столешница нержавеющая сталь 0,8 мм, усиленная листом ДСП 16 мм, отверстие для отходов 200 мм</t>
  </si>
  <si>
    <r>
      <rPr>
        <sz val="10"/>
        <color theme="1"/>
        <rFont val="Times New Roman"/>
      </rPr>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r>
  </si>
  <si>
    <r>
      <rPr>
        <sz val="10"/>
        <color theme="1"/>
        <rFont val="Times New Roman"/>
      </rPr>
      <t>522-103-0117-0005 - Стол для сбора отходов ССОБ-8-7ТН, размеры 800х700х850 мм, столешница нержавеющая сталь 0,8 мм, усиленная листом ДСП 16 мм, отверстие для отходов 200 мм</t>
    </r>
  </si>
  <si>
    <r>
      <rPr>
        <sz val="10"/>
        <color theme="1"/>
        <rFont val="Times New Roman"/>
      </rPr>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r>
  </si>
  <si>
    <r>
      <rPr>
        <sz val="10"/>
        <color theme="1"/>
        <rFont val="Times New Roman"/>
      </rPr>
      <t>522-103-0117-0006 - Стол для сбора отходов ССОБ-11-7ТН, размеры 1100х700х850 мм, столешница нержавеющая сталь 0,8 мм, усиленная листом ДСП 16 мм, отверстие для отходов 200 мм</t>
    </r>
  </si>
  <si>
    <t>Стол для сбора отходов ССОБ-11-7ТН, размеры 1100х700х850 мм, столешница нержавеющая сталь 0,8 мм, усиленная листом ДСП 16 мм, отверстие для отходов 200 мм</t>
  </si>
  <si>
    <r>
      <rPr>
        <sz val="10"/>
        <color theme="1"/>
        <rFont val="Times New Roman"/>
      </rPr>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r>
  </si>
  <si>
    <r>
      <rPr>
        <sz val="10"/>
        <color theme="1"/>
        <rFont val="Times New Roman"/>
      </rPr>
      <t>522-103-0117-0007 - Стол для сбора отходов ССОБ-14-7ТН, размеры 1400х700х850 мм, столешница нержавеющая сталь 0,8 мм, усиленная листом ДСП 16 мм, отверстие для отходов 200 мм</t>
    </r>
  </si>
  <si>
    <r>
      <rPr>
        <sz val="10"/>
        <color theme="1"/>
        <rFont val="Times New Roman"/>
      </rPr>
      <t>Отверстие для отходов 200 мм, с бортом 45 мм, столешница нержавеющая сталь, усиленная листом ДСП 16 мм, толщина столешницы 0,8 мм, отступ для коммуникаций 100 мм, ножки труба 40х40 мм нерж сталь, нижняя обвязка с 3 сторон нерж сталь, 4 регулируемые по высоте пластиковые опоры</t>
    </r>
  </si>
  <si>
    <r>
      <rPr>
        <sz val="10"/>
        <color theme="1"/>
        <rFont val="Times New Roman"/>
      </rPr>
      <t>522-103-0117-0008 - Стол для сбора отходов ССОБ-6-7УОЦ, размеры 600х700х850 мм, столешница нержавеющая сталь 0,8 мм, усиленная листом ДСП 16 мм, отверстие для отходов 220 мм</t>
    </r>
  </si>
  <si>
    <t>Стол для сбора отходов ССОБ-6-7УОЦ, размеры 600х700х850 мм, столешница нержавеющая сталь 0,8 мм, усиленная листом ДСП 16 мм, отверстие для отходов 220 мм</t>
  </si>
  <si>
    <r>
      <rPr>
        <sz val="10"/>
        <color theme="1"/>
        <rFont val="Times New Roman"/>
      </rPr>
      <t>Отверстие для сбора отходов диаметром 220 мм, с бортом 45 мм. Обвязка с 3-х сторон, 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4 регулируемые по высоте пластиковые опоры. Отступ для коммуникаций 50 мм.</t>
    </r>
  </si>
  <si>
    <r>
      <rPr>
        <sz val="10"/>
        <color theme="1"/>
        <rFont val="Times New Roman"/>
      </rPr>
      <t>522-103-0118 - Стол для овощей, размеры не менее 1200х800х870мм</t>
    </r>
  </si>
  <si>
    <r>
      <rPr>
        <sz val="10"/>
        <color theme="1"/>
        <rFont val="Times New Roman"/>
      </rPr>
      <t>Столешница выполнена из нержавеющей стали и укреплена с внутренней стороны ЛДСП , каркас из оцинкованной стали толщиной 1,2 мм. Ванна в передней части и отверстие для сбора отходов.</t>
    </r>
  </si>
  <si>
    <r>
      <rPr>
        <sz val="10"/>
        <color theme="1"/>
        <rFont val="Times New Roman"/>
      </rPr>
      <t>522-103-0119 - Подставка межплитная, размеры не менее 400x850x860мм</t>
    </r>
  </si>
  <si>
    <r>
      <rPr>
        <sz val="10"/>
        <color theme="1"/>
        <rFont val="Times New Roman"/>
      </rPr>
      <t>Конструкция разборная, столешница выполнена из нержавеющей стали, ножки и основание покрыты порошковой краской. Регулируемые по высоте ножки с резиновыми вставками.</t>
    </r>
  </si>
  <si>
    <r>
      <rPr>
        <sz val="10"/>
        <color theme="1"/>
        <rFont val="Times New Roman"/>
      </rPr>
      <t>522-103-0120-0005 - Подставка под кипятильник, размеры не менее 450х350х600 мм, нержавеющая сталь</t>
    </r>
  </si>
  <si>
    <r>
      <rPr>
        <sz val="10"/>
        <color theme="1"/>
        <rFont val="Times New Roman"/>
      </rPr>
      <t>Подставка под кипятильник, размеры не менее 450х350х600 мм, нержавеющая сталь</t>
    </r>
  </si>
  <si>
    <r>
      <rPr>
        <sz val="10"/>
        <color rgb="FF000000"/>
        <rFont val="Times New Roman"/>
      </rPr>
      <t xml:space="preserve">522-103-0120-0009 - Вставка
</t>
    </r>
    <r>
      <rPr>
        <sz val="10"/>
        <color rgb="FF000000"/>
        <rFont val="Times New Roman"/>
      </rPr>
      <t xml:space="preserve">межплитная разборная ВМБ-4-6-8,5ТН, размеры
</t>
    </r>
    <r>
      <rPr>
        <sz val="10"/>
        <color rgb="FF000000"/>
        <rFont val="Times New Roman"/>
      </rPr>
      <t>400х600х850 мм, с бортом (40 мм), столешница нержавеющая сталь, усиленная листом ДСП 16 мм, толщина столешницы 0,8 мм</t>
    </r>
  </si>
  <si>
    <t>Вставка
межплитная разборная ВМБ-4-6-8,5ТН, размеры
400х600х850 мм, с бортом (40 мм), столешница нержавеющая сталь, усиленная листом ДСП 16 мм, толщина столешницы 0,8 мм</t>
  </si>
  <si>
    <r>
      <rPr>
        <sz val="10"/>
        <color theme="1"/>
        <rFont val="Times New Roman"/>
      </rPr>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r>
  </si>
  <si>
    <r>
      <rPr>
        <sz val="10"/>
        <color rgb="FF000000"/>
        <rFont val="Times New Roman"/>
      </rPr>
      <t xml:space="preserve">522-103-0120-0010 - Вставка
</t>
    </r>
    <r>
      <rPr>
        <sz val="10"/>
        <color rgb="FF000000"/>
        <rFont val="Times New Roman"/>
      </rPr>
      <t xml:space="preserve">межплитная разборная ВМБ-4-9-8,5ТН, размеры
</t>
    </r>
    <r>
      <rPr>
        <sz val="10"/>
        <color rgb="FF000000"/>
        <rFont val="Times New Roman"/>
      </rPr>
      <t>400х900х850 мм, с бортом (40 мм), столешница нержавеющая сталь, усиленная листом ДСП 16 мм, толщина столешницы 0,8 мм</t>
    </r>
  </si>
  <si>
    <t>Вставка
межплитная разборная ВМБ-4-9-8,5ТН, размеры
400х900х850 мм, с бортом (40 мм), столешница нержавеющая сталь, усиленная листом ДСП 16 мм, толщина столешницы 0,8 мм</t>
  </si>
  <si>
    <r>
      <rPr>
        <sz val="10"/>
        <color theme="1"/>
        <rFont val="Times New Roman"/>
      </rPr>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r>
  </si>
  <si>
    <r>
      <rPr>
        <sz val="10"/>
        <color rgb="FF000000"/>
        <rFont val="Times New Roman"/>
      </rPr>
      <t xml:space="preserve">522-103-0120-0011 - Вставка
</t>
    </r>
    <r>
      <rPr>
        <sz val="10"/>
        <color rgb="FF000000"/>
        <rFont val="Times New Roman"/>
      </rPr>
      <t xml:space="preserve">межплитная разборная ВМ-4-9-8,5ТН, размеры
</t>
    </r>
    <r>
      <rPr>
        <sz val="10"/>
        <color rgb="FF000000"/>
        <rFont val="Times New Roman"/>
      </rPr>
      <t>400х900х850 мм, без борта, столешница нержавеющая сталь, усиленная листом ДСП 16 мм, толщина столешницы 0,8 мм</t>
    </r>
  </si>
  <si>
    <t>Вставка
межплитная разборная ВМ-4-9-8,5ТН, размеры
400х900х850 мм, без борта, столешница нержавеющая сталь, усиленная листом ДСП 16 мм, толщина столешницы 0,8 мм</t>
  </si>
  <si>
    <r>
      <rPr>
        <sz val="10"/>
        <color theme="1"/>
        <rFont val="Times New Roman"/>
      </rPr>
      <t>Ширина столешницы 40 мм, отступ для коммуникаций 100 мм, решетчатая нижняя полка толщина 0,8 мм. Усиленная ребром жесткости, 4 регулируемые по высоте пластиковые опоры, полка и каркас н/с труба 40х40 мм</t>
    </r>
  </si>
  <si>
    <r>
      <rPr>
        <sz val="10"/>
        <color rgb="FF000000"/>
        <rFont val="Times New Roman"/>
      </rPr>
      <t xml:space="preserve">522-103-0120-0012 - Подставка под проточный кипятильник
</t>
    </r>
    <r>
      <rPr>
        <sz val="10"/>
        <color rgb="FF000000"/>
        <rFont val="Times New Roman"/>
      </rPr>
      <t>ПК-3,5-3,5-6ТН, размеры 350х350х850 мм, нержавеющая сталь</t>
    </r>
  </si>
  <si>
    <t>Подставка под проточный кипятильник
ПК-3,5-3,5-6ТН, размеры 350х350х850 мм, нержавеющая сталь</t>
  </si>
  <si>
    <r>
      <rPr>
        <sz val="10"/>
        <color theme="1"/>
        <rFont val="Times New Roman"/>
      </rPr>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r>
  </si>
  <si>
    <r>
      <rPr>
        <sz val="10"/>
        <color rgb="FF000000"/>
        <rFont val="Times New Roman"/>
      </rPr>
      <t xml:space="preserve">522-103-0120-0013 - Подставка под проточный кипятильник
</t>
    </r>
    <r>
      <rPr>
        <sz val="10"/>
        <color rgb="FF000000"/>
        <rFont val="Times New Roman"/>
      </rPr>
      <t>ПК-4,5-3,5-6ТН, размеры 450х350х600 мм, нержавеющая сталь</t>
    </r>
  </si>
  <si>
    <t>Подставка под проточный кипятильник
ПК-4,5-3,5-6ТН, размеры 450х350х600 мм, нержавеющая сталь</t>
  </si>
  <si>
    <r>
      <rPr>
        <sz val="10"/>
        <color theme="1"/>
        <rFont val="Times New Roman"/>
      </rPr>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r>
  </si>
  <si>
    <r>
      <rPr>
        <sz val="10"/>
        <color theme="1"/>
        <rFont val="Times New Roman"/>
      </rPr>
      <t>522-103-0120-0014 - Подставка под хлеборезку ПХ-7-8-6,5ТН, размеры 700х800х650 мм, нержавеющая сталь</t>
    </r>
  </si>
  <si>
    <r>
      <rPr>
        <sz val="10"/>
        <color theme="1"/>
        <rFont val="Times New Roman"/>
      </rPr>
      <t>Столешница из нержавеющей стали с подложкой ДСП, каркас, ножки труба 40х25 мм нерж сталь, П-образная обвязка из нержавеющей стали, 4 регулируемые по высоте опоры.</t>
    </r>
  </si>
  <si>
    <r>
      <rPr>
        <sz val="10"/>
        <color rgb="FF000000"/>
        <rFont val="Times New Roman"/>
      </rPr>
      <t xml:space="preserve">522-103-0123-0003 - Полка
</t>
    </r>
    <r>
      <rPr>
        <sz val="10"/>
        <color rgb="FF000000"/>
        <rFont val="Times New Roman"/>
      </rPr>
      <t>настенная из нержавеющей стали, размеры не менее 1200х300х300 мм</t>
    </r>
  </si>
  <si>
    <t>Полка
настенная из нержавеющей стали, размеры не менее 1200х300х300 мм</t>
  </si>
  <si>
    <r>
      <rPr>
        <sz val="10"/>
        <color theme="1"/>
        <rFont val="Times New Roman"/>
      </rPr>
      <t>Полка настенная из нержавеющей стали, размеры не менее 1200х300х300 мм, 1 ярус</t>
    </r>
  </si>
  <si>
    <r>
      <rPr>
        <sz val="10"/>
        <color theme="1"/>
        <rFont val="Times New Roman"/>
      </rPr>
      <t>522-103-0124 - Тележка сервировочная, размеры не менее 800х500х930мм</t>
    </r>
  </si>
  <si>
    <r>
      <rPr>
        <sz val="10"/>
        <color theme="1"/>
        <rFont val="Times New Roman"/>
      </rPr>
      <t>Тележка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t>
    </r>
  </si>
  <si>
    <r>
      <rPr>
        <sz val="10"/>
        <color rgb="FF000000"/>
        <rFont val="Times New Roman"/>
      </rPr>
      <t xml:space="preserve">522-103-0131-0004 - Шкаф
</t>
    </r>
    <r>
      <rPr>
        <sz val="10"/>
        <color rgb="FF000000"/>
        <rFont val="Times New Roman"/>
      </rPr>
      <t>металлический многофункциональный типа MedWell двухстворчатый для хлеба, нержавеющая сталь, 0,8 мм, размеры 800х600х1720 мм, 6 деревянных лотков, ригельный замок</t>
    </r>
  </si>
  <si>
    <t>Шкаф
металлический многофункциональный типа MedWell двухстворчатый для хлеба, нержавеющая сталь, 0,8 мм, размеры 800х600х1720 мм, 6 деревянных лотков, ригельный замок</t>
  </si>
  <si>
    <r>
      <rPr>
        <sz val="10"/>
        <color rgb="FF000000"/>
        <rFont val="Times New Roman"/>
      </rPr>
      <t xml:space="preserve">Сборно-разборной конструкции из листовой стали AISI 430; 0,8 мм, матовой. Оснащен ригельным замком и магнитными защелками. Внутри расположены 6 (шесть) деревянных лотков типа Л14 (для хранения хлеба).
</t>
    </r>
    <r>
      <rPr>
        <sz val="10"/>
        <color rgb="FF000000"/>
        <rFont val="Times New Roman"/>
      </rPr>
      <t>Скрепление конструкции за счет зацепов и крепежа. Сварные швы выполнены современным методом лазерной и контактной сварки, точной, незаметной, с высокими показателями качества, прочности и долговечности. Шкафы имеют 4 регулируемые ножки позволяющие регулировать высоту  шкафа и  компенсировать неровности поверхности пола.</t>
    </r>
  </si>
  <si>
    <r>
      <rPr>
        <sz val="10"/>
        <color rgb="FF000000"/>
        <rFont val="Times New Roman"/>
      </rPr>
      <t xml:space="preserve">522-103-0131-0006 - Шкаф
</t>
    </r>
    <r>
      <rPr>
        <sz val="10"/>
        <color rgb="FF000000"/>
        <rFont val="Times New Roman"/>
      </rPr>
      <t>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r>
  </si>
  <si>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</si>
  <si>
    <r>
      <rPr>
        <sz val="10"/>
        <color theme="1"/>
        <rFont val="Times New Roman"/>
      </rPr>
      <t>Сборно-разборная конструкция из нержавеющей листовой стали AISI 430 матовый толщиной 0,8 мм. С креплением конструкции за счет зацепов и крепежа. Оснащен ригельным замком, и магнитными защелками. Шкафы имеют 4 регулируемые опоры.</t>
    </r>
  </si>
  <si>
    <r>
      <rPr>
        <sz val="10"/>
        <color theme="1"/>
        <rFont val="Times New Roman"/>
      </rPr>
      <t>522-103-0134-0017 - Зонт вытяжной пристенный ЗВП-7-7-3,5-1Ф, размеры 700х700х350 мм, жаропрочная нержавеющая сталь 0,8 мм, жироуловители, кран для слива, вытяжное отверстие, крепежные крюки и цепи для подвеса в комплекте</t>
    </r>
  </si>
  <si>
    <r>
      <rPr>
        <sz val="10"/>
        <color theme="1"/>
        <rFont val="Times New Roman"/>
      </rPr>
      <t>1 фланец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r>
  </si>
  <si>
    <r>
      <rPr>
        <sz val="10"/>
        <color theme="1"/>
        <rFont val="Times New Roman"/>
      </rPr>
      <t>522-103-0134-0018 - 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</si>
  <si>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</si>
  <si>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</si>
  <si>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522-103-0134-0019 - 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</si>
  <si>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</si>
  <si>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</si>
  <si>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522-103-0134-0020 - 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</si>
  <si>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</si>
  <si>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160/300/400мм,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</si>
  <si>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522-103-0134-0021 - 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</si>
  <si>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</si>
  <si>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 крепежные крюки и цепи для подвеса</t>
    </r>
  </si>
  <si>
    <r>
      <rPr>
        <sz val="10"/>
        <color theme="1"/>
        <rFont val="Times New Roman"/>
      </rPr>
      <t>522-103-0134-0022 - 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</si>
  <si>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</si>
  <si>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</si>
  <si>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522-103-0134-0023 - 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</si>
  <si>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</si>
  <si>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r>
  </si>
  <si>
    <r>
      <rPr>
        <sz val="10"/>
        <color theme="1"/>
        <rFont val="Times New Roman"/>
      </rPr>
      <t>522-103-0134-0024 - 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</si>
  <si>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</si>
  <si>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</si>
  <si>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522-103-0134-0025 - 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</si>
  <si>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</si>
  <si>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160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два вытяжных отверстия для подсоединения в систему вентиляции , крепежные крюки и цепи для подвеса</t>
    </r>
  </si>
  <si>
    <r>
      <rPr>
        <sz val="10"/>
        <color theme="1"/>
        <rFont val="Times New Roman"/>
      </rPr>
      <t>522-103-0134-0026 - 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</si>
  <si>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</si>
  <si>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250/300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t>
    </r>
  </si>
  <si>
    <r>
      <rPr>
        <sz val="10"/>
        <color theme="1"/>
        <rFont val="Times New Roman"/>
      </rPr>
      <t>522-103-0134-0027 - 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</si>
  <si>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</si>
  <si>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r>
  </si>
  <si>
    <r>
      <rPr>
        <sz val="10"/>
        <color theme="1"/>
        <rFont val="Times New Roman"/>
      </rPr>
      <t>522-103-0134-0028 - 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</si>
  <si>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</si>
  <si>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</si>
  <si>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522-103-0134-0029 - 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</si>
  <si>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</si>
  <si>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</si>
  <si>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522-103-0134-0030 - 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</si>
  <si>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</si>
  <si>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</si>
  <si>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522-103-0134-0031 - 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</si>
  <si>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</si>
  <si>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</si>
  <si>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522-103-0134-0032 - 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</si>
  <si>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</si>
  <si>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</si>
  <si>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522-103-0134-0033 - 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</si>
  <si>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</si>
  <si>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r>
  </si>
  <si>
    <r>
      <rPr>
        <sz val="10"/>
        <color theme="1"/>
        <rFont val="Times New Roman"/>
      </rPr>
      <t>522-103-0134-0034 - 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</si>
  <si>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</si>
  <si>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r>
  </si>
  <si>
    <r>
      <rPr>
        <sz val="10"/>
        <color theme="1"/>
        <rFont val="Times New Roman"/>
      </rPr>
      <t>522-103-0134-0035 - 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</si>
  <si>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</si>
  <si>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t>
    </r>
  </si>
  <si>
    <r>
      <rPr>
        <sz val="10"/>
        <color theme="1"/>
        <rFont val="Times New Roman"/>
      </rPr>
      <t>522-103-0134-0036 - 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</si>
  <si>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</si>
  <si>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r>
  </si>
  <si>
    <r>
      <rPr>
        <sz val="10"/>
        <color theme="1"/>
        <rFont val="Times New Roman"/>
      </rPr>
      <t>522-103-0134-0037 - 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r>
  </si>
  <si>
    <t>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</si>
  <si>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r>
  </si>
  <si>
    <r>
      <rPr>
        <sz val="10"/>
        <color theme="1"/>
        <rFont val="Times New Roman"/>
      </rPr>
      <t>522-103-0134-0038 - 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</si>
  <si>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</si>
  <si>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400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вытяжное отверстие для подсоединения в систему вентиляции, крепежные крюки и цепи для подвеса</t>
    </r>
  </si>
  <si>
    <r>
      <rPr>
        <sz val="10"/>
        <color theme="1"/>
        <rFont val="Times New Roman"/>
      </rPr>
      <t>522-103-0134-0039 - 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r>
  </si>
  <si>
    <t>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</si>
  <si>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крепежные крюки и цепи для подвеса</t>
    </r>
  </si>
  <si>
    <r>
      <rPr>
        <sz val="10"/>
        <color theme="1"/>
        <rFont val="Times New Roman"/>
      </rPr>
      <t>522-103-0134-0040 - 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r>
  </si>
  <si>
    <t>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</si>
  <si>
    <r>
      <rPr>
        <sz val="10"/>
        <color theme="1"/>
        <rFont val="Times New Roman"/>
      </rPr>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 крепежные крюки и цепи для подвеса</t>
    </r>
  </si>
  <si>
    <r>
      <rPr>
        <sz val="10"/>
        <color rgb="FF000000"/>
        <rFont val="Times New Roman"/>
      </rPr>
      <t xml:space="preserve">522-103-0135-0004 - Зонт
</t>
    </r>
    <r>
      <rPr>
        <sz val="10"/>
        <color rgb="FF000000"/>
        <rFont val="Times New Roman"/>
      </rPr>
      <t xml:space="preserve">приточно-вытяжной островной из жаропрочной нержавеющей стали 1500х2300х350 мм, с
</t>
    </r>
    <r>
      <rPr>
        <sz val="10"/>
        <color rgb="FF000000"/>
        <rFont val="Times New Roman"/>
      </rPr>
      <t>жироуловителями, краном для слива конденсата, крепежными элементами</t>
    </r>
  </si>
  <si>
    <t>Зонт
приточно-вытяжной островной из жаропрочной нержавеющей стали 1500х2300х350 мм, с
жироуловителями, краном для слива конденсата, крепежными элементами</t>
  </si>
  <si>
    <r>
      <rPr>
        <sz val="10"/>
        <color theme="1"/>
        <rFont val="Times New Roman"/>
      </rPr>
      <t>Зонт приточно-вытяжной островной из жаропрочной нержавеющей стали 1500х2300х350 мм, с жироуловителями, краном для слива конденсата, крепежными элементами</t>
    </r>
  </si>
  <si>
    <r>
      <rPr>
        <sz val="10"/>
        <color rgb="FF000000"/>
        <rFont val="Times New Roman"/>
      </rPr>
      <t xml:space="preserve">522-103-0144-0001 - Колода
</t>
    </r>
    <r>
      <rPr>
        <sz val="10"/>
        <color rgb="FF000000"/>
        <rFont val="Times New Roman"/>
      </rPr>
      <t>разрубочная, размеры не менее 500х500х150мм</t>
    </r>
  </si>
  <si>
    <t>Колода
разрубочная, размеры не менее 500х500х150мм</t>
  </si>
  <si>
    <r>
      <rPr>
        <sz val="10"/>
        <color theme="1"/>
        <rFont val="Times New Roman"/>
      </rPr>
      <t>Материал столешницы дерево/полипропилен. Каркас выполнен из оцинкованной стали.</t>
    </r>
  </si>
  <si>
    <r>
      <rPr>
        <sz val="10"/>
        <color rgb="FF000000"/>
        <rFont val="Times New Roman"/>
      </rPr>
      <t xml:space="preserve">522-103-0144-0010 - Вешало для
</t>
    </r>
    <r>
      <rPr>
        <sz val="10"/>
        <color rgb="FF000000"/>
        <rFont val="Times New Roman"/>
      </rPr>
      <t>мясных туш ВМ-12,5-8-18ТН, размеры 1250х800х1800 мм, нержавеющая сталь, 1 поддон, 5 крючков для мяса</t>
    </r>
  </si>
  <si>
    <t>Вешало для
мясных туш ВМ-12,5-8-18ТН, размеры 1250х800х1800 мм, нержавеющая сталь, 1 поддон, 5 крючков для мяса</t>
  </si>
  <si>
    <r>
      <rPr>
        <sz val="10"/>
        <color theme="1"/>
        <rFont val="Times New Roman"/>
      </rPr>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r>
  </si>
  <si>
    <r>
      <rPr>
        <sz val="10"/>
        <color rgb="FF000000"/>
        <rFont val="Times New Roman"/>
      </rPr>
      <t xml:space="preserve">522-103-0144-0011 - Вешало для
</t>
    </r>
    <r>
      <rPr>
        <sz val="10"/>
        <color rgb="FF000000"/>
        <rFont val="Times New Roman"/>
      </rPr>
      <t>мясных туш ВМ-15-8-18ТН, размеры 1500х800х1800 мм, нержавеющая сталь, 1 поддон, 5 крючков для мяса</t>
    </r>
  </si>
  <si>
    <t>Вешало для
мясных туш ВМ-15-8-18ТН, размеры 1500х800х1800 мм, нержавеющая сталь, 1 поддон, 5 крючков для мяса</t>
  </si>
  <si>
    <r>
      <rPr>
        <sz val="10"/>
        <color theme="1"/>
        <rFont val="Times New Roman"/>
      </rPr>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r>
  </si>
  <si>
    <r>
      <rPr>
        <sz val="10"/>
        <color theme="1"/>
        <rFont val="Times New Roman"/>
      </rPr>
      <t>522-103-0167-0001 - Подтоварник, размеры не менее 1200х600х300мм</t>
    </r>
  </si>
  <si>
    <r>
      <rPr>
        <sz val="10"/>
        <color theme="1"/>
        <rFont val="Times New Roman"/>
      </rPr>
      <t>Материал каркаса из нержавеющей стали.</t>
    </r>
  </si>
  <si>
    <r>
      <rPr>
        <sz val="10"/>
        <color theme="1"/>
        <rFont val="Times New Roman"/>
      </rPr>
      <t>522-103-0167-0003 - Подтоварник кухонный ПТ-8/6УОЦ, размеры 800х600х300 мм, столешница из нержавеющей стали 0,8 мм, максимальная равномерно распределенная нагрузка на столешницу до 150 кг</t>
    </r>
  </si>
  <si>
    <r>
      <rPr>
        <sz val="10"/>
        <color rgb="FF000000"/>
        <rFont val="Times New Roman"/>
      </rPr>
      <t xml:space="preserve">Столешница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t>
    </r>
    <r>
      <rPr>
        <sz val="10"/>
        <color rgb="FF000000"/>
        <rFont val="Times New Roman"/>
      </rPr>
      <t xml:space="preserve">Регулируемые по высоте пластиковые опоры. Отступ ног 50 мм.
</t>
    </r>
    <r>
      <rPr>
        <sz val="10"/>
        <color rgb="FF000000"/>
        <rFont val="Times New Roman"/>
      </rPr>
      <t>Конструкция разборная.</t>
    </r>
  </si>
  <si>
    <r>
      <rPr>
        <sz val="10"/>
        <color theme="1"/>
        <rFont val="Times New Roman"/>
      </rPr>
      <t>522-103-0167-0004 - Подтоварник ПТ-10-6ТН, размеры 1000х600х300 мм, сплошная поверхность из нержавеющей стали</t>
    </r>
  </si>
  <si>
    <r>
      <rPr>
        <sz val="10"/>
        <color theme="1"/>
        <rFont val="Times New Roman"/>
      </rPr>
      <t>Сплошная поверхность из нержавеющей стали с лагами усиления, каркас труба 40х40 мм нерж сталь, пластиковые регулируемые опоры</t>
    </r>
  </si>
  <si>
    <r>
      <rPr>
        <sz val="10"/>
        <color theme="1"/>
        <rFont val="Times New Roman"/>
      </rPr>
      <t>522-103-0167-0005 - Подтоварник ПТ-12-6ТН, размеры 1200х600х300 мм, сплошная поверхность из нержавеющей стали</t>
    </r>
  </si>
  <si>
    <r>
      <rPr>
        <sz val="10"/>
        <color theme="1"/>
        <rFont val="Times New Roman"/>
      </rPr>
      <t>Сплошная поверхность из нержавеющей стали с лагами усиления, каркас труба 40х40 мм нерж сталь, пластиковые регулируемые опоры</t>
    </r>
  </si>
  <si>
    <r>
      <rPr>
        <sz val="10"/>
        <color theme="1"/>
        <rFont val="Times New Roman"/>
      </rPr>
      <t>522-103-0167-0006 - Подтоварник ПТ-12-6УН, размеры 1200х600х300 мм, сплошная поверхность из нержавеющей стали</t>
    </r>
  </si>
  <si>
    <r>
      <rPr>
        <sz val="10"/>
        <color theme="1"/>
        <rFont val="Times New Roman"/>
      </rPr>
      <t>Сплошная поверхность из нержавеющей стали с лагами усиления. Ножки (гнутый уголок 40х40 мм) толщиной 1,5мм нерж сталь. Пластиковые регулируемые опоры.</t>
    </r>
  </si>
  <si>
    <r>
      <rPr>
        <sz val="10"/>
        <color rgb="FF000000"/>
        <rFont val="Times New Roman"/>
      </rPr>
      <t xml:space="preserve">522-103-0176-0013 - Стол для
</t>
    </r>
    <r>
      <rPr>
        <sz val="10"/>
        <color rgb="FF000000"/>
        <rFont val="Times New Roman"/>
      </rPr>
      <t xml:space="preserve">очистки овощей СО-12-8УОЦ, размеры 1200х800х870 мм.
</t>
    </r>
    <r>
      <rPr>
        <sz val="10"/>
        <color rgb="FF000000"/>
        <rFont val="Times New Roman"/>
      </rPr>
      <t>Оснащен 3 бортами, столешница из нержавеющей стали, отверстие для сбора крупных отходов диаметром 200 мм</t>
    </r>
  </si>
  <si>
    <t>Стол для
очистки овощей СО-12-8УОЦ, размеры 1200х800х870 мм.
Оснащен 3 бортами, столешница из нержавеющей стали, отверстие для сбора крупных отходов диаметром 200 мм</t>
  </si>
  <si>
    <r>
      <rPr>
        <sz val="10"/>
        <color rgb="FF000000"/>
        <rFont val="Times New Roman"/>
      </rPr>
      <t xml:space="preserve">Оснащен 3 бортами, столешница выполнена из нержавеющей стали AISI 430 и укреплена с внутренней стороны листом ламинированной
</t>
    </r>
    <r>
      <rPr>
        <sz val="10"/>
        <color rgb="FF000000"/>
        <rFont val="Times New Roman"/>
      </rPr>
      <t>древесно-стружечной плиты , каркас - из оцинкованной стали толщиной 1,2 мм. Отверстие для сбора крупных отходов диаметром 200 мм. Размеры ванны 1000х250х200 мм.</t>
    </r>
  </si>
  <si>
    <r>
      <rPr>
        <sz val="10"/>
        <color rgb="FF000000"/>
        <rFont val="Times New Roman"/>
      </rPr>
      <t xml:space="preserve">522-103-0177-0001 - Ларь для
</t>
    </r>
    <r>
      <rPr>
        <sz val="10"/>
        <color rgb="FF000000"/>
        <rFont val="Times New Roman"/>
      </rPr>
      <t>овощей ЛО 10-6-8,5, размеры 1000х600х850 мм, оцинкованная сталь 0,7 мм; четыре регулируемые по высоте пластиковые опоры</t>
    </r>
  </si>
  <si>
    <t>Ларь для
овощей ЛО 10-6-8,5, размеры 1000х600х850 мм, оцинкованная сталь 0,7 мм; четыре регулируемые по высоте пластиковые опоры</t>
  </si>
  <si>
    <r>
      <rPr>
        <sz val="10"/>
        <color theme="1"/>
        <rFont val="Times New Roman"/>
      </rPr>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r>
  </si>
  <si>
    <r>
      <rPr>
        <sz val="10"/>
        <color rgb="FF000000"/>
        <rFont val="Times New Roman"/>
      </rPr>
      <t xml:space="preserve">522-103-0177-0002 - Ларь для
</t>
    </r>
    <r>
      <rPr>
        <sz val="10"/>
        <color rgb="FF000000"/>
        <rFont val="Times New Roman"/>
      </rPr>
      <t>овощей ЛО 12-6-8,5, размеры 1200х600х850 мм, оцинкованная сталь 0,7 мм; четыре регулируемые по высоте пластиковые опоры</t>
    </r>
  </si>
  <si>
    <t>Ларь для
овощей ЛО 12-6-8,5, размеры 1200х600х850 мм, оцинкованная сталь 0,7 мм; четыре регулируемые по высоте пластиковые опоры</t>
  </si>
  <si>
    <r>
      <rPr>
        <sz val="10"/>
        <color theme="1"/>
        <rFont val="Times New Roman"/>
      </rPr>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r>
  </si>
  <si>
    <r>
      <rPr>
        <sz val="10"/>
        <color rgb="FF000000"/>
        <rFont val="Times New Roman"/>
      </rPr>
      <t xml:space="preserve">522-103-0178-0001 - Стол
</t>
    </r>
    <r>
      <rPr>
        <sz val="10"/>
        <color rgb="FF000000"/>
        <rFont val="Times New Roman"/>
      </rPr>
      <t xml:space="preserve">производственный с бортом СПБ-6-6УН, борт не менее 40 мм,
</t>
    </r>
    <r>
      <rPr>
        <sz val="10"/>
        <color rgb="FF000000"/>
        <rFont val="Times New Roman"/>
      </rPr>
      <t>размеры 600х600х850 мм, столешница из нержавеющей стали 0,8 мм, усиленная ДСП 16 мм, без полки</t>
    </r>
  </si>
  <si>
    <t>Стол
производственный с бортом СПБ-6-6УН, борт не менее 40 мм,
размеры 600х600х850 мм, столешница из нержавеющей стали 0,8 мм, усиленная ДСП 16 мм, без полки</t>
  </si>
  <si>
    <r>
      <rPr>
        <sz val="10"/>
        <color theme="1"/>
        <rFont val="Times New Roman"/>
      </rPr>
      <t>Нижняя обвязка полукругом под емкость, подступ под коммуникации 100 мм, 4 ножки уголок 40х40 мм из нержавеющей стали, толщиной не менее 1,5 мм, 4 регулируемые по высоте опоры.</t>
    </r>
  </si>
  <si>
    <r>
      <rPr>
        <sz val="10"/>
        <color rgb="FF000000"/>
        <rFont val="Times New Roman"/>
      </rPr>
      <t xml:space="preserve">522-103-0178-0002 - Стол
</t>
    </r>
    <r>
      <rPr>
        <sz val="10"/>
        <color rgb="FF000000"/>
        <rFont val="Times New Roman"/>
      </rPr>
      <t xml:space="preserve">производственный с бортом СПБ-10-6УН, борт не менее 40 мм,
</t>
    </r>
    <r>
      <rPr>
        <sz val="10"/>
        <color rgb="FF000000"/>
        <rFont val="Times New Roman"/>
      </rPr>
      <t>размеры 1000х600х850 мм, столешница и сплошная нижняя полка из нержавеющей стали 0,8 мм, усиленные ДСП 16 мм</t>
    </r>
  </si>
  <si>
    <t>Стол
производственный с бортом СПБ-10-6УН, борт не менее 40 мм,
размеры 1000х600х850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</si>
  <si>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</si>
  <si>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522-103-0178-0003 - Стол
</t>
    </r>
    <r>
      <rPr>
        <sz val="10"/>
        <color rgb="FF000000"/>
        <rFont val="Times New Roman"/>
      </rPr>
      <t xml:space="preserve">производственный с бортом СПБ-12-6УН, борт не менее 40 мм,
</t>
    </r>
    <r>
      <rPr>
        <sz val="10"/>
        <color rgb="FF000000"/>
        <rFont val="Times New Roman"/>
      </rPr>
      <t>размеры 1200х600х850 мм, столешница и сплошная нижняя полка из нержавеющей стали 0,8 мм, усиленные ДСП 16 мм</t>
    </r>
  </si>
  <si>
    <t>Стол
производственный с бортом СПБ-12-6УН, борт не менее 40 мм,
размеры 1200х600х850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</si>
  <si>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</si>
  <si>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522-103-0178-0004 - Стол
</t>
    </r>
    <r>
      <rPr>
        <sz val="10"/>
        <color rgb="FF000000"/>
        <rFont val="Times New Roman"/>
      </rPr>
      <t xml:space="preserve">производственный с бортом СПБ-15-6УН, борт не менее 40 мм,
</t>
    </r>
    <r>
      <rPr>
        <sz val="10"/>
        <color rgb="FF000000"/>
        <rFont val="Times New Roman"/>
      </rPr>
      <t>размеры 1500х600х850 мм, столешница и сплошная нижняя полка из нержавеющей стали толщиной 0,8 мм, усиленные ДСП 16 мм</t>
    </r>
  </si>
  <si>
    <t>Стол
производственный с бортом СПБ-15-6УН, борт не менее 40 мм,
размеры 1500х600х850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</si>
  <si>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</si>
  <si>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522-103-0178-0005 - Стол
</t>
    </r>
    <r>
      <rPr>
        <sz val="10"/>
        <color rgb="FF000000"/>
        <rFont val="Times New Roman"/>
      </rPr>
      <t xml:space="preserve">производственный с бортом СПБ-17-6УН, борт не менее 40 мм,
</t>
    </r>
    <r>
      <rPr>
        <sz val="10"/>
        <color rgb="FF000000"/>
        <rFont val="Times New Roman"/>
      </rPr>
      <t>размеры 1700х600х850 мм, столешница и сплошная нижняя полка из нержавеющей стали 0,8 мм, усиленные ДСП 16 мм</t>
    </r>
  </si>
  <si>
    <t>Стол
производственный с бортом СПБ-17-6УН, борт не менее 40 мм,
размеры 1700х600х850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</si>
  <si>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</si>
  <si>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522-103-0178-0006 - Стол
</t>
    </r>
    <r>
      <rPr>
        <sz val="10"/>
        <color rgb="FF000000"/>
        <rFont val="Times New Roman"/>
      </rPr>
      <t xml:space="preserve">производственный с бортом СПБ-13-7УН, борт не менее 40 мм,
</t>
    </r>
    <r>
      <rPr>
        <sz val="10"/>
        <color rgb="FF000000"/>
        <rFont val="Times New Roman"/>
      </rPr>
      <t>размеры 1300х700х850 мм, столешница и сплошная нижняя полка из нержавеющей стали толщиной 0,8 мм, усиленные ДСП 16 мм</t>
    </r>
  </si>
  <si>
    <t>Стол
производственный с бортом СПБ-13-7УН, борт не менее 40 мм,
размеры 1300х700х850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</si>
  <si>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</si>
  <si>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522-103-0178-0007 - Стол
</t>
    </r>
    <r>
      <rPr>
        <sz val="10"/>
        <color rgb="FF000000"/>
        <rFont val="Times New Roman"/>
      </rPr>
      <t xml:space="preserve">производственный с бортом СПБ-17-7УН, борт не менее 40 мм,
</t>
    </r>
    <r>
      <rPr>
        <sz val="10"/>
        <color rgb="FF000000"/>
        <rFont val="Times New Roman"/>
      </rPr>
      <t>размеры 1700х700х850 мм, столешница и сплошная нижняя полка из нержавеющей стали 0,8 мм, усиленные ДСП 16 мм</t>
    </r>
  </si>
  <si>
    <t>Стол
производственный с бортом СПБ-17-7УН, борт не менее 40 мм,
размеры 1700х700х850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</si>
  <si>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</si>
  <si>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522-103-0178-0008 - Стол
</t>
    </r>
    <r>
      <rPr>
        <sz val="10"/>
        <color rgb="FF000000"/>
        <rFont val="Times New Roman"/>
      </rPr>
      <t xml:space="preserve">производственный с бортом СПБ-18-7УН, борт не менее 40 мм,
</t>
    </r>
    <r>
      <rPr>
        <sz val="10"/>
        <color rgb="FF000000"/>
        <rFont val="Times New Roman"/>
      </rPr>
      <t>размеры 1800х700х850 мм, столешница и сплошная нижняя полка из нержавеющей стали 0,8 мм, усиленные ДСП 16 мм</t>
    </r>
  </si>
  <si>
    <t>Стол
производственный с бортом СПБ-18-7УН, борт не менее 40 мм,
размеры 1800х700х850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</si>
  <si>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</si>
  <si>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522-103-0178-0009 - Стол
</t>
    </r>
    <r>
      <rPr>
        <sz val="10"/>
        <color rgb="FF000000"/>
        <rFont val="Times New Roman"/>
      </rPr>
      <t xml:space="preserve">производственный с бортом СПБ-10-6ТН, борт не менее 40 мм,
</t>
    </r>
    <r>
      <rPr>
        <sz val="10"/>
        <color rgb="FF000000"/>
        <rFont val="Times New Roman"/>
      </rPr>
      <t>размеры 1000х600х850 мм, столешница и сплошная нижняя полка из нержавеющей стали толщиной 0,8 мм, усиленные ДСП 16 мм</t>
    </r>
  </si>
  <si>
    <t>Стол
производственный с бортом СПБ-10-6ТН, борт не менее 40 мм,
размеры 1000х600х850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</si>
  <si>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</si>
  <si>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522-103-0178-0010 - Стол
</t>
    </r>
    <r>
      <rPr>
        <sz val="10"/>
        <color rgb="FF000000"/>
        <rFont val="Times New Roman"/>
      </rPr>
      <t xml:space="preserve">производственный с бортом СПБ-12-6ТН, борт не менее 40 мм,
</t>
    </r>
    <r>
      <rPr>
        <sz val="10"/>
        <color rgb="FF000000"/>
        <rFont val="Times New Roman"/>
      </rPr>
      <t>размеры 1200х600х850 мм, столешница и сплошная нижняя полка из нержавеющей стали толщиной 0,8 мм, усиленные ДСП 16 мм</t>
    </r>
  </si>
  <si>
    <t>Стол
производственный с бортом СПБ-12-6ТН, борт не менее 40 мм,
размеры 1200х600х850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</si>
  <si>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</si>
  <si>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522-103-0178-0011 - Стол
</t>
    </r>
    <r>
      <rPr>
        <sz val="10"/>
        <color rgb="FF000000"/>
        <rFont val="Times New Roman"/>
      </rPr>
      <t xml:space="preserve">производственный с бортом СПБ-13-6ТН, борт не менее 40 мм,
</t>
    </r>
    <r>
      <rPr>
        <sz val="10"/>
        <color rgb="FF000000"/>
        <rFont val="Times New Roman"/>
      </rPr>
      <t>размеры 1300х600х850 мм, столешница и сплошная нижняя полка из нержавеющей стали толщиной 0,8 мм, усиленные ДСП 16 мм</t>
    </r>
  </si>
  <si>
    <t>Стол
производственный с бортом СПБ-13-6ТН, борт не менее 40 мм,
размеры 1300х600х850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</si>
  <si>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</si>
  <si>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522-103-0178-0012 - Стол
</t>
    </r>
    <r>
      <rPr>
        <sz val="10"/>
        <color rgb="FF000000"/>
        <rFont val="Times New Roman"/>
      </rPr>
      <t xml:space="preserve">производственный с бортом СПБ-15-6ТН, борт не менее 40 мм,
</t>
    </r>
    <r>
      <rPr>
        <sz val="10"/>
        <color rgb="FF000000"/>
        <rFont val="Times New Roman"/>
      </rPr>
      <t>размеры 1500х600х850 мм, столешница и сплошная нижняя полка из нержавеющей стали толщиной 0,8 мм, усиленные ДСП 16 мм</t>
    </r>
  </si>
  <si>
    <t>Стол
производственный с бортом СПБ-15-6ТН, борт не менее 40 мм,
размеры 1500х600х850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</si>
  <si>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</si>
  <si>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522-103-0178-0013 - Стол
</t>
    </r>
    <r>
      <rPr>
        <sz val="10"/>
        <color rgb="FF000000"/>
        <rFont val="Times New Roman"/>
      </rPr>
      <t xml:space="preserve">производственный с бортом СПБ-16-6ТН, борт не менее 40 мм,
</t>
    </r>
    <r>
      <rPr>
        <sz val="10"/>
        <color rgb="FF000000"/>
        <rFont val="Times New Roman"/>
      </rPr>
      <t>размеры 1600х600х850 мм, столешница и сплошная нижняя полка из нержавеющей стали толщиной 0,8 мм, усиленные ДСП 16 мм</t>
    </r>
  </si>
  <si>
    <t>Стол
производственный с бортом СПБ-16-6ТН, борт не менее 40 мм,
размеры 1600х600х850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</si>
  <si>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</si>
  <si>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522-103-0178-0014 - Стол
</t>
    </r>
    <r>
      <rPr>
        <sz val="10"/>
        <color rgb="FF000000"/>
        <rFont val="Times New Roman"/>
      </rPr>
      <t xml:space="preserve">производственный с бортом СПБ-17-6ТН, борт не менее 40 мм,
</t>
    </r>
    <r>
      <rPr>
        <sz val="10"/>
        <color rgb="FF000000"/>
        <rFont val="Times New Roman"/>
      </rPr>
      <t>размеры 1700х600х850 мм, столешница и сплошная нижняя полка из нержавеющей стали толщиной 0,8 мм, усиленные ДСП 16 мм</t>
    </r>
  </si>
  <si>
    <t>Стол
производственный с бортом СПБ-17-6ТН, борт не менее 40 мм,
размеры 1700х600х850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</si>
  <si>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</si>
  <si>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522-103-0178-0015 - Стол
</t>
    </r>
    <r>
      <rPr>
        <sz val="10"/>
        <color rgb="FF000000"/>
        <rFont val="Times New Roman"/>
      </rPr>
      <t xml:space="preserve">производственный с бортом СПБ-7-7ТН, борт не менее 40 мм,
</t>
    </r>
    <r>
      <rPr>
        <sz val="10"/>
        <color rgb="FF000000"/>
        <rFont val="Times New Roman"/>
      </rPr>
      <t>размеры 700х700х850 мм, столешница и сплошная нижняя полка из нержавеющей стали толщиной 0,8 мм, усиленные ДСП 16 мм</t>
    </r>
  </si>
  <si>
    <t>Стол
производственный с бортом СПБ-7-7ТН, борт не менее 40 мм,
размеры 700х700х850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</si>
  <si>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</si>
  <si>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522-103-0178-0016 - Стол
</t>
    </r>
    <r>
      <rPr>
        <sz val="10"/>
        <color rgb="FF000000"/>
        <rFont val="Times New Roman"/>
      </rPr>
      <t xml:space="preserve">производственный с бортом СПБ-10-7ТН, борт не менее 40 мм,
</t>
    </r>
    <r>
      <rPr>
        <sz val="10"/>
        <color rgb="FF000000"/>
        <rFont val="Times New Roman"/>
      </rPr>
      <t>размеры 1000х700х850 мм, столешница и сплошная нижняя полка из нержавеющей стали толщиной 0,8 мм, усиленные ДСП 16 мм</t>
    </r>
  </si>
  <si>
    <t>Стол
производственный с бортом СПБ-10-7ТН, борт не менее 40 мм,
размеры 1000х700х850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</si>
  <si>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</si>
  <si>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522-103-0178-0017 - Стол
</t>
    </r>
    <r>
      <rPr>
        <sz val="10"/>
        <color rgb="FF000000"/>
        <rFont val="Times New Roman"/>
      </rPr>
      <t xml:space="preserve">производственный с бортом СПБ-12-7ТН, борт не менее 40 мм,
</t>
    </r>
    <r>
      <rPr>
        <sz val="10"/>
        <color rgb="FF000000"/>
        <rFont val="Times New Roman"/>
      </rPr>
      <t>размеры 1200х700х850 мм, столешница и сплошная нижняя полка из нержавеющей стали толщиной 0,8 мм, усиленные ДСП 16 мм</t>
    </r>
  </si>
  <si>
    <t>Стол
производственный с бортом СПБ-12-7ТН, борт не менее 40 мм,
размеры 1200х700х850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</si>
  <si>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</si>
  <si>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522-103-0178-0018 - Стол
</t>
    </r>
    <r>
      <rPr>
        <sz val="10"/>
        <color rgb="FF000000"/>
        <rFont val="Times New Roman"/>
      </rPr>
      <t xml:space="preserve">производственный с бортом СПБ-13-7ТН, борт не менее 40 мм,
</t>
    </r>
    <r>
      <rPr>
        <sz val="10"/>
        <color rgb="FF000000"/>
        <rFont val="Times New Roman"/>
      </rPr>
      <t>размеры 1300х700х850 мм, столешница и сплошная нижняя полка из нержавеющей стали толщиной 0,8 мм, усиленные ДСП 16 мм</t>
    </r>
  </si>
  <si>
    <t>Стол
производственный с бортом СПБ-13-7ТН, борт не менее 40 мм,
размеры 1300х700х850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</si>
  <si>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</si>
  <si>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522-103-0178-0019 - Стол
</t>
    </r>
    <r>
      <rPr>
        <sz val="10"/>
        <color rgb="FF000000"/>
        <rFont val="Times New Roman"/>
      </rPr>
      <t xml:space="preserve">производственный с бортом СПБ-15-7ТН, борт не менее 40 мм,
</t>
    </r>
    <r>
      <rPr>
        <sz val="10"/>
        <color rgb="FF000000"/>
        <rFont val="Times New Roman"/>
      </rPr>
      <t>размеры 1500х700х850 мм, столешница и сплошная нижняя полка из нержавеющей стали толщиной 0,8 мм, усиленные ДСП 16 мм</t>
    </r>
  </si>
  <si>
    <t>Стол
производственный с бортом СПБ-15-7ТН, борт не менее 40 мм,
размеры 1500х700х850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</si>
  <si>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</si>
  <si>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522-103-0178-0020 - Стол
</t>
    </r>
    <r>
      <rPr>
        <sz val="10"/>
        <color rgb="FF000000"/>
        <rFont val="Times New Roman"/>
      </rPr>
      <t xml:space="preserve">производственный с бортом СПБ-17-7ТН, борт не менее 40 мм,
</t>
    </r>
    <r>
      <rPr>
        <sz val="10"/>
        <color rgb="FF000000"/>
        <rFont val="Times New Roman"/>
      </rPr>
      <t>размеры 1700х700х850 мм, столешница и сплошная нижняя полка из нержавеющей стали толщиной 0,8 мм, усиленные ДСП 16 мм</t>
    </r>
  </si>
  <si>
    <t>Стол
производственный с бортом СПБ-17-7ТН, борт не менее 40 мм,
размеры 1700х700х850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</si>
  <si>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</si>
  <si>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522-103-0178-0021 - Стол
</t>
    </r>
    <r>
      <rPr>
        <sz val="10"/>
        <color rgb="FF000000"/>
        <rFont val="Times New Roman"/>
      </rPr>
      <t xml:space="preserve">производственный с бортом СПБ-18-7ТН, борт не менее 40 мм,
</t>
    </r>
    <r>
      <rPr>
        <sz val="10"/>
        <color rgb="FF000000"/>
        <rFont val="Times New Roman"/>
      </rPr>
      <t>размеры 1800х700х850 мм, столешница и сплошная нижняя полка из нержавеющей стали толщиной 0,8 мм, усиленные ДСП 16 мм</t>
    </r>
  </si>
  <si>
    <t>Стол
производственный с бортом СПБ-18-7ТН, борт не менее 40 мм,
размеры 1800х700х850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</si>
  <si>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</si>
  <si>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522-103-0178-0022 - Стол
</t>
    </r>
    <r>
      <rPr>
        <sz val="10"/>
        <color rgb="FF000000"/>
        <rFont val="Times New Roman"/>
      </rPr>
      <t xml:space="preserve">производственный с бортом СПБ-20-7ТН, борт не менее 40 мм,
</t>
    </r>
    <r>
      <rPr>
        <sz val="10"/>
        <color rgb="FF000000"/>
        <rFont val="Times New Roman"/>
      </rPr>
      <t>размеры 2000х700х850 мм, столешница и сплошная нижняя полка из нержавеющей стали толщиной 0,8 мм, усиленные ДСП 16 мм</t>
    </r>
  </si>
  <si>
    <t>Стол
производственный с бортом СПБ-20-7ТН, борт не менее 40 мм,
размеры 2000х700х850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</si>
  <si>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</si>
  <si>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522-103-0178-0023 - Стол
</t>
    </r>
    <r>
      <rPr>
        <sz val="10"/>
        <color rgb="FF000000"/>
        <rFont val="Times New Roman"/>
      </rPr>
      <t xml:space="preserve">производственный с бортом СПБ-12-8ТН, борт не менее 40 мм,
</t>
    </r>
    <r>
      <rPr>
        <sz val="10"/>
        <color rgb="FF000000"/>
        <rFont val="Times New Roman"/>
      </rPr>
      <t>размеры 1200х800х850 мм, столешница и сплошная нижняя полка из нержавеющей стали толщиной 0,8 мм, усиленные ДСП 16 мм</t>
    </r>
  </si>
  <si>
    <t>Стол
производственный с бортом СПБ-12-8ТН, борт не менее 40 мм,
размеры 1200х800х850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</si>
  <si>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</si>
  <si>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522-103-0178-0024 - Стол
</t>
    </r>
    <r>
      <rPr>
        <sz val="10"/>
        <color rgb="FF000000"/>
        <rFont val="Times New Roman"/>
      </rPr>
      <t xml:space="preserve">производственный с бортом СПБ-12,5-8ТН, борт не менее 40 мм,
</t>
    </r>
    <r>
      <rPr>
        <sz val="10"/>
        <color rgb="FF000000"/>
        <rFont val="Times New Roman"/>
      </rPr>
      <t>размеры 1250х800х850 мм, столешница и сплошная нижняя полка из нержавеющей стали толщиной 0,8 мм, усиленные ДСП 16 мм</t>
    </r>
  </si>
  <si>
    <t>Стол
производственный с бортом СПБ-12,5-8ТН, борт не менее 40 мм,
размеры 1250х800х850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</si>
  <si>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</si>
  <si>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522-103-0178-0025 - Стол
</t>
    </r>
    <r>
      <rPr>
        <sz val="10"/>
        <color rgb="FF000000"/>
        <rFont val="Times New Roman"/>
      </rPr>
      <t>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r>
  </si>
  <si>
    <t>Стол
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</si>
  <si>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</si>
  <si>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522-103-0178-0026 - Стол
</t>
    </r>
    <r>
      <rPr>
        <sz val="10"/>
        <color rgb="FF000000"/>
        <rFont val="Times New Roman"/>
      </rPr>
      <t xml:space="preserve">производственный с бортом СПБ-10-6УОЦ, борт не менее 45 мм, размеры 1000х600х850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</si>
  <si>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СПБ-10-6УОЦ, борт не менее 45 мм, размеры 1000х600х850 мм,
столешница из нержавеющей стали 0,8 мм, усиленная ДСП толщиной 16 мм; полка</t>
  </si>
  <si>
    <t>решетка из оцинкованной стали 0,7 мм</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</si>
  <si>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</si>
  <si>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522-103-0178-0027 - Стол
</t>
    </r>
    <r>
      <rPr>
        <sz val="10"/>
        <color rgb="FF000000"/>
        <rFont val="Times New Roman"/>
      </rPr>
      <t xml:space="preserve">производственный с бортом СПБ-12-6УОЦ, борт не менее 45 мм, размеры 1200х600х850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</si>
  <si>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СПБ-12-6УОЦ, борт не менее 45 мм, размеры 1200х600х850 мм,
столешница из нержавеющей стали 0,8 мм, усиленная ДСП толщиной 16 мм; полка</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</si>
  <si>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</si>
  <si>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522-103-0178-0028 - Стол
</t>
    </r>
    <r>
      <rPr>
        <sz val="10"/>
        <color rgb="FF000000"/>
        <rFont val="Times New Roman"/>
      </rPr>
      <t xml:space="preserve">производственный с бортом СПБ-13-6УОЦ, борт не менее 45 мм, размеры 1300х600х850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</si>
  <si>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СПБ-13-6УОЦ, борт не менее 45 мм, размеры 1300х600х850 мм,
столешница из нержавеющей стали 0,8 мм, усиленная ДСП толщиной 16 мм; полка</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</si>
  <si>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</si>
  <si>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522-103-0178-0029 - Стол
</t>
    </r>
    <r>
      <rPr>
        <sz val="10"/>
        <color rgb="FF000000"/>
        <rFont val="Times New Roman"/>
      </rPr>
      <t xml:space="preserve">производственный с бортом СПБ-С-15/6, борт не менее 45 мм,
</t>
    </r>
    <r>
      <rPr>
        <sz val="10"/>
        <color rgb="FF000000"/>
        <rFont val="Times New Roman"/>
      </rPr>
      <t>размеры 1500х600х850 мм, столешница из нержавеющей стали 0,8 мм, усиленная ДСП толщиной 16 мм; полка - решетка из оцинкованной стали 0,7 мм</t>
    </r>
  </si>
  <si>
    <t>Стол
производственный с бортом СПБ-С-15/6, борт не менее 45 мм,
размеры 1500х600х850 мм, столешница из нержавеющей стали 0,8 мм, усиленная ДСП толщиной 16 мм; полка</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</si>
  <si>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</si>
  <si>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522-103-0178-0030 - Стол
</t>
    </r>
    <r>
      <rPr>
        <sz val="10"/>
        <color rgb="FF000000"/>
        <rFont val="Times New Roman"/>
      </rPr>
      <t xml:space="preserve">производственный с бортом СПБ-12-7УОЦ, борт не менее 45 мм, размеры 1200х700х850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</si>
  <si>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СПБ-12-7УОЦ, борт не менее 45 мм, размеры 1200х700х850 мм,
столешница из нержавеющей стали 0,8 мм, усиленная ДСП толщиной 16 мм; полка</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</si>
  <si>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</si>
  <si>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522-103-0178-0031 - Стол
</t>
    </r>
    <r>
      <rPr>
        <sz val="10"/>
        <color rgb="FF000000"/>
        <rFont val="Times New Roman"/>
      </rPr>
      <t xml:space="preserve">производственный с бортом СПБ-14-7УОЦ, борт не менее 45 мм, размеры 1400х700х850 мм,
</t>
    </r>
    <r>
      <rPr>
        <sz val="10"/>
        <color rgb="FF000000"/>
        <rFont val="Times New Roman"/>
      </rPr>
      <t>столешница из нержавеющей стали 0,8 мм, усиленная ДСП толщиной 16 мм; полка - решетка из оцинкованной стали 0,7 мм</t>
    </r>
  </si>
  <si>
    <t>Стол
производственный с бортом СПБ-14-7УОЦ, борт не менее 45 мм, размеры 1400х700х850 мм,
столешница из нержавеющей стали 0,8 мм, усиленная ДСП толщиной 16 мм; полка</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</si>
  <si>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</si>
  <si>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522-103-0178-0032 - Стол
</t>
    </r>
    <r>
      <rPr>
        <sz val="10"/>
        <color rgb="FF000000"/>
        <rFont val="Times New Roman"/>
      </rPr>
      <t xml:space="preserve">производственный с бортом СПБ-15-7УОЦ, борт не менее 45 мм, размеры 1500х700х850 мм,
</t>
    </r>
    <r>
      <rPr>
        <sz val="10"/>
        <color rgb="FF000000"/>
        <rFont val="Times New Roman"/>
      </rPr>
      <t xml:space="preserve">столешница из нержавеющей стали
</t>
    </r>
    <r>
      <rPr>
        <sz val="10"/>
        <color rgb="FF000000"/>
        <rFont val="Times New Roman"/>
      </rPr>
      <t>0.8 мм, усиленная ДСП толщиной 16 мм; полка - решетка из оцинкованной стали 0,7 мм</t>
    </r>
  </si>
  <si>
    <t>Стол
производственный с бортом СПБ-15-7УОЦ, борт не менее 45 мм, размеры 1500х700х850 мм,
столешница из нержавеющей стали
0.8 мм, усиленная ДСП толщиной 16 мм; полка</t>
  </si>
  <si>
    <r>
      <rPr>
        <sz val="10"/>
        <color theme="1"/>
        <rFont val="Times New Roman"/>
      </rPr>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</si>
  <si>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522-103-0179-0001 - Стол
</t>
    </r>
    <r>
      <rPr>
        <sz val="10"/>
        <color rgb="FF000000"/>
        <rFont val="Times New Roman"/>
      </rPr>
      <t>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r>
  </si>
  <si>
    <t>Стол
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</si>
  <si>
    <r>
      <rPr>
        <sz val="10"/>
        <color theme="1"/>
        <rFont val="Times New Roman"/>
      </rPr>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полка-решетка из оцинкованной стали толщиной 0,7 мм. Регулируемые по высоте пластиковые опоры. Отступ ног 50 мм.</t>
    </r>
  </si>
  <si>
    <r>
      <rPr>
        <sz val="10"/>
        <color rgb="FF000000"/>
        <rFont val="Times New Roman"/>
      </rPr>
      <t xml:space="preserve">522-103-0179-0002 - Стол
</t>
    </r>
    <r>
      <rPr>
        <sz val="10"/>
        <color rgb="FF000000"/>
        <rFont val="Times New Roman"/>
      </rPr>
      <t>производственный СП-17-7УОЦ без борта, размеры 1700х700х850 мм, столешница из нержавеющей стали 0,8 мм, усиленная ДСП толщиной 16 мм; полка - решетка из оцинкованной стали 0,7 мм</t>
    </r>
  </si>
  <si>
    <t>Стол
производственный СП-17-7УОЦ без борта, размеры 1700х700х850 мм, столешница из нержавеющей стали 0,8 мм, усиленная ДСП толщиной 16 мм; полка</t>
  </si>
  <si>
    <r>
      <rPr>
        <sz val="10"/>
        <color theme="1"/>
        <rFont val="Times New Roman"/>
      </rPr>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</si>
  <si>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522-103-0179-0003 - Стол
</t>
    </r>
    <r>
      <rPr>
        <sz val="10"/>
        <color rgb="FF000000"/>
        <rFont val="Times New Roman"/>
      </rPr>
      <t>производственный СП-12-6УОЦ без борта, размеры 1200х600х850 мм, столешница из нержавеющей стали 0,8 мм, усиленная ДСП толщиной 16 мм; полка - сплошная из оцинкованной стали 0,7 мм</t>
    </r>
  </si>
  <si>
    <t>Стол
производственный СП-12-6УОЦ без борта, размеры 1200х600х850 мм, столешница из нержавеющей стали 0,8 мм, усиленная ДСП толщиной 16 мм; полка</t>
  </si>
  <si>
    <t>сплошная из оцинкованной стали 0,7 мм</t>
  </si>
  <si>
    <r>
      <rPr>
        <sz val="10"/>
        <color theme="1"/>
        <rFont val="Times New Roman"/>
      </rPr>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</si>
  <si>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522-103-0179-0004 - Стол
</t>
    </r>
    <r>
      <rPr>
        <sz val="10"/>
        <color rgb="FF000000"/>
        <rFont val="Times New Roman"/>
      </rPr>
      <t>производственный СП-11-7УОЦ без борта, размеры 1100х700х850 мм, столешница из нержавеющей стали 0,8 мм, усиленная ДСП толщиной 16 мм; полка - сплошная из оцинкованной стали 0,7 мм</t>
    </r>
  </si>
  <si>
    <t>Стол
производственный СП-11-7УОЦ без борта, размеры 1100х700х850 мм, столешница из нержавеющей стали 0,8 мм, усиленная ДСП толщиной 16 мм; полка</t>
  </si>
  <si>
    <r>
      <rPr>
        <sz val="10"/>
        <color theme="1"/>
        <rFont val="Times New Roman"/>
      </rPr>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r>
  </si>
  <si>
    <r>
      <rPr>
        <sz val="10"/>
        <color rgb="FF000000"/>
        <rFont val="Times New Roman"/>
      </rPr>
      <t xml:space="preserve">522-103-0179-0005 - Стол
</t>
    </r>
    <r>
      <rPr>
        <sz val="10"/>
        <color rgb="FF000000"/>
        <rFont val="Times New Roman"/>
      </rPr>
      <t>производственный СП-12-6ТН без борта, размеры 1200х600х850 мм, столешница и сплошная нижняя полка из нержавеющей стали 0,8 мм, усиленные ДСП 16 мм</t>
    </r>
  </si>
  <si>
    <t>Стол
производственный СП-12-6ТН без борта, размеры 1200х600х850 мм, столешница и сплошная нижняя полка из нержавеющей стали 0,8 мм, усиленные ДСП 16 мм</t>
  </si>
  <si>
    <r>
      <rPr>
        <sz val="10"/>
        <color theme="1"/>
        <rFont val="Times New Roman"/>
      </rPr>
      <t>Столешница и полка из нержавеющей стали толщиной не менее 0,8 мм., усиленные ДСП 16 мм, 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</si>
  <si>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522-103-0179-0006 - Стол
</t>
    </r>
    <r>
      <rPr>
        <sz val="10"/>
        <color rgb="FF000000"/>
        <rFont val="Times New Roman"/>
      </rPr>
      <t>производственный СП-18-6ТН без борта, размеры 1800х600х850 мм, столешница и сплошная нижняя полка из нержавеющей стали 0,8 мм, усиленные ДСП 16 мм</t>
    </r>
  </si>
  <si>
    <t>Стол
производственный СП-18-6ТН без борта, размеры 1800х600х850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</si>
  <si>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жестеости,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</si>
  <si>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522-103-0179-0007 - Стол
</t>
    </r>
    <r>
      <rPr>
        <sz val="10"/>
        <color rgb="FF000000"/>
        <rFont val="Times New Roman"/>
      </rPr>
      <t>производственный СП-17-7ТН без борта, размеры 1700х700х850 мм, столешница и сплошная нижняя полка из нержавеющей стали 0,8 мм, усиленные ДСП 16 мм</t>
    </r>
  </si>
  <si>
    <t>Стол
производственный СП-17-7ТН без борта, размеры 1700х700х850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</si>
  <si>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</si>
  <si>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522-103-0179-0008 - Стол
</t>
    </r>
    <r>
      <rPr>
        <sz val="10"/>
        <color rgb="FF000000"/>
        <rFont val="Times New Roman"/>
      </rPr>
      <t xml:space="preserve">производственный без борта СП-18-7ТН, размеры 1800х700х850
</t>
    </r>
    <r>
      <rPr>
        <sz val="10"/>
        <color rgb="FF000000"/>
        <rFont val="Times New Roman"/>
      </rPr>
      <t>мм, столешница и сплошная нижняя полка из нержавеющей стали 0,8 мм, усиленные ДСП 16 мм</t>
    </r>
  </si>
  <si>
    <t>Стол
производственный без борта СП-18-7ТН, размеры 1800х700х850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</si>
  <si>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</si>
  <si>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522-103-0179-0009 - Стол
</t>
    </r>
    <r>
      <rPr>
        <sz val="10"/>
        <color rgb="FF000000"/>
        <rFont val="Times New Roman"/>
      </rPr>
      <t xml:space="preserve">производственный без борта СП-18-6УН, размеры 1800х600х850
</t>
    </r>
    <r>
      <rPr>
        <sz val="10"/>
        <color rgb="FF000000"/>
        <rFont val="Times New Roman"/>
      </rPr>
      <t>мм, столешница и сплошная нижняя полка из нержавеющей стали 0,8 мм, усиленные ДСП 16 мм</t>
    </r>
  </si>
  <si>
    <t>Стол
производственный без борта СП-18-6УН, размеры 1800х600х850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</si>
  <si>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</si>
  <si>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522-103-0179-0010 - Стол
</t>
    </r>
    <r>
      <rPr>
        <sz val="10"/>
        <color rgb="FF000000"/>
        <rFont val="Times New Roman"/>
      </rPr>
      <t xml:space="preserve">производственный без борта СП-24-7УН, размеры 2400х700х850
</t>
    </r>
    <r>
      <rPr>
        <sz val="10"/>
        <color rgb="FF000000"/>
        <rFont val="Times New Roman"/>
      </rPr>
      <t>мм, столешница и сплошная нижняя полка из нержавеющей стали 0,8 мм, усиленные ДСП 16 мм</t>
    </r>
  </si>
  <si>
    <t>Стол
производственный без борта СП-24-7УН, размеры 2400х700х850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</si>
  <si>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r>
  </si>
  <si>
    <r>
      <rPr>
        <sz val="10"/>
        <color rgb="FF000000"/>
        <rFont val="Times New Roman"/>
      </rPr>
      <t xml:space="preserve">522-103-0179-0011 - Стол
</t>
    </r>
    <r>
      <rPr>
        <sz val="10"/>
        <color rgb="FF000000"/>
        <rFont val="Times New Roman"/>
      </rPr>
      <t xml:space="preserve">производственный без борта СП-12-8УН, борт не менее 40 мм,
</t>
    </r>
    <r>
      <rPr>
        <sz val="10"/>
        <color rgb="FF000000"/>
        <rFont val="Times New Roman"/>
      </rPr>
      <t>размеры 1200х800х850 мм, столешница и сплошная нижняя полка из нержавеющей стали 0,8 мм, усиленные ДСП 16 мм</t>
    </r>
  </si>
  <si>
    <t>Стол
производственный без борта СП-12-8УН, борт не менее 40 мм,
размеры 1200х800х850 мм, столешница и сплошная нижняя полка из нержавеющей стали 0,8 мм, усиленные ДСП 16 мм</t>
  </si>
  <si>
    <r>
      <rPr>
        <sz val="10"/>
        <color theme="1"/>
        <rFont val="Times New Roman"/>
      </rPr>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r>
  </si>
  <si>
    <r>
      <rPr>
        <sz val="10"/>
        <color theme="1"/>
        <rFont val="Times New Roman"/>
      </rPr>
      <t>522-103-0223 - Мармит для 1-х блюд</t>
    </r>
  </si>
  <si>
    <r>
      <rPr>
        <sz val="10"/>
        <color rgb="FF000000"/>
        <rFont val="Times New Roman"/>
      </rPr>
      <t xml:space="preserve">Напряжение 380 В. Мощность 3.2 кВт. Размеры не менее 1500х705/1030х1240мм. Конструкция выполнена из нержавеющей стали. Мармит первых блюд - 3 конфорки с регулировкой мощности ступенчатым переключателем. Полка над мармитом с подсветкой для выкладки блюд.
</t>
    </r>
    <r>
      <rPr>
        <sz val="10"/>
        <color rgb="FF000000"/>
        <rFont val="Times New Roman"/>
      </rPr>
      <t>Направляющие для подносов входят в комплект поставки.</t>
    </r>
  </si>
  <si>
    <r>
      <rPr>
        <sz val="10"/>
        <color theme="1"/>
        <rFont val="Times New Roman"/>
      </rPr>
      <t>522-103-0224 - Мармит для 2-х блюд</t>
    </r>
  </si>
  <si>
    <r>
      <rPr>
        <sz val="10"/>
        <color theme="1"/>
        <rFont val="Times New Roman"/>
      </rPr>
      <t>Температурный режим теплового отсека 85 °C. Напряжение 220В. Мощность 2 кВт. Размеры не менее 1120х705/1030х1484мм. Оснащена регулируемыми по высоте ножками. Конструкция выполнена из нержавеющей стали. Мармит вторых блюд с плавной регулировкой температуры. Способ обогрева гастроёмкостей - горячий пар. Внизу расположен шкаф для хранения кухонного инвентаря. Двойная полка над мармитом с подсветкой для выкладки блюд. Гастроёмкости и направляющие для подносов входят в комплект поставки.</t>
    </r>
  </si>
  <si>
    <r>
      <rPr>
        <sz val="10"/>
        <color rgb="FF000000"/>
        <rFont val="Times New Roman"/>
      </rPr>
      <t xml:space="preserve">522-103-0501 - Машина
</t>
    </r>
    <r>
      <rPr>
        <sz val="10"/>
        <color rgb="FF000000"/>
        <rFont val="Times New Roman"/>
      </rPr>
      <t>посудомоечная туннельная МПТ-2000</t>
    </r>
  </si>
  <si>
    <t>Машина
посудомоечная туннельная МПТ-2000</t>
  </si>
  <si>
    <r>
      <rPr>
        <sz val="10"/>
        <color theme="1"/>
        <rFont val="Times New Roman"/>
      </rPr>
      <t>Теплообменник, сушка, 2000 тарелок/час, 3 программы мойки, 2 дозатора (моющий, ополаскивающий), насос мойки, мощность 34,4 кВт, напряжение 400В. Размеры: 2230х920х2179мм. Левосторонняя или правосторонняя загрузка посуды по согласованию с заказчиком</t>
    </r>
  </si>
  <si>
    <r>
      <rPr>
        <sz val="10"/>
        <color rgb="FF000000"/>
        <rFont val="Times New Roman"/>
      </rPr>
      <t xml:space="preserve">522-103-0502 - Машина
</t>
    </r>
    <r>
      <rPr>
        <sz val="10"/>
        <color rgb="FF000000"/>
        <rFont val="Times New Roman"/>
      </rPr>
      <t>посудомоечная туннельная МПТ-1700</t>
    </r>
  </si>
  <si>
    <t>Машина
посудомоечная туннельная МПТ-1700</t>
  </si>
  <si>
    <r>
      <rPr>
        <sz val="10"/>
        <color theme="1"/>
        <rFont val="Times New Roman"/>
      </rPr>
      <t>1700 тарелок/час, 3 программы мойки, 2 дозатора (моющий, ополаскивающий), насос мойки, мощность 26,5 кВт, напряжение 400В. Размеры: 1595х770х1695мм. Левосторонняя или правосторонняя загрузка посуды по согласованию с заказчиком</t>
    </r>
  </si>
  <si>
    <r>
      <rPr>
        <sz val="10"/>
        <color rgb="FF000000"/>
        <rFont val="Times New Roman"/>
      </rPr>
      <t xml:space="preserve">522-103-0505-0007 - Стол
</t>
    </r>
    <r>
      <rPr>
        <sz val="10"/>
        <color rgb="FF000000"/>
        <rFont val="Times New Roman"/>
      </rPr>
      <t>предмоечный СПМП-13-7-8,5ТН, размеры 1300х700х850(1000) мм, полностью из нержавеющей стали</t>
    </r>
  </si>
  <si>
    <t>Стол
предмоечный СПМП-13-7-8,5ТН, размеры 1300х700х850(1000) мм, полностью из нержавеющей стали</t>
  </si>
  <si>
    <r>
      <rPr>
        <sz val="10"/>
        <color theme="1"/>
        <rFont val="Times New Roman"/>
      </rPr>
      <t>Размеры ванны 400х400х250 мм. Стол изготовлен полностью из нержавеющей стали AISI 430. Сборка стола возможна как в левом так и в правом исполнении. Столешница усилена листом ЛДСП 16 мм.</t>
    </r>
  </si>
  <si>
    <r>
      <rPr>
        <sz val="10"/>
        <color rgb="FF000000"/>
        <rFont val="Times New Roman"/>
      </rPr>
      <t xml:space="preserve">522-103-0505-0008 - Стол
</t>
    </r>
    <r>
      <rPr>
        <sz val="10"/>
        <color rgb="FF000000"/>
        <rFont val="Times New Roman"/>
      </rPr>
      <t>предмоечный СПМП-12-7-10, размеры 1200х700х850 (1000) мм, полностью из нержавеющей стали</t>
    </r>
  </si>
  <si>
    <t>Стол
предмоечный СПМП-12-7-10, размеры 1200х700х850 (1000) мм, полностью из нержавеющей стали</t>
  </si>
  <si>
    <r>
      <rPr>
        <sz val="10"/>
        <color theme="1"/>
        <rFont val="Times New Roman"/>
      </rPr>
      <t>Размеры ванны 400х400х250 мм. Стол изготовлен полностью из нержавеющей стали  AISI 430. Стол оснащен направляющими для хранения кассет размерами 500х500 мм. В основании стола расположена полка из нержавеющей стали, усиленная ребром жесткости для расположения на ней различных предметов. Сборка стола возможна как в левом так и в правом исполнении. Столешница усилена листом ЛДСП 16 мм.</t>
    </r>
  </si>
  <si>
    <r>
      <rPr>
        <sz val="10"/>
        <color rgb="FF000000"/>
        <rFont val="Times New Roman"/>
      </rPr>
      <t xml:space="preserve">522-103-0506-0003 - Стол
</t>
    </r>
    <r>
      <rPr>
        <sz val="10"/>
        <color rgb="FF000000"/>
        <rFont val="Times New Roman"/>
      </rPr>
      <t>раздаточный СПМР-6-6ТН, размеры 612х611х940 мм. Столешница из нержавеющей стали, ножки регулируются по высоте</t>
    </r>
  </si>
  <si>
    <t>Стол
раздаточный СПМР-6-6ТН, размеры 612х611х940 мм. Столешница из нержавеющей стали, ножки регулируются по высоте</t>
  </si>
  <si>
    <r>
      <rPr>
        <sz val="10"/>
        <color theme="1"/>
        <rFont val="Times New Roman"/>
      </rPr>
      <t>Стол раздаточный крепится к машине посудомоечной как справа, так и слева. Столешница выполнена из нержавеющей стали AISI 430, ножки из трубы 40х40 нерж.сталь.</t>
    </r>
  </si>
  <si>
    <r>
      <rPr>
        <sz val="10"/>
        <color rgb="FF000000"/>
        <rFont val="Times New Roman"/>
      </rPr>
      <t xml:space="preserve">522-103-0506-0004 - Стол
</t>
    </r>
    <r>
      <rPr>
        <sz val="10"/>
        <color rgb="FF000000"/>
        <rFont val="Times New Roman"/>
      </rPr>
      <t>раздаточный СПМР-6-2ТН, размеры 704х635х940 мм. Столешница из нержавеющей стали, ножки регулируются по высоте</t>
    </r>
  </si>
  <si>
    <t>Стол
раздаточный СПМР-6-2ТН, размеры 704х635х940 мм. Столешница из нержавеющей стали, ножки регулируются по высоте</t>
  </si>
  <si>
    <r>
      <rPr>
        <sz val="10"/>
        <color theme="1"/>
        <rFont val="Times New Roman"/>
      </rPr>
      <t>Стол раздаточный крепится к машине посудомоечной как справа, так и слева. Столешница выполнена из нержавеющей стали AISI 430, ножки из трубы 40х40 нерж.сталь.</t>
    </r>
  </si>
  <si>
    <r>
      <rPr>
        <sz val="10"/>
        <color rgb="FF000000"/>
        <rFont val="Times New Roman"/>
      </rPr>
      <t xml:space="preserve">522-103-0506-0005 - Стол
</t>
    </r>
    <r>
      <rPr>
        <sz val="10"/>
        <color rgb="FF000000"/>
        <rFont val="Times New Roman"/>
      </rPr>
      <t xml:space="preserve">раздаточный СПМР-10-6ТН, размеры 1062х611х940 мм.
</t>
    </r>
    <r>
      <rPr>
        <sz val="10"/>
        <color rgb="FF000000"/>
        <rFont val="Times New Roman"/>
      </rPr>
      <t>Столешница из нержавеющей стали, ножки регулируются по высоте</t>
    </r>
  </si>
  <si>
    <t>Стол
раздаточный СПМР-10-6ТН, размеры 1062х611х940 мм.
Столешница из нержавеющей стали, ножки регулируются по высоте</t>
  </si>
  <si>
    <r>
      <rPr>
        <sz val="10"/>
        <color theme="1"/>
        <rFont val="Times New Roman"/>
      </rPr>
      <t>Стол раздаточный крепится к машине посудомоечной как справа, так и слева. Столешница выполнена из нержавеющей стали AISI 430, ножки из трубы 40х40 нерж.сталь.</t>
    </r>
  </si>
  <si>
    <r>
      <rPr>
        <sz val="10"/>
        <color rgb="FF000000"/>
        <rFont val="Times New Roman"/>
      </rPr>
      <t xml:space="preserve">522-103-0506-0006 - Стол для
</t>
    </r>
    <r>
      <rPr>
        <sz val="10"/>
        <color rgb="FF000000"/>
        <rFont val="Times New Roman"/>
      </rPr>
      <t xml:space="preserve">чистой посуды с бортом СЧП-8-7ТН, борт не менее 40 мм,
</t>
    </r>
    <r>
      <rPr>
        <sz val="10"/>
        <color rgb="FF000000"/>
        <rFont val="Times New Roman"/>
      </rPr>
      <t>размеры 800х700х850 мм, столешница и сплошная нижняя полка из нержавеющей стали 0,8 мм, усиленная ДСП 16 мм</t>
    </r>
  </si>
  <si>
    <t>Стол для
чистой посуды с бортом СЧП-8-7ТН, борт не менее 40 мм,
размеры 800х700х850 мм, столешница и сплошная нижняя полка из нержавеющей стали 0,8 мм, усиленная ДСП 16 мм</t>
  </si>
  <si>
    <r>
      <rPr>
        <sz val="10"/>
        <color theme="1"/>
        <rFont val="Times New Roman"/>
      </rPr>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r>
  </si>
  <si>
    <r>
      <rPr>
        <sz val="10"/>
        <color rgb="FF000000"/>
        <rFont val="Times New Roman"/>
      </rPr>
      <t xml:space="preserve">522-103-0511-0003 - Машина
</t>
    </r>
    <r>
      <rPr>
        <sz val="10"/>
        <color rgb="FF000000"/>
        <rFont val="Times New Roman"/>
      </rPr>
      <t xml:space="preserve">конвейерная посудомоечная типа Empero EMP.3000.
</t>
    </r>
    <r>
      <rPr>
        <sz val="10"/>
        <color rgb="FF000000"/>
        <rFont val="Times New Roman"/>
      </rPr>
      <t xml:space="preserve">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t>
    </r>
    <r>
      <rPr>
        <sz val="10"/>
        <color rgb="FF000000"/>
        <rFont val="Times New Roman"/>
      </rPr>
      <t xml:space="preserve">1200х750х890мм, измельчителем
</t>
    </r>
    <r>
      <rPr>
        <sz val="10"/>
        <color rgb="FF000000"/>
        <rFont val="Times New Roman"/>
      </rPr>
      <t>пищевых отходов</t>
    </r>
  </si>
  <si>
    <t>Машина
конвейерная посудомоечная типа Empero EMP.3000.
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</si>
  <si>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r>
      <rPr>
        <sz val="10"/>
        <color theme="1"/>
        <rFont val="Times New Roman"/>
      </rPr>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r>
  </si>
  <si>
    <r>
      <rPr>
        <sz val="10"/>
        <color rgb="FF000000"/>
        <rFont val="Times New Roman"/>
      </rPr>
      <t xml:space="preserve">522-103-0511-0004 - Машина
</t>
    </r>
    <r>
      <rPr>
        <sz val="10"/>
        <color rgb="FF000000"/>
        <rFont val="Times New Roman"/>
      </rPr>
      <t xml:space="preserve">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t>
    </r>
    <r>
      <rPr>
        <sz val="10"/>
        <color rgb="FF000000"/>
        <rFont val="Times New Roman"/>
      </rPr>
      <t xml:space="preserve">EMP.BYG.75150-1EC-L,
</t>
    </r>
    <r>
      <rPr>
        <sz val="10"/>
        <color rgb="FF000000"/>
        <rFont val="Times New Roman"/>
      </rPr>
      <t xml:space="preserve">раздаточным столом типа EMP.BYC.75120-T-L
</t>
    </r>
    <r>
      <rPr>
        <sz val="10"/>
        <color rgb="FF000000"/>
        <rFont val="Times New Roman"/>
      </rPr>
      <t>1200х750х890мм, помпой (дренажный насос для принудительного слива воды)</t>
    </r>
  </si>
  <si>
    <t>Машина
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 помпой (дренажный насос для принудительного слива воды)</t>
  </si>
  <si>
    <r>
      <rPr>
        <sz val="10"/>
        <color theme="1"/>
        <rFont val="Times New Roman"/>
      </rPr>
      <t>Цикл мойки 60/90/120/180 сек. Дозатор моющего средства. Дозатор ополаскивающего средства. Модель оснащена встроенным термостатом, датчиком безопасности магнитной двери и регулируемыми по высоте ножками. Корпус выполнен из нержавеющей стали. Размер: ширина  695 мм, глубина 765 мм, высота 1485 мм. Кассета типа EMP.TB.01 500х500 для тарелок 5 шт. Кассета типа EMP.BB.01 500х500 для стаканов 5 шт. Кассета типа EMP.KC.01 для приборов 2 шт.</t>
    </r>
  </si>
  <si>
    <r>
      <rPr>
        <sz val="10"/>
        <color rgb="FF000000"/>
        <rFont val="Times New Roman"/>
      </rPr>
      <t xml:space="preserve">522-103-0511-0005 - Машина
</t>
    </r>
    <r>
      <rPr>
        <sz val="10"/>
        <color rgb="FF000000"/>
        <rFont val="Times New Roman"/>
      </rPr>
      <t xml:space="preserve">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t>
    </r>
    <r>
      <rPr>
        <sz val="10"/>
        <color rgb="FF000000"/>
        <rFont val="Times New Roman"/>
      </rPr>
      <t xml:space="preserve">EMP.BYG.75150-1EC-L,
</t>
    </r>
    <r>
      <rPr>
        <sz val="10"/>
        <color rgb="FF000000"/>
        <rFont val="Times New Roman"/>
      </rPr>
      <t>раздаточным столом типа EMP.BYC.75120-T-L 1200х750х890мм</t>
    </r>
  </si>
  <si>
    <t>Машина
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t>
  </si>
  <si>
    <r>
      <rPr>
        <sz val="10"/>
        <color theme="1"/>
        <rFont val="Times New Roman"/>
      </rPr>
      <t>Цикл мойки, мин.: 1,5/2 /3. Дозатор моющего средства . Дозатор ополаскивающего средства. Размеры(ДхШхВ): 590х700х820мм. Корпус выполнен из нержавеющей стали. Кассета типа EMP.TB.01 500х500 для тарелок 3шт. Кассета типа EMP.BB.01 500х500 для стаканов 3 шт. Кассета типа EMP.KC.01 для приборов 2шт.</t>
    </r>
  </si>
  <si>
    <r>
      <rPr>
        <sz val="10"/>
        <color rgb="FF000000"/>
        <rFont val="Times New Roman"/>
      </rPr>
      <t xml:space="preserve">522-103-0511-0006 - Машина
</t>
    </r>
    <r>
      <rPr>
        <sz val="10"/>
        <color rgb="FF000000"/>
        <rFont val="Times New Roman"/>
      </rPr>
      <t xml:space="preserve">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t>
    </r>
    <r>
      <rPr>
        <sz val="10"/>
        <color rgb="FF000000"/>
        <rFont val="Times New Roman"/>
      </rPr>
      <t xml:space="preserve">1200х750х890мм, измельчителем
</t>
    </r>
    <r>
      <rPr>
        <sz val="10"/>
        <color rgb="FF000000"/>
        <rFont val="Times New Roman"/>
      </rPr>
      <t>пищевых отходов</t>
    </r>
  </si>
  <si>
    <t>Машина
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</si>
  <si>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r>
      <rPr>
        <sz val="10"/>
        <color theme="1"/>
        <rFont val="Times New Roman"/>
      </rPr>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r>
  </si>
  <si>
    <r>
      <rPr>
        <sz val="10"/>
        <color rgb="FF000000"/>
        <rFont val="Times New Roman"/>
      </rPr>
      <t xml:space="preserve">522-103-0511-0007 - Машина
</t>
    </r>
    <r>
      <rPr>
        <sz val="10"/>
        <color rgb="FF000000"/>
        <rFont val="Times New Roman"/>
      </rPr>
      <t xml:space="preserve">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t>
    </r>
    <r>
      <rPr>
        <sz val="10"/>
        <color rgb="FF000000"/>
        <rFont val="Times New Roman"/>
      </rPr>
      <t xml:space="preserve">1200х750х890мм, измельчителем
</t>
    </r>
    <r>
      <rPr>
        <sz val="10"/>
        <color rgb="FF000000"/>
        <rFont val="Times New Roman"/>
      </rPr>
      <t>пищевых отходов</t>
    </r>
  </si>
  <si>
    <t>Машина
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1200х750х890мм, измельчителем
пищевых отходов</t>
  </si>
  <si>
    <r>
      <rPr>
        <sz val="10"/>
        <color theme="1"/>
        <rFont val="Times New Roman"/>
      </rPr>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10шт. Кассета типа EMP.BB.01 500х500 для стаканов 10шт. Кассета типа EMP.KC.01 для приборов 5шт.</t>
    </r>
  </si>
  <si>
    <r>
      <rPr>
        <sz val="10"/>
        <color theme="1"/>
        <rFont val="Times New Roman"/>
      </rPr>
      <t>522-103-0514-0003 - Устройство душирующее со смесителем двухвентильным и вертикальной трубкой</t>
    </r>
  </si>
  <si>
    <r>
      <rPr>
        <sz val="10"/>
        <color rgb="FF000000"/>
        <rFont val="Times New Roman"/>
      </rPr>
      <t xml:space="preserve">Профессиональная кухонная колонна с моноблочным смесителем и поворотным изливом для установки на столешницу. Смеситель с изливом и керамической головкой с поворотом на четверть оборота. Смеситель с керамической головкой с поворотом на четверть оборота, гибкими подводками и обратными клапанами. Все крепёжные элементы включены.
</t>
    </r>
    <r>
      <rPr>
        <sz val="10"/>
        <color rgb="FF000000"/>
        <rFont val="Times New Roman"/>
      </rPr>
      <t xml:space="preserve">1) Хромированная пружина из нержавеющей стали AISI 304. 2) Гибкий шланг с внутренней трубкой из полиэтилена сшитого полиэтилена (PEX),
</t>
    </r>
    <r>
      <rPr>
        <sz val="10"/>
        <color rgb="FF000000"/>
        <rFont val="Times New Roman"/>
      </rPr>
      <t xml:space="preserve">сеткой из нержавеющей стали и пластиковой оболочкой, двойным креплением скобами и поворотными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t>
    </r>
    <r>
      <rPr>
        <sz val="10"/>
        <color rgb="FF000000"/>
        <rFont val="Times New Roman"/>
      </rPr>
      <t xml:space="preserve">248. 6) Керамическая головка с поворотом на ¼ оборота. 7) Пластиковый аэратор M22x1 с защитой от известкового налета и хромированной
</t>
    </r>
    <r>
      <rPr>
        <sz val="10"/>
        <color rgb="FF000000"/>
        <rFont val="Times New Roman"/>
      </rPr>
      <t xml:space="preserve">крышкой. 8) Оснащен гибкими подводками длиной 35 см (M10x1; G ⅜ дюйма). 9) Металлический крепежный комплект в форме подковы и обратные клапаны. 10) Максимальная температура: 80 °C. 11) Максимальная рекомендуемая температура: 65 °C. 12) Максимальное давление: 10 бар. 13) Минимальное давление: 0,5 бар. 14) Рекомендуемое
</t>
    </r>
    <r>
      <rPr>
        <sz val="10"/>
        <color rgb="FF000000"/>
        <rFont val="Times New Roman"/>
      </rPr>
      <t>давление: 1–3 бар.</t>
    </r>
  </si>
  <si>
    <r>
      <rPr>
        <sz val="10"/>
        <color theme="1"/>
        <rFont val="Times New Roman"/>
      </rPr>
      <t>522-103-0514-0004 - Устройство душирующее со смесителем двухвентильным</t>
    </r>
  </si>
  <si>
    <r>
      <rPr>
        <sz val="10"/>
        <color rgb="FF000000"/>
        <rFont val="Times New Roman"/>
      </rPr>
      <t xml:space="preserve">Профессиональная кухонная колонна с моноблочным смесителем для установки на столешницу. Смеситель с керамической головкой на ¼ оборота,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Регулируемые по высоте опоры из хромированной латуни. 5) Хромированное покрытие согласно EN 248. 6) Керамическая головка с поворотом на ¼ оборота. 7) Оснащена гибкими соединениями длиной 35 см (M10x1; G ⅜ дюйма). 8) Металлический комплект креплений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t>
    </r>
    <r>
      <rPr>
        <sz val="10"/>
        <color rgb="FF000000"/>
        <rFont val="Times New Roman"/>
      </rPr>
      <t>давление: 1 - 3 бар.</t>
    </r>
  </si>
  <si>
    <r>
      <rPr>
        <sz val="10"/>
        <color theme="1"/>
        <rFont val="Times New Roman"/>
      </rPr>
      <t>522-103-0514-0005 - Устройство душирующее со смесителем однорычажным</t>
    </r>
  </si>
  <si>
    <r>
      <rPr>
        <sz val="10"/>
        <color rgb="FF000000"/>
        <rFont val="Times New Roman"/>
      </rPr>
      <t xml:space="preserve">Профессиональная кухонная колонна с однорычажным смесителем для установки на столешницу. Смеситель с керамическим картриджем D40,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Бесшумный керамический картридж Ø40 со свободным потоком. 7) Оснащен гибкими подводками длиной 35 см (M10x1; G ⅜ дюйма) 8) Металлический комплект крепления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t>
    </r>
    <r>
      <rPr>
        <sz val="10"/>
        <color rgb="FF000000"/>
        <rFont val="Times New Roman"/>
      </rPr>
      <t>давление: 1 - 3 бар.</t>
    </r>
  </si>
  <si>
    <r>
      <rPr>
        <sz val="10"/>
        <color theme="1"/>
        <rFont val="Times New Roman"/>
      </rPr>
      <t>522-103-0514-0006 - Устройство душирующее со смесителем однорычажным и медицинской ручкой</t>
    </r>
  </si>
  <si>
    <r>
      <rPr>
        <sz val="10"/>
        <color rgb="FF000000"/>
        <rFont val="Times New Roman"/>
      </rPr>
      <t xml:space="preserve">Профессиональная кухонная колонна с однорычажным смесителем, медицинской ручкой и поворотным изливом для установки на столешницу.
</t>
    </r>
    <r>
      <rPr>
        <sz val="10"/>
        <color rgb="FF000000"/>
        <rFont val="Times New Roman"/>
      </rPr>
      <t xml:space="preserve">Смеситель с керамическим картриджем D40, гибкими подводками и обратными клапанами. Излив оснащен керамической головкой с поворотом на четверть оборота. Все крепёжные элементы включены в комплект. 1) Хромированная пружина из нержавеющей стали AISI 304. 2) Гибкий шланг с внутренней трубкой из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рукояткой из технополимера и системой защиты от ожогов. 4) Опоры из хромированной латуни, регулируемые по высоте. 5) Хромированное покрытие согласно EN
</t>
    </r>
    <r>
      <rPr>
        <sz val="10"/>
        <color rgb="FF000000"/>
        <rFont val="Times New Roman"/>
      </rPr>
      <t xml:space="preserve">248. 6) Керамическая головка с поворотом на ¼ оборота. 7) Бесшумный керамический картридж Ø40 со свободным потоком. 8) Оснащен гибкими
</t>
    </r>
    <r>
      <rPr>
        <sz val="10"/>
        <color rgb="FF000000"/>
        <rFont val="Times New Roman"/>
      </rPr>
      <t xml:space="preserve">подводками длиной 35 см (M10x1; G ⅜ дюйма). 9) Металлический промежуточный шланг с фиксаторами. 10) Пластиковый аэратор M22x1 с защитой от известкового налета. 11) Максимальная температура: 80 °C. 12) Макс. рекомендуемая температура: 65 °C. 13) Максимальное давление: 10
</t>
    </r>
    <r>
      <rPr>
        <sz val="10"/>
        <color rgb="FF000000"/>
        <rFont val="Times New Roman"/>
      </rPr>
      <t xml:space="preserve">бар. 14) Минимальное давление: 0,5 бар. 15) Рекомендуемое давление: 1–3
</t>
    </r>
    <r>
      <rPr>
        <sz val="10"/>
        <color rgb="FF000000"/>
        <rFont val="Times New Roman"/>
      </rPr>
      <t>бар.</t>
    </r>
  </si>
  <si>
    <r>
      <rPr>
        <sz val="10"/>
        <color rgb="FF000000"/>
        <rFont val="Times New Roman"/>
      </rPr>
      <t xml:space="preserve">522-103-0516-0013 - Стол для
</t>
    </r>
    <r>
      <rPr>
        <sz val="10"/>
        <color rgb="FF000000"/>
        <rFont val="Times New Roman"/>
      </rPr>
      <t xml:space="preserve">грязной посуды с бортом СГП-18-7ТН, размеры
</t>
    </r>
    <r>
      <rPr>
        <sz val="10"/>
        <color rgb="FF000000"/>
        <rFont val="Times New Roman"/>
      </rPr>
      <t>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r>
  </si>
  <si>
    <t>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</si>
  <si>
    <r>
      <rPr>
        <sz val="10"/>
        <color theme="1"/>
        <rFont val="Times New Roman"/>
      </rPr>
      <t>Без смесителя. Столешница усилена листом ДСП 16 мм. Путем несложного монтажа можно установить стол как в левом, так и в правом исполнении</t>
    </r>
  </si>
  <si>
    <r>
      <rPr>
        <sz val="10"/>
        <color rgb="FF000000"/>
        <rFont val="Times New Roman"/>
      </rPr>
      <t xml:space="preserve">522-103-0612-0001 - Машина
</t>
    </r>
    <r>
      <rPr>
        <sz val="10"/>
        <color rgb="FF000000"/>
        <rFont val="Times New Roman"/>
      </rPr>
      <t>овощерезательная, мощность 0,4 кВт, напряжение 230 В</t>
    </r>
  </si>
  <si>
    <t>Машина
овощерезательная, мощность 0,4 кВт, напряжение 230 В</t>
  </si>
  <si>
    <r>
      <rPr>
        <sz val="10"/>
        <color theme="1"/>
        <rFont val="Times New Roman"/>
      </rPr>
      <t>Машина овощерезательная электрическая, мощность 0,4 кВт, напряжение 220 В, набор дисков в комплекте.</t>
    </r>
  </si>
  <si>
    <r>
      <rPr>
        <sz val="10"/>
        <color rgb="FF000000"/>
        <rFont val="Times New Roman"/>
      </rPr>
      <t xml:space="preserve">522-103-0615-0001 - Машина
</t>
    </r>
    <r>
      <rPr>
        <sz val="10"/>
        <color rgb="FF000000"/>
        <rFont val="Times New Roman"/>
      </rPr>
      <t>картофелеочистительная, производительность не менее 150кг/ч, мощность 0,37 кВт, напряжение 380 В</t>
    </r>
  </si>
  <si>
    <t>Машина
картофелеочистительная, производительность не менее 150кг/ч, мощность 0,37 кВт, напряжение 380 В</t>
  </si>
  <si>
    <r>
      <rPr>
        <sz val="10"/>
        <color theme="1"/>
        <rFont val="Times New Roman"/>
      </rPr>
      <t>Производительность не менее 150кг/ч, мощность 0,37 кВт, напряжение 380 В, материал корпуса нержавеющая сталь.</t>
    </r>
  </si>
  <si>
    <r>
      <rPr>
        <sz val="10"/>
        <color theme="1"/>
        <rFont val="Times New Roman"/>
      </rPr>
      <t>522-103-0621-0002 - Пила для резки мяса настольная, размеры 551х566х1023 мм, мощность 0,75 кВт, напряжение 220 В</t>
    </r>
  </si>
  <si>
    <r>
      <rPr>
        <sz val="10"/>
        <color theme="1"/>
        <rFont val="Times New Roman"/>
      </rPr>
      <t>Пила для резки мяса настольная, размеры 551х566х1023 мм, мощность 0,75 кВт, напряжение 220 В</t>
    </r>
  </si>
  <si>
    <r>
      <rPr>
        <sz val="10"/>
        <color rgb="FF000000"/>
        <rFont val="Times New Roman"/>
      </rPr>
      <t xml:space="preserve">522-103-0622-0001 - Мясорубка,
</t>
    </r>
    <r>
      <rPr>
        <sz val="10"/>
        <color rgb="FF000000"/>
        <rFont val="Times New Roman"/>
      </rPr>
      <t>производительность не менее 300 кг/ч, мощность 1,5 кВт, напряжение 380 В</t>
    </r>
  </si>
  <si>
    <t>Мясорубка,
производительность не менее 300 кг/ч, мощность 1,5 кВт, напряжение 380 В</t>
  </si>
  <si>
    <r>
      <rPr>
        <sz val="10"/>
        <color theme="1"/>
        <rFont val="Times New Roman"/>
      </rPr>
      <t>Мясорубка, производительность не менее 300 кг/ч, мощность 1,5 кВт, напряжение 380 В</t>
    </r>
  </si>
  <si>
    <r>
      <rPr>
        <sz val="10"/>
        <color theme="1"/>
        <rFont val="Times New Roman"/>
      </rPr>
      <t>522-103-0701 - Весы порционные, наибольший предел взвешивания до 10 кг</t>
    </r>
  </si>
  <si>
    <r>
      <rPr>
        <sz val="10"/>
        <color theme="1"/>
        <rFont val="Times New Roman"/>
      </rPr>
      <t>Размеры не менее 287х260х137мм. Мощность 0,025 кВт, напряжение 220 В. Наибольший предел взвешивания до 10 кг.</t>
    </r>
  </si>
  <si>
    <r>
      <rPr>
        <sz val="10"/>
        <color theme="1"/>
        <rFont val="Times New Roman"/>
      </rPr>
      <t>522-103-0702 - Весы порционные, наибольший предел взвешивания до 5 кг</t>
    </r>
  </si>
  <si>
    <r>
      <rPr>
        <sz val="10"/>
        <color theme="1"/>
        <rFont val="Times New Roman"/>
      </rPr>
      <t>Размеры не менее 287х260х137мм. Мощность 0,025 кВт, напряжение 220 В. Наибольший предел взвешивания до 5 кг.</t>
    </r>
  </si>
  <si>
    <r>
      <rPr>
        <sz val="10"/>
        <color theme="1"/>
        <rFont val="Times New Roman"/>
      </rPr>
      <t>522-103-0703 - Весы напольные, наибольший предел взвешивания до 200 кг</t>
    </r>
  </si>
  <si>
    <r>
      <rPr>
        <sz val="10"/>
        <color theme="1"/>
        <rFont val="Times New Roman"/>
      </rPr>
      <t>Размеры не менее 420х655х710 мм. Напряжение 220 В, мощность 0,4 кВт Жидкокристаллический дисплей на стойке.</t>
    </r>
  </si>
  <si>
    <r>
      <rPr>
        <sz val="10"/>
        <color theme="1"/>
        <rFont val="Times New Roman"/>
      </rPr>
      <t>522-103-0802-0004 - Кипятильник электрический, объем 30л</t>
    </r>
  </si>
  <si>
    <r>
      <rPr>
        <sz val="10"/>
        <color theme="1"/>
        <rFont val="Times New Roman"/>
      </rPr>
      <t>Тип накопительный. Размеры не менее 380х380х410 мм. Мощность 3 кВт, напряжение 220 В. Объем 30 л. Корпус выполнен из нержавеющей стали, ручки с покрытием из термопластика.</t>
    </r>
  </si>
  <si>
    <r>
      <rPr>
        <sz val="10"/>
        <color theme="1"/>
        <rFont val="Times New Roman"/>
      </rPr>
      <t>522-103-0802-0005 - Кипятильник электрический накопительный, объем 40л, мощность 3 кВт, напряжение 220 В</t>
    </r>
  </si>
  <si>
    <r>
      <rPr>
        <sz val="10"/>
        <color theme="1"/>
        <rFont val="Times New Roman"/>
      </rPr>
      <t>Кипятильник электрический накопительный. Размеры не менее 390х390х503 мм. Корпус выполнен из нержавеющей стали, ручки из термоизоляционного материала.</t>
    </r>
  </si>
  <si>
    <r>
      <rPr>
        <sz val="10"/>
        <color theme="1"/>
        <rFont val="Times New Roman"/>
      </rPr>
      <t>522-103-0901 - Стерилизатор для ножей, мощность 0,03 кВт, напряжение 220 В, не менее 18 ножей</t>
    </r>
  </si>
  <si>
    <r>
      <rPr>
        <sz val="10"/>
        <color theme="1"/>
        <rFont val="Times New Roman"/>
      </rPr>
      <t>Стерилизатор для ножей, мощность 0,03 кВт, напряжение 220 В, не менее 18 ножей</t>
    </r>
  </si>
  <si>
    <r>
      <rPr>
        <sz val="10"/>
        <color theme="1"/>
        <rFont val="Times New Roman"/>
      </rPr>
      <t>522-103-1005 - Прилавок-витрина холодильный, размеры не менее 1120х705/1030х1720мм</t>
    </r>
  </si>
  <si>
    <r>
      <rPr>
        <sz val="10"/>
        <color rgb="FF000000"/>
        <rFont val="Times New Roman"/>
      </rPr>
      <t xml:space="preserve">Температурный режим холодильного отсека от 5 до 15 °C. Напряжение 220В. Мощность 0,67 кВт. Размеры не менее 1120х705/1030х1720мм.
</t>
    </r>
    <r>
      <rPr>
        <sz val="10"/>
        <color rgb="FF000000"/>
        <rFont val="Times New Roman"/>
      </rPr>
      <t>Конструкция выполнена из нержавеющей стали. Оснащена регулируемыми по высоте ножками. Принудительная циркуляция охлажденного воздуха и лампа подсветки в холодильной витрине. 6 полок-решеток. Внизу расположен шкаф для хранения кухонного инвентаря. Направляющие для подносов входят в комплект поставки.</t>
    </r>
  </si>
  <si>
    <r>
      <rPr>
        <sz val="10"/>
        <color theme="1"/>
        <rFont val="Times New Roman"/>
      </rPr>
      <t>522-103-1014-0001 - Прилавок для столовых приборов</t>
    </r>
  </si>
  <si>
    <r>
      <rPr>
        <sz val="10"/>
        <color theme="1"/>
        <rFont val="Times New Roman"/>
      </rPr>
      <t>Прилавок для столовых приборов и подносов. 4 стакана для столовых приборов. Регулируемые по высоте ножки. Конструкция выполнена из нержавеющей стали. Размеры не менее 630х675х1242мм</t>
    </r>
  </si>
  <si>
    <r>
      <rPr>
        <sz val="10"/>
        <color rgb="FF000000"/>
        <rFont val="Times New Roman"/>
      </rPr>
      <t xml:space="preserve">522-103-1108-0001 - Утюг с
</t>
    </r>
    <r>
      <rPr>
        <sz val="10"/>
        <color rgb="FF000000"/>
        <rFont val="Times New Roman"/>
      </rPr>
      <t xml:space="preserve">парогенератором, объём бойлера 2,5 л, напряжение 220В. Корпус и бойлер из нержавеющей стали.
</t>
    </r>
    <r>
      <rPr>
        <sz val="10"/>
        <color rgb="FF000000"/>
        <rFont val="Times New Roman"/>
      </rPr>
      <t>Габаритные размеры: 325х260х300 мм. Мощность 1,8 кВт</t>
    </r>
  </si>
  <si>
    <t>Утюг с
парогенератором, объём бойлера 2,5 л, напряжение 220В. Корпус и бойлер из нержавеющей стали.
Габаритные размеры: 325х260х300 мм. Мощность 1,8 кВт</t>
  </si>
  <si>
    <r>
      <rPr>
        <sz val="10"/>
        <color theme="1"/>
        <rFont val="Times New Roman"/>
      </rPr>
      <t>Нагревательный элемент выполнен из меди, внутренний электроклапан. Силиконовый коврик-подставка в комплекте. Рабочее давление пара 2.5 бар. Время непрерывной работы 2 - 2.5ч.</t>
    </r>
  </si>
  <si>
    <r>
      <rPr>
        <sz val="10"/>
        <color rgb="FF000000"/>
        <rFont val="Times New Roman"/>
      </rPr>
      <t xml:space="preserve">522-103-1108-0002 - Утюг с
</t>
    </r>
    <r>
      <rPr>
        <sz val="10"/>
        <color rgb="FF000000"/>
        <rFont val="Times New Roman"/>
      </rPr>
      <t xml:space="preserve">парогенератором, объём бойлера 3,7 л, напряжение 220В. Корпус и бойлер из нержавеющей стали.
</t>
    </r>
    <r>
      <rPr>
        <sz val="10"/>
        <color rgb="FF000000"/>
        <rFont val="Times New Roman"/>
      </rPr>
      <t>Габаритные размеры: 310х420х390 мм. Мощность 2,3 кВт</t>
    </r>
  </si>
  <si>
    <t>Утюг с
парогенератором, объём бойлера 3,7 л, напряжение 220В. Корпус и бойлер из нержавеющей стали.
Габаритные размеры: 310х420х390 мм. Мощность 2,3 кВт</t>
  </si>
  <si>
    <r>
      <rPr>
        <sz val="10"/>
        <color theme="1"/>
        <rFont val="Times New Roman"/>
      </rPr>
      <t>Нагревательный элемент выполнен из меди, внутренний электроклапан. Силиконовый коврик-подставка в комплекте. Рабочее давление пара 3.5 бар. Время непрерывной работы до 4.5ч.</t>
    </r>
  </si>
  <si>
    <r>
      <rPr>
        <sz val="10"/>
        <color theme="1"/>
        <rFont val="Times New Roman"/>
      </rPr>
      <t>522-201-0507-0001 - Тактильная дорожка (7 составных модулей)</t>
    </r>
  </si>
  <si>
    <r>
      <rPr>
        <sz val="10"/>
        <color theme="1"/>
        <rFont val="Times New Roman"/>
      </rPr>
      <t>Тактильная дорожка. Размер не менее 500х300х30 мм. Общая длина: не мене 3000 мм. Дорожка предназначена для ходьбы босиком по поверхности составляющих элементов. Тактильная дорожка состоит из элементов одинакового размера, но имеющих разное покрытие.</t>
    </r>
  </si>
  <si>
    <r>
      <rPr>
        <sz val="10"/>
        <color rgb="FF000000"/>
        <rFont val="Times New Roman"/>
      </rPr>
      <t xml:space="preserve">522-201-0510-0001 - Панель
</t>
    </r>
    <r>
      <rPr>
        <sz val="10"/>
        <color rgb="FF000000"/>
        <rFont val="Times New Roman"/>
      </rPr>
      <t>тактильная с декоративными элементами</t>
    </r>
  </si>
  <si>
    <t>Панель
тактильная с декоративными элементами</t>
  </si>
  <si>
    <r>
      <rPr>
        <sz val="10"/>
        <color theme="1"/>
        <rFont val="Times New Roman"/>
      </rPr>
      <t>Тактильные панели.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r>
  </si>
  <si>
    <t>#REF!</t>
  </si>
  <si>
    <t xml:space="preserve">Системный блок Lenovo TC ThinkCentre Neo 50t G4 #3/Intel® Core™ i3-13100 Processor
(P-cores 3.40 GHz up to 4.50 GHz)/8 GB DDR4-3200MHz (UDIMM)/1 TB 7200rpm HDD 3.5" SATA/256 GB SSD M.2 2280 PCIe
Gen4 TLC Opal/USB/Windows 11 для образовательных учреждений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</si>
</sst>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4" x14ac:knownFonts="1">
    <font>
      <sz val="10"/>
      <color rgb="FF000000"/>
      <name val="Arial"/>
      <scheme val="minor"/>
    </font>
    <font>
      <b/>
      <sz val="10"/>
      <color rgb="FF000000"/>
      <name val="Times New Roman"/>
    </font>
    <font>
      <sz val="10"/>
      <color theme="1"/>
      <name val="Arial"/>
      <scheme val="minor"/>
    </font>
    <font>
      <b/>
      <sz val="10"/>
      <color rgb="FFFF0000"/>
      <name val="Times New Roman"/>
    </font>
    <font>
      <sz val="10"/>
      <color rgb="FF000000"/>
      <name val="Times New Roman"/>
    </font>
    <font>
      <b/>
      <sz val="12"/>
      <color theme="1"/>
      <name val="Times New Roman"/>
    </font>
    <font>
      <sz val="10"/>
      <color theme="1"/>
      <name val="Times New Roman"/>
    </font>
    <font>
      <b/>
      <sz val="10"/>
      <color theme="1"/>
      <name val="Arial"/>
    </font>
    <font>
      <b/>
      <sz val="10"/>
      <color rgb="FF000000"/>
      <name val="Arial"/>
    </font>
    <font>
      <sz val="10"/>
      <color theme="1"/>
      <name val="Arial"/>
    </font>
    <font>
      <b/>
      <sz val="9"/>
      <color rgb="FF000000"/>
      <name val="Times New Roman"/>
    </font>
    <font>
      <b/>
      <vertAlign val="superscript"/>
      <sz val="9"/>
      <color rgb="FF000000"/>
      <name val="Times New Roman"/>
    </font>
    <font>
      <sz val="9"/>
      <color rgb="FF000000"/>
      <name val="Times New Roman"/>
    </font>
    <font>
      <sz val="10"/>
      <color rgb="FF000000"/>
      <name val="MS UI Gothic"/>
    </font>
  </fonts>
  <fills count="3">
    <fill>
      <patternFill patternType="none"/>
    </fill>
    <fill>
      <patternFill patternType="gray125"/>
    </fill>
    <fill>
      <patternFill patternType="solid">
        <fgColor rgb="FFCFE2F3"/>
        <bgColor rgb="FFCFE2F3"/>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s>
  <cellStyleXfs count="1">
    <xf numFmtId="0" fontId="0" fillId="0" borderId="0"/>
  </cellStyleXfs>
  <cellXfs count="84">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4" fontId="1" fillId="2" borderId="0" xfId="0" applyNumberFormat="1" applyFont="1" applyFill="1" applyAlignment="1">
      <alignment horizontal="right" vertical="center" wrapText="1"/>
    </xf>
    <xf numFmtId="0" fontId="2" fillId="0" borderId="0" xfId="0" applyFont="1" applyAlignment="1">
      <alignment wrapText="1"/>
    </xf>
    <xf numFmtId="0" fontId="2" fillId="0" borderId="0" xfId="0" applyFont="1" applyAlignment="1">
      <alignment horizontal="center"/>
    </xf>
    <xf numFmtId="0" fontId="3" fillId="0" borderId="2" xfId="0" applyFont="1" applyBorder="1" applyAlignment="1">
      <alignment vertical="center"/>
    </xf>
    <xf numFmtId="0" fontId="4" fillId="0" borderId="3" xfId="0" applyFont="1" applyBorder="1" applyAlignment="1">
      <alignment vertical="center" wrapText="1"/>
    </xf>
    <xf numFmtId="0" fontId="4" fillId="0" borderId="3" xfId="0" applyFont="1" applyBorder="1" applyAlignment="1">
      <alignment horizontal="center" vertical="center" wrapText="1"/>
    </xf>
    <xf numFmtId="4" fontId="4" fillId="0" borderId="3" xfId="0" applyNumberFormat="1" applyFont="1" applyBorder="1" applyAlignment="1">
      <alignment horizontal="right" vertical="center" wrapText="1"/>
    </xf>
    <xf numFmtId="0" fontId="2" fillId="0" borderId="4" xfId="0" applyFont="1" applyBorder="1"/>
    <xf numFmtId="0" fontId="5" fillId="0" borderId="2" xfId="0" applyFont="1" applyBorder="1" applyAlignment="1">
      <alignment vertical="center"/>
    </xf>
    <xf numFmtId="0" fontId="6" fillId="0" borderId="1" xfId="0" applyFont="1" applyBorder="1" applyAlignment="1">
      <alignment horizontal="center" vertical="center"/>
    </xf>
    <xf numFmtId="0" fontId="6" fillId="0" borderId="2" xfId="0" applyFont="1" applyBorder="1" applyAlignment="1">
      <alignment vertical="center" wrapText="1"/>
    </xf>
    <xf numFmtId="0" fontId="4" fillId="0" borderId="1" xfId="0" applyFont="1" applyBorder="1" applyAlignment="1">
      <alignment horizontal="left" vertical="center" wrapText="1"/>
    </xf>
    <xf numFmtId="0" fontId="4" fillId="0" borderId="2" xfId="0" applyFont="1" applyBorder="1" applyAlignment="1">
      <alignment horizontal="center" vertical="center" wrapText="1"/>
    </xf>
    <xf numFmtId="4" fontId="4" fillId="0" borderId="1" xfId="0" applyNumberFormat="1" applyFont="1" applyBorder="1" applyAlignment="1">
      <alignment horizontal="right" vertical="center" wrapText="1"/>
    </xf>
    <xf numFmtId="0" fontId="2" fillId="0" borderId="1" xfId="0" applyFont="1" applyBorder="1" applyAlignment="1">
      <alignment wrapText="1"/>
    </xf>
    <xf numFmtId="0" fontId="6" fillId="0" borderId="1" xfId="0" applyFont="1" applyBorder="1" applyAlignment="1">
      <alignment horizontal="center" vertical="center" wrapText="1"/>
    </xf>
    <xf numFmtId="1" fontId="4" fillId="0" borderId="2" xfId="0" applyNumberFormat="1" applyFont="1" applyBorder="1" applyAlignment="1">
      <alignment horizontal="center" vertical="center" shrinkToFit="1"/>
    </xf>
    <xf numFmtId="1" fontId="4" fillId="0" borderId="1" xfId="0" applyNumberFormat="1" applyFont="1" applyBorder="1" applyAlignment="1">
      <alignment horizontal="center" vertical="center" shrinkToFit="1"/>
    </xf>
    <xf numFmtId="0" fontId="4" fillId="0" borderId="2" xfId="0" applyFont="1" applyBorder="1" applyAlignment="1">
      <alignment vertical="center" wrapText="1"/>
    </xf>
    <xf numFmtId="2" fontId="4" fillId="0" borderId="1" xfId="0" applyNumberFormat="1" applyFont="1" applyBorder="1" applyAlignment="1">
      <alignment horizontal="center" vertical="center" shrinkToFit="1"/>
    </xf>
    <xf numFmtId="164" fontId="4" fillId="0" borderId="1" xfId="0" applyNumberFormat="1" applyFont="1" applyBorder="1" applyAlignment="1">
      <alignment horizontal="center" vertical="center" shrinkToFit="1"/>
    </xf>
    <xf numFmtId="165" fontId="4" fillId="0" borderId="1" xfId="0" applyNumberFormat="1" applyFont="1" applyBorder="1" applyAlignment="1">
      <alignment horizontal="center" vertical="center" shrinkToFit="1"/>
    </xf>
    <xf numFmtId="0" fontId="5" fillId="0" borderId="3" xfId="0" applyFont="1" applyBorder="1" applyAlignment="1">
      <alignment vertical="center" wrapText="1"/>
    </xf>
    <xf numFmtId="0" fontId="6" fillId="0" borderId="3" xfId="0" applyFont="1" applyBorder="1" applyAlignment="1">
      <alignment vertical="center" wrapText="1"/>
    </xf>
    <xf numFmtId="0" fontId="5" fillId="0" borderId="3" xfId="0" applyFont="1" applyBorder="1" applyAlignment="1">
      <alignment horizontal="center" vertical="center" wrapText="1"/>
    </xf>
    <xf numFmtId="4" fontId="5" fillId="0" borderId="3" xfId="0" applyNumberFormat="1" applyFont="1" applyBorder="1" applyAlignment="1">
      <alignment horizontal="right" vertical="center" wrapText="1"/>
    </xf>
    <xf numFmtId="0" fontId="2" fillId="0" borderId="4" xfId="0" applyFont="1" applyBorder="1" applyAlignment="1">
      <alignment wrapText="1"/>
    </xf>
    <xf numFmtId="0" fontId="6" fillId="0" borderId="2" xfId="0" applyFont="1" applyBorder="1" applyAlignment="1">
      <alignment horizontal="center" vertical="center"/>
    </xf>
    <xf numFmtId="0" fontId="4" fillId="0" borderId="3" xfId="0" applyFont="1" applyBorder="1" applyAlignment="1">
      <alignment horizontal="left" vertical="center" wrapText="1"/>
    </xf>
    <xf numFmtId="0" fontId="6" fillId="0" borderId="3" xfId="0" applyFont="1" applyBorder="1" applyAlignment="1">
      <alignment horizontal="center" vertical="center" wrapText="1"/>
    </xf>
    <xf numFmtId="1" fontId="4" fillId="0" borderId="3" xfId="0" applyNumberFormat="1" applyFont="1" applyBorder="1" applyAlignment="1">
      <alignment horizontal="center" vertical="center" shrinkToFit="1"/>
    </xf>
    <xf numFmtId="164" fontId="4" fillId="0" borderId="3" xfId="0" applyNumberFormat="1" applyFont="1" applyBorder="1" applyAlignment="1">
      <alignment horizontal="center" vertical="center" shrinkToFit="1"/>
    </xf>
    <xf numFmtId="2" fontId="4" fillId="0" borderId="3" xfId="0" applyNumberFormat="1" applyFont="1" applyBorder="1" applyAlignment="1">
      <alignment horizontal="center" vertical="center" shrinkToFit="1"/>
    </xf>
    <xf numFmtId="165" fontId="4" fillId="0" borderId="3" xfId="0" applyNumberFormat="1" applyFont="1" applyBorder="1" applyAlignment="1">
      <alignment horizontal="center" vertical="center" shrinkToFit="1"/>
    </xf>
    <xf numFmtId="166" fontId="4" fillId="0" borderId="3" xfId="0" applyNumberFormat="1" applyFont="1" applyBorder="1" applyAlignment="1">
      <alignment horizontal="center" vertical="center" shrinkToFit="1"/>
    </xf>
    <xf numFmtId="0" fontId="6" fillId="0" borderId="5" xfId="0" applyFont="1" applyBorder="1" applyAlignment="1">
      <alignment horizontal="center" vertical="center"/>
    </xf>
    <xf numFmtId="0" fontId="6" fillId="0" borderId="6" xfId="0" applyFont="1" applyBorder="1" applyAlignment="1">
      <alignment vertical="center" wrapText="1"/>
    </xf>
    <xf numFmtId="0" fontId="4" fillId="0" borderId="5" xfId="0" applyFont="1" applyBorder="1" applyAlignment="1">
      <alignment horizontal="left" vertical="center" wrapText="1"/>
    </xf>
    <xf numFmtId="0" fontId="4" fillId="0" borderId="6" xfId="0" applyFont="1" applyBorder="1" applyAlignment="1">
      <alignment horizontal="center" vertical="center" wrapText="1"/>
    </xf>
    <xf numFmtId="4" fontId="4" fillId="0" borderId="5" xfId="0" applyNumberFormat="1" applyFont="1" applyBorder="1" applyAlignment="1">
      <alignment horizontal="right" vertical="center" wrapText="1"/>
    </xf>
    <xf numFmtId="0" fontId="2" fillId="0" borderId="5" xfId="0" applyFont="1" applyBorder="1" applyAlignment="1">
      <alignment wrapText="1"/>
    </xf>
    <xf numFmtId="0" fontId="6" fillId="0" borderId="7" xfId="0" applyFont="1" applyBorder="1" applyAlignment="1">
      <alignment horizontal="center" vertical="center"/>
    </xf>
    <xf numFmtId="0" fontId="6" fillId="0" borderId="8" xfId="0" applyFont="1" applyBorder="1" applyAlignment="1">
      <alignment vertical="center" wrapText="1"/>
    </xf>
    <xf numFmtId="0" fontId="4" fillId="0" borderId="7" xfId="0" applyFont="1" applyBorder="1" applyAlignment="1">
      <alignment horizontal="left" vertical="center" wrapText="1"/>
    </xf>
    <xf numFmtId="0" fontId="4" fillId="0" borderId="8" xfId="0" applyFont="1" applyBorder="1" applyAlignment="1">
      <alignment horizontal="center" vertical="center" wrapText="1"/>
    </xf>
    <xf numFmtId="0" fontId="4" fillId="0" borderId="8" xfId="0" applyFont="1" applyBorder="1" applyAlignment="1">
      <alignment vertical="center" wrapText="1"/>
    </xf>
    <xf numFmtId="0" fontId="6" fillId="0" borderId="7" xfId="0" applyFont="1" applyBorder="1" applyAlignment="1">
      <alignment horizontal="center" vertical="center" wrapText="1"/>
    </xf>
    <xf numFmtId="49"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3" fontId="7"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2" fillId="0" borderId="0" xfId="0" applyFont="1" applyAlignment="1">
      <alignment vertical="center"/>
    </xf>
    <xf numFmtId="0" fontId="9" fillId="0" borderId="1" xfId="0" applyFont="1" applyBorder="1" applyAlignment="1">
      <alignment vertical="center" wrapText="1"/>
    </xf>
    <xf numFmtId="4" fontId="9" fillId="0" borderId="1" xfId="0" applyNumberFormat="1" applyFont="1" applyBorder="1" applyAlignment="1">
      <alignment horizontal="right" vertical="center" wrapText="1"/>
    </xf>
    <xf numFmtId="3" fontId="9" fillId="0" borderId="1" xfId="0" applyNumberFormat="1" applyFont="1" applyBorder="1" applyAlignment="1">
      <alignment horizontal="right" vertical="center" wrapText="1"/>
    </xf>
    <xf numFmtId="0" fontId="2" fillId="0" borderId="1" xfId="0" applyFont="1" applyBorder="1" applyAlignment="1">
      <alignment vertical="center"/>
    </xf>
    <xf numFmtId="0" fontId="9" fillId="0" borderId="1" xfId="0" applyFont="1" applyBorder="1" applyAlignment="1">
      <alignment horizontal="right" vertical="center" wrapText="1"/>
    </xf>
    <xf numFmtId="49" fontId="9" fillId="0" borderId="1" xfId="0" applyNumberFormat="1" applyFont="1" applyBorder="1" applyAlignment="1">
      <alignment vertical="center" wrapText="1"/>
    </xf>
    <xf numFmtId="2" fontId="9" fillId="0" borderId="1" xfId="0" applyNumberFormat="1" applyFont="1" applyBorder="1" applyAlignment="1">
      <alignment horizontal="right" vertical="center" wrapText="1"/>
    </xf>
    <xf numFmtId="4" fontId="9" fillId="0" borderId="1" xfId="0" applyNumberFormat="1" applyFont="1" applyBorder="1" applyAlignment="1">
      <alignment vertical="center" wrapText="1"/>
    </xf>
    <xf numFmtId="3" fontId="9" fillId="0" borderId="1" xfId="0" applyNumberFormat="1" applyFont="1" applyBorder="1" applyAlignment="1">
      <alignment vertical="center" wrapText="1"/>
    </xf>
    <xf numFmtId="0" fontId="9" fillId="0" borderId="0" xfId="0" applyFont="1"/>
    <xf numFmtId="0" fontId="2" fillId="0" borderId="0" xfId="0" applyFont="1"/>
    <xf numFmtId="0" fontId="2" fillId="0" borderId="1" xfId="0" applyFont="1" applyBorder="1" applyAlignment="1">
      <alignment vertical="center" wrapText="1"/>
    </xf>
    <xf numFmtId="4" fontId="2" fillId="0" borderId="1" xfId="0" applyNumberFormat="1" applyFont="1" applyBorder="1" applyAlignment="1">
      <alignment vertical="center" wrapText="1"/>
    </xf>
    <xf numFmtId="0" fontId="1" fillId="2" borderId="4" xfId="0" applyFont="1" applyFill="1" applyBorder="1" applyAlignment="1">
      <alignment horizontal="center" vertical="center" wrapText="1"/>
    </xf>
    <xf numFmtId="0" fontId="1" fillId="2" borderId="4" xfId="0" applyFont="1" applyFill="1" applyBorder="1" applyAlignment="1">
      <alignment vertical="top" wrapText="1"/>
    </xf>
    <xf numFmtId="0" fontId="5" fillId="0" borderId="0" xfId="0" applyFont="1" applyAlignment="1">
      <alignment wrapText="1"/>
    </xf>
    <xf numFmtId="1" fontId="10" fillId="0" borderId="0" xfId="0" applyNumberFormat="1" applyFont="1" applyAlignment="1">
      <alignment vertical="center" shrinkToFit="1"/>
    </xf>
    <xf numFmtId="0" fontId="6" fillId="0" borderId="2" xfId="0" applyFont="1" applyBorder="1" applyAlignment="1">
      <alignment vertical="top" wrapText="1"/>
    </xf>
    <xf numFmtId="0" fontId="4" fillId="0" borderId="2" xfId="0" applyFont="1" applyBorder="1" applyAlignment="1">
      <alignment vertical="top" wrapText="1"/>
    </xf>
    <xf numFmtId="0" fontId="4" fillId="0" borderId="8" xfId="0" applyFont="1" applyBorder="1" applyAlignment="1">
      <alignment vertical="top" wrapText="1"/>
    </xf>
    <xf numFmtId="0" fontId="6" fillId="0" borderId="8" xfId="0" applyFont="1" applyBorder="1" applyAlignment="1">
      <alignment vertical="top" wrapText="1"/>
    </xf>
    <xf numFmtId="0" fontId="4" fillId="0" borderId="8" xfId="0" applyFont="1" applyBorder="1" applyAlignment="1">
      <alignment wrapText="1"/>
    </xf>
    <xf numFmtId="0" fontId="4" fillId="0" borderId="9" xfId="0" applyFont="1" applyBorder="1" applyAlignment="1">
      <alignment vertical="center" wrapText="1"/>
    </xf>
    <xf numFmtId="0" fontId="6" fillId="0" borderId="9" xfId="0" applyFont="1" applyBorder="1" applyAlignment="1">
      <alignment vertical="top" wrapText="1"/>
    </xf>
    <xf numFmtId="0" fontId="4" fillId="0" borderId="9" xfId="0" applyFont="1" applyBorder="1" applyAlignment="1">
      <alignment vertical="top" wrapText="1"/>
    </xf>
    <xf numFmtId="0" fontId="4" fillId="0" borderId="9" xfId="0" applyFont="1" applyBorder="1" applyAlignment="1">
      <alignment wrapText="1"/>
    </xf>
    <xf numFmtId="0" fontId="4" fillId="0" borderId="6" xfId="0" applyFont="1" applyBorder="1" applyAlignment="1">
      <alignment vertical="center" wrapText="1"/>
    </xf>
    <xf numFmtId="0" fontId="6" fillId="0" borderId="6" xfId="0" applyFont="1" applyBorder="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5195"/>
  <sheetViews>
    <sheetView tabSelected="1" workbookViewId="0">
      <pane ySplit="1" topLeftCell="A90" activePane="bottomLeft" state="frozen"/>
      <selection pane="bottomLeft" activeCell="C81" sqref="C81"/>
    </sheetView>
  </sheetViews>
  <sheetFormatPr defaultColWidth="12.5703125" defaultRowHeight="15.75" customHeight="1" x14ac:dyDescent="0.2"/>
  <cols>
    <col min="1" max="1" width="21.28515625" customWidth="1"/>
    <col min="2" max="2" width="41.5703125" customWidth="1"/>
    <col min="3" max="3" width="72.140625" customWidth="1"/>
    <col min="4" max="4" width="12.85546875" customWidth="1"/>
    <col min="5" max="5" width="8" customWidth="1"/>
    <col min="6" max="6" width="12.28515625" customWidth="1"/>
    <col min="8" max="8" width="87.140625" customWidth="1"/>
  </cols>
  <sheetData>
    <row r="1" spans="1:26" ht="25.5" x14ac:dyDescent="0.2">
      <c r="A1" s="1" t="s">
        <v>0</v>
      </c>
      <c r="B1" s="2" t="s">
        <v>1</v>
      </c>
      <c r="C1" s="2" t="s">
        <v>2</v>
      </c>
      <c r="D1" s="3" t="s">
        <v>3</v>
      </c>
      <c r="E1" s="2" t="s">
        <v>4</v>
      </c>
      <c r="F1" s="3" t="s">
        <v>5</v>
      </c>
      <c r="G1" s="4" t="s">
        <v>6</v>
      </c>
      <c r="H1" s="5" t="s">
        <v>7</v>
      </c>
      <c r="I1" s="6"/>
      <c r="J1" s="6"/>
      <c r="K1" s="6"/>
      <c r="L1" s="6"/>
      <c r="M1" s="6"/>
      <c r="N1" s="6"/>
      <c r="O1" s="6"/>
      <c r="P1" s="6"/>
      <c r="Q1" s="6"/>
      <c r="R1" s="6"/>
      <c r="S1" s="6"/>
      <c r="T1" s="6"/>
      <c r="U1" s="6"/>
      <c r="V1" s="6"/>
      <c r="W1" s="6"/>
      <c r="X1" s="6"/>
      <c r="Y1" s="6"/>
      <c r="Z1" s="6"/>
    </row>
    <row r="2" spans="1:26" ht="12.75" x14ac:dyDescent="0.2">
      <c r="A2" s="7" t="s">
        <v>8</v>
      </c>
      <c r="B2" s="8"/>
      <c r="C2" s="8"/>
      <c r="D2" s="8"/>
      <c r="E2" s="9"/>
      <c r="F2" s="8"/>
      <c r="G2" s="10"/>
      <c r="H2" s="11"/>
    </row>
    <row r="3" spans="1:26" x14ac:dyDescent="0.2">
      <c r="A3" s="12" t="s">
        <v>9</v>
      </c>
      <c r="B3" s="8"/>
      <c r="C3" s="8"/>
      <c r="D3" s="8"/>
      <c r="E3" s="9"/>
      <c r="F3" s="8"/>
      <c r="G3" s="10"/>
      <c r="H3" s="11"/>
    </row>
    <row r="4" spans="1:26" ht="12.75" x14ac:dyDescent="0.2">
      <c r="A4" s="13" t="s">
        <v>10</v>
      </c>
      <c r="B4" s="14" t="s">
        <v>11</v>
      </c>
      <c r="C4" s="14"/>
      <c r="D4" s="15"/>
      <c r="E4" s="16"/>
      <c r="F4" s="15"/>
      <c r="G4" s="17"/>
      <c r="H4" s="18" t="str">
        <f ca="1">IFERROR(__xludf.DUMMYFUNCTION("LOWER(REGEXREPLACE(B4&amp;"" ""&amp;C4,""[^а-яa-z0-9 ]"","" ""))")," борудования игровое ")</f>
        <v xml:space="preserve"> борудования игровое </v>
      </c>
    </row>
    <row r="5" spans="1:26" ht="12.75" x14ac:dyDescent="0.2">
      <c r="A5" s="13" t="s">
        <v>12</v>
      </c>
      <c r="B5" s="14" t="s">
        <v>13</v>
      </c>
      <c r="C5" s="14"/>
      <c r="D5" s="19" t="s">
        <v>14</v>
      </c>
      <c r="E5" s="16"/>
      <c r="F5" s="15"/>
      <c r="G5" s="17">
        <v>235555</v>
      </c>
      <c r="H5" s="18" t="str">
        <f ca="1">IFERROR(__xludf.DUMMYFUNCTION("LOWER(REGEXREPLACE(B5&amp;"" ""&amp;C5,""[^а-яa-z0-9 ]"","" ""))")," ирма для кукольного театра ")</f>
        <v xml:space="preserve"> ирма для кукольного театра </v>
      </c>
    </row>
    <row r="6" spans="1:26" ht="12.75" x14ac:dyDescent="0.2">
      <c r="A6" s="13" t="s">
        <v>15</v>
      </c>
      <c r="B6" s="14" t="s">
        <v>16</v>
      </c>
      <c r="C6" s="14"/>
      <c r="D6" s="19" t="s">
        <v>14</v>
      </c>
      <c r="E6" s="16"/>
      <c r="F6" s="15"/>
      <c r="G6" s="17"/>
      <c r="H6" s="18" t="str">
        <f ca="1">IFERROR(__xludf.DUMMYFUNCTION("LOWER(REGEXREPLACE(B6&amp;"" ""&amp;C6,""[^а-яa-z0-9 ]"","" ""))")," анеж детский ")</f>
        <v xml:space="preserve"> анеж детский </v>
      </c>
    </row>
    <row r="7" spans="1:26" ht="12.75" x14ac:dyDescent="0.2">
      <c r="A7" s="13" t="s">
        <v>17</v>
      </c>
      <c r="B7" s="14" t="s">
        <v>18</v>
      </c>
      <c r="C7" s="14"/>
      <c r="D7" s="19" t="s">
        <v>14</v>
      </c>
      <c r="E7" s="16"/>
      <c r="F7" s="15"/>
      <c r="G7" s="17">
        <v>8482</v>
      </c>
      <c r="H7" s="18" t="str">
        <f ca="1">IFERROR(__xludf.DUMMYFUNCTION("LOWER(REGEXREPLACE(B7&amp;"" ""&amp;C7,""[^а-яa-z0-9 ]"","" ""))")," анеж детский размерами 830х680 мм ")</f>
        <v xml:space="preserve"> анеж детский размерами 830х680 мм </v>
      </c>
    </row>
    <row r="8" spans="1:26" ht="12.75" x14ac:dyDescent="0.2">
      <c r="A8" s="13" t="s">
        <v>19</v>
      </c>
      <c r="B8" s="14" t="s">
        <v>20</v>
      </c>
      <c r="C8" s="14"/>
      <c r="D8" s="19" t="s">
        <v>14</v>
      </c>
      <c r="E8" s="16"/>
      <c r="F8" s="15"/>
      <c r="G8" s="17">
        <v>8929</v>
      </c>
      <c r="H8" s="18" t="str">
        <f ca="1">IFERROR(__xludf.DUMMYFUNCTION("LOWER(REGEXREPLACE(B8&amp;"" ""&amp;C8,""[^а-яa-z0-9 ]"","" ""))")," анеж детский размерами 840х840х680 мм ")</f>
        <v xml:space="preserve"> анеж детский размерами 840х840х680 мм </v>
      </c>
    </row>
    <row r="9" spans="1:26" ht="12.75" x14ac:dyDescent="0.2">
      <c r="A9" s="13" t="s">
        <v>21</v>
      </c>
      <c r="B9" s="14" t="s">
        <v>22</v>
      </c>
      <c r="C9" s="14"/>
      <c r="D9" s="19" t="s">
        <v>14</v>
      </c>
      <c r="E9" s="16"/>
      <c r="F9" s="15"/>
      <c r="G9" s="17">
        <v>8482</v>
      </c>
      <c r="H9" s="18" t="str">
        <f ca="1">IFERROR(__xludf.DUMMYFUNCTION("LOWER(REGEXREPLACE(B9&amp;"" ""&amp;C9,""[^а-яa-z0-9 ]"","" ""))")," орзина для игрушек размерами 420х840х680 мм ")</f>
        <v xml:space="preserve"> орзина для игрушек размерами 420х840х680 мм </v>
      </c>
    </row>
    <row r="10" spans="1:26" ht="12.75" x14ac:dyDescent="0.2">
      <c r="A10" s="13" t="s">
        <v>23</v>
      </c>
      <c r="B10" s="14" t="s">
        <v>24</v>
      </c>
      <c r="C10" s="14"/>
      <c r="D10" s="15"/>
      <c r="E10" s="16"/>
      <c r="F10" s="15"/>
      <c r="G10" s="17"/>
      <c r="H10" s="18" t="str">
        <f ca="1">IFERROR(__xludf.DUMMYFUNCTION("LOWER(REGEXREPLACE(B10&amp;"" ""&amp;C10,""[^а-яa-z0-9 ]"","" ""))")," ебель для организации учебной деятельности ")</f>
        <v xml:space="preserve"> ебель для организации учебной деятельности </v>
      </c>
    </row>
    <row r="11" spans="1:26" ht="12.75" x14ac:dyDescent="0.2">
      <c r="A11" s="13" t="s">
        <v>25</v>
      </c>
      <c r="B11" s="14" t="s">
        <v>26</v>
      </c>
      <c r="C11" s="14"/>
      <c r="D11" s="19" t="s">
        <v>14</v>
      </c>
      <c r="E11" s="16"/>
      <c r="F11" s="15"/>
      <c r="G11" s="17"/>
      <c r="H11" s="18" t="str">
        <f ca="1">IFERROR(__xludf.DUMMYFUNCTION("LOWER(REGEXREPLACE(B11&amp;"" ""&amp;C11,""[^а-яa-z0-9 ]"","" ""))")," олка для книг ")</f>
        <v xml:space="preserve"> олка для книг </v>
      </c>
    </row>
    <row r="12" spans="1:26" ht="12.75" x14ac:dyDescent="0.2">
      <c r="A12" s="13" t="s">
        <v>27</v>
      </c>
      <c r="B12" s="14" t="s">
        <v>28</v>
      </c>
      <c r="C12" s="14"/>
      <c r="D12" s="19" t="s">
        <v>14</v>
      </c>
      <c r="E12" s="16"/>
      <c r="F12" s="15"/>
      <c r="G12" s="17">
        <v>9543</v>
      </c>
      <c r="H12" s="18" t="str">
        <f ca="1">IFERROR(__xludf.DUMMYFUNCTION("LOWER(REGEXREPLACE(B12&amp;"" ""&amp;C12,""[^а-яa-z0-9 ]"","" ""))")," олка книжная 1300х200х550 ")</f>
        <v xml:space="preserve"> олка книжная 1300х200х550 </v>
      </c>
    </row>
    <row r="13" spans="1:26" ht="38.25" x14ac:dyDescent="0.2">
      <c r="A13" s="13" t="s">
        <v>29</v>
      </c>
      <c r="B13" s="14" t="s">
        <v>30</v>
      </c>
      <c r="C13" s="14" t="s">
        <v>30</v>
      </c>
      <c r="D13" s="19" t="s">
        <v>14</v>
      </c>
      <c r="E13" s="20">
        <v>2</v>
      </c>
      <c r="F13" s="21">
        <v>10</v>
      </c>
      <c r="G13" s="17">
        <v>52197</v>
      </c>
      <c r="H13" s="18" t="str">
        <f ca="1">IFERROR(__xludf.DUMMYFUNCTION("LOWER(REGEXREPLACE(B13&amp;"" ""&amp;C13,""[^а-яa-z0-9 ]"","" ""))")," тол рабочий на 4 детей   азмер 900 900 570    мм  опоры металлические и регулируются по высоте  столешница из мдф толщиной 18 мм  тол рабочий на 4 детей   азмер 900 900 570    мм  опоры металлические и регулируются по высоте  столешница из мдф толщиной 1"&amp;"8 мм")</f>
        <v xml:space="preserve"> тол рабочий на 4 детей   азмер 900 900 570    мм  опоры металлические и регулируются по высоте  столешница из мдф толщиной 18 мм  тол рабочий на 4 детей   азмер 900 900 570    мм  опоры металлические и регулируются по высоте  столешница из мдф толщиной 18 мм</v>
      </c>
    </row>
    <row r="14" spans="1:26" ht="12.75" x14ac:dyDescent="0.2">
      <c r="A14" s="13" t="s">
        <v>31</v>
      </c>
      <c r="B14" s="14" t="s">
        <v>32</v>
      </c>
      <c r="C14" s="14"/>
      <c r="D14" s="19" t="s">
        <v>14</v>
      </c>
      <c r="E14" s="16"/>
      <c r="F14" s="15"/>
      <c r="G14" s="17"/>
      <c r="H14" s="18" t="str">
        <f ca="1">IFERROR(__xludf.DUMMYFUNCTION("LOWER(REGEXREPLACE(B14&amp;"" ""&amp;C14,""[^а-яa-z0-9 ]"","" ""))")," тол для дидактических занятий ")</f>
        <v xml:space="preserve"> тол для дидактических занятий </v>
      </c>
    </row>
    <row r="15" spans="1:26" ht="25.5" x14ac:dyDescent="0.2">
      <c r="A15" s="13" t="s">
        <v>33</v>
      </c>
      <c r="B15" s="14" t="s">
        <v>34</v>
      </c>
      <c r="C15" s="14"/>
      <c r="D15" s="19" t="s">
        <v>14</v>
      </c>
      <c r="E15" s="16"/>
      <c r="F15" s="15"/>
      <c r="G15" s="17">
        <v>433006</v>
      </c>
      <c r="H15" s="18" t="str">
        <f ca="1">IFERROR(__xludf.DUMMYFUNCTION("LOWER(REGEXREPLACE(B15&amp;"" ""&amp;C15,""[^а-яa-z0-9 ]"","" ""))")," идактический стол с набором игрушек  размер   180  50  46 ")</f>
        <v xml:space="preserve"> идактический стол с набором игрушек  размер   180  50  46 </v>
      </c>
    </row>
    <row r="16" spans="1:26" ht="12.75" x14ac:dyDescent="0.2">
      <c r="A16" s="13" t="s">
        <v>35</v>
      </c>
      <c r="B16" s="14" t="s">
        <v>36</v>
      </c>
      <c r="C16" s="14"/>
      <c r="D16" s="19" t="s">
        <v>14</v>
      </c>
      <c r="E16" s="16"/>
      <c r="F16" s="15"/>
      <c r="G16" s="17"/>
      <c r="H16" s="18" t="str">
        <f ca="1">IFERROR(__xludf.DUMMYFUNCTION("LOWER(REGEXREPLACE(B16&amp;"" ""&amp;C16,""[^а-яa-z0-9 ]"","" ""))")," тенка для игрушек ")</f>
        <v xml:space="preserve"> тенка для игрушек </v>
      </c>
    </row>
    <row r="17" spans="1:8" ht="12.75" x14ac:dyDescent="0.2">
      <c r="A17" s="13" t="s">
        <v>37</v>
      </c>
      <c r="B17" s="14" t="s">
        <v>38</v>
      </c>
      <c r="C17" s="14"/>
      <c r="D17" s="19" t="s">
        <v>14</v>
      </c>
      <c r="E17" s="16"/>
      <c r="F17" s="15"/>
      <c r="G17" s="17">
        <v>98051</v>
      </c>
      <c r="H17" s="18" t="str">
        <f ca="1">IFERROR(__xludf.DUMMYFUNCTION("LOWER(REGEXREPLACE(B17&amp;"" ""&amp;C17,""[^а-яa-z0-9 ]"","" ""))")," тенка для игрушек   ирамида  2900 350 950 ")</f>
        <v xml:space="preserve"> тенка для игрушек   ирамида  2900 350 950 </v>
      </c>
    </row>
    <row r="18" spans="1:8" ht="12.75" x14ac:dyDescent="0.2">
      <c r="A18" s="13" t="s">
        <v>39</v>
      </c>
      <c r="B18" s="14" t="s">
        <v>40</v>
      </c>
      <c r="C18" s="14"/>
      <c r="D18" s="19" t="s">
        <v>14</v>
      </c>
      <c r="E18" s="16"/>
      <c r="F18" s="15"/>
      <c r="G18" s="17">
        <v>139972</v>
      </c>
      <c r="H18" s="18" t="str">
        <f ca="1">IFERROR(__xludf.DUMMYFUNCTION("LOWER(REGEXREPLACE(B18&amp;"" ""&amp;C18,""[^а-яa-z0-9 ]"","" ""))")," тенка для игрушек 1900 350 1200 ")</f>
        <v xml:space="preserve"> тенка для игрушек 1900 350 1200 </v>
      </c>
    </row>
    <row r="19" spans="1:8" ht="12.75" x14ac:dyDescent="0.2">
      <c r="A19" s="13" t="s">
        <v>41</v>
      </c>
      <c r="B19" s="14" t="s">
        <v>42</v>
      </c>
      <c r="C19" s="14"/>
      <c r="D19" s="19" t="s">
        <v>14</v>
      </c>
      <c r="E19" s="16"/>
      <c r="F19" s="15"/>
      <c r="G19" s="17">
        <v>76113</v>
      </c>
      <c r="H19" s="18" t="str">
        <f ca="1">IFERROR(__xludf.DUMMYFUNCTION("LOWER(REGEXREPLACE(B19&amp;"" ""&amp;C19,""[^а-яa-z0-9 ]"","" ""))")," тенка для игрушек   омик  1680 340 1200 ")</f>
        <v xml:space="preserve"> тенка для игрушек   омик  1680 340 1200 </v>
      </c>
    </row>
    <row r="20" spans="1:8" ht="12.75" x14ac:dyDescent="0.2">
      <c r="A20" s="13" t="s">
        <v>43</v>
      </c>
      <c r="B20" s="14" t="s">
        <v>44</v>
      </c>
      <c r="C20" s="14"/>
      <c r="D20" s="19" t="s">
        <v>14</v>
      </c>
      <c r="E20" s="16"/>
      <c r="F20" s="15"/>
      <c r="G20" s="17">
        <v>73341</v>
      </c>
      <c r="H20" s="18" t="str">
        <f ca="1">IFERROR(__xludf.DUMMYFUNCTION("LOWER(REGEXREPLACE(B20&amp;"" ""&amp;C20,""[^а-яa-z0-9 ]"","" ""))")," тенка для игрушек   омик  1185 350 1200 ")</f>
        <v xml:space="preserve"> тенка для игрушек   омик  1185 350 1200 </v>
      </c>
    </row>
    <row r="21" spans="1:8" ht="12.75" x14ac:dyDescent="0.2">
      <c r="A21" s="13" t="s">
        <v>45</v>
      </c>
      <c r="B21" s="14" t="s">
        <v>46</v>
      </c>
      <c r="C21" s="14"/>
      <c r="D21" s="19" t="s">
        <v>14</v>
      </c>
      <c r="E21" s="16"/>
      <c r="F21" s="15"/>
      <c r="G21" s="17">
        <v>71676</v>
      </c>
      <c r="H21" s="18" t="str">
        <f ca="1">IFERROR(__xludf.DUMMYFUNCTION("LOWER(REGEXREPLACE(B21&amp;"" ""&amp;C21,""[^а-яa-z0-9 ]"","" ""))")," тенка для игрушек   ухня  1200 400 1100 ")</f>
        <v xml:space="preserve"> тенка для игрушек   ухня  1200 400 1100 </v>
      </c>
    </row>
    <row r="22" spans="1:8" ht="63.75" x14ac:dyDescent="0.2">
      <c r="A22" s="13" t="s">
        <v>47</v>
      </c>
      <c r="B22" s="14" t="s">
        <v>48</v>
      </c>
      <c r="C22" s="14" t="s">
        <v>49</v>
      </c>
      <c r="D22" s="19" t="s">
        <v>14</v>
      </c>
      <c r="E22" s="20">
        <v>2</v>
      </c>
      <c r="F22" s="21">
        <v>62</v>
      </c>
      <c r="G22" s="17">
        <v>227221</v>
      </c>
      <c r="H22" s="18" t="str">
        <f ca="1">IFERROR(__xludf.DUMMYFUNCTION("LOWER(REGEXREPLACE(B22&amp;"" ""&amp;C22,""[^а-яa-z0-9 ]"","" ""))")," тенка в игровую   ухня  1160х380х900 мм  атериал изготовления      16 мм  класс эмиссии  1   ромки деталей облицованы полимерным кромочным материалом        толщиной 1 5 мм   урнитура  конфирматы  стяжка типа       полкодержатель металлический  без пласт"&amp;"иковых элементов   ручка 128 мм   без острых углов   навес мебельный типа       ножка мебельная   асады цветные      ")</f>
        <v xml:space="preserve"> тенка в игровую   ухня  1160х380х900 мм  атериал изготовления      16 мм  класс эмиссии  1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асады цветные      </v>
      </c>
    </row>
    <row r="23" spans="1:8" ht="76.5" x14ac:dyDescent="0.2">
      <c r="A23" s="13" t="s">
        <v>50</v>
      </c>
      <c r="B23" s="14" t="s">
        <v>51</v>
      </c>
      <c r="C23" s="14" t="s">
        <v>52</v>
      </c>
      <c r="D23" s="19" t="s">
        <v>14</v>
      </c>
      <c r="E23" s="20">
        <v>2</v>
      </c>
      <c r="F23" s="21">
        <v>65</v>
      </c>
      <c r="G23" s="17">
        <v>147196</v>
      </c>
      <c r="H23" s="18" t="str">
        <f ca="1">IFERROR(__xludf.DUMMYFUNCTION("LOWER(REGEXREPLACE(B23&amp;"" ""&amp;C23,""[^а-яa-z0-9 ]"","" ""))")," тенка в игровую   арикмахерская  1200х300х1300 мм  атериал изготовления      16 мм  класс эмиссии  1   ромки деталей облицованы полимерным кромочным материалом        толщиной 1 5 мм   комплектовано обработанным зеркалом   урнитура  конфирматы  стяжка ти"&amp;"па       полкодержатель металлический  без пластиковых элементов   ручка 128 мм   без острых углов   навес мебельный типа       ножка мебельная   асады цветные      ")</f>
        <v xml:space="preserve"> тенка в игровую   арикмахерская  1200х300х1300 мм  атериал изготовления      16 мм  класс эмиссии  1   ромки деталей облицованы полимерным кромочным материалом        толщиной 1 5 мм   комплектовано обработанным зеркалом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асады цветные      </v>
      </c>
    </row>
    <row r="24" spans="1:8" ht="63.75" x14ac:dyDescent="0.2">
      <c r="A24" s="13" t="s">
        <v>53</v>
      </c>
      <c r="B24" s="14" t="s">
        <v>54</v>
      </c>
      <c r="C24" s="14" t="s">
        <v>55</v>
      </c>
      <c r="D24" s="19" t="s">
        <v>14</v>
      </c>
      <c r="E24" s="20">
        <v>2</v>
      </c>
      <c r="F24" s="21">
        <v>64</v>
      </c>
      <c r="G24" s="17">
        <v>248542</v>
      </c>
      <c r="H24" s="18" t="str">
        <f ca="1">IFERROR(__xludf.DUMMYFUNCTION("LOWER(REGEXREPLACE(B24&amp;"" ""&amp;C24,""[^а-яa-z0-9 ]"","" ""))")," тенка в игровую   агазин  1200х500х960 мм  атериал изготовления      16 мм  класс эмиссии  1   ромки деталей одлицованы полимерным кромочным материалом        толщиной 1 5 мм  асады изготавливаются из цветного       урнитура  конфирматы  стяжка типа     "&amp;"  полкодержатель металлический  без пластиковых элементов   ручка 128 мм   без острых углов   навес мебельный типа       ножка мебельная ")</f>
        <v xml:space="preserve"> тенка в игровую   агазин  1200х500х960 мм  атериал изготовления      16 мм  класс эмиссии  1   ромки деталей одлицованы полимерным кромочным материалом        толщиной 1 5 мм  асады изготавливаются из цветного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v>
      </c>
    </row>
    <row r="25" spans="1:8" ht="127.5" x14ac:dyDescent="0.2">
      <c r="A25" s="13" t="s">
        <v>56</v>
      </c>
      <c r="B25" s="14" t="s">
        <v>57</v>
      </c>
      <c r="C25" s="14" t="s">
        <v>58</v>
      </c>
      <c r="D25" s="19" t="s">
        <v>14</v>
      </c>
      <c r="E25" s="20">
        <v>2</v>
      </c>
      <c r="F25" s="21">
        <v>144</v>
      </c>
      <c r="G25" s="17">
        <v>298493</v>
      </c>
      <c r="H25" s="18" t="str">
        <f ca="1">IFERROR(__xludf.DUMMYFUNCTION("LOWER(REGEXREPLACE(B25&amp;"" ""&amp;C25,""[^а-яa-z0-9 ]"","" ""))")," тенка модульная  материал      16 мм  кромка      размеры 3600х470х2030 мм  атериал      16 мм  кромка     0 4 мм   тенка состоит из трех шкафов   ервый шкаф длиной 800 мм  состоит из 5 закрытых секций и 2 открытых   торой длиной 2000 мм и высотой 1200 м"&amp;"м  состоит из 4 закрытых и 3 открытых секций   ретий шкаф длиной 800 и высотой 1600 мм  состоит из 5 закрытых и 2 открытых секций   асады имеют комбинированную расцветку   репление всей конструкции должно осуществляться при помощи эксцентриковых стяжек и "&amp;"конфирматов   еста установки креп жных изделий должны быть закрыты пластиковыми заглушками   етля для дверок должна быть шарнирная накладная с функцией  softclose    ебельные ножки должны регулироваться по высоте для компенсации неровностей пола ")</f>
        <v xml:space="preserve"> тенка модульная  материал      16 мм  кромка      размеры 3600х470х2030 мм  атериал      16 мм  кромка     0 4 мм   тенка состоит из трех шкафов   ервый шкаф длиной 800 мм  состоит из 5 закрытых секций и 2 открытых   торой длиной 2000 мм и высотой 1200 мм  состоит из 4 закрытых и 3 открытых секций   ретий шкаф длиной 800 и высотой 1600 мм  состоит из 5 закрытых и 2 открытых секций   асады имеют комбинированную расцветку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етля для дверок должна быть шарнирная накладная с функцией  softclose    ебельные ножки должны регулироваться по высоте для компенсации неровностей пола </v>
      </c>
    </row>
    <row r="26" spans="1:8" ht="140.25" x14ac:dyDescent="0.2">
      <c r="A26" s="13" t="s">
        <v>59</v>
      </c>
      <c r="B26" s="22" t="s">
        <v>60</v>
      </c>
      <c r="C26" s="14" t="s">
        <v>61</v>
      </c>
      <c r="D26" s="19" t="s">
        <v>14</v>
      </c>
      <c r="E26" s="20">
        <v>2</v>
      </c>
      <c r="F26" s="21">
        <v>69</v>
      </c>
      <c r="G26" s="17">
        <v>83634</v>
      </c>
      <c r="H26" s="18" t="str">
        <f ca="1">IFERROR(__xludf.DUMMYFUNCTION("LOWER(REGEXREPLACE(B26&amp;"" ""&amp;C26,""[^а-яa-z0-9 ]"","" ""))")," тенка   омик   материал из      16 мм  размеры 1800х450х1318 мм  тенка выполнена из      16 мм   омик установлена на      основание 1800 мм  размером 820х840 мм  разделена на 4 равных отсека  2 закрытых  и 2 открытых  с треугольной крышей высотой 432 мм "&amp;" верхний угол имеет соединительный элемент 145х170 мм  закруглен на   радиусом 90мм   адняя стенка      16 мм    двух сторон полки размером 290х448  первый ряд расположен на высоте 412 мм от пола  второй ряд 774 мм   а полках 1 угол с закруглением радиусо"&amp;"м 120 мм   олки закрепленына задней стенке выполненной из      с фигурным вырезом    2х сторон у основания домика расположены соединительные элементы 145х170 мм  закруглена на   радиусом 90 мм   зделие установлено на пластиковые опоры размером 30 мм ")</f>
        <v xml:space="preserve"> тенка   омик   материал из      16 мм  размеры 1800х450х1318 мм  тенка выполнена из      16 мм   омик установлена на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радиусом 90мм   адняя стенка      16 мм    двух сторон полки размером 290х448  первый ряд расположен на высоте 412 мм от пола  второй ряд 774 мм   а полках 1 угол с закруглением радиусом 120 мм   олки закрепленына задней стенке выполненной из      с фигурным вырезом    2х сторон у основания домика расположены соединительные элементы 145х170 мм  закруглена на   радиусом 90 мм   зделие установлено на пластиковые опоры размером 30 мм </v>
      </c>
    </row>
    <row r="27" spans="1:8" ht="76.5" x14ac:dyDescent="0.2">
      <c r="A27" s="13" t="s">
        <v>62</v>
      </c>
      <c r="B27" s="14" t="s">
        <v>63</v>
      </c>
      <c r="C27" s="14" t="s">
        <v>64</v>
      </c>
      <c r="D27" s="19" t="s">
        <v>14</v>
      </c>
      <c r="E27" s="20">
        <v>2</v>
      </c>
      <c r="F27" s="21">
        <v>63</v>
      </c>
      <c r="G27" s="17">
        <v>87723</v>
      </c>
      <c r="H27" s="18" t="str">
        <f ca="1">IFERROR(__xludf.DUMMYFUNCTION("LOWER(REGEXREPLACE(B27&amp;"" ""&amp;C27,""[^а-яa-z0-9 ]"","" ""))")," тенка под пуфы на 12 ячеек  материал      16 мм  размеры 1324х400х1790 мм  тенка представляет из себя открытый стеллаж  поделенный вертикальными и горизонтальными стойками на 12 ячеек   есущие части  полки        не менее 16 мм  задняя стенка       не ме"&amp;"нее 3 мм   ромка должна быть из     не менее 0 4 мм   борка должна производиться с помощью конфирматов 6 3х50 и эксцентриковых стяжек   ебельные ножки должны регулироваться по высоте для компенсации неровностей пола ")</f>
        <v xml:space="preserve"> тенка под пуфы на 12 ячеек  материал      16 мм  размеры 1324х400х1790 мм  тенка представляет из себя открытый стеллаж  поделенный вертикальными и горизонтальными стойками на 12 ячеек   есущие части  полки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ебельные ножки должны регулироваться по высоте для компенсации неровностей пола </v>
      </c>
    </row>
    <row r="28" spans="1:8" ht="38.25" x14ac:dyDescent="0.2">
      <c r="A28" s="13" t="s">
        <v>65</v>
      </c>
      <c r="B28" s="14" t="s">
        <v>66</v>
      </c>
      <c r="C28" s="14" t="s">
        <v>67</v>
      </c>
      <c r="D28" s="19" t="s">
        <v>68</v>
      </c>
      <c r="E28" s="20">
        <v>2</v>
      </c>
      <c r="F28" s="21">
        <v>55</v>
      </c>
      <c r="G28" s="17">
        <v>289784</v>
      </c>
      <c r="H28" s="18" t="str">
        <f ca="1">IFERROR(__xludf.DUMMYFUNCTION("LOWER(REGEXREPLACE(B28&amp;"" ""&amp;C28,""[^а-яa-z0-9 ]"","" ""))")," ебель для игрушек  ебель для игрушек   остоит из стеллажей с пластиковыми лотками  изготовлены из       задняя стенка      размеры 520 930 1340 930 520 2300 350мм ")</f>
        <v xml:space="preserve"> ебель для игрушек  ебель для игрушек   остоит из стеллажей с пластиковыми лотками  изготовлены из       задняя стенка      размеры 520 930 1340 930 520 2300 350мм </v>
      </c>
    </row>
    <row r="29" spans="1:8" ht="12.75" x14ac:dyDescent="0.2">
      <c r="A29" s="13" t="s">
        <v>69</v>
      </c>
      <c r="B29" s="14" t="s">
        <v>70</v>
      </c>
      <c r="C29" s="14"/>
      <c r="D29" s="19" t="s">
        <v>14</v>
      </c>
      <c r="E29" s="16"/>
      <c r="F29" s="15"/>
      <c r="G29" s="17"/>
      <c r="H29" s="18" t="str">
        <f ca="1">IFERROR(__xludf.DUMMYFUNCTION("LOWER(REGEXREPLACE(B29&amp;"" ""&amp;C29,""[^а-яa-z0-9 ]"","" ""))")," теллаж для игрушек и пособий ")</f>
        <v xml:space="preserve"> теллаж для игрушек и пособий </v>
      </c>
    </row>
    <row r="30" spans="1:8" ht="25.5" x14ac:dyDescent="0.2">
      <c r="A30" s="13" t="s">
        <v>71</v>
      </c>
      <c r="B30" s="22" t="s">
        <v>72</v>
      </c>
      <c r="C30" s="14" t="s">
        <v>73</v>
      </c>
      <c r="D30" s="19" t="s">
        <v>14</v>
      </c>
      <c r="E30" s="20">
        <v>2</v>
      </c>
      <c r="F30" s="21">
        <v>80</v>
      </c>
      <c r="G30" s="17">
        <v>111103</v>
      </c>
      <c r="H30" s="18" t="str">
        <f ca="1">IFERROR(__xludf.DUMMYFUNCTION("LOWER(REGEXREPLACE(B30&amp;"" ""&amp;C30,""[^а-яa-z0-9 ]"","" ""))")," каф стеллаж для игрушек и пособий       16 мм  размеры 2572х425х1230мм  каф стеллаж для игрушек и пособий       16 мм  ножки регулируемые   азмеры 2572х425х1230мм")</f>
        <v xml:space="preserve"> каф стеллаж для игрушек и пособий       16 мм  размеры 2572х425х1230мм  каф стеллаж для игрушек и пособий       16 мм  ножки регулируемые   азмеры 2572х425х1230мм</v>
      </c>
    </row>
    <row r="31" spans="1:8" ht="12.75" x14ac:dyDescent="0.2">
      <c r="A31" s="13" t="s">
        <v>74</v>
      </c>
      <c r="B31" s="14" t="s">
        <v>75</v>
      </c>
      <c r="C31" s="14"/>
      <c r="D31" s="15"/>
      <c r="E31" s="16"/>
      <c r="F31" s="15"/>
      <c r="G31" s="17"/>
      <c r="H31" s="18" t="str">
        <f ca="1">IFERROR(__xludf.DUMMYFUNCTION("LOWER(REGEXREPLACE(B31&amp;"" ""&amp;C31,""[^а-яa-z0-9 ]"","" ""))")," редства обучения технические ")</f>
        <v xml:space="preserve"> редства обучения технические </v>
      </c>
    </row>
    <row r="32" spans="1:8" ht="76.5" x14ac:dyDescent="0.2">
      <c r="A32" s="13" t="s">
        <v>76</v>
      </c>
      <c r="B32" s="22" t="s">
        <v>77</v>
      </c>
      <c r="C32" s="14"/>
      <c r="D32" s="15"/>
      <c r="E32" s="16"/>
      <c r="F32" s="15"/>
      <c r="G32" s="17"/>
      <c r="H32" s="18" t="str">
        <f ca="1">IFERROR(__xludf.DUMMYFUNCTION("LOWER(REGEXREPLACE(B32&amp;"" ""&amp;C32,""[^а-яa-z0-9 ]"","" ""))")," ерсональный компьютер  системный блок  монитор  клавиатура  оптическая мышь   комплектующие устройства  микрофонно телефонная гарнитура  акустическая система  сетевой фильтр  многофункциональное печатное устройство  ")</f>
        <v xml:space="preserve"> ерсональный компьютер  системный блок  монитор  клавиатура  оптическая мышь   комплектующие устройства  микрофонно телефонная гарнитура  акустическая система  сетевой фильтр  многофункциональное печатное устройство  </v>
      </c>
    </row>
    <row r="33" spans="1:8" ht="25.5" x14ac:dyDescent="0.2">
      <c r="A33" s="13" t="s">
        <v>78</v>
      </c>
      <c r="B33" s="14" t="s">
        <v>79</v>
      </c>
      <c r="C33" s="14"/>
      <c r="D33" s="19" t="s">
        <v>14</v>
      </c>
      <c r="E33" s="16"/>
      <c r="F33" s="15"/>
      <c r="G33" s="17">
        <v>446339</v>
      </c>
      <c r="H33" s="18" t="str">
        <f ca="1">IFERROR(__xludf.DUMMYFUNCTION("LOWER(REGEXREPLACE(B33&amp;"" ""&amp;C33,""[^а-яa-z0-9 ]"","" ""))")," ерсональный компьютер  cer  spire    1660           005  ")</f>
        <v xml:space="preserve"> ерсональный компьютер  cer  spire    1660           005  </v>
      </c>
    </row>
    <row r="34" spans="1:8" ht="25.5" x14ac:dyDescent="0.2">
      <c r="A34" s="13" t="s">
        <v>80</v>
      </c>
      <c r="B34" s="14" t="s">
        <v>81</v>
      </c>
      <c r="C34" s="14"/>
      <c r="D34" s="19" t="s">
        <v>14</v>
      </c>
      <c r="E34" s="16"/>
      <c r="F34" s="15"/>
      <c r="G34" s="17">
        <v>90474</v>
      </c>
      <c r="H34" s="18" t="str">
        <f ca="1">IFERROR(__xludf.DUMMYFUNCTION("LOWER(REGEXREPLACE(B34&amp;"" ""&amp;C34,""[^а-яa-z0-9 ]"","" ""))")," атеринская плата    ock  470          1200 ")</f>
        <v xml:space="preserve"> атеринская плата    ock  470          1200 </v>
      </c>
    </row>
    <row r="35" spans="1:8" ht="25.5" x14ac:dyDescent="0.2">
      <c r="A35" s="13" t="s">
        <v>82</v>
      </c>
      <c r="B35" s="14" t="s">
        <v>83</v>
      </c>
      <c r="C35" s="14"/>
      <c r="D35" s="19" t="s">
        <v>14</v>
      </c>
      <c r="E35" s="16"/>
      <c r="F35" s="15"/>
      <c r="G35" s="17">
        <v>232054</v>
      </c>
      <c r="H35" s="18" t="str">
        <f ca="1">IFERROR(__xludf.DUMMYFUNCTION("LOWER(REGEXREPLACE(B35&amp;"" ""&amp;C35,""[^а-яa-z0-9 ]"","" ""))")," истемный блок  cer  eriton  4670   i3 10100  8        128             ")</f>
        <v xml:space="preserve"> истемный блок  cer  eriton  4670   i3 10100  8        128             </v>
      </c>
    </row>
    <row r="36" spans="1:8" ht="38.25" x14ac:dyDescent="0.2">
      <c r="A36" s="13" t="s">
        <v>84</v>
      </c>
      <c r="B36" s="22" t="s">
        <v>85</v>
      </c>
      <c r="C36" s="14"/>
      <c r="D36" s="19" t="s">
        <v>14</v>
      </c>
      <c r="E36" s="16"/>
      <c r="F36" s="15"/>
      <c r="G36" s="17">
        <v>379597</v>
      </c>
      <c r="H36" s="18" t="str">
        <f ca="1">IFERROR(__xludf.DUMMYFUNCTION("LOWER(REGEXREPLACE(B36&amp;"" ""&amp;C36,""[^а-яa-z0-9 ]"","" ""))")," истемный блок  cer  spire    1660   ore i3 10105 3 7  z 8 b 1 b    256 b        1650  4 b          ")</f>
        <v xml:space="preserve"> истемный блок  cer  spire    1660   ore i3 10105 3 7  z 8 b 1 b    256 b        1650  4 b          </v>
      </c>
    </row>
    <row r="37" spans="1:8" ht="51" x14ac:dyDescent="0.2">
      <c r="A37" s="13" t="s">
        <v>86</v>
      </c>
      <c r="B37" s="22" t="s">
        <v>87</v>
      </c>
      <c r="C37" s="14"/>
      <c r="D37" s="19" t="s">
        <v>14</v>
      </c>
      <c r="E37" s="16"/>
      <c r="F37" s="15"/>
      <c r="G37" s="17">
        <v>598125</v>
      </c>
      <c r="H37" s="18" t="str">
        <f ca="1">IFERROR(__xludf.DUMMYFUNCTION("LOWER(REGEXREPLACE(B37&amp;"" ""&amp;C37,""[^а-яa-z0-9 ]"","" ""))")," истемный блок     avilion  aming   01 2087ur  60 91          yzen 5 5600  3 9  z 16 b 512 b      6600   8  b     ")</f>
        <v xml:space="preserve"> истемный блок     avilion  aming   01 2087ur  60 91          yzen 5 5600  3 9  z 16 b 512 b      6600   8  b     </v>
      </c>
    </row>
    <row r="38" spans="1:8" ht="51" x14ac:dyDescent="0.2">
      <c r="A38" s="13" t="s">
        <v>88</v>
      </c>
      <c r="B38" s="22" t="s">
        <v>89</v>
      </c>
      <c r="C38" s="14"/>
      <c r="D38" s="19" t="s">
        <v>14</v>
      </c>
      <c r="E38" s="16"/>
      <c r="F38" s="15"/>
      <c r="G38" s="17">
        <v>598125</v>
      </c>
      <c r="H38" s="18" t="str">
        <f ca="1">IFERROR(__xludf.DUMMYFUNCTION("LOWER(REGEXREPLACE(B38&amp;"" ""&amp;C38,""[^а-яa-z0-9 ]"","" ""))")," истемный блок     avilion   01 2037ur  60 92      yzen 7 5700  3 8  z 16 b 256 b           3060 12 b           ")</f>
        <v xml:space="preserve"> истемный блок     avilion   01 2037ur  60 92      yzen 7 5700  3 8  z 16 b 256 b           3060 12 b           </v>
      </c>
    </row>
    <row r="39" spans="1:8" ht="38.25" x14ac:dyDescent="0.2">
      <c r="A39" s="13" t="s">
        <v>90</v>
      </c>
      <c r="B39" s="14" t="s">
        <v>91</v>
      </c>
      <c r="C39" s="14"/>
      <c r="D39" s="19" t="s">
        <v>14</v>
      </c>
      <c r="E39" s="16"/>
      <c r="F39" s="15"/>
      <c r="G39" s="17">
        <v>406718</v>
      </c>
      <c r="H39" s="18" t="str">
        <f ca="1">IFERROR(__xludf.DUMMYFUNCTION("LOWER(REGEXREPLACE(B39&amp;"" ""&amp;C39,""[^а-яa-z0-9 ]"","" ""))")," истемный блок  enovo  dea entre  5   ore i5 11400  2 6 z 16 b 512           1660   6 b                ")</f>
        <v xml:space="preserve"> истемный блок  enovo  dea entre  5   ore i5 11400  2 6 z 16 b 512           1660   6 b                </v>
      </c>
    </row>
    <row r="40" spans="1:8" ht="38.25" x14ac:dyDescent="0.2">
      <c r="A40" s="13" t="s">
        <v>92</v>
      </c>
      <c r="B40" s="14" t="s">
        <v>93</v>
      </c>
      <c r="C40" s="14"/>
      <c r="D40" s="19" t="s">
        <v>14</v>
      </c>
      <c r="E40" s="16"/>
      <c r="F40" s="15"/>
      <c r="G40" s="17">
        <v>374911</v>
      </c>
      <c r="H40" s="18" t="str">
        <f ca="1">IFERROR(__xludf.DUMMYFUNCTION("LOWER(REGEXREPLACE(B40&amp;"" ""&amp;C40,""[^а-яa-z0-9 ]"","" ""))")," истемный блок  enovo  dea entre  5   ore i5 11400  2 6 z 8 b 512 b          1650   4 b                ")</f>
        <v xml:space="preserve"> истемный блок  enovo  dea entre  5   ore i5 11400  2 6 z 8 b 512 b          1650   4 b                </v>
      </c>
    </row>
    <row r="41" spans="1:8" ht="38.25" x14ac:dyDescent="0.2">
      <c r="A41" s="13" t="s">
        <v>94</v>
      </c>
      <c r="B41" s="22" t="s">
        <v>95</v>
      </c>
      <c r="C41" s="14"/>
      <c r="D41" s="19" t="s">
        <v>14</v>
      </c>
      <c r="E41" s="16"/>
      <c r="F41" s="15"/>
      <c r="G41" s="17">
        <v>9031</v>
      </c>
      <c r="H41" s="18" t="str">
        <f ca="1">IFERROR(__xludf.DUMMYFUNCTION("LOWER(REGEXREPLACE(B41&amp;"" ""&amp;C41,""[^а-яa-z0-9 ]"","" ""))")," лавиатура  4 ech 3000     85  3 200     lack   ireless   ultimed   ouse  ireless 1000dpi       мышь ")</f>
        <v xml:space="preserve"> лавиатура  4 ech 3000     85  3 200     lack   ireless   ultimed   ouse  ireless 1000dpi       мышь </v>
      </c>
    </row>
    <row r="42" spans="1:8" ht="38.25" x14ac:dyDescent="0.2">
      <c r="A42" s="13" t="s">
        <v>96</v>
      </c>
      <c r="B42" s="14" t="s">
        <v>97</v>
      </c>
      <c r="C42" s="14"/>
      <c r="D42" s="19" t="s">
        <v>14</v>
      </c>
      <c r="E42" s="16"/>
      <c r="F42" s="15"/>
      <c r="G42" s="17">
        <v>7134</v>
      </c>
      <c r="H42" s="18" t="str">
        <f ca="1">IFERROR(__xludf.DUMMYFUNCTION("LOWER(REGEXREPLACE(B42&amp;"" ""&amp;C42,""[^а-яa-z0-9 ]"","" ""))")," лавиатура  efender  nnihilator    013   lack  rey   ired   aming   ultimedia      backlight      ")</f>
        <v xml:space="preserve"> лавиатура  efender  nnihilator    013   lack  rey   ired   aming   ultimedia      backlight      </v>
      </c>
    </row>
    <row r="43" spans="1:8" ht="25.5" x14ac:dyDescent="0.2">
      <c r="A43" s="13" t="s">
        <v>98</v>
      </c>
      <c r="B43" s="14" t="s">
        <v>99</v>
      </c>
      <c r="C43" s="14"/>
      <c r="D43" s="19" t="s">
        <v>14</v>
      </c>
      <c r="E43" s="16"/>
      <c r="F43" s="15"/>
      <c r="G43" s="17">
        <v>4059</v>
      </c>
      <c r="H43" s="18" t="str">
        <f ca="1">IFERROR(__xludf.DUMMYFUNCTION("LOWER(REGEXREPLACE(B43&amp;"" ""&amp;C43,""[^а-яa-z0-9 ]"","" ""))")," лавиатура  elux     150     ireless   lack  1x    ")</f>
        <v xml:space="preserve"> лавиатура  elux     150     ireless   lack  1x    </v>
      </c>
    </row>
    <row r="44" spans="1:8" ht="25.5" x14ac:dyDescent="0.2">
      <c r="A44" s="13" t="s">
        <v>100</v>
      </c>
      <c r="B44" s="22" t="s">
        <v>101</v>
      </c>
      <c r="C44" s="14"/>
      <c r="D44" s="19" t="s">
        <v>14</v>
      </c>
      <c r="E44" s="16"/>
      <c r="F44" s="15"/>
      <c r="G44" s="17">
        <v>6319</v>
      </c>
      <c r="H44" s="18" t="str">
        <f ca="1">IFERROR(__xludf.DUMMYFUNCTION("LOWER(REGEXREPLACE(B44&amp;"" ""&amp;C44,""[^а-яa-z0-9 ]"","" ""))")," лавиатура  enius    125   lack        мышь    120 ")</f>
        <v xml:space="preserve"> лавиатура  enius    125   lack        мышь    120 </v>
      </c>
    </row>
    <row r="45" spans="1:8" ht="25.5" x14ac:dyDescent="0.2">
      <c r="A45" s="13" t="s">
        <v>102</v>
      </c>
      <c r="B45" s="14" t="s">
        <v>103</v>
      </c>
      <c r="C45" s="14"/>
      <c r="D45" s="19" t="s">
        <v>14</v>
      </c>
      <c r="E45" s="16"/>
      <c r="F45" s="15"/>
      <c r="G45" s="17">
        <v>12938</v>
      </c>
      <c r="H45" s="18" t="str">
        <f ca="1">IFERROR(__xludf.DUMMYFUNCTION("LOWER(REGEXREPLACE(B45&amp;"" ""&amp;C45,""[^а-яa-z0-9 ]"","" ""))")," лавиатура  ogitech  230   ireless   lack       2 х     ")</f>
        <v xml:space="preserve"> лавиатура  ogitech  230   ireless   lack       2 х     </v>
      </c>
    </row>
    <row r="46" spans="1:8" ht="25.5" x14ac:dyDescent="0.2">
      <c r="A46" s="13" t="s">
        <v>104</v>
      </c>
      <c r="B46" s="14" t="s">
        <v>105</v>
      </c>
      <c r="C46" s="14"/>
      <c r="D46" s="19" t="s">
        <v>14</v>
      </c>
      <c r="E46" s="16"/>
      <c r="F46" s="15"/>
      <c r="G46" s="17">
        <v>2223</v>
      </c>
      <c r="H46" s="18" t="str">
        <f ca="1">IFERROR(__xludf.DUMMYFUNCTION("LOWER(REGEXREPLACE(B46&amp;"" ""&amp;C46,""[^а-яa-z0-9 ]"","" ""))")," ышь 2    110   hite   ired   ptical  3200dpi      ")</f>
        <v xml:space="preserve"> ышь 2    110   hite   ired   ptical  3200dpi      </v>
      </c>
    </row>
    <row r="47" spans="1:8" ht="25.5" x14ac:dyDescent="0.2">
      <c r="A47" s="13" t="s">
        <v>106</v>
      </c>
      <c r="B47" s="14" t="s">
        <v>107</v>
      </c>
      <c r="C47" s="14"/>
      <c r="D47" s="19" t="s">
        <v>14</v>
      </c>
      <c r="E47" s="16"/>
      <c r="F47" s="15"/>
      <c r="G47" s="17">
        <v>7134</v>
      </c>
      <c r="H47" s="18" t="str">
        <f ca="1">IFERROR(__xludf.DUMMYFUNCTION("LOWER(REGEXREPLACE(B47&amp;"" ""&amp;C47,""[^а-яa-z0-9 ]"","" ""))")," ышь  4 ech  loody  50   attlefield   ired   aming   ptical  3200dpi   eon backlight      ")</f>
        <v xml:space="preserve"> ышь  4 ech  loody  50   attlefield   ired   aming   ptical  3200dpi   eon backlight      </v>
      </c>
    </row>
    <row r="48" spans="1:8" ht="25.5" x14ac:dyDescent="0.2">
      <c r="A48" s="13" t="s">
        <v>108</v>
      </c>
      <c r="B48" s="14" t="s">
        <v>109</v>
      </c>
      <c r="C48" s="14"/>
      <c r="D48" s="19" t="s">
        <v>14</v>
      </c>
      <c r="E48" s="16"/>
      <c r="F48" s="15"/>
      <c r="G48" s="17">
        <v>4009</v>
      </c>
      <c r="H48" s="18" t="str">
        <f ca="1">IFERROR(__xludf.DUMMYFUNCTION("LOWER(REGEXREPLACE(B48&amp;"" ""&amp;C48,""[^а-яa-z0-9 ]"","" ""))")," ышь  anyon  clector    3   lack   ired   aming   ptical  3200dpi      backlight      ")</f>
        <v xml:space="preserve"> ышь  anyon  clector    3   lack   ired   aming   ptical  3200dpi      backlight      </v>
      </c>
    </row>
    <row r="49" spans="1:8" ht="25.5" x14ac:dyDescent="0.2">
      <c r="A49" s="13" t="s">
        <v>110</v>
      </c>
      <c r="B49" s="14" t="s">
        <v>111</v>
      </c>
      <c r="C49" s="14"/>
      <c r="D49" s="19" t="s">
        <v>14</v>
      </c>
      <c r="E49" s="16"/>
      <c r="F49" s="15"/>
      <c r="G49" s="17">
        <v>4545</v>
      </c>
      <c r="H49" s="18" t="str">
        <f ca="1">IFERROR(__xludf.DUMMYFUNCTION("LOWER(REGEXREPLACE(B49&amp;"" ""&amp;C49,""[^а-яa-z0-9 ]"","" ""))")," ышь  efender  illem  ll    480    lack   ired   aming   ptical  3200dpi   acklight      ")</f>
        <v xml:space="preserve"> ышь  efender  illem  ll    480    lack   ired   aming   ptical  3200dpi   acklight      </v>
      </c>
    </row>
    <row r="50" spans="1:8" ht="25.5" x14ac:dyDescent="0.2">
      <c r="A50" s="13" t="s">
        <v>112</v>
      </c>
      <c r="B50" s="14" t="s">
        <v>113</v>
      </c>
      <c r="C50" s="14"/>
      <c r="D50" s="19" t="s">
        <v>14</v>
      </c>
      <c r="E50" s="16"/>
      <c r="F50" s="15"/>
      <c r="G50" s="17">
        <v>4902</v>
      </c>
      <c r="H50" s="18" t="str">
        <f ca="1">IFERROR(__xludf.DUMMYFUNCTION("LOWER(REGEXREPLACE(B50&amp;"" ""&amp;C50,""[^а-яa-z0-9 ]"","" ""))")," ышь  enius    7005   lack   ireless   ptical  1600dpi  1 x         ")</f>
        <v xml:space="preserve"> ышь  enius    7005   lack   ireless   ptical  1600dpi  1 x         </v>
      </c>
    </row>
    <row r="51" spans="1:8" ht="25.5" x14ac:dyDescent="0.2">
      <c r="A51" s="13" t="s">
        <v>114</v>
      </c>
      <c r="B51" s="14" t="s">
        <v>115</v>
      </c>
      <c r="C51" s="14"/>
      <c r="D51" s="19" t="s">
        <v>14</v>
      </c>
      <c r="E51" s="16"/>
      <c r="F51" s="15"/>
      <c r="G51" s="17">
        <v>7580</v>
      </c>
      <c r="H51" s="18" t="str">
        <f ca="1">IFERROR(__xludf.DUMMYFUNCTION("LOWER(REGEXREPLACE(B51&amp;"" ""&amp;C51,""[^а-яa-z0-9 ]"","" ""))")," ышь  ogitech  110  ilent   lue   ired   ptical  1000dpi      ")</f>
        <v xml:space="preserve"> ышь  ogitech  110  ilent   lue   ired   ptical  1000dpi      </v>
      </c>
    </row>
    <row r="52" spans="1:8" ht="25.5" x14ac:dyDescent="0.2">
      <c r="A52" s="13" t="s">
        <v>116</v>
      </c>
      <c r="B52" s="14" t="s">
        <v>117</v>
      </c>
      <c r="C52" s="14"/>
      <c r="D52" s="19" t="s">
        <v>14</v>
      </c>
      <c r="E52" s="16"/>
      <c r="F52" s="15"/>
      <c r="G52" s="17">
        <v>12411</v>
      </c>
      <c r="H52" s="18" t="str">
        <f ca="1">IFERROR(__xludf.DUMMYFUNCTION("LOWER(REGEXREPLACE(B52&amp;"" ""&amp;C52,""[^а-яa-z0-9 ]"","" ""))")," олонки  ccesstyle  umpkin      1 0     lack  5 т      90 z 20k z       luetooth  backlight ")</f>
        <v xml:space="preserve"> олонки  ccesstyle  umpkin      1 0     lack  5 т      90 z 20k z       luetooth  backlight </v>
      </c>
    </row>
    <row r="53" spans="1:8" ht="38.25" x14ac:dyDescent="0.2">
      <c r="A53" s="13" t="s">
        <v>118</v>
      </c>
      <c r="B53" s="14" t="s">
        <v>119</v>
      </c>
      <c r="C53" s="14"/>
      <c r="D53" s="19" t="s">
        <v>14</v>
      </c>
      <c r="E53" s="16"/>
      <c r="F53" s="15"/>
      <c r="G53" s="17">
        <v>30268</v>
      </c>
      <c r="H53" s="18" t="str">
        <f ca="1">IFERROR(__xludf.DUMMYFUNCTION("LOWER(REGEXREPLACE(B53&amp;"" ""&amp;C53,""[^а-яa-z0-9 ]"","" ""))")," олонки  efender  clipse  2 1     lack  40 т  2х10 20       40 z 20k z                 3      ")</f>
        <v xml:space="preserve"> олонки  efender  clipse  2 1     lack  40 т  2х10 20       40 z 20k z                 3      </v>
      </c>
    </row>
    <row r="54" spans="1:8" ht="38.25" x14ac:dyDescent="0.2">
      <c r="A54" s="13" t="s">
        <v>120</v>
      </c>
      <c r="B54" s="22" t="s">
        <v>121</v>
      </c>
      <c r="C54" s="14"/>
      <c r="D54" s="19" t="s">
        <v>14</v>
      </c>
      <c r="E54" s="16"/>
      <c r="F54" s="15"/>
      <c r="G54" s="17">
        <v>49018</v>
      </c>
      <c r="H54" s="18" t="str">
        <f ca="1">IFERROR(__xludf.DUMMYFUNCTION("LOWER(REGEXREPLACE(B54&amp;"" ""&amp;C54,""[^а-яa-z0-9 ]"","" ""))")," олонки  efender  age  2 0     lack  50 т      45 z 22k z            micro         luetooth ")</f>
        <v xml:space="preserve"> олонки  efender  age  2 0     lack  50 т      45 z 22k z            micro         luetooth </v>
      </c>
    </row>
    <row r="55" spans="1:8" ht="38.25" x14ac:dyDescent="0.2">
      <c r="A55" s="13" t="s">
        <v>122</v>
      </c>
      <c r="B55" s="22" t="s">
        <v>123</v>
      </c>
      <c r="C55" s="14"/>
      <c r="D55" s="19" t="s">
        <v>14</v>
      </c>
      <c r="E55" s="16"/>
      <c r="F55" s="15"/>
      <c r="G55" s="17">
        <v>53482</v>
      </c>
      <c r="H55" s="18" t="str">
        <f ca="1">IFERROR(__xludf.DUMMYFUNCTION("LOWER(REGEXREPLACE(B55&amp;"" ""&amp;C55,""[^а-яa-z0-9 ]"","" ""))")," олонки  icrolab      one 530   2 1     ood  64 т 2х18 28      35 z 20k z              wireless    ")</f>
        <v xml:space="preserve"> олонки  icrolab      one 530   2 1     ood  64 т 2х18 28      35 z 20k z              wireless    </v>
      </c>
    </row>
    <row r="56" spans="1:8" ht="38.25" x14ac:dyDescent="0.2">
      <c r="A56" s="13" t="s">
        <v>124</v>
      </c>
      <c r="B56" s="14" t="s">
        <v>125</v>
      </c>
      <c r="C56" s="14"/>
      <c r="D56" s="19" t="s">
        <v>14</v>
      </c>
      <c r="E56" s="16"/>
      <c r="F56" s="15"/>
      <c r="G56" s="17">
        <v>23830</v>
      </c>
      <c r="H56" s="18" t="str">
        <f ca="1">IFERROR(__xludf.DUMMYFUNCTION("LOWER(REGEXREPLACE(B56&amp;"" ""&amp;C56,""[^а-яa-z0-9 ]"","" ""))")," сточник бесперебойного питания          600        600    360   1x12  7 5 h      138 292   2 розет   1x     13   lack ")</f>
        <v xml:space="preserve"> сточник бесперебойного питания          600        600    360   1x12  7 5 h      138 292   2 розет   1x     13   lack </v>
      </c>
    </row>
    <row r="57" spans="1:8" ht="38.25" x14ac:dyDescent="0.2">
      <c r="A57" s="13" t="s">
        <v>126</v>
      </c>
      <c r="B57" s="14" t="s">
        <v>127</v>
      </c>
      <c r="C57" s="14"/>
      <c r="D57" s="19" t="s">
        <v>14</v>
      </c>
      <c r="E57" s="16"/>
      <c r="F57" s="15"/>
      <c r="G57" s="17">
        <v>47232</v>
      </c>
      <c r="H57" s="18" t="str">
        <f ca="1">IFERROR(__xludf.DUMMYFUNCTION("LOWER(REGEXREPLACE(B57&amp;"" ""&amp;C57,""[^а-яa-z0-9 ]"","" ""))")," сточник бесперебойного питания          1200        1200    720   2x12  7  h      145 290   3 розет  ")</f>
        <v xml:space="preserve"> сточник бесперебойного питания          1200        1200    720   2x12  7  h      145 290   3 розет  </v>
      </c>
    </row>
    <row r="58" spans="1:8" ht="38.25" x14ac:dyDescent="0.2">
      <c r="A58" s="13" t="s">
        <v>128</v>
      </c>
      <c r="B58" s="22" t="s">
        <v>129</v>
      </c>
      <c r="C58" s="14"/>
      <c r="D58" s="19" t="s">
        <v>14</v>
      </c>
      <c r="E58" s="16"/>
      <c r="F58" s="15"/>
      <c r="G58" s="17">
        <v>53563</v>
      </c>
      <c r="H58" s="18" t="str">
        <f ca="1">IFERROR(__xludf.DUMMYFUNCTION("LOWER(REGEXREPLACE(B58&amp;"" ""&amp;C58,""[^а-яa-z0-9 ]"","" ""))")," сточник бесперебойного питания          1500    1500     900   2x12  9  h      145 290    3 розет  ")</f>
        <v xml:space="preserve"> сточник бесперебойного питания          1500    1500     900   2x12  9  h      145 290    3 розет  </v>
      </c>
    </row>
    <row r="59" spans="1:8" ht="38.25" x14ac:dyDescent="0.2">
      <c r="A59" s="13" t="s">
        <v>130</v>
      </c>
      <c r="B59" s="22" t="s">
        <v>131</v>
      </c>
      <c r="C59" s="14"/>
      <c r="D59" s="19" t="s">
        <v>14</v>
      </c>
      <c r="E59" s="16"/>
      <c r="F59" s="15"/>
      <c r="G59" s="17">
        <v>71339</v>
      </c>
      <c r="H59" s="18" t="str">
        <f ca="1">IFERROR(__xludf.DUMMYFUNCTION("LOWER(REGEXREPLACE(B59&amp;"" ""&amp;C59,""[^а-яa-z0-9 ]"","" ""))")," сточник бесперебойного питания          2000    2000    1200   2x12v 9  h      175 275   2 розет  ")</f>
        <v xml:space="preserve"> сточник бесперебойного питания          2000    2000    1200   2x12v 9  h      175 275   2 розет  </v>
      </c>
    </row>
    <row r="60" spans="1:8" ht="306" x14ac:dyDescent="0.2">
      <c r="A60" s="13" t="s">
        <v>132</v>
      </c>
      <c r="B60" s="14" t="s">
        <v>133</v>
      </c>
      <c r="C60" s="14" t="s">
        <v>134</v>
      </c>
      <c r="D60" s="19" t="s">
        <v>68</v>
      </c>
      <c r="E60" s="20">
        <v>1</v>
      </c>
      <c r="F60" s="21">
        <v>9</v>
      </c>
      <c r="G60" s="17">
        <v>600574</v>
      </c>
      <c r="H60" s="18" t="str">
        <f ca="1">IFERROR(__xludf.DUMMYFUNCTION("LOWER(REGEXREPLACE(B60&amp;"" ""&amp;C60,""[^а-яa-z0-9 ]"","" ""))")," ерсональный компьютер  mart     с монитором  mart     23 8 дюйм  ull    100  ц со встроенной веб камерой  процессором  ntel  ore i5 13400  оперативной памятью 16       5      512       комплекте  корпус  mart       indows 11  ro   ffice 2019  клавиатура "&amp;" мышь  гарнитура  сетевой фильтр    омпьютер  mart           1996 2010  с поддержкой казахского языка      орпус  цельнометаллический корпус с перфорацией  mart          32126 1 2013  азмеры   430мм 90мм 395мм      роцессор  ntel  ore 5 13400 10   16    3"&amp;" 20      азовая частота процессора    ц  1 8   ц   аксимальная частота    ц  4 6   ц  встроенный графический процессор     перативная память   омплект модулей памяти    5  16    актовая частота  4800  гц  есткий диск      512  2  орты и системы передачи д"&amp;"анных  7 портов  2 порта     3 0  2 порта     2 0  1 порта       1  ype       45 х 1  1      1  атеринская плата не менее 1  одного  разъема   2  не менее 1  одного  слота      xpress 3 0 x 4  не менее 1  одного   thernet скорость   не менее 1  бит сек   "&amp;"лока питания 300  т  80       old   абель питания 1 8 метра     онитор            24 с ультратонкой рамкой     1920x1080  ерц   ц  75       1 порт  isplay  ort   азъем для наушников  аудиовход 3 5 мм  ini ack  встроенные динамики  2х2  т  режимы    умное "&amp;"энергосбережение  безопасный режим мерцания  режим чтения  динамическая синхронизация действий  яркость экрана   250 кд кв м     етевой фильтр 1 8 метра сумарная мощность нагрузки 2200   10     еб камера   ull  d  3 мегапикселя     икрофонно телефонная га"&amp;"рнитура   ип крепления гарнитуры   дуговое   астотный диапазон  нижняя граница не более 20 ц и верхняя граница 20000  ц   ощность 50 м т   опротивление 32  м   лина кабеля 1 8 м  мягкие накладки амбушюры  регулятор громкости  специальный разъем для подклю"&amp;"чения к компьютеру   удиовыход комбинированный 3 5 мм     лавиатура  ышь   лавиатура мышь с поддержкой казахского языка      рограммное обеспечение   indows 11       ffice 2019    арантия 3 года  на обслуживание 5 лет ")</f>
        <v xml:space="preserve"> ерсональный компьютер  mart     с монитором  mart     23 8 дюйм  ull    100  ц со встроенной веб камерой  процессором  ntel  ore i5 13400  оперативной памятью 16       5      512       комплекте  корпус  mart       indows 11  ro   ffice 2019  клавиатура  мышь  гарнитура  сетевой фильтр    омпьютер  mart           1996 2010  с поддержкой казахского языка      орпус  цельнометаллический корпус с перфорацией  mart          32126 1 2013  азмеры   430мм 90мм 395мм      роцессор  ntel  ore 5 13400 10   16    3 20      азовая частота процессора    ц  1 8   ц   аксимальная частота    ц  4 6   ц  встроенный графический процессор     перативная память   омплект модулей памяти    5  16    актовая частота  4800  гц  есткий диск      512  2  орты и системы передачи данных  7 портов  2 порта     3 0  2 порта     2 0  1 порта       1  ype       45 х 1  1      1  атеринская плата не менее 1  одного  разъема   2  не менее 1  одного  слота      xpress 3 0 x 4  не менее 1  одного   thernet скорость   не менее 1  бит сек   лока питания 300  т  80       old   абель питания 1 8 метра     онитор            24 с ультратонкой рамкой     1920x1080  ерц   ц  75       1 порт  isplay  ort   азъем для наушников  аудиовход 3 5 мм  ini ack  встроенные динамики  2х2  т  режимы    умное энергосбережение  безопасный режим мерцания  режим чтения  динамическая синхронизация действий  яркость экрана   250 кд кв м     етевой фильтр 1 8 метра сумарная мощность нагрузки 2200   10     еб камера   ull  d  3 мегапикселя     икрофонно телефонная гарнитура   ип крепления гарнитуры   дуговое   астотный диапазон  нижняя граница не более 20 ц и верхняя граница 20000  ц   ощность 50 м т   опротивление 32  м   лина кабеля 1 8 м  мягкие накладки амбушюры  регулятор громкости  специальный разъем для подключения к компьютеру   удиовыход комбинированный 3 5 мм     лавиатура  ышь   лавиатура мышь с поддержкой казахского языка      рограммное обеспечение   indows 11       ffice 2019    арантия 3 года  на обслуживание 5 лет </v>
      </c>
    </row>
    <row r="61" spans="1:8" ht="114.75" x14ac:dyDescent="0.2">
      <c r="A61" s="13" t="s">
        <v>135</v>
      </c>
      <c r="B61" s="22" t="s">
        <v>136</v>
      </c>
      <c r="C61" s="14" t="s">
        <v>137</v>
      </c>
      <c r="D61" s="19" t="s">
        <v>68</v>
      </c>
      <c r="E61" s="20">
        <v>1</v>
      </c>
      <c r="F61" s="23">
        <v>5.31</v>
      </c>
      <c r="G61" s="17">
        <v>481520</v>
      </c>
      <c r="H61" s="18" t="str">
        <f ca="1">IFERROR(__xludf.DUMMYFUNCTION("LOWER(REGEXREPLACE(B61&amp;"" ""&amp;C61,""[^а-яa-z0-9 ]"","" ""))")," истемный блок     ro  ower 400  9   260     ntel  ore i3 14100 4 70  12    4 cores 65        8    1x8       5 4800        emory   256   2280    e    e  alue  olid  tate  rive    indows 11  ro 64      125      ired  eyboard       lack 125  ired  ouse     "&amp;" 3 year  ext  usiness  ay  nsite  esktop excl   xternal  onitor  ardware  upport    ерсональный компьютер     ro  ower 400  9 260     рограмное обеспечение       indows 11  ro    лавиатура    125      ired     омпьютерная мышь     lack 125  ired    ffice "&amp;"      rofessional  lus 2021    кустическая система  ogitech  150")</f>
        <v xml:space="preserve"> истемный блок     ro  ower 400  9   260     ntel  ore i3 14100 4 70  12    4 cores 65        8    1x8       5 4800        emory   256   2280    e    e  alue  olid  tate  rive    indows 11  ro 64      125      ired  eyboard       lack 125  ired  ouse      3 year  ext  usiness  ay  nsite  esktop excl   xternal  onitor  ardware  upport    ерсональный компьютер     ro  ower 400  9 260     рограмное обеспечение       indows 11  ro    лавиатура    125      ired     омпьютерная мышь     lack 125  ired    ffice       rofessional  lus 2021    кустическая система  ogitech  150</v>
      </c>
    </row>
    <row r="62" spans="1:8" ht="51" x14ac:dyDescent="0.2">
      <c r="A62" s="13" t="s">
        <v>138</v>
      </c>
      <c r="B62" s="22" t="s">
        <v>139</v>
      </c>
      <c r="C62" s="14" t="s">
        <v>140</v>
      </c>
      <c r="D62" s="19" t="s">
        <v>68</v>
      </c>
      <c r="E62" s="20">
        <v>1</v>
      </c>
      <c r="F62" s="24">
        <v>9.5</v>
      </c>
      <c r="G62" s="17">
        <v>476360</v>
      </c>
      <c r="H62" s="18" t="str">
        <f ca="1">IFERROR(__xludf.DUMMYFUNCTION("LOWER(REGEXREPLACE(B62&amp;"" ""&amp;C62,""[^а-яa-z0-9 ]"","" ""))")," enovo  eo 50s  ore  i5 12400  rocessor    cores 2 50   z up to 4 40   z  256          2 2280 4       4 3200  z  монитор  enovo  24 40   омпьютер  enovo  eo 50s   ore  i5 12400  rocessor    cores 2 50   z up to 4 40   z  256          2 2280 4       4 3200"&amp;"  z           онитор  enovo  24 40  23 8     1920x1080 16 9 75  z")</f>
        <v xml:space="preserve"> enovo  eo 50s  ore  i5 12400  rocessor    cores 2 50   z up to 4 40   z  256          2 2280 4       4 3200  z  монитор  enovo  24 40   омпьютер  enovo  eo 50s   ore  i5 12400  rocessor    cores 2 50   z up to 4 40   z  256          2 2280 4       4 3200  z           онитор  enovo  24 40  23 8     1920x1080 16 9 75  z</v>
      </c>
    </row>
    <row r="63" spans="1:8" ht="38.25" x14ac:dyDescent="0.2">
      <c r="A63" s="13" t="s">
        <v>141</v>
      </c>
      <c r="B63" s="14" t="s">
        <v>142</v>
      </c>
      <c r="C63" s="14"/>
      <c r="D63" s="19" t="s">
        <v>14</v>
      </c>
      <c r="E63" s="16"/>
      <c r="F63" s="24">
        <v>9.5</v>
      </c>
      <c r="G63" s="17">
        <v>4837</v>
      </c>
      <c r="H63" s="18" t="str">
        <f ca="1">IFERROR(__xludf.DUMMYFUNCTION("LOWER(REGEXREPLACE(B63&amp;"" ""&amp;C63,""[^а-яa-z0-9 ]"","" ""))")," арнитура  enius    400   тип крепления  дуговые  подключение 3 5  ini ack  длина кабеля 1 2 м ")</f>
        <v xml:space="preserve"> арнитура  enius    400   тип крепления  дуговые  подключение 3 5  ini ack  длина кабеля 1 2 м </v>
      </c>
    </row>
    <row r="64" spans="1:8" ht="38.25" x14ac:dyDescent="0.2">
      <c r="A64" s="13" t="s">
        <v>143</v>
      </c>
      <c r="B64" s="14" t="s">
        <v>144</v>
      </c>
      <c r="C64" s="14"/>
      <c r="D64" s="19" t="s">
        <v>14</v>
      </c>
      <c r="E64" s="16"/>
      <c r="F64" s="23">
        <v>0.39</v>
      </c>
      <c r="G64" s="17">
        <v>4413</v>
      </c>
      <c r="H64" s="18" t="str">
        <f ca="1">IFERROR(__xludf.DUMMYFUNCTION("LOWER(REGEXREPLACE(B64&amp;"" ""&amp;C64,""[^а-яa-z0-9 ]"","" ""))")," арнитура  apoo  100   тип крепления  дуговые  выходная мощность 50м т  3 5 ini ack  длина кабеля 2 2м ")</f>
        <v xml:space="preserve"> арнитура  apoo  100   тип крепления  дуговые  выходная мощность 50м т  3 5 ini ack  длина кабеля 2 2м </v>
      </c>
    </row>
    <row r="65" spans="1:8" ht="25.5" x14ac:dyDescent="0.2">
      <c r="A65" s="13" t="s">
        <v>145</v>
      </c>
      <c r="B65" s="14" t="s">
        <v>146</v>
      </c>
      <c r="C65" s="14"/>
      <c r="D65" s="19" t="s">
        <v>14</v>
      </c>
      <c r="E65" s="16"/>
      <c r="F65" s="23">
        <v>0.22</v>
      </c>
      <c r="G65" s="17">
        <v>7589</v>
      </c>
      <c r="H65" s="18" t="str">
        <f ca="1">IFERROR(__xludf.DUMMYFUNCTION("LOWER(REGEXREPLACE(B65&amp;"" ""&amp;C65,""[^а-яa-z0-9 ]"","" ""))")," арнитура  enius    05   тип крепления  дуговые  подключение 3 5  ini ack ")</f>
        <v xml:space="preserve"> арнитура  enius    05   тип крепления  дуговые  подключение 3 5  ini ack </v>
      </c>
    </row>
    <row r="66" spans="1:8" ht="25.5" x14ac:dyDescent="0.2">
      <c r="A66" s="13" t="s">
        <v>147</v>
      </c>
      <c r="B66" s="14" t="s">
        <v>148</v>
      </c>
      <c r="C66" s="14"/>
      <c r="D66" s="19" t="s">
        <v>14</v>
      </c>
      <c r="E66" s="16"/>
      <c r="F66" s="23">
        <v>0.43</v>
      </c>
      <c r="G66" s="17">
        <v>2444</v>
      </c>
      <c r="H66" s="18" t="str">
        <f ca="1">IFERROR(__xludf.DUMMYFUNCTION("LOWER(REGEXREPLACE(B66&amp;"" ""&amp;C66,""[^а-яa-z0-9 ]"","" ""))")," етевой фильтр       4  50   5 м 220 в  4 розетки  5 метров  220 250   10  ")</f>
        <v xml:space="preserve"> етевой фильтр       4  50   5 м 220 в  4 розетки  5 метров  220 250   10  </v>
      </c>
    </row>
    <row r="67" spans="1:8" ht="38.25" x14ac:dyDescent="0.2">
      <c r="A67" s="13" t="s">
        <v>149</v>
      </c>
      <c r="B67" s="14" t="s">
        <v>150</v>
      </c>
      <c r="C67" s="14"/>
      <c r="D67" s="19" t="s">
        <v>14</v>
      </c>
      <c r="E67" s="16"/>
      <c r="F67" s="21">
        <v>6</v>
      </c>
      <c r="G67" s="17">
        <v>520953</v>
      </c>
      <c r="H67" s="18" t="str">
        <f ca="1">IFERROR(__xludf.DUMMYFUNCTION("LOWER(REGEXREPLACE(B67&amp;"" ""&amp;C67,""[^а-яa-z0-9 ]"","" ""))")," истемный блок       xpert  enter  5    ntel   ore  i3 13100   8 b    4   256  b       1 b        in 11  du          ")</f>
        <v xml:space="preserve"> истемный блок       xpert  enter  5    ntel   ore  i3 13100   8 b    4   256  b       1 b        in 11  du          </v>
      </c>
    </row>
    <row r="68" spans="1:8" ht="38.25" x14ac:dyDescent="0.2">
      <c r="A68" s="13" t="s">
        <v>151</v>
      </c>
      <c r="B68" s="14" t="s">
        <v>152</v>
      </c>
      <c r="C68" s="14"/>
      <c r="D68" s="19" t="s">
        <v>14</v>
      </c>
      <c r="E68" s="16"/>
      <c r="F68" s="21">
        <v>6</v>
      </c>
      <c r="G68" s="17">
        <v>590651</v>
      </c>
      <c r="H68" s="18" t="str">
        <f ca="1">IFERROR(__xludf.DUMMYFUNCTION("LOWER(REGEXREPLACE(B68&amp;"" ""&amp;C68,""[^а-яa-z0-9 ]"","" ""))")," истемный блок       xpert  enter  5    ntel   ore  i5 13400   8 b    4   256  b       1 b        in 11  du          ")</f>
        <v xml:space="preserve"> истемный блок       xpert  enter  5    ntel   ore  i5 13400   8 b    4   256  b       1 b        in 11  du          </v>
      </c>
    </row>
    <row r="69" spans="1:8" ht="38.25" x14ac:dyDescent="0.2">
      <c r="A69" s="13" t="s">
        <v>153</v>
      </c>
      <c r="B69" s="14" t="s">
        <v>154</v>
      </c>
      <c r="C69" s="14"/>
      <c r="D69" s="19" t="s">
        <v>14</v>
      </c>
      <c r="E69" s="16"/>
      <c r="F69" s="21">
        <v>6</v>
      </c>
      <c r="G69" s="17">
        <v>387307</v>
      </c>
      <c r="H69" s="18" t="str">
        <f ca="1">IFERROR(__xludf.DUMMYFUNCTION("LOWER(REGEXREPLACE(B69&amp;"" ""&amp;C69,""[^а-яa-z0-9 ]"","" ""))")," истемный блок       xpert  enter  7    ntel   ore  i3 13100   8 b    4   256  b       1 b        in 11  du          ")</f>
        <v xml:space="preserve"> истемный блок       xpert  enter  7    ntel   ore  i3 13100   8 b    4   256  b       1 b        in 11  du          </v>
      </c>
    </row>
    <row r="70" spans="1:8" ht="38.25" x14ac:dyDescent="0.2">
      <c r="A70" s="13" t="s">
        <v>155</v>
      </c>
      <c r="B70" s="14" t="s">
        <v>156</v>
      </c>
      <c r="C70" s="14"/>
      <c r="D70" s="19" t="s">
        <v>14</v>
      </c>
      <c r="E70" s="16"/>
      <c r="F70" s="21">
        <v>6</v>
      </c>
      <c r="G70" s="17">
        <v>531731</v>
      </c>
      <c r="H70" s="18" t="str">
        <f ca="1">IFERROR(__xludf.DUMMYFUNCTION("LOWER(REGEXREPLACE(B70&amp;"" ""&amp;C70,""[^а-яa-z0-9 ]"","" ""))")," истемный блок       xpert  enter  7    ntel   ore  i5 13400   8 b    4   256  b       1 b        in 11 du          ")</f>
        <v xml:space="preserve"> истемный блок       xpert  enter  7    ntel   ore  i5 13400   8 b    4   256  b       1 b        in 11 du          </v>
      </c>
    </row>
    <row r="71" spans="1:8" ht="51" x14ac:dyDescent="0.2">
      <c r="A71" s="13" t="s">
        <v>157</v>
      </c>
      <c r="B71" s="22" t="s">
        <v>158</v>
      </c>
      <c r="C71" s="14"/>
      <c r="D71" s="19" t="s">
        <v>14</v>
      </c>
      <c r="E71" s="16"/>
      <c r="F71" s="21">
        <v>6</v>
      </c>
      <c r="G71" s="17">
        <v>671845</v>
      </c>
      <c r="H71" s="18" t="str">
        <f ca="1">IFERROR(__xludf.DUMMYFUNCTION("LOWER(REGEXREPLACE(B71&amp;"" ""&amp;C71,""[^а-яa-z0-9 ]"","" ""))")," истемный блок       xpert  enter  5    ntel   ore  i3 12100         3050   8 b    4   256  b       1 b        in 11  du          ")</f>
        <v xml:space="preserve"> истемный блок       xpert  enter  5    ntel   ore  i3 12100         3050   8 b    4   256  b       1 b        in 11  du          </v>
      </c>
    </row>
    <row r="72" spans="1:8" ht="51" x14ac:dyDescent="0.2">
      <c r="A72" s="13" t="s">
        <v>159</v>
      </c>
      <c r="B72" s="22" t="s">
        <v>160</v>
      </c>
      <c r="C72" s="14"/>
      <c r="D72" s="19" t="s">
        <v>14</v>
      </c>
      <c r="E72" s="16"/>
      <c r="F72" s="21">
        <v>6</v>
      </c>
      <c r="G72" s="17">
        <v>826328</v>
      </c>
      <c r="H72" s="18" t="str">
        <f ca="1">IFERROR(__xludf.DUMMYFUNCTION("LOWER(REGEXREPLACE(B72&amp;"" ""&amp;C72,""[^а-яa-z0-9 ]"","" ""))")," истемный блок       xpert  enter  5    ntel   ore  i5 12400         3060   16 b    4   256  b       1 b        in 11  du          ")</f>
        <v xml:space="preserve"> истемный блок       xpert  enter  5    ntel   ore  i5 12400         3060   16 b    4   256  b       1 b        in 11  du          </v>
      </c>
    </row>
    <row r="73" spans="1:8" ht="51" x14ac:dyDescent="0.2">
      <c r="A73" s="13" t="s">
        <v>161</v>
      </c>
      <c r="B73" s="22" t="s">
        <v>162</v>
      </c>
      <c r="C73" s="14"/>
      <c r="D73" s="19" t="s">
        <v>14</v>
      </c>
      <c r="E73" s="16"/>
      <c r="F73" s="21">
        <v>6</v>
      </c>
      <c r="G73" s="17">
        <v>1476597</v>
      </c>
      <c r="H73" s="18" t="str">
        <f ca="1">IFERROR(__xludf.DUMMYFUNCTION("LOWER(REGEXREPLACE(B73&amp;"" ""&amp;C73,""[^а-яa-z0-9 ]"","" ""))")," истемный блок       orkstation   5    ntel   ore  i7 13700         4070   32 b    4   512  b       2 b        in 11  ro          ")</f>
        <v xml:space="preserve"> истемный блок       orkstation   5    ntel   ore  i7 13700         4070   32 b    4   512  b       2 b        in 11  ro          </v>
      </c>
    </row>
    <row r="74" spans="1:8" ht="76.5" x14ac:dyDescent="0.2">
      <c r="A74" s="13" t="s">
        <v>163</v>
      </c>
      <c r="B74" s="22" t="s">
        <v>164</v>
      </c>
      <c r="C74" s="14"/>
      <c r="D74" s="19" t="s">
        <v>14</v>
      </c>
      <c r="E74" s="20">
        <v>1</v>
      </c>
      <c r="F74" s="21">
        <v>5</v>
      </c>
      <c r="G74" s="17">
        <v>451843</v>
      </c>
      <c r="H74" s="18" t="str">
        <f ca="1">IFERROR(__xludf.DUMMYFUNCTION("LOWER(REGEXREPLACE(B74&amp;"" ""&amp;C74,""[^а-яa-z0-9 ]"","" ""))")," истемный блок  cer  eriton  2720    истемный блок  eriton  2720   клавиатура  мышь   конфигурация компьютера  процессор i5 13400      16      4  диск 512            in11 ro du  и  cer  lassroom  anager  ")</f>
        <v xml:space="preserve"> истемный блок  cer  eriton  2720    истемный блок  eriton  2720   клавиатура  мышь   конфигурация компьютера  процессор i5 13400      16      4  диск 512            in11 ro du  и  cer  lassroom  anager  </v>
      </c>
    </row>
    <row r="75" spans="1:8" ht="63.75" x14ac:dyDescent="0.2">
      <c r="A75" s="13" t="s">
        <v>165</v>
      </c>
      <c r="B75" s="14" t="s">
        <v>166</v>
      </c>
      <c r="C75" s="14"/>
      <c r="D75" s="19" t="s">
        <v>14</v>
      </c>
      <c r="E75" s="20">
        <v>1</v>
      </c>
      <c r="F75" s="24">
        <v>4.7</v>
      </c>
      <c r="G75" s="17">
        <v>451842</v>
      </c>
      <c r="H75" s="18" t="str">
        <f ca="1">IFERROR(__xludf.DUMMYFUNCTION("LOWER(REGEXREPLACE(B75&amp;"" ""&amp;C75,""[^а-яa-z0-9 ]"","" ""))")," истемный блок  cer  eriton  2720    истемный блок  eriton  2720   клавиатура  мышь  конфигурация компьютера  процессор i5 13400      16      4  диск 512            in11 ro du  и  cer  lassroom  anager ")</f>
        <v xml:space="preserve"> истемный блок  cer  eriton  2720    истемный блок  eriton  2720   клавиатура  мышь  конфигурация компьютера  процессор i5 13400      16      4  диск 512            in11 ro du  и  cer  lassroom  anager </v>
      </c>
    </row>
    <row r="76" spans="1:8" ht="51" x14ac:dyDescent="0.2">
      <c r="A76" s="13" t="s">
        <v>167</v>
      </c>
      <c r="B76" s="22" t="s">
        <v>168</v>
      </c>
      <c r="C76" s="14"/>
      <c r="D76" s="19" t="s">
        <v>14</v>
      </c>
      <c r="E76" s="20">
        <v>1</v>
      </c>
      <c r="F76" s="21">
        <v>5</v>
      </c>
      <c r="G76" s="17">
        <v>612414</v>
      </c>
      <c r="H76" s="18" t="str">
        <f ca="1">IFERROR(__xludf.DUMMYFUNCTION("LOWER(REGEXREPLACE(B76&amp;"" ""&amp;C76,""[^а-яa-z0-9 ]"","" ""))")," ортативный компьютер  cer  eriton  4690   ore i3 12100 8гб 256 гб       онитор  ero  247 23 8         in11  ro 64 с клавиатурой и сенсорной мышкой ")</f>
        <v xml:space="preserve"> ортативный компьютер  cer  eriton  4690   ore i3 12100 8гб 256 гб       онитор  ero  247 23 8         in11  ro 64 с клавиатурой и сенсорной мышкой </v>
      </c>
    </row>
    <row r="77" spans="1:8" ht="63.75" x14ac:dyDescent="0.2">
      <c r="A77" s="13" t="s">
        <v>169</v>
      </c>
      <c r="B77" s="22" t="s">
        <v>170</v>
      </c>
      <c r="C77" s="14"/>
      <c r="D77" s="19" t="s">
        <v>14</v>
      </c>
      <c r="E77" s="20">
        <v>1</v>
      </c>
      <c r="F77" s="23">
        <v>6.83</v>
      </c>
      <c r="G77" s="17">
        <v>534648</v>
      </c>
      <c r="H77" s="18" t="str">
        <f ca="1">IFERROR(__xludf.DUMMYFUNCTION("LOWER(REGEXREPLACE(B77&amp;"" ""&amp;C77,""[^а-яa-z0-9 ]"","" ""))")," истемный блок     90t  3  1  ntel  ore  i5 12500  rocessor    cores 3 00   z up to 4 60   z   16         3060 12   512         indows 11 для образовательныхучреждений ")</f>
        <v xml:space="preserve"> истемный блок     90t  3  1  ntel  ore  i5 12500  rocessor    cores 3 00   z up to 4 60   z   16         3060 12   512         indows 11 для образовательныхучреждений </v>
      </c>
    </row>
    <row r="78" spans="1:8" ht="63.75" x14ac:dyDescent="0.2">
      <c r="A78" s="13" t="s">
        <v>171</v>
      </c>
      <c r="B78" s="14" t="s">
        <v>172</v>
      </c>
      <c r="C78" s="14"/>
      <c r="D78" s="19" t="s">
        <v>14</v>
      </c>
      <c r="E78" s="20">
        <v>1</v>
      </c>
      <c r="F78" s="23">
        <v>6.95</v>
      </c>
      <c r="G78" s="17">
        <v>535637</v>
      </c>
      <c r="H78" s="18" t="str">
        <f ca="1">IFERROR(__xludf.DUMMYFUNCTION("LOWER(REGEXREPLACE(B78&amp;"" ""&amp;C78,""[^а-яa-z0-9 ]"","" ""))")," истемный блок     90t  3  2  ntel   ore  i7 12700  rocessor    cores up to 3 60   z   cores up to 4 80   z  16         3060 12   256         indows 11 для образовательных учреждений ")</f>
        <v xml:space="preserve"> истемный блок     90t  3  2  ntel   ore  i7 12700  rocessor    cores up to 3 60   z   cores up to 4 80   z  16         3060 12   256         indows 11 для образовательных учреждений </v>
      </c>
    </row>
    <row r="79" spans="1:8" ht="63.75" x14ac:dyDescent="0.2">
      <c r="A79" s="13" t="s">
        <v>173</v>
      </c>
      <c r="B79" s="22" t="s">
        <v>174</v>
      </c>
      <c r="C79" s="14"/>
      <c r="D79" s="19" t="s">
        <v>14</v>
      </c>
      <c r="E79" s="20">
        <v>1</v>
      </c>
      <c r="F79" s="23">
        <v>6.83</v>
      </c>
      <c r="G79" s="17">
        <v>454432</v>
      </c>
      <c r="H79" s="18" t="str">
        <f ca="1">IFERROR(__xludf.DUMMYFUNCTION("LOWER(REGEXREPLACE(B79&amp;"" ""&amp;C79,""[^а-яa-z0-9 ]"","" ""))")," истемный блок  enovo  eo 50t  4  1  ntel   ore  i5 12500  rocessor    cores 3 00   z up to 4 60   z  4    256         indows 11 для образовательных учреждений ")</f>
        <v xml:space="preserve"> истемный блок  enovo  eo 50t  4  1  ntel   ore  i5 12500  rocessor    cores 3 00   z up to 4 60   z  4    256         indows 11 для образовательных учреждений </v>
      </c>
    </row>
    <row r="80" spans="1:8" ht="63.75" x14ac:dyDescent="0.2">
      <c r="A80" s="13" t="s">
        <v>175</v>
      </c>
      <c r="B80" s="22" t="s">
        <v>176</v>
      </c>
      <c r="C80" s="14"/>
      <c r="D80" s="19" t="s">
        <v>14</v>
      </c>
      <c r="E80" s="20">
        <v>1</v>
      </c>
      <c r="F80" s="23">
        <v>6.76</v>
      </c>
      <c r="G80" s="17">
        <v>431949</v>
      </c>
      <c r="H80" s="18" t="str">
        <f ca="1">IFERROR(__xludf.DUMMYFUNCTION("LOWER(REGEXREPLACE(B80&amp;"" ""&amp;C80,""[^а-яa-z0-9 ]"","" ""))")," истемный блок  enovo  eo 50t  4  2  ntel   ore  i3 12100  rocessor    cores 3 30   z up to 4 30   z  8    256         indows 11 для образовательных учреждений ")</f>
        <v xml:space="preserve"> истемный блок  enovo  eo 50t  4  2  ntel   ore  i3 12100  rocessor    cores 3 30   z up to 4 30   z  8    256         indows 11 для образовательных учреждений </v>
      </c>
    </row>
    <row r="81" spans="1:8" ht="89.25" x14ac:dyDescent="0.2">
      <c r="A81" s="13" t="s">
        <v>177</v>
      </c>
      <c r="B81" s="22" t="s">
        <v>22450</v>
      </c>
      <c r="C81" s="14"/>
      <c r="D81" s="19" t="s">
        <v>14</v>
      </c>
      <c r="E81" s="20">
        <v>1</v>
      </c>
      <c r="F81" s="23">
        <v>6.76</v>
      </c>
      <c r="G81" s="17">
        <v>459135</v>
      </c>
      <c r="H81" s="18" t="str">
        <f ca="1">IFERROR(__xludf.DUMMYFUNCTION("LOWER(REGEXREPLACE(B81&amp;"" ""&amp;C81,""[^а-яa-z0-9 ]"","" ""))")," истемный блок  enovo     hink entre  eo 50t  4  3  ntel   ore  i3 13100  rocessor    cores 3 40   z up to 4 50   z  8       4 3200  z         1    7200rpm     3 5       256          2 2280    e  en4      pal      indows 11 для образовательных учреждений ")</f>
        <v xml:space="preserve"> истемный блок  enovo     hink entre  eo 50t  4  3  ntel   ore  i3 13100  rocessor    cores 3 40   z up to 4 50   z  8       4 3200  z         1    7200rpm     3 5       256          2 2280    e  en4      pal      indows 11 для образовательных учреждений </v>
      </c>
    </row>
    <row r="82" spans="1:8" ht="89.25" x14ac:dyDescent="0.2">
      <c r="A82" s="13" t="s">
        <v>178</v>
      </c>
      <c r="B82" s="22" t="s">
        <v>179</v>
      </c>
      <c r="C82" s="14"/>
      <c r="D82" s="19" t="s">
        <v>14</v>
      </c>
      <c r="E82" s="20">
        <v>1</v>
      </c>
      <c r="F82" s="23">
        <v>6.78</v>
      </c>
      <c r="G82" s="17">
        <v>522142</v>
      </c>
      <c r="H82" s="18" t="str">
        <f ca="1">IFERROR(__xludf.DUMMYFUNCTION("LOWER(REGEXREPLACE(B82&amp;"" ""&amp;C82,""[^а-яa-z0-9 ]"","" ""))")," истемный блок  enovo     hink entre  eo 50t  4  4   ntel   ore  i5 13400  rocessor    cores up to 3 30   z   cores up to 4 60   z  8       4 3200  z         1    7200rpm     3 5       256          2 2280    e  en4      pal      indows 11 для образователь"&amp;"ных учреждений ")</f>
        <v xml:space="preserve"> истемный блок  enovo     hink entre  eo 50t  4  4   ntel   ore  i5 13400  rocessor    cores up to 3 30   z   cores up to 4 60   z  8       4 3200  z         1    7200rpm     3 5       256          2 2280    e  en4      pal      indows 11 для образовательных учреждений </v>
      </c>
    </row>
    <row r="83" spans="1:8" ht="102" x14ac:dyDescent="0.2">
      <c r="A83" s="13" t="s">
        <v>180</v>
      </c>
      <c r="B83" s="22" t="s">
        <v>181</v>
      </c>
      <c r="C83" s="14"/>
      <c r="D83" s="19" t="s">
        <v>14</v>
      </c>
      <c r="E83" s="20">
        <v>1</v>
      </c>
      <c r="F83" s="23">
        <v>6.76</v>
      </c>
      <c r="G83" s="17">
        <v>337524</v>
      </c>
      <c r="H83" s="18" t="str">
        <f ca="1">IFERROR(__xludf.DUMMYFUNCTION("LOWER(REGEXREPLACE(B83&amp;"" ""&amp;C83,""[^а-яa-z0-9 ]"","" ""))")," истемный блок  enovo  70t  4  1  ntel   ore  i3 13100  rocessor    cores 3 40   z up to 4 50   z  8       4 3200  z         256          2 2280    e  en4      pal 1    7200rpm     3 5       1x       4x        ront  4x        ear  orts  indows 11 для обра"&amp;"зовательных учреждений ")</f>
        <v xml:space="preserve"> истемный блок  enovo  70t  4  1  ntel   ore  i3 13100  rocessor    cores 3 40   z up to 4 50   z  8       4 3200  z         256          2 2280    e  en4      pal 1    7200rpm     3 5       1x       4x        ront  4x        ear  orts  indows 11 для образовательных учреждений </v>
      </c>
    </row>
    <row r="84" spans="1:8" ht="102" x14ac:dyDescent="0.2">
      <c r="A84" s="13" t="s">
        <v>182</v>
      </c>
      <c r="B84" s="22" t="s">
        <v>183</v>
      </c>
      <c r="C84" s="14"/>
      <c r="D84" s="19" t="s">
        <v>14</v>
      </c>
      <c r="E84" s="20">
        <v>1</v>
      </c>
      <c r="F84" s="23">
        <v>6.68</v>
      </c>
      <c r="G84" s="17">
        <v>467166</v>
      </c>
      <c r="H84" s="18" t="str">
        <f ca="1">IFERROR(__xludf.DUMMYFUNCTION("LOWER(REGEXREPLACE(B84&amp;"" ""&amp;C84,""[^а-яa-z0-9 ]"","" ""))")," истемный блок  enovo  70t  4  2  ntel   ore  i5 13400  rocessor    cores up to 3 30   z   cores up to 4 60   z  8       4 3200  z         256          2 2280    e  en4      pal 1    7200rpm     3 5       1x       4x        ront  4x        ear  orts  indo"&amp;"ws 11 для образовательных учреждений ")</f>
        <v xml:space="preserve"> истемный блок  enovo  70t  4  2  ntel   ore  i5 13400  rocessor    cores up to 3 30   z   cores up to 4 60   z  8       4 3200  z         256          2 2280    e  en4      pal 1    7200rpm     3 5       1x       4x        ront  4x        ear  orts  indows 11 для образовательных учреждений </v>
      </c>
    </row>
    <row r="85" spans="1:8" ht="102" x14ac:dyDescent="0.2">
      <c r="A85" s="13" t="s">
        <v>184</v>
      </c>
      <c r="B85" s="22" t="s">
        <v>185</v>
      </c>
      <c r="C85" s="14"/>
      <c r="D85" s="19" t="s">
        <v>14</v>
      </c>
      <c r="E85" s="20">
        <v>1</v>
      </c>
      <c r="F85" s="23">
        <v>6.76</v>
      </c>
      <c r="G85" s="17">
        <v>593059</v>
      </c>
      <c r="H85" s="18" t="str">
        <f ca="1">IFERROR(__xludf.DUMMYFUNCTION("LOWER(REGEXREPLACE(B85&amp;"" ""&amp;C85,""[^а-яa-z0-9 ]"","" ""))")," истемный блок  enovo  70t  4  3  ntel   ore  i3 13100  rocessor    cores 3 40   z up to 4 50   z  8       4 3200  z         8       4 3200  z         1    7200rpm     3 5        e orce      3050 8       6 1x       4x        ront  4x        ear  orts  ind"&amp;"ows 11 для образовательных учреждений ")</f>
        <v xml:space="preserve"> истемный блок  enovo  70t  4  3  ntel   ore  i3 13100  rocessor    cores 3 40   z up to 4 50   z  8       4 3200  z         8       4 3200  z         1    7200rpm     3 5        e orce      3050 8       6 1x       4x        ront  4x        ear  orts  indows 11 для образовательных учреждений </v>
      </c>
    </row>
    <row r="86" spans="1:8" ht="114.75" x14ac:dyDescent="0.2">
      <c r="A86" s="13" t="s">
        <v>186</v>
      </c>
      <c r="B86" s="22" t="s">
        <v>187</v>
      </c>
      <c r="C86" s="14"/>
      <c r="D86" s="19" t="s">
        <v>14</v>
      </c>
      <c r="E86" s="20">
        <v>1</v>
      </c>
      <c r="F86" s="24">
        <v>7.8</v>
      </c>
      <c r="G86" s="17">
        <v>396026</v>
      </c>
      <c r="H86" s="18" t="str">
        <f ca="1">IFERROR(__xludf.DUMMYFUNCTION("LOWER(REGEXREPLACE(B86&amp;"" ""&amp;C86,""[^а-яa-z0-9 ]"","" ""))")," истемный блок  enovo  90t  3  4  ntel   ore  i5 12400   rocessor    cores 2 50   z up to 4 40   z  16       5 4400  z         1    7200rpm     3 5       256          2 2280    e  en4      pal  e orce      1660        6       6 1x       4x        ront  4x"&amp;"        ear  orts  indows 11 для образовательных учреждений ")</f>
        <v xml:space="preserve"> истемный блок  enovo  90t  3  4  ntel   ore  i5 12400   rocessor    cores 2 50   z up to 4 40   z  16       5 4400  z         1    7200rpm     3 5       256          2 2280    e  en4      pal  e orce      1660        6       6 1x       4x        ront  4x        ear  orts  indows 11 для образовательных учреждений </v>
      </c>
    </row>
    <row r="87" spans="1:8" ht="89.25" x14ac:dyDescent="0.2">
      <c r="A87" s="13" t="s">
        <v>188</v>
      </c>
      <c r="B87" s="22" t="s">
        <v>189</v>
      </c>
      <c r="C87" s="14"/>
      <c r="D87" s="19" t="s">
        <v>14</v>
      </c>
      <c r="E87" s="20">
        <v>1</v>
      </c>
      <c r="F87" s="24">
        <v>7.8</v>
      </c>
      <c r="G87" s="17">
        <v>208660</v>
      </c>
      <c r="H87" s="18" t="str">
        <f ca="1">IFERROR(__xludf.DUMMYFUNCTION("LOWER(REGEXREPLACE(B87&amp;"" ""&amp;C87,""[^а-яa-z0-9 ]"","" ""))")," истемный блок  enovo  90q  4  1  ntel   ore  i3 13100  rocessor    cores 3 40   z up to 4 50   z  8       5 4800  z          256          2 2280    e  en4      pal  ntegrated  raphics 1 x        2 x  ront      4 x  ear      indows 11 для образовательных "&amp;"учреждений ")</f>
        <v xml:space="preserve"> истемный блок  enovo  90q  4  1  ntel   ore  i3 13100  rocessor    cores 3 40   z up to 4 50   z  8       5 4800  z          256          2 2280    e  en4      pal  ntegrated  raphics 1 x        2 x  ront      4 x  ear      indows 11 для образовательных учреждений </v>
      </c>
    </row>
    <row r="88" spans="1:8" ht="102" x14ac:dyDescent="0.2">
      <c r="A88" s="13" t="s">
        <v>190</v>
      </c>
      <c r="B88" s="22" t="s">
        <v>191</v>
      </c>
      <c r="C88" s="14"/>
      <c r="D88" s="19" t="s">
        <v>14</v>
      </c>
      <c r="E88" s="20">
        <v>1</v>
      </c>
      <c r="F88" s="23">
        <v>6.76</v>
      </c>
      <c r="G88" s="17">
        <v>332758</v>
      </c>
      <c r="H88" s="18" t="str">
        <f ca="1">IFERROR(__xludf.DUMMYFUNCTION("LOWER(REGEXREPLACE(B88&amp;"" ""&amp;C88,""[^а-яa-z0-9 ]"","" ""))")," истемный блок  enovo  eo 50t  4  5  ntel   ore  i3 13100  rocessor    cores 3 40   z up to 4 50   z  8       4 3200  z         1    7200rpm     3 5       256          2 2280    e  en4      pal      adeon     6400 4       6  indows 11 для образовательных "&amp;"учреждений ")</f>
        <v xml:space="preserve"> истемный блок  enovo  eo 50t  4  5  ntel   ore  i3 13100  rocessor    cores 3 40   z up to 4 50   z  8       4 3200  z         1    7200rpm     3 5       256          2 2280    e  en4      pal      adeon     6400 4       6  indows 11 для образовательных учреждений </v>
      </c>
    </row>
    <row r="89" spans="1:8" ht="102" x14ac:dyDescent="0.2">
      <c r="A89" s="13" t="s">
        <v>192</v>
      </c>
      <c r="B89" s="22" t="s">
        <v>193</v>
      </c>
      <c r="C89" s="14"/>
      <c r="D89" s="19" t="s">
        <v>14</v>
      </c>
      <c r="E89" s="20">
        <v>1</v>
      </c>
      <c r="F89" s="23">
        <v>6.83</v>
      </c>
      <c r="G89" s="17">
        <v>508226</v>
      </c>
      <c r="H89" s="18" t="str">
        <f ca="1">IFERROR(__xludf.DUMMYFUNCTION("LOWER(REGEXREPLACE(B89&amp;"" ""&amp;C89,""[^а-яa-z0-9 ]"","" ""))")," истемный блок  enovo  70t  4  4  ntel   ore  i5 13400  rocessor    cores up to 3 30   z   cores up to 4 60   z  8       4 3200  z         512          2 2280    e  en4      pal  e orce      3050 8       6 1x       4x        ront  4x        ear  orts  ind"&amp;"ows 11 для образовательных учреждений ")</f>
        <v xml:space="preserve"> истемный блок  enovo  70t  4  4  ntel   ore  i5 13400  rocessor    cores up to 3 30   z   cores up to 4 60   z  8       4 3200  z         512          2 2280    e  en4      pal  e orce      3050 8       6 1x       4x        ront  4x        ear  orts  indows 11 для образовательных учреждений </v>
      </c>
    </row>
    <row r="90" spans="1:8" ht="127.5" x14ac:dyDescent="0.2">
      <c r="A90" s="13" t="s">
        <v>194</v>
      </c>
      <c r="B90" s="22" t="s">
        <v>195</v>
      </c>
      <c r="C90" s="14"/>
      <c r="D90" s="19" t="s">
        <v>14</v>
      </c>
      <c r="E90" s="20">
        <v>1</v>
      </c>
      <c r="F90" s="23">
        <v>10.65</v>
      </c>
      <c r="G90" s="17">
        <v>428419</v>
      </c>
      <c r="H90" s="18" t="str">
        <f ca="1">IFERROR(__xludf.DUMMYFUNCTION("LOWER(REGEXREPLACE(B90&amp;"" ""&amp;C90,""[^а-яa-z0-9 ]"","" ""))")," истемный блок  enovo  eo 50s  4  1  ntel   ore  i5 12400  rocessor    cores 2 50   z up to 4 40   z  4       4 3200  z         256          2 2280    e  en4      pal  ntegrated  raphics 1 x        2 x  ront      4 x  ear      indows 11 для образовательны"&amp;"х учреждений  онитор 23 8   enovo  24 40 1920x1080     75 z 250 nits 16 9 1x      1 4  1x      ремя отклика 4ms ")</f>
        <v xml:space="preserve"> истемный блок  enovo  eo 50s  4  1  ntel   ore  i5 12400  rocessor    cores 2 50   z up to 4 40   z  4       4 3200  z         256          2 2280    e  en4      pal  ntegrated  raphics 1 x        2 x  ront      4 x  ear      indows 11 для образовательных учреждений  онитор 23 8   enovo  24 40 1920x1080     75 z 250 nits 16 9 1x      1 4  1x      ремя отклика 4ms </v>
      </c>
    </row>
    <row r="91" spans="1:8" ht="25.5" x14ac:dyDescent="0.2">
      <c r="A91" s="13" t="s">
        <v>196</v>
      </c>
      <c r="B91" s="22" t="s">
        <v>197</v>
      </c>
      <c r="C91" s="14"/>
      <c r="D91" s="19" t="s">
        <v>14</v>
      </c>
      <c r="E91" s="20">
        <v>1</v>
      </c>
      <c r="F91" s="24">
        <v>6.5</v>
      </c>
      <c r="G91" s="17">
        <v>357937</v>
      </c>
      <c r="H91" s="18" t="str">
        <f ca="1">IFERROR(__xludf.DUMMYFUNCTION("LOWER(REGEXREPLACE(B91&amp;"" ""&amp;C91,""[^а-яa-z0-9 ]"","" ""))")," истемный блок          ntel  ore i3 8       256     indows 10 ")</f>
        <v xml:space="preserve"> истемный блок          ntel  ore i3 8       256     indows 10 </v>
      </c>
    </row>
    <row r="92" spans="1:8" ht="38.25" x14ac:dyDescent="0.2">
      <c r="A92" s="13" t="s">
        <v>198</v>
      </c>
      <c r="B92" s="14" t="s">
        <v>199</v>
      </c>
      <c r="C92" s="14"/>
      <c r="D92" s="19" t="s">
        <v>14</v>
      </c>
      <c r="E92" s="20">
        <v>1</v>
      </c>
      <c r="F92" s="24">
        <v>3.5</v>
      </c>
      <c r="G92" s="17">
        <v>152890</v>
      </c>
      <c r="H92" s="18" t="str">
        <f ca="1">IFERROR(__xludf.DUMMYFUNCTION("LOWER(REGEXREPLACE(B92&amp;"" ""&amp;C92,""[^а-яa-z0-9 ]"","" ""))")," онитор          40     23   1920х1080     60  ц 5 мс 3000 1               ub  ")</f>
        <v xml:space="preserve"> онитор          40     23   1920х1080     60  ц 5 мс 3000 1               ub  </v>
      </c>
    </row>
    <row r="93" spans="1:8" ht="12.75" x14ac:dyDescent="0.2">
      <c r="A93" s="13" t="s">
        <v>200</v>
      </c>
      <c r="B93" s="14" t="s">
        <v>201</v>
      </c>
      <c r="C93" s="14"/>
      <c r="D93" s="19" t="s">
        <v>14</v>
      </c>
      <c r="E93" s="16"/>
      <c r="F93" s="24">
        <v>0.3</v>
      </c>
      <c r="G93" s="17">
        <v>17087</v>
      </c>
      <c r="H93" s="18" t="str">
        <f ca="1">IFERROR(__xludf.DUMMYFUNCTION("LOWER(REGEXREPLACE(B93&amp;"" ""&amp;C93,""[^а-яa-z0-9 ]"","" ""))")," лавиатура мышь         304 ")</f>
        <v xml:space="preserve"> лавиатура мышь         304 </v>
      </c>
    </row>
    <row r="94" spans="1:8" ht="25.5" x14ac:dyDescent="0.2">
      <c r="A94" s="13" t="s">
        <v>202</v>
      </c>
      <c r="B94" s="22" t="s">
        <v>203</v>
      </c>
      <c r="C94" s="14"/>
      <c r="D94" s="19" t="s">
        <v>14</v>
      </c>
      <c r="E94" s="16"/>
      <c r="F94" s="24">
        <v>0.3</v>
      </c>
      <c r="G94" s="17">
        <v>3148</v>
      </c>
      <c r="H94" s="18" t="str">
        <f ca="1">IFERROR(__xludf.DUMMYFUNCTION("LOWER(REGEXREPLACE(B94&amp;"" ""&amp;C94,""[^а-яa-z0-9 ]"","" ""))")," етевой фильтр  efender  518  1 8 м  5 розеток ")</f>
        <v xml:space="preserve"> етевой фильтр  efender  518  1 8 м  5 розеток </v>
      </c>
    </row>
    <row r="95" spans="1:8" ht="114.75" x14ac:dyDescent="0.2">
      <c r="A95" s="13" t="s">
        <v>204</v>
      </c>
      <c r="B95" s="22" t="s">
        <v>205</v>
      </c>
      <c r="C95" s="14"/>
      <c r="D95" s="19" t="s">
        <v>14</v>
      </c>
      <c r="E95" s="20">
        <v>1</v>
      </c>
      <c r="F95" s="21">
        <v>5</v>
      </c>
      <c r="G95" s="17">
        <v>516506</v>
      </c>
      <c r="H95" s="18" t="str">
        <f ca="1">IFERROR(__xludf.DUMMYFUNCTION("LOWER(REGEXREPLACE(B95&amp;"" ""&amp;C95,""[^а-яa-z0-9 ]"","" ""))")," истемный блок     ro  ower 400  9   260     ntel  ore i5 14500 5 00  24    14 cores 65         8    1x8       5 4800        emory   256   2280    e    e  alue  olid  tate  rive    indows 11  ro 64      125      ired  eyboard       lack 125  ired  ouse   "&amp;"   3 year  ext  usiness  ay  nsite  esktop excl   xternal  onitor  ardware  upport ")</f>
        <v xml:space="preserve"> истемный блок     ro  ower 400  9   260     ntel  ore i5 14500 5 00  24    14 cores 65         8    1x8       5 4800        emory   256   2280    e    e  alue  olid  tate  rive    indows 11  ro 64      125      ired  eyboard       lack 125  ired  ouse      3 year  ext  usiness  ay  nsite  esktop excl   xternal  onitor  ardware  upport </v>
      </c>
    </row>
    <row r="96" spans="1:8" ht="76.5" x14ac:dyDescent="0.2">
      <c r="A96" s="13" t="s">
        <v>206</v>
      </c>
      <c r="B96" s="14" t="s">
        <v>207</v>
      </c>
      <c r="C96" s="14" t="s">
        <v>208</v>
      </c>
      <c r="D96" s="19" t="s">
        <v>14</v>
      </c>
      <c r="E96" s="20">
        <v>1</v>
      </c>
      <c r="F96" s="21">
        <v>9</v>
      </c>
      <c r="G96" s="17">
        <v>469638</v>
      </c>
      <c r="H96" s="18" t="str">
        <f ca="1">IFERROR(__xludf.DUMMYFUNCTION("LOWER(REGEXREPLACE(B96&amp;"" ""&amp;C96,""[^а-яa-z0-9 ]"","" ""))")," ерсональный компьютер  mart      монитор  mart     23 8  i5 12400 8       240    ерсональный компьютер  mart           1996 2010  монитор           23 8 с ультратонкой рамкой     1920x1080  ерц   ц   75  процессор i5 12400  охлаждение центрального процес"&amp;"сора  1700 1200 115x 775      100  12cm fan  1600rpm  оперативная память 8    тв рдотельный накопитель     240 b  корпус  mart      цельнометаллический корпус с перфорацией  430мм 90мм 395мм       indows 10     клавиатура мышь  3 года гарантии 2 года серв"&amp;"ис ")</f>
        <v xml:space="preserve"> ерсональный компьютер  mart      монитор  mart     23 8  i5 12400 8       240    ерсональный компьютер  mart           1996 2010  монитор           23 8 с ультратонкой рамкой     1920x1080  ерц   ц   75  процессор i5 12400  охлаждение центрального процессора  1700 1200 115x 775      100  12cm fan  1600rpm  оперативная память 8    тв рдотельный накопитель     240 b  корпус  mart      цельнометаллический корпус с перфорацией  430мм 90мм 395мм       indows 10     клавиатура мышь  3 года гарантии 2 года сервис </v>
      </c>
    </row>
    <row r="97" spans="1:8" ht="38.25" x14ac:dyDescent="0.2">
      <c r="A97" s="13" t="s">
        <v>209</v>
      </c>
      <c r="B97" s="14" t="s">
        <v>210</v>
      </c>
      <c r="C97" s="14" t="s">
        <v>211</v>
      </c>
      <c r="D97" s="19" t="s">
        <v>14</v>
      </c>
      <c r="E97" s="16"/>
      <c r="F97" s="24">
        <v>0.7</v>
      </c>
      <c r="G97" s="17">
        <v>7950</v>
      </c>
      <c r="H97" s="18" t="str">
        <f ca="1">IFERROR(__xludf.DUMMYFUNCTION("LOWER(REGEXREPLACE(B97&amp;"" ""&amp;C97,""[^а-яa-z0-9 ]"","" ""))")," етевой фильтр типа  urge  rotector  роизводитель                                     ощность на выходе 2200  т   апряжение на входе 220 230     ип устройства  етевой фильр    оличество выходных розеток 6   ип розеток    лина кабеля 5м   ес изделия  кг  0"&amp;" 700 ")</f>
        <v xml:space="preserve"> етевой фильтр типа  urge  rotector  роизводитель                                     ощность на выходе 2200  т   апряжение на входе 220 230     ип устройства  етевой фильр    оличество выходных розеток 6   ип розеток    лина кабеля 5м   ес изделия  кг  0 700 </v>
      </c>
    </row>
    <row r="98" spans="1:8" ht="102" x14ac:dyDescent="0.2">
      <c r="A98" s="13" t="s">
        <v>212</v>
      </c>
      <c r="B98" s="22" t="s">
        <v>213</v>
      </c>
      <c r="C98" s="14"/>
      <c r="D98" s="19" t="s">
        <v>14</v>
      </c>
      <c r="E98" s="20">
        <v>2</v>
      </c>
      <c r="F98" s="23">
        <v>5.31</v>
      </c>
      <c r="G98" s="17">
        <v>528288</v>
      </c>
      <c r="H98" s="18" t="str">
        <f ca="1">IFERROR(__xludf.DUMMYFUNCTION("LOWER(REGEXREPLACE(B98&amp;"" ""&amp;C98,""[^а-яa-z0-9 ]"","" ""))")," истемный блок     ro  ower 400  9   260     ntel  ore i5 14500 5 00  24    14 cores 65        16    1x16       5 4800        emory   512   2280    e    e  alue  olid  tate  rive    indows 11  ro 64      125      ired  eyboard       lack 125  ired  ouse  "&amp;"    3 year  ext  usiness  ay  nsite  esktop excl   xternal  onitor  ardware  upport ")</f>
        <v xml:space="preserve"> истемный блок     ro  ower 400  9   260     ntel  ore i5 14500 5 00  24    14 cores 65        16    1x16       5 4800        emory   512   2280    e    e  alue  olid  tate  rive    indows 11  ro 64      125      ired  eyboard       lack 125  ired  ouse      3 year  ext  usiness  ay  nsite  esktop excl   xternal  onitor  ardware  upport </v>
      </c>
    </row>
    <row r="99" spans="1:8" ht="102" x14ac:dyDescent="0.2">
      <c r="A99" s="13" t="s">
        <v>214</v>
      </c>
      <c r="B99" s="22" t="s">
        <v>215</v>
      </c>
      <c r="C99" s="14"/>
      <c r="D99" s="19" t="s">
        <v>14</v>
      </c>
      <c r="E99" s="20">
        <v>2</v>
      </c>
      <c r="F99" s="24">
        <v>5.7</v>
      </c>
      <c r="G99" s="17">
        <v>944937</v>
      </c>
      <c r="H99" s="18" t="str">
        <f ca="1">IFERROR(__xludf.DUMMYFUNCTION("LOWER(REGEXREPLACE(B99&amp;"" ""&amp;C99,""[^а-яa-z0-9 ]"","" ""))")," ерсональный компьютер     1      ntel  ore i7 13700 2 10  30   16 cores 65        16    1x16       5 4800        emory   512   2280    e   e  alue  olid  tate  rive    indows 11  ro 64           e orce     3070 3         raphics          125      ired  e"&amp;"yboard       lack 125  ired  ouse ")</f>
        <v xml:space="preserve"> ерсональный компьютер     1      ntel  ore i7 13700 2 10  30   16 cores 65        16    1x16       5 4800        emory   512   2280    e   e  alue  olid  tate  rive    indows 11  ro 64           e orce     3070 3         raphics          125      ired  eyboard       lack 125  ired  ouse </v>
      </c>
    </row>
    <row r="100" spans="1:8" ht="25.5" x14ac:dyDescent="0.2">
      <c r="A100" s="13" t="s">
        <v>216</v>
      </c>
      <c r="B100" s="14" t="s">
        <v>217</v>
      </c>
      <c r="C100" s="14"/>
      <c r="D100" s="19" t="s">
        <v>14</v>
      </c>
      <c r="E100" s="20">
        <v>2</v>
      </c>
      <c r="F100" s="25">
        <v>0.19700000000000001</v>
      </c>
      <c r="G100" s="17">
        <v>16780</v>
      </c>
      <c r="H100" s="18" t="str">
        <f ca="1">IFERROR(__xludf.DUMMYFUNCTION("LOWER(REGEXREPLACE(B100&amp;"" ""&amp;C100,""[^а-яa-z0-9 ]"","" ""))")," арнитура  ogitech  390       элементы управления на кабеле  кабель 2 33м  ")</f>
        <v xml:space="preserve"> арнитура  ogitech  390       элементы управления на кабеле  кабель 2 33м  </v>
      </c>
    </row>
    <row r="101" spans="1:8" ht="12.75" x14ac:dyDescent="0.2">
      <c r="A101" s="13" t="s">
        <v>218</v>
      </c>
      <c r="B101" s="14" t="s">
        <v>219</v>
      </c>
      <c r="C101" s="14"/>
      <c r="D101" s="19" t="s">
        <v>14</v>
      </c>
      <c r="E101" s="20">
        <v>2</v>
      </c>
      <c r="F101" s="24">
        <v>0.8</v>
      </c>
      <c r="G101" s="17">
        <v>2555</v>
      </c>
      <c r="H101" s="18" t="str">
        <f ca="1">IFERROR(__xludf.DUMMYFUNCTION("LOWER(REGEXREPLACE(B101&amp;"" ""&amp;C101,""[^а-яa-z0-9 ]"","" ""))")," ышь    125  ired  ouse ")</f>
        <v xml:space="preserve"> ышь    125  ired  ouse </v>
      </c>
    </row>
    <row r="102" spans="1:8" ht="114.75" x14ac:dyDescent="0.2">
      <c r="A102" s="13" t="s">
        <v>220</v>
      </c>
      <c r="B102" s="22" t="s">
        <v>221</v>
      </c>
      <c r="C102" s="14"/>
      <c r="D102" s="19" t="s">
        <v>68</v>
      </c>
      <c r="E102" s="20">
        <v>2</v>
      </c>
      <c r="F102" s="21">
        <v>12</v>
      </c>
      <c r="G102" s="17">
        <v>2166133</v>
      </c>
      <c r="H102" s="18" t="str">
        <f ca="1">IFERROR(__xludf.DUMMYFUNCTION("LOWER(REGEXREPLACE(B102&amp;"" ""&amp;C102,""[^а-яa-z0-9 ]"","" ""))")," ерсональный компьютер  mart     с монитором           23 8 дюйм     1920 1080  75  ц  со встроенной веб камерой  цельнометаллический корпус  mart       ntel  ore i9 14900 2 2   ц     5 32         512          1000     видеокарта     5070 12     комплект "&amp;" клавиатура  мышь  гарнитура  сетевой фильтр   indows 11  ro   ffice 2021 ")</f>
        <v xml:space="preserve"> ерсональный компьютер  mart     с монитором           23 8 дюйм     1920 1080  75  ц  со встроенной веб камерой  цельнометаллический корпус  mart       ntel  ore i9 14900 2 2   ц     5 32         512          1000     видеокарта     5070 12     комплект  клавиатура  мышь  гарнитура  сетевой фильтр   indows 11  ro   ffice 2021 </v>
      </c>
    </row>
    <row r="103" spans="1:8" ht="102" x14ac:dyDescent="0.2">
      <c r="A103" s="13" t="s">
        <v>222</v>
      </c>
      <c r="B103" s="22" t="s">
        <v>223</v>
      </c>
      <c r="C103" s="14"/>
      <c r="D103" s="19" t="s">
        <v>68</v>
      </c>
      <c r="E103" s="20">
        <v>2</v>
      </c>
      <c r="F103" s="21">
        <v>9</v>
      </c>
      <c r="G103" s="17">
        <v>557623</v>
      </c>
      <c r="H103" s="18" t="str">
        <f ca="1">IFERROR(__xludf.DUMMYFUNCTION("LOWER(REGEXREPLACE(B103&amp;"" ""&amp;C103,""[^а-яa-z0-9 ]"","" ""))")," ерсональный компьютер  mart     с монитором           23 8 дюйм     1920 1080  75  ц  со встроенной веб камерой  цельнометаллический корпус  mart       ntel  ore i3 14100 3 5   ц     5 16         512     комплект  клавиатура  мышь  гарнитура  сетевой фил"&amp;"ьтр 5 м  6 розеток    indows 11  ro   ffice 2021 ")</f>
        <v xml:space="preserve"> ерсональный компьютер  mart     с монитором           23 8 дюйм     1920 1080  75  ц  со встроенной веб камерой  цельнометаллический корпус  mart       ntel  ore i3 14100 3 5   ц     5 16         512     комплект  клавиатура  мышь  гарнитура  сетевой фильтр 5 м  6 розеток    indows 11  ro   ffice 2021 </v>
      </c>
    </row>
    <row r="104" spans="1:8" ht="127.5" x14ac:dyDescent="0.2">
      <c r="A104" s="13" t="s">
        <v>224</v>
      </c>
      <c r="B104" s="22" t="s">
        <v>225</v>
      </c>
      <c r="C104" s="14"/>
      <c r="D104" s="19" t="s">
        <v>68</v>
      </c>
      <c r="E104" s="20">
        <v>2</v>
      </c>
      <c r="F104" s="21">
        <v>12</v>
      </c>
      <c r="G104" s="17">
        <v>1477611</v>
      </c>
      <c r="H104" s="18" t="str">
        <f ca="1">IFERROR(__xludf.DUMMYFUNCTION("LOWER(REGEXREPLACE(B104&amp;"" ""&amp;C104,""[^а-яa-z0-9 ]"","" ""))")," ерсональный компьютер  mart     с монитором           23 8 дюйм     1920 1080  75  ц  со встроенной веб камерой  цельнометаллический корпус  mart       ntel  ore i7 14700 1 5   ц     5 32         512          1000     видеокарта     4060 8     комплект  "&amp;"клавиатура  мышь  гарнитура  сетевой фильтр 5 м  6 розеток    indows 11  ro   ffice 2021 ")</f>
        <v xml:space="preserve"> ерсональный компьютер  mart     с монитором           23 8 дюйм     1920 1080  75  ц  со встроенной веб камерой  цельнометаллический корпус  mart       ntel  ore i7 14700 1 5   ц     5 32         512          1000     видеокарта     4060 8     комплект  клавиатура  мышь  гарнитура  сетевой фильтр 5 м  6 розеток    indows 11  ro   ffice 2021 </v>
      </c>
    </row>
    <row r="105" spans="1:8" ht="102" x14ac:dyDescent="0.2">
      <c r="A105" s="13" t="s">
        <v>226</v>
      </c>
      <c r="B105" s="22" t="s">
        <v>227</v>
      </c>
      <c r="C105" s="14"/>
      <c r="D105" s="19" t="s">
        <v>68</v>
      </c>
      <c r="E105" s="20">
        <v>2</v>
      </c>
      <c r="F105" s="21">
        <v>9</v>
      </c>
      <c r="G105" s="17">
        <v>681820</v>
      </c>
      <c r="H105" s="18" t="str">
        <f ca="1">IFERROR(__xludf.DUMMYFUNCTION("LOWER(REGEXREPLACE(B105&amp;"" ""&amp;C105,""[^а-яa-z0-9 ]"","" ""))")," ерсональный компьютер  mart     с монитором  mart     23 8 дюйм       ull    1920 1080  100  ц  ультратонкая рамка  встроенная веб камера  корпус  mart       ntel  ore i5 14400 1 8   ц     5 16         512     комплект  клавиатура  мышь  гарнитура  сетев"&amp;"ой фильтр 5 м  6 розеток    indows 11  ro   ffice 2021 ")</f>
        <v xml:space="preserve"> ерсональный компьютер  mart     с монитором  mart     23 8 дюйм       ull    1920 1080  100  ц  ультратонкая рамка  встроенная веб камера  корпус  mart       ntel  ore i5 14400 1 8   ц     5 16         512     комплект  клавиатура  мышь  гарнитура  сетевой фильтр 5 м  6 розеток    indows 11  ro   ffice 2021 </v>
      </c>
    </row>
    <row r="106" spans="1:8" ht="255" x14ac:dyDescent="0.2">
      <c r="A106" s="13" t="s">
        <v>228</v>
      </c>
      <c r="B106" s="22" t="s">
        <v>229</v>
      </c>
      <c r="C106" s="14" t="s">
        <v>230</v>
      </c>
      <c r="D106" s="19" t="s">
        <v>68</v>
      </c>
      <c r="E106" s="20">
        <v>2</v>
      </c>
      <c r="F106" s="24">
        <v>8.8000000000000007</v>
      </c>
      <c r="G106" s="17">
        <v>408794</v>
      </c>
      <c r="H106" s="18" t="str">
        <f ca="1">IFERROR(__xludf.DUMMYFUNCTION("LOWER(REGEXREPLACE(B106&amp;"" ""&amp;C106,""[^а-яa-z0-9 ]"","" ""))")," омпьютер персональный типа  3        комплект входят  системный блок  монитор  клавиатура  мышь  с ковриком   микрофонная гарнитура  сетевой фильтр   роцессор  количество ядер 6   аксимальное количество потоков 12  объем кэша  3 18      азовая частота пр"&amp;"оцессора 2 5   ц   перационная система  с наличием графического интерфейса на государственном языке   перативная память     4  16  б  актовая частота  3200  гц  система беспроводной передачи данных и наличие 6 портов  2 порта     3 0  2 порта     2 0  1 п"&amp;"орта           45 х 1  1 для аудио микрофона или порты с иной раскладкой превосходящие текущие параметры   стройство хранения данных  512  б      материнская плата  1 разъема   2   1 слота      xpress 3 0 x 4   истемный блок с кабелем питания   онитор  ра"&amp;"зрешение экрана    1920x1080  диагональ    23 8 дюймов   орты 1 порта       1 порта  isplay  ort   азъем для наушников  аудиовход 3 5 мм  ini ack   мное энергосбережение  безопасный режим мерцания  режим чтения  динамическая синхронизация действий   инима"&amp;"льная яркость экрана  250 кд кв м   атрица     или       аксимальная частота обновления кадров не менее 75  ц   ин  время отклика пикселя не более 4 мс   еб камера  2     поддержка  ull  d   лавиатура  проводная  языки  казахский русский английский с заво"&amp;"дским нанесением букв  мембранная  длина провода  1 5 метра   ышь  проводная  оптическая      1 5 метра с ковриком   икрофонно телефонная гарнитура  тип крепления дуговое  длина кабеля  1 8 м   ягкие накладки амбушюры  регулятор громкости   удиовыход комб"&amp;"инированный  3 5 мм   етевой фильтр  количество выходных розеток 5  длина шнура 1 8 м    комплекте с системным блоком  клавиатурой  мышью  с ковриком   микрофонной  гарнитурой  веб камерой  сетевым фильтром  монитором ")</f>
        <v xml:space="preserve"> омпьютер персональный типа  3        комплект входят  системный блок  монитор  клавиатура  мышь  с ковриком   микрофонная гарнитура  сетевой фильтр   роцессор  количество ядер 6   аксимальное количество потоков 12  объем кэша  3 18      азовая частота процессора 2 5   ц   перационная система  с наличием графического интерфейса на государственном языке   перативная память     4  16  б  актовая частота  3200  гц  система беспроводной передачи данных и наличие 6 портов  2 порта     3 0  2 порта     2 0  1 порта           45 х 1  1 для аудио микрофона или порты с иной раскладкой превосходящие текущие параметры   стройство хранения данных  512  б      материнская плата  1 разъема   2   1 слота      xpress 3 0 x 4   истемный блок с кабелем питания   онитор  разрешение экрана    1920x1080  диагональ    23 8 дюймов   орты 1 порта       1 порта  isplay  ort   азъем для наушников  аудиовход 3 5 мм  ini ack   мное энергосбережение  безопасный режим мерцания  режим чтения  динамическая синхронизация действий   инимальная яркость экрана  250 кд кв м   атрица     или       аксимальная частота обновления кадров не менее 75  ц   ин  время отклика пикселя не более 4 мс   еб камера  2     поддержка  ull  d   лавиатура  проводная  языки  казахский русский английский с заводским нанесением букв  мембранная  длина провода  1 5 метра   ышь  проводная  оптическая      1 5 метра с ковриком   икрофонно телефонная гарнитура  тип крепления дуговое  длина кабеля  1 8 м   ягкие накладки амбушюры  регулятор громкости   удиовыход комбинированный  3 5 мм   етевой фильтр  количество выходных розеток 5  длина шнура 1 8 м    комплекте с системным блоком  клавиатурой  мышью  с ковриком   микрофонной  гарнитурой  веб камерой  сетевым фильтром  монитором </v>
      </c>
    </row>
    <row r="107" spans="1:8" ht="12.75" x14ac:dyDescent="0.2">
      <c r="A107" s="13" t="s">
        <v>231</v>
      </c>
      <c r="B107" s="14" t="s">
        <v>232</v>
      </c>
      <c r="C107" s="14"/>
      <c r="D107" s="19" t="s">
        <v>14</v>
      </c>
      <c r="E107" s="16"/>
      <c r="F107" s="15"/>
      <c r="G107" s="17"/>
      <c r="H107" s="18" t="str">
        <f ca="1">IFERROR(__xludf.DUMMYFUNCTION("LOWER(REGEXREPLACE(B107&amp;"" ""&amp;C107,""[^а-яa-z0-9 ]"","" ""))")," роектор ")</f>
        <v xml:space="preserve"> роектор </v>
      </c>
    </row>
    <row r="108" spans="1:8" ht="38.25" x14ac:dyDescent="0.2">
      <c r="A108" s="13" t="s">
        <v>233</v>
      </c>
      <c r="B108" s="22" t="s">
        <v>234</v>
      </c>
      <c r="C108" s="14"/>
      <c r="D108" s="19" t="s">
        <v>14</v>
      </c>
      <c r="E108" s="16"/>
      <c r="F108" s="15"/>
      <c r="G108" s="17">
        <v>234954</v>
      </c>
      <c r="H108" s="18" t="str">
        <f ca="1">IFERROR(__xludf.DUMMYFUNCTION("LOWER(REGEXREPLACE(B108&amp;"" ""&amp;C108,""[^а-яa-z0-9 ]"","" ""))")," роектор  pson     01       3300lm  15000 1       1024x768  6000hr  0 58 8 89m  2 37kg ")</f>
        <v xml:space="preserve"> роектор  pson     01       3300lm  15000 1       1024x768  6000hr  0 58 8 89m  2 37kg </v>
      </c>
    </row>
    <row r="109" spans="1:8" ht="66.75" customHeight="1" x14ac:dyDescent="0.2">
      <c r="A109" s="13" t="s">
        <v>235</v>
      </c>
      <c r="B109" s="22" t="s">
        <v>236</v>
      </c>
      <c r="C109" s="14"/>
      <c r="D109" s="19" t="s">
        <v>14</v>
      </c>
      <c r="E109" s="16"/>
      <c r="F109" s="15"/>
      <c r="G109" s="17">
        <v>474519</v>
      </c>
      <c r="H109" s="18" t="str">
        <f ca="1">IFERROR(__xludf.DUMMYFUNCTION("LOWER(REGEXREPLACE(B109&amp;"" ""&amp;C109,""[^а-яa-z0-9 ]"","" ""))")," роектор  cer  6200      3   5000lm       1024x768  0 43 7 62m  3000hr  1 11 4m  4 6kg ")</f>
        <v xml:space="preserve"> роектор  cer  6200      3   5000lm       1024x768  0 43 7 62m  3000hr  1 11 4m  4 6kg </v>
      </c>
    </row>
    <row r="110" spans="1:8" ht="38.25" x14ac:dyDescent="0.2">
      <c r="A110" s="13" t="s">
        <v>237</v>
      </c>
      <c r="B110" s="22" t="s">
        <v>238</v>
      </c>
      <c r="C110" s="14"/>
      <c r="D110" s="19" t="s">
        <v>14</v>
      </c>
      <c r="E110" s="16"/>
      <c r="F110" s="15"/>
      <c r="G110" s="17">
        <v>571339</v>
      </c>
      <c r="H110" s="18" t="str">
        <f ca="1">IFERROR(__xludf.DUMMYFUNCTION("LOWER(REGEXREPLACE(B110&amp;"" ""&amp;C110,""[^а-яa-z0-9 ]"","" ""))")," роектор  cer  redator  650      3   2200lm 20000 1   ull     1920x1080  0 9 4 6m  3000hr  3 6kg ")</f>
        <v xml:space="preserve"> роектор  cer  redator  650      3   2200lm 20000 1   ull     1920x1080  0 9 4 6m  3000hr  3 6kg </v>
      </c>
    </row>
    <row r="111" spans="1:8" ht="25.5" x14ac:dyDescent="0.2">
      <c r="A111" s="13" t="s">
        <v>239</v>
      </c>
      <c r="B111" s="14" t="s">
        <v>240</v>
      </c>
      <c r="C111" s="14"/>
      <c r="D111" s="19" t="s">
        <v>14</v>
      </c>
      <c r="E111" s="16"/>
      <c r="F111" s="15"/>
      <c r="G111" s="17">
        <v>803482</v>
      </c>
      <c r="H111" s="18" t="str">
        <f ca="1">IFERROR(__xludf.DUMMYFUNCTION("LOWER(REGEXREPLACE(B111&amp;"" ""&amp;C111,""[^а-яa-z0-9 ]"","" ""))")," роектор  iaomi  i 4   aser  roject 150    ull    1920x1080 ")</f>
        <v xml:space="preserve"> роектор  iaomi  i 4   aser  roject 150    ull    1920x1080 </v>
      </c>
    </row>
    <row r="112" spans="1:8" ht="25.5" x14ac:dyDescent="0.2">
      <c r="A112" s="13" t="s">
        <v>241</v>
      </c>
      <c r="B112" s="14" t="s">
        <v>242</v>
      </c>
      <c r="C112" s="14"/>
      <c r="D112" s="19" t="s">
        <v>14</v>
      </c>
      <c r="E112" s="16"/>
      <c r="F112" s="15"/>
      <c r="G112" s="17">
        <v>54151</v>
      </c>
      <c r="H112" s="18" t="str">
        <f ca="1">IFERROR(__xludf.DUMMYFUNCTION("LOWER(REGEXREPLACE(B112&amp;"" ""&amp;C112,""[^а-яa-z0-9 ]"","" ""))")," кран проекционный моторизованный  eluxe        203x   1 1  195 x 195 см ")</f>
        <v xml:space="preserve"> кран проекционный моторизованный  eluxe        203x   1 1  195 x 195 см </v>
      </c>
    </row>
    <row r="113" spans="1:8" ht="25.5" x14ac:dyDescent="0.2">
      <c r="A113" s="13" t="s">
        <v>243</v>
      </c>
      <c r="B113" s="14" t="s">
        <v>244</v>
      </c>
      <c r="C113" s="14"/>
      <c r="D113" s="19" t="s">
        <v>14</v>
      </c>
      <c r="E113" s="16"/>
      <c r="F113" s="15"/>
      <c r="G113" s="17">
        <v>68615</v>
      </c>
      <c r="H113" s="18" t="str">
        <f ca="1">IFERROR(__xludf.DUMMYFUNCTION("LOWER(REGEXREPLACE(B113&amp;"" ""&amp;C113,""[^а-яa-z0-9 ]"","" ""))")," кран проекционный моторизованный  r  ixel       135 2  1 1  244x244 см ")</f>
        <v xml:space="preserve"> кран проекционный моторизованный  r  ixel       135 2  1 1  244x244 см </v>
      </c>
    </row>
    <row r="114" spans="1:8" ht="38.25" x14ac:dyDescent="0.2">
      <c r="A114" s="13" t="s">
        <v>245</v>
      </c>
      <c r="B114" s="22" t="s">
        <v>246</v>
      </c>
      <c r="C114" s="14"/>
      <c r="D114" s="19" t="s">
        <v>14</v>
      </c>
      <c r="E114" s="16"/>
      <c r="F114" s="15"/>
      <c r="G114" s="17">
        <v>151696</v>
      </c>
      <c r="H114" s="18" t="str">
        <f ca="1">IFERROR(__xludf.DUMMYFUNCTION("LOWER(REGEXREPLACE(B114&amp;"" ""&amp;C114,""[^а-яa-z0-9 ]"","" ""))")," кран проекционный моторизованный  eluxe        350x270   16 9  342 x 262 см  белый матовый ")</f>
        <v xml:space="preserve"> кран проекционный моторизованный  eluxe        350x270   16 9  342 x 262 см  белый матовый </v>
      </c>
    </row>
    <row r="115" spans="1:8" ht="25.5" x14ac:dyDescent="0.2">
      <c r="A115" s="13" t="s">
        <v>247</v>
      </c>
      <c r="B115" s="14" t="s">
        <v>248</v>
      </c>
      <c r="C115" s="14"/>
      <c r="D115" s="19" t="s">
        <v>14</v>
      </c>
      <c r="E115" s="16"/>
      <c r="F115" s="15"/>
      <c r="G115" s="17">
        <v>321339</v>
      </c>
      <c r="H115" s="18" t="str">
        <f ca="1">IFERROR(__xludf.DUMMYFUNCTION("LOWER(REGEXREPLACE(B115&amp;"" ""&amp;C115,""[^а-яa-z0-9 ]"","" ""))")," кран проекционный настенный  iaomi  i  mbient  ight  ejecting  rojector  creen 100  ")</f>
        <v xml:space="preserve"> кран проекционный настенный  iaomi  i  mbient  ight  ejecting  rojector  creen 100  </v>
      </c>
    </row>
    <row r="116" spans="1:8" ht="25.5" x14ac:dyDescent="0.2">
      <c r="A116" s="13" t="s">
        <v>249</v>
      </c>
      <c r="B116" s="14" t="s">
        <v>250</v>
      </c>
      <c r="C116" s="14"/>
      <c r="D116" s="19" t="s">
        <v>14</v>
      </c>
      <c r="E116" s="20">
        <v>2</v>
      </c>
      <c r="F116" s="23">
        <v>3.69</v>
      </c>
      <c r="G116" s="17">
        <v>311739</v>
      </c>
      <c r="H116" s="18" t="str">
        <f ca="1">IFERROR(__xludf.DUMMYFUNCTION("LOWER(REGEXREPLACE(B116&amp;"" ""&amp;C116,""[^а-яa-z0-9 ]"","" ""))")," роектор  pson      01  3     3000       m  1080p  300 1 ")</f>
        <v xml:space="preserve"> роектор  pson      01  3     3000       m  1080p  300 1 </v>
      </c>
    </row>
    <row r="117" spans="1:8" ht="25.5" x14ac:dyDescent="0.2">
      <c r="A117" s="13" t="s">
        <v>251</v>
      </c>
      <c r="B117" s="14" t="s">
        <v>252</v>
      </c>
      <c r="C117" s="14"/>
      <c r="D117" s="19" t="s">
        <v>14</v>
      </c>
      <c r="E117" s="20">
        <v>2</v>
      </c>
      <c r="F117" s="23">
        <v>3.47</v>
      </c>
      <c r="G117" s="17">
        <v>268467</v>
      </c>
      <c r="H117" s="18" t="str">
        <f ca="1">IFERROR(__xludf.DUMMYFUNCTION("LOWER(REGEXREPLACE(B117&amp;"" ""&amp;C117,""[^а-яa-z0-9 ]"","" ""))")," роектор  pson      01  3     3000       m        300 1 ")</f>
        <v xml:space="preserve"> роектор  pson      01  3     3000       m        300 1 </v>
      </c>
    </row>
    <row r="118" spans="1:8" ht="25.5" x14ac:dyDescent="0.2">
      <c r="A118" s="13" t="s">
        <v>253</v>
      </c>
      <c r="B118" s="14" t="s">
        <v>254</v>
      </c>
      <c r="C118" s="14"/>
      <c r="D118" s="19" t="s">
        <v>14</v>
      </c>
      <c r="E118" s="20">
        <v>2</v>
      </c>
      <c r="F118" s="25">
        <v>18.806000000000001</v>
      </c>
      <c r="G118" s="17">
        <v>791320</v>
      </c>
      <c r="H118" s="18" t="str">
        <f ca="1">IFERROR(__xludf.DUMMYFUNCTION("LOWER(REGEXREPLACE(B118&amp;"" ""&amp;C118,""[^а-яa-z0-9 ]"","" ""))")," роектор  pson    685   3     3500       m        14000 1 ")</f>
        <v xml:space="preserve"> роектор  pson    685   3     3500       m        14000 1 </v>
      </c>
    </row>
    <row r="119" spans="1:8" ht="25.5" x14ac:dyDescent="0.2">
      <c r="A119" s="13" t="s">
        <v>255</v>
      </c>
      <c r="B119" s="14" t="s">
        <v>256</v>
      </c>
      <c r="C119" s="14"/>
      <c r="D119" s="19" t="s">
        <v>14</v>
      </c>
      <c r="E119" s="20">
        <v>2</v>
      </c>
      <c r="F119" s="25">
        <v>8.7330000000000005</v>
      </c>
      <c r="G119" s="17">
        <v>1310543</v>
      </c>
      <c r="H119" s="18" t="str">
        <f ca="1">IFERROR(__xludf.DUMMYFUNCTION("LOWER(REGEXREPLACE(B119&amp;"" ""&amp;C119,""[^а-яa-z0-9 ]"","" ""))")," роектор  pson    770   3     4100       m  1080p  2500000 1 ")</f>
        <v xml:space="preserve"> роектор  pson    770   3     4100       m  1080p  2500000 1 </v>
      </c>
    </row>
    <row r="120" spans="1:8" ht="25.5" x14ac:dyDescent="0.2">
      <c r="A120" s="13" t="s">
        <v>257</v>
      </c>
      <c r="B120" s="14" t="s">
        <v>258</v>
      </c>
      <c r="C120" s="14"/>
      <c r="D120" s="19" t="s">
        <v>14</v>
      </c>
      <c r="E120" s="20">
        <v>2</v>
      </c>
      <c r="F120" s="25">
        <v>9.1530000000000005</v>
      </c>
      <c r="G120" s="17">
        <v>1622278</v>
      </c>
      <c r="H120" s="18" t="str">
        <f ca="1">IFERROR(__xludf.DUMMYFUNCTION("LOWER(REGEXREPLACE(B120&amp;"" ""&amp;C120,""[^а-яa-z0-9 ]"","" ""))")," нтерактивный проектор  pson    770 i  3     4100       m  1080p  2500000 1 ")</f>
        <v xml:space="preserve"> нтерактивный проектор  pson    770 i  3     4100       m  1080p  2500000 1 </v>
      </c>
    </row>
    <row r="121" spans="1:8" ht="25.5" x14ac:dyDescent="0.2">
      <c r="A121" s="13" t="s">
        <v>259</v>
      </c>
      <c r="B121" s="14" t="s">
        <v>260</v>
      </c>
      <c r="C121" s="14"/>
      <c r="D121" s="19" t="s">
        <v>14</v>
      </c>
      <c r="E121" s="20">
        <v>2</v>
      </c>
      <c r="F121" s="25">
        <v>16.934000000000001</v>
      </c>
      <c r="G121" s="17">
        <v>2571639</v>
      </c>
      <c r="H121" s="18" t="str">
        <f ca="1">IFERROR(__xludf.DUMMYFUNCTION("LOWER(REGEXREPLACE(B121&amp;"" ""&amp;C121,""[^а-яa-z0-9 ]"","" ""))")," роектор  pson    810   3     5000       m  4   2500000 1 ")</f>
        <v xml:space="preserve"> роектор  pson    810   3     5000       m  4   2500000 1 </v>
      </c>
    </row>
    <row r="122" spans="1:8" ht="25.5" x14ac:dyDescent="0.2">
      <c r="A122" s="13" t="s">
        <v>261</v>
      </c>
      <c r="B122" s="14" t="s">
        <v>262</v>
      </c>
      <c r="C122" s="14"/>
      <c r="D122" s="19" t="s">
        <v>14</v>
      </c>
      <c r="E122" s="20">
        <v>2</v>
      </c>
      <c r="F122" s="23">
        <v>4.01</v>
      </c>
      <c r="G122" s="17">
        <v>271118</v>
      </c>
      <c r="H122" s="18" t="str">
        <f ca="1">IFERROR(__xludf.DUMMYFUNCTION("LOWER(REGEXREPLACE(B122&amp;"" ""&amp;C122,""[^а-яa-z0-9 ]"","" ""))")," роектор  pson     20  3     3400       m       15000 1 ")</f>
        <v xml:space="preserve"> роектор  pson     20  3     3400       m       15000 1 </v>
      </c>
    </row>
    <row r="123" spans="1:8" ht="25.5" x14ac:dyDescent="0.2">
      <c r="A123" s="13" t="s">
        <v>263</v>
      </c>
      <c r="B123" s="14" t="s">
        <v>264</v>
      </c>
      <c r="C123" s="14"/>
      <c r="D123" s="19" t="s">
        <v>14</v>
      </c>
      <c r="E123" s="20">
        <v>2</v>
      </c>
      <c r="F123" s="23">
        <v>4.01</v>
      </c>
      <c r="G123" s="17">
        <v>377973</v>
      </c>
      <c r="H123" s="18" t="str">
        <f ca="1">IFERROR(__xludf.DUMMYFUNCTION("LOWER(REGEXREPLACE(B123&amp;"" ""&amp;C123,""[^а-яa-z0-9 ]"","" ""))")," роектор  pson     49  3     3800       m        16000 1 ")</f>
        <v xml:space="preserve"> роектор  pson     49  3     3800       m        16000 1 </v>
      </c>
    </row>
    <row r="124" spans="1:8" ht="25.5" x14ac:dyDescent="0.2">
      <c r="A124" s="13" t="s">
        <v>265</v>
      </c>
      <c r="B124" s="14" t="s">
        <v>266</v>
      </c>
      <c r="C124" s="14"/>
      <c r="D124" s="19" t="s">
        <v>14</v>
      </c>
      <c r="E124" s="20">
        <v>2</v>
      </c>
      <c r="F124" s="23">
        <v>4.12</v>
      </c>
      <c r="G124" s="17">
        <v>313507</v>
      </c>
      <c r="H124" s="18" t="str">
        <f ca="1">IFERROR(__xludf.DUMMYFUNCTION("LOWER(REGEXREPLACE(B124&amp;"" ""&amp;C124,""[^а-яa-z0-9 ]"","" ""))")," роектор  pson     49  3     3600       m       16000 1 ")</f>
        <v xml:space="preserve"> роектор  pson     49  3     3600       m       16000 1 </v>
      </c>
    </row>
    <row r="125" spans="1:8" ht="25.5" x14ac:dyDescent="0.2">
      <c r="A125" s="13" t="s">
        <v>267</v>
      </c>
      <c r="B125" s="14" t="s">
        <v>268</v>
      </c>
      <c r="C125" s="14"/>
      <c r="D125" s="19" t="s">
        <v>14</v>
      </c>
      <c r="E125" s="20">
        <v>2</v>
      </c>
      <c r="F125" s="24">
        <v>2.8</v>
      </c>
      <c r="G125" s="17">
        <v>571367</v>
      </c>
      <c r="H125" s="18" t="str">
        <f ca="1">IFERROR(__xludf.DUMMYFUNCTION("LOWER(REGEXREPLACE(B125&amp;"" ""&amp;C125,""[^а-яa-z0-9 ]"","" ""))")," роектор  pson    11  3     2000       m  1080p  2500000 1 ")</f>
        <v xml:space="preserve"> роектор  pson    11  3     2000       m  1080p  2500000 1 </v>
      </c>
    </row>
    <row r="126" spans="1:8" ht="25.5" x14ac:dyDescent="0.2">
      <c r="A126" s="13" t="s">
        <v>269</v>
      </c>
      <c r="B126" s="14" t="s">
        <v>270</v>
      </c>
      <c r="C126" s="14"/>
      <c r="D126" s="19" t="s">
        <v>14</v>
      </c>
      <c r="E126" s="20">
        <v>2</v>
      </c>
      <c r="F126" s="24">
        <v>4.5999999999999996</v>
      </c>
      <c r="G126" s="17">
        <v>1027053</v>
      </c>
      <c r="H126" s="18" t="str">
        <f ca="1">IFERROR(__xludf.DUMMYFUNCTION("LOWER(REGEXREPLACE(B126&amp;"" ""&amp;C126,""[^а-яa-z0-9 ]"","" ""))")," роектор  pson    2250   3     5000       m         15000 1 ")</f>
        <v xml:space="preserve"> роектор  pson    2250   3     5000       m         15000 1 </v>
      </c>
    </row>
    <row r="127" spans="1:8" ht="25.5" x14ac:dyDescent="0.2">
      <c r="A127" s="13" t="s">
        <v>271</v>
      </c>
      <c r="B127" s="14" t="s">
        <v>272</v>
      </c>
      <c r="C127" s="14"/>
      <c r="D127" s="19" t="s">
        <v>14</v>
      </c>
      <c r="E127" s="20">
        <v>2</v>
      </c>
      <c r="F127" s="24">
        <v>4.2</v>
      </c>
      <c r="G127" s="17">
        <v>1050012</v>
      </c>
      <c r="H127" s="18" t="str">
        <f ca="1">IFERROR(__xludf.DUMMYFUNCTION("LOWER(REGEXREPLACE(B127&amp;"" ""&amp;C127,""[^а-яa-z0-9 ]"","" ""))")," роектор  pson     260  3     4600       m  1080p  2500000 1 ")</f>
        <v xml:space="preserve"> роектор  pson     260  3     4600       m  1080p  2500000 1 </v>
      </c>
    </row>
    <row r="128" spans="1:8" ht="25.5" x14ac:dyDescent="0.2">
      <c r="A128" s="13" t="s">
        <v>273</v>
      </c>
      <c r="B128" s="14" t="s">
        <v>274</v>
      </c>
      <c r="C128" s="14"/>
      <c r="D128" s="19" t="s">
        <v>14</v>
      </c>
      <c r="E128" s="20">
        <v>2</v>
      </c>
      <c r="F128" s="24">
        <v>7.7</v>
      </c>
      <c r="G128" s="17">
        <v>1572819</v>
      </c>
      <c r="H128" s="18" t="str">
        <f ca="1">IFERROR(__xludf.DUMMYFUNCTION("LOWER(REGEXREPLACE(B128&amp;"" ""&amp;C128,""[^а-яa-z0-9 ]"","" ""))")," роектор  pson     520   3     5200       m         2500000 1 ")</f>
        <v xml:space="preserve"> роектор  pson     520   3     5200       m         2500000 1 </v>
      </c>
    </row>
    <row r="129" spans="1:8" ht="25.5" x14ac:dyDescent="0.2">
      <c r="A129" s="13" t="s">
        <v>275</v>
      </c>
      <c r="B129" s="14" t="s">
        <v>276</v>
      </c>
      <c r="C129" s="14"/>
      <c r="D129" s="19" t="s">
        <v>14</v>
      </c>
      <c r="E129" s="20">
        <v>2</v>
      </c>
      <c r="F129" s="24">
        <v>7.7</v>
      </c>
      <c r="G129" s="17">
        <v>2890402</v>
      </c>
      <c r="H129" s="18" t="str">
        <f ca="1">IFERROR(__xludf.DUMMYFUNCTION("LOWER(REGEXREPLACE(B129&amp;"" ""&amp;C129,""[^а-яa-z0-9 ]"","" ""))")," роектор  pson     720   3     7000       m         2500000 1 ")</f>
        <v xml:space="preserve"> роектор  pson     720   3     7000       m         2500000 1 </v>
      </c>
    </row>
    <row r="130" spans="1:8" ht="51" x14ac:dyDescent="0.2">
      <c r="A130" s="13" t="s">
        <v>277</v>
      </c>
      <c r="B130" s="22" t="s">
        <v>278</v>
      </c>
      <c r="C130" s="14"/>
      <c r="D130" s="19" t="s">
        <v>14</v>
      </c>
      <c r="E130" s="20">
        <v>2</v>
      </c>
      <c r="F130" s="24">
        <v>19.8</v>
      </c>
      <c r="G130" s="17">
        <v>9005898</v>
      </c>
      <c r="H130" s="18" t="str">
        <f ca="1">IFERROR(__xludf.DUMMYFUNCTION("LOWER(REGEXREPLACE(B130&amp;"" ""&amp;C130,""[^а-яa-z0-9 ]"","" ""))")," роектор  pson      1008   3     8500      m          4    nhancement  2500000 1 с ультракороткофокусным объективом  pson     01    0 35 1  ")</f>
        <v xml:space="preserve"> роектор  pson      1008   3     8500      m          4    nhancement  2500000 1 с ультракороткофокусным объективом  pson     01    0 35 1  </v>
      </c>
    </row>
    <row r="131" spans="1:8" ht="51" x14ac:dyDescent="0.2">
      <c r="A131" s="13" t="s">
        <v>279</v>
      </c>
      <c r="B131" s="14" t="s">
        <v>280</v>
      </c>
      <c r="C131" s="14"/>
      <c r="D131" s="19" t="s">
        <v>14</v>
      </c>
      <c r="E131" s="20">
        <v>2</v>
      </c>
      <c r="F131" s="24">
        <v>19.100000000000001</v>
      </c>
      <c r="G131" s="17">
        <v>9557832</v>
      </c>
      <c r="H131" s="18" t="str">
        <f ca="1">IFERROR(__xludf.DUMMYFUNCTION("LOWER(REGEXREPLACE(B131&amp;"" ""&amp;C131,""[^а-яa-z0-9 ]"","" ""))")," роектор  pson      2010   3     10000       m          4   nhancement  2500000 1 с короткофокусным объективом  pson      03   0 48 0 57 1 ")</f>
        <v xml:space="preserve"> роектор  pson      2010   3     10000       m          4   nhancement  2500000 1 с короткофокусным объективом  pson      03   0 48 0 57 1 </v>
      </c>
    </row>
    <row r="132" spans="1:8" ht="51" x14ac:dyDescent="0.2">
      <c r="A132" s="13" t="s">
        <v>281</v>
      </c>
      <c r="B132" s="14" t="s">
        <v>282</v>
      </c>
      <c r="C132" s="14"/>
      <c r="D132" s="19" t="s">
        <v>14</v>
      </c>
      <c r="E132" s="20">
        <v>2</v>
      </c>
      <c r="F132" s="24">
        <v>25.7</v>
      </c>
      <c r="G132" s="17">
        <v>8532580</v>
      </c>
      <c r="H132" s="18" t="str">
        <f ca="1">IFERROR(__xludf.DUMMYFUNCTION("LOWER(REGEXREPLACE(B132&amp;"" ""&amp;C132,""[^а-яa-z0-9 ]"","" ""))")," роектор  pson      2113   3     13000       m          4   nhancement  2500000 1 со среднефокусным объективом  pson      15  1 57 2 56 1 ")</f>
        <v xml:space="preserve"> роектор  pson      2113   3     13000       m          4   nhancement  2500000 1 со среднефокусным объективом  pson      15  1 57 2 56 1 </v>
      </c>
    </row>
    <row r="133" spans="1:8" ht="12.75" x14ac:dyDescent="0.2">
      <c r="A133" s="13" t="s">
        <v>283</v>
      </c>
      <c r="B133" s="14" t="s">
        <v>284</v>
      </c>
      <c r="C133" s="14"/>
      <c r="D133" s="19" t="s">
        <v>14</v>
      </c>
      <c r="E133" s="16"/>
      <c r="F133" s="15"/>
      <c r="G133" s="17"/>
      <c r="H133" s="18" t="str">
        <f ca="1">IFERROR(__xludf.DUMMYFUNCTION("LOWER(REGEXREPLACE(B133&amp;"" ""&amp;C133,""[^а-яa-z0-9 ]"","" ""))")," оутбук ")</f>
        <v xml:space="preserve"> оутбук </v>
      </c>
    </row>
    <row r="134" spans="1:8" ht="38.25" x14ac:dyDescent="0.2">
      <c r="A134" s="13" t="s">
        <v>285</v>
      </c>
      <c r="B134" s="22" t="s">
        <v>286</v>
      </c>
      <c r="C134" s="14"/>
      <c r="D134" s="19" t="s">
        <v>14</v>
      </c>
      <c r="E134" s="16"/>
      <c r="F134" s="15"/>
      <c r="G134" s="17">
        <v>571420</v>
      </c>
      <c r="H134" s="18" t="str">
        <f ca="1">IFERROR(__xludf.DUMMYFUNCTION("LOWER(REGEXREPLACE(B134&amp;"" ""&amp;C134,""[^а-яa-z0-9 ]"","" ""))")," оутбук    16 d0000ur   ore i5 11400 2 7  z 16 1     512       8       1650  4          am     ")</f>
        <v xml:space="preserve"> оутбук    16 d0000ur   ore i5 11400 2 7  z 16 1     512       8       1650  4          am     </v>
      </c>
    </row>
    <row r="135" spans="1:8" ht="38.25" x14ac:dyDescent="0.2">
      <c r="A135" s="13" t="s">
        <v>287</v>
      </c>
      <c r="B135" s="22" t="s">
        <v>288</v>
      </c>
      <c r="C135" s="14"/>
      <c r="D135" s="19" t="s">
        <v>14</v>
      </c>
      <c r="E135" s="16"/>
      <c r="F135" s="15"/>
      <c r="G135" s="17">
        <v>482054</v>
      </c>
      <c r="H135" s="18" t="str">
        <f ca="1">IFERROR(__xludf.DUMMYFUNCTION("LOWER(REGEXREPLACE(B135&amp;"" ""&amp;C135,""[^а-яa-z0-9 ]"","" ""))")," оутбук         x360 15 es0009ur   ore i5 1135 7 2 4  z 15 6     512       16    ntel  ris  e     10 ")</f>
        <v xml:space="preserve"> оутбук         x360 15 es0009ur   ore i5 1135 7 2 4  z 15 6     512       16    ntel  ris  e     10 </v>
      </c>
    </row>
    <row r="136" spans="1:8" ht="38.25" x14ac:dyDescent="0.2">
      <c r="A136" s="13" t="s">
        <v>289</v>
      </c>
      <c r="B136" s="22" t="s">
        <v>290</v>
      </c>
      <c r="C136" s="14"/>
      <c r="D136" s="19" t="s">
        <v>14</v>
      </c>
      <c r="E136" s="16"/>
      <c r="F136" s="15"/>
      <c r="G136" s="17">
        <v>542320</v>
      </c>
      <c r="H136" s="18" t="str">
        <f ca="1">IFERROR(__xludf.DUMMYFUNCTION("LOWER(REGEXREPLACE(B136&amp;"" ""&amp;C136,""[^а-яa-z0-9 ]"","" ""))")," оутбук    16 d0021ur   ore i7 11800  2 3  z 16 1     1       16      3050 i  4          am     ")</f>
        <v xml:space="preserve"> оутбук    16 d0021ur   ore i7 11800  2 3  z 16 1     1       16      3050 i  4          am     </v>
      </c>
    </row>
    <row r="137" spans="1:8" ht="63.75" x14ac:dyDescent="0.2">
      <c r="A137" s="13" t="s">
        <v>291</v>
      </c>
      <c r="B137" s="22" t="s">
        <v>292</v>
      </c>
      <c r="C137" s="14"/>
      <c r="D137" s="19" t="s">
        <v>14</v>
      </c>
      <c r="E137" s="16"/>
      <c r="F137" s="24">
        <v>2.6</v>
      </c>
      <c r="G137" s="17">
        <v>566559</v>
      </c>
      <c r="H137" s="18" t="str">
        <f ca="1">IFERROR(__xludf.DUMMYFUNCTION("LOWER(REGEXREPLACE(B137&amp;"" ""&amp;C137,""[^а-яa-z0-9 ]"","" ""))")," оутбук  enovo ideapad 15   ore i5 1155 7 1920 1080  ull    2 5   z 4 5   z   urbo  max  indows 10     ffice  ot32    4 8            512     eb  amera 720  ")</f>
        <v xml:space="preserve"> оутбук  enovo ideapad 15   ore i5 1155 7 1920 1080  ull    2 5   z 4 5   z   urbo  max  indows 10     ffice  ot32    4 8            512     eb  amera 720  </v>
      </c>
    </row>
    <row r="138" spans="1:8" ht="76.5" x14ac:dyDescent="0.2">
      <c r="A138" s="13" t="s">
        <v>293</v>
      </c>
      <c r="B138" s="14" t="s">
        <v>294</v>
      </c>
      <c r="C138" s="14" t="s">
        <v>295</v>
      </c>
      <c r="D138" s="19" t="s">
        <v>68</v>
      </c>
      <c r="E138" s="16"/>
      <c r="F138" s="24">
        <v>3.6</v>
      </c>
      <c r="G138" s="17">
        <v>341181</v>
      </c>
      <c r="H138" s="18" t="str">
        <f ca="1">IFERROR(__xludf.DUMMYFUNCTION("LOWER(REGEXREPLACE(B138&amp;"" ""&amp;C138,""[^а-яa-z0-9 ]"","" ""))")," оутбук  enovo  hink ook 15  4  ore  i3 1215   rocessor 256        мышь  enovo  hink ad  ssential  ireless  ouse    оутбук   enovo  hink ook 15  4  ore  i3 1215   rocessor    cores up to 3 30   z   cores up to 4 40   z  256          2 2242    e  en4     8"&amp;"     8    nboard   0  o         4 3200  z    ицензия  ffice  ome and  tudent 2021                                                             indows 11  ro 64  cadem    ышь  enovo  hink ad  ssential  ireless  ouse")</f>
        <v xml:space="preserve"> оутбук  enovo  hink ook 15  4  ore  i3 1215   rocessor 256        мышь  enovo  hink ad  ssential  ireless  ouse    оутбук   enovo  hink ook 15  4  ore  i3 1215   rocessor    cores up to 3 30   z   cores up to 4 40   z  256          2 2242    e  en4     8     8    nboard   0  o         4 3200  z    ицензия  ffice  ome and  tudent 2021                                                             indows 11  ro 64  cadem    ышь  enovo  hink ad  ssential  ireless  ouse</v>
      </c>
    </row>
    <row r="139" spans="1:8" ht="51" x14ac:dyDescent="0.2">
      <c r="A139" s="13" t="s">
        <v>296</v>
      </c>
      <c r="B139" s="22" t="s">
        <v>297</v>
      </c>
      <c r="C139" s="14"/>
      <c r="D139" s="19" t="s">
        <v>14</v>
      </c>
      <c r="E139" s="16"/>
      <c r="F139" s="23">
        <v>1.28</v>
      </c>
      <c r="G139" s="17">
        <v>198892</v>
      </c>
      <c r="H139" s="18" t="str">
        <f ca="1">IFERROR(__xludf.DUMMYFUNCTION("LOWER(REGEXREPLACE(B139&amp;"" ""&amp;C139,""[^а-яa-z0-9 ]"","" ""))")," оутбук  actus t book   11 6    4 b         2 128   4 ядерный 4 потока   2 0   ц    i i 802 11b g n ac и wifi6 2 4  5    luetooth 4 2    батарея 37  т ч ")</f>
        <v xml:space="preserve"> оутбук  actus t book   11 6    4 b         2 128   4 ядерный 4 потока   2 0   ц    i i 802 11b g n ac и wifi6 2 4  5    luetooth 4 2    батарея 37  т ч </v>
      </c>
    </row>
    <row r="140" spans="1:8" ht="38.25" x14ac:dyDescent="0.2">
      <c r="A140" s="13" t="s">
        <v>298</v>
      </c>
      <c r="B140" s="22" t="s">
        <v>299</v>
      </c>
      <c r="C140" s="14"/>
      <c r="D140" s="19" t="s">
        <v>14</v>
      </c>
      <c r="E140" s="16"/>
      <c r="F140" s="23">
        <v>1.76</v>
      </c>
      <c r="G140" s="17">
        <v>262175</v>
      </c>
      <c r="H140" s="18" t="str">
        <f ca="1">IFERROR(__xludf.DUMMYFUNCTION("LOWER(REGEXREPLACE(B140&amp;"" ""&amp;C140,""[^а-яa-z0-9 ]"","" ""))")," оутбук  actus t book 15   15 6    8 b         2 256 b 2 ядерный  4 потока   3 4   ц    i i 2 4    luetooth   батарея 3600 м ч ")</f>
        <v xml:space="preserve"> оутбук  actus t book 15   15 6    8 b         2 256 b 2 ядерный  4 потока   3 4   ц    i i 2 4    luetooth   батарея 3600 м ч </v>
      </c>
    </row>
    <row r="141" spans="1:8" ht="38.25" x14ac:dyDescent="0.2">
      <c r="A141" s="13" t="s">
        <v>300</v>
      </c>
      <c r="B141" s="22" t="s">
        <v>301</v>
      </c>
      <c r="C141" s="14"/>
      <c r="D141" s="19" t="s">
        <v>14</v>
      </c>
      <c r="E141" s="16"/>
      <c r="F141" s="24">
        <v>1.5</v>
      </c>
      <c r="G141" s="17">
        <v>545369</v>
      </c>
      <c r="H141" s="18" t="str">
        <f ca="1">IFERROR(__xludf.DUMMYFUNCTION("LOWER(REGEXREPLACE(B141&amp;"" ""&amp;C141,""[^а-яa-z0-9 ]"","" ""))")," оутбук       1402      ore i3 1315  14     8   256        ntel            am  11 du ")</f>
        <v xml:space="preserve"> оутбук       1402      ore i3 1315  14     8   256        ntel            am  11 du </v>
      </c>
    </row>
    <row r="142" spans="1:8" ht="38.25" x14ac:dyDescent="0.2">
      <c r="A142" s="13" t="s">
        <v>302</v>
      </c>
      <c r="B142" s="22" t="s">
        <v>303</v>
      </c>
      <c r="C142" s="14"/>
      <c r="D142" s="19" t="s">
        <v>14</v>
      </c>
      <c r="E142" s="16"/>
      <c r="F142" s="24">
        <v>1.5</v>
      </c>
      <c r="G142" s="17">
        <v>624407</v>
      </c>
      <c r="H142" s="18" t="str">
        <f ca="1">IFERROR(__xludf.DUMMYFUNCTION("LOWER(REGEXREPLACE(B142&amp;"" ""&amp;C142,""[^а-яa-z0-9 ]"","" ""))")," оутбук       1402      ore i5 1335  14     8   256        ntel            am  11 du ")</f>
        <v xml:space="preserve"> оутбук       1402      ore i5 1335  14     8   256        ntel            am  11 du </v>
      </c>
    </row>
    <row r="143" spans="1:8" ht="38.25" x14ac:dyDescent="0.2">
      <c r="A143" s="13" t="s">
        <v>304</v>
      </c>
      <c r="B143" s="22" t="s">
        <v>305</v>
      </c>
      <c r="C143" s="14"/>
      <c r="D143" s="19" t="s">
        <v>14</v>
      </c>
      <c r="E143" s="16"/>
      <c r="F143" s="24">
        <v>1.5</v>
      </c>
      <c r="G143" s="17">
        <v>725001</v>
      </c>
      <c r="H143" s="18" t="str">
        <f ca="1">IFERROR(__xludf.DUMMYFUNCTION("LOWER(REGEXREPLACE(B143&amp;"" ""&amp;C143,""[^а-яa-z0-9 ]"","" ""))")," оутбук       1402      ore i7 1355  14     8   256        ntel            am  11 ro ")</f>
        <v xml:space="preserve"> оутбук       1402      ore i7 1355  14     8   256        ntel            am  11 ro </v>
      </c>
    </row>
    <row r="144" spans="1:8" ht="38.25" x14ac:dyDescent="0.2">
      <c r="A144" s="13" t="s">
        <v>306</v>
      </c>
      <c r="B144" s="22" t="s">
        <v>307</v>
      </c>
      <c r="C144" s="14"/>
      <c r="D144" s="19" t="s">
        <v>14</v>
      </c>
      <c r="E144" s="16"/>
      <c r="F144" s="24">
        <v>1.5</v>
      </c>
      <c r="G144" s="17">
        <v>552554</v>
      </c>
      <c r="H144" s="18" t="str">
        <f ca="1">IFERROR(__xludf.DUMMYFUNCTION("LOWER(REGEXREPLACE(B144&amp;"" ""&amp;C144,""[^а-яa-z0-9 ]"","" ""))")," оутбук       1502      ore i3 1315  15 6     8   256        ntel            am  11 ro ")</f>
        <v xml:space="preserve"> оутбук       1502      ore i3 1315  15 6     8   256        ntel            am  11 ro </v>
      </c>
    </row>
    <row r="145" spans="1:8" ht="38.25" x14ac:dyDescent="0.2">
      <c r="A145" s="13" t="s">
        <v>308</v>
      </c>
      <c r="B145" s="22" t="s">
        <v>309</v>
      </c>
      <c r="C145" s="14"/>
      <c r="D145" s="19" t="s">
        <v>14</v>
      </c>
      <c r="E145" s="16"/>
      <c r="F145" s="24">
        <v>1.5</v>
      </c>
      <c r="G145" s="17">
        <v>624407</v>
      </c>
      <c r="H145" s="18" t="str">
        <f ca="1">IFERROR(__xludf.DUMMYFUNCTION("LOWER(REGEXREPLACE(B145&amp;"" ""&amp;C145,""[^а-яa-z0-9 ]"","" ""))")," оутбук       1502      ore i5 1335  15 6     8   256        ntel            am  11 ro ")</f>
        <v xml:space="preserve"> оутбук       1502      ore i5 1335  15 6     8   256        ntel            am  11 ro </v>
      </c>
    </row>
    <row r="146" spans="1:8" ht="38.25" x14ac:dyDescent="0.2">
      <c r="A146" s="13" t="s">
        <v>310</v>
      </c>
      <c r="B146" s="22" t="s">
        <v>311</v>
      </c>
      <c r="C146" s="14"/>
      <c r="D146" s="19" t="s">
        <v>14</v>
      </c>
      <c r="E146" s="16"/>
      <c r="F146" s="24">
        <v>1.5</v>
      </c>
      <c r="G146" s="17">
        <v>732186</v>
      </c>
      <c r="H146" s="18" t="str">
        <f ca="1">IFERROR(__xludf.DUMMYFUNCTION("LOWER(REGEXREPLACE(B146&amp;"" ""&amp;C146,""[^а-яa-z0-9 ]"","" ""))")," оутбук       1502      ore i7 1355  15 6     8   256        ntel            am  11 ro ")</f>
        <v xml:space="preserve"> оутбук       1502      ore i7 1355  15 6     8   256        ntel            am  11 ro </v>
      </c>
    </row>
    <row r="147" spans="1:8" ht="25.5" x14ac:dyDescent="0.2">
      <c r="A147" s="13" t="s">
        <v>312</v>
      </c>
      <c r="B147" s="14" t="s">
        <v>313</v>
      </c>
      <c r="C147" s="14"/>
      <c r="D147" s="19" t="s">
        <v>14</v>
      </c>
      <c r="E147" s="20">
        <v>1</v>
      </c>
      <c r="F147" s="23">
        <v>1.78</v>
      </c>
      <c r="G147" s="17">
        <v>340829</v>
      </c>
      <c r="H147" s="18" t="str">
        <f ca="1">IFERROR(__xludf.DUMMYFUNCTION("LOWER(REGEXREPLACE(B147&amp;"" ""&amp;C147,""[^а-яa-z0-9 ]"","" ""))")," оутбук   215 33 15 6      i3  305  8гб    4  256 b        in11 ro  cer  lassroom  anager ")</f>
        <v xml:space="preserve"> оутбук   215 33 15 6      i3  305  8гб    4  256 b        in11 ro  cer  lassroom  anager </v>
      </c>
    </row>
    <row r="148" spans="1:8" ht="38.25" x14ac:dyDescent="0.2">
      <c r="A148" s="13" t="s">
        <v>314</v>
      </c>
      <c r="B148" s="22" t="s">
        <v>315</v>
      </c>
      <c r="C148" s="14"/>
      <c r="D148" s="19" t="s">
        <v>14</v>
      </c>
      <c r="E148" s="20">
        <v>1</v>
      </c>
      <c r="F148" s="24">
        <v>1.7</v>
      </c>
      <c r="G148" s="17">
        <v>439751</v>
      </c>
      <c r="H148" s="18" t="str">
        <f ca="1">IFERROR(__xludf.DUMMYFUNCTION("LOWER(REGEXREPLACE(B148&amp;"" ""&amp;C148,""[^а-яa-z0-9 ]"","" ""))")," оутбук    215 54 15 6         i3 1215   8 гб    4  256          in11 ro      cer  lassroom  anager ")</f>
        <v xml:space="preserve"> оутбук    215 54 15 6         i3 1215   8 гб    4  256          in11 ro      cer  lassroom  anager </v>
      </c>
    </row>
    <row r="149" spans="1:8" ht="38.25" x14ac:dyDescent="0.2">
      <c r="A149" s="13" t="s">
        <v>316</v>
      </c>
      <c r="B149" s="14" t="s">
        <v>317</v>
      </c>
      <c r="C149" s="14"/>
      <c r="D149" s="19" t="s">
        <v>14</v>
      </c>
      <c r="E149" s="20">
        <v>1</v>
      </c>
      <c r="F149" s="21">
        <v>2</v>
      </c>
      <c r="G149" s="17">
        <v>358096</v>
      </c>
      <c r="H149" s="18" t="str">
        <f ca="1">IFERROR(__xludf.DUMMYFUNCTION("LOWER(REGEXREPLACE(B149&amp;"" ""&amp;C149,""[^а-яa-z0-9 ]"","" ""))")," оутбук  cer   215 55  15 6         i3 1215   8  256       in11       ffice   d      cer  lassroom  anager ")</f>
        <v xml:space="preserve"> оутбук  cer   215 55  15 6         i3 1215   8  256       in11       ffice   d      cer  lassroom  anager </v>
      </c>
    </row>
    <row r="150" spans="1:8" ht="38.25" x14ac:dyDescent="0.2">
      <c r="A150" s="13" t="s">
        <v>318</v>
      </c>
      <c r="B150" s="14" t="s">
        <v>319</v>
      </c>
      <c r="C150" s="14"/>
      <c r="D150" s="19" t="s">
        <v>14</v>
      </c>
      <c r="E150" s="20">
        <v>1</v>
      </c>
      <c r="F150" s="24">
        <v>1.7</v>
      </c>
      <c r="G150" s="17">
        <v>412053</v>
      </c>
      <c r="H150" s="18" t="str">
        <f ca="1">IFERROR(__xludf.DUMMYFUNCTION("LOWER(REGEXREPLACE(B150&amp;"" ""&amp;C150,""[^а-яa-z0-9 ]"","" ""))")," оутбук  cer    514 31  14          i3  305   8 b   256 b        in11 ro      cer  lassroom  anager ")</f>
        <v xml:space="preserve"> оутбук  cer    514 31  14          i3  305   8 b   256 b        in11 ro      cer  lassroom  anager </v>
      </c>
    </row>
    <row r="151" spans="1:8" ht="38.25" x14ac:dyDescent="0.2">
      <c r="A151" s="13" t="s">
        <v>320</v>
      </c>
      <c r="B151" s="22" t="s">
        <v>321</v>
      </c>
      <c r="C151" s="14"/>
      <c r="D151" s="19" t="s">
        <v>14</v>
      </c>
      <c r="E151" s="20">
        <v>1</v>
      </c>
      <c r="F151" s="24">
        <v>1.7</v>
      </c>
      <c r="G151" s="17">
        <v>442449</v>
      </c>
      <c r="H151" s="18" t="str">
        <f ca="1">IFERROR(__xludf.DUMMYFUNCTION("LOWER(REGEXREPLACE(B151&amp;"" ""&amp;C151,""[^а-яa-z0-9 ]"","" ""))")," оутбук  cer    215 54  15 6          i3 1215    8 b   128 b      1 b       in11 ro      cer  lassroom  anager ")</f>
        <v xml:space="preserve"> оутбук  cer    215 54  15 6          i3 1215    8 b   128 b      1 b       in11 ro      cer  lassroom  anager </v>
      </c>
    </row>
    <row r="152" spans="1:8" ht="38.25" x14ac:dyDescent="0.2">
      <c r="A152" s="13" t="s">
        <v>322</v>
      </c>
      <c r="B152" s="14" t="s">
        <v>323</v>
      </c>
      <c r="C152" s="14"/>
      <c r="D152" s="19" t="s">
        <v>14</v>
      </c>
      <c r="E152" s="20">
        <v>1</v>
      </c>
      <c r="F152" s="24">
        <v>1.6</v>
      </c>
      <c r="G152" s="17">
        <v>442449</v>
      </c>
      <c r="H152" s="18" t="str">
        <f ca="1">IFERROR(__xludf.DUMMYFUNCTION("LOWER(REGEXREPLACE(B152&amp;"" ""&amp;C152,""[^а-яa-z0-9 ]"","" ""))")," оутбук  cer    214 54  15 6          i3 1215    8 b   256 b      ype   65    in11 ro      ype   65   cer  lassroom  anager ")</f>
        <v xml:space="preserve"> оутбук  cer    214 54  15 6          i3 1215    8 b   256 b      ype   65    in11 ro      ype   65   cer  lassroom  anager </v>
      </c>
    </row>
    <row r="153" spans="1:8" ht="38.25" x14ac:dyDescent="0.2">
      <c r="A153" s="13" t="s">
        <v>324</v>
      </c>
      <c r="B153" s="22" t="s">
        <v>325</v>
      </c>
      <c r="C153" s="14"/>
      <c r="D153" s="19" t="s">
        <v>14</v>
      </c>
      <c r="E153" s="20">
        <v>1</v>
      </c>
      <c r="F153" s="24">
        <v>1.7</v>
      </c>
      <c r="G153" s="17">
        <v>555315</v>
      </c>
      <c r="H153" s="18" t="str">
        <f ca="1">IFERROR(__xludf.DUMMYFUNCTION("LOWER(REGEXREPLACE(B153&amp;"" ""&amp;C153,""[^а-яa-z0-9 ]"","" ""))")," оутбук    215 54 15 6        i5 1235  8  б    4  512         in11 ro  du  cer  lassroom  anager ")</f>
        <v xml:space="preserve"> оутбук    215 54 15 6        i5 1235  8  б    4  512         in11 ro  du  cer  lassroom  anager </v>
      </c>
    </row>
    <row r="154" spans="1:8" ht="114.75" x14ac:dyDescent="0.2">
      <c r="A154" s="13" t="s">
        <v>326</v>
      </c>
      <c r="B154" s="22" t="s">
        <v>327</v>
      </c>
      <c r="C154" s="14"/>
      <c r="D154" s="19" t="s">
        <v>14</v>
      </c>
      <c r="E154" s="20">
        <v>1</v>
      </c>
      <c r="F154" s="23">
        <v>1.74</v>
      </c>
      <c r="G154" s="17">
        <v>483847</v>
      </c>
      <c r="H154" s="18" t="str">
        <f ca="1">IFERROR(__xludf.DUMMYFUNCTION("LOWER(REGEXREPLACE(B154&amp;"" ""&amp;C154,""[^а-яa-z0-9 ]"","" ""))")," оутбук    250  10       i3 1315  250  10   15 6            250   8   1     4 3200   256      e    e  alue    11p64   1yw    lint  paque kbd     magepad num kypd kbd    i  i 6     5 3 with 1  ntenna for  lastic  over    urbo  ilver  w     ebcam no  ingerp"&amp;"rint      3 year  ext  usiness  ay  esponse  nsite  otebook  ardware  upport ")</f>
        <v xml:space="preserve"> оутбук    250  10       i3 1315  250  10   15 6            250   8   1     4 3200   256      e    e  alue    11p64   1yw    lint  paque kbd     magepad num kypd kbd    i  i 6     5 3 with 1  ntenna for  lastic  over    urbo  ilver  w     ebcam no  ingerprint      3 year  ext  usiness  ay  esponse  nsite  otebook  ardware  upport </v>
      </c>
    </row>
    <row r="155" spans="1:8" ht="25.5" x14ac:dyDescent="0.2">
      <c r="A155" s="13" t="s">
        <v>328</v>
      </c>
      <c r="B155" s="14" t="s">
        <v>329</v>
      </c>
      <c r="C155" s="14"/>
      <c r="D155" s="19" t="s">
        <v>14</v>
      </c>
      <c r="E155" s="20">
        <v>1</v>
      </c>
      <c r="F155" s="21">
        <v>3</v>
      </c>
      <c r="G155" s="17">
        <v>875914</v>
      </c>
      <c r="H155" s="18" t="str">
        <f ca="1">IFERROR(__xludf.DUMMYFUNCTION("LOWER(REGEXREPLACE(B155&amp;"" ""&amp;C155,""[^а-яa-z0-9 ]"","" ""))")," ележка  cer  harging  ar для хранения и зарядки до 32 ноутбуков ")</f>
        <v xml:space="preserve"> ележка  cer  harging  ar для хранения и зарядки до 32 ноутбуков </v>
      </c>
    </row>
    <row r="156" spans="1:8" ht="76.5" x14ac:dyDescent="0.2">
      <c r="A156" s="13" t="s">
        <v>330</v>
      </c>
      <c r="B156" s="22" t="s">
        <v>331</v>
      </c>
      <c r="C156" s="14"/>
      <c r="D156" s="19" t="s">
        <v>14</v>
      </c>
      <c r="E156" s="20">
        <v>1</v>
      </c>
      <c r="F156" s="24">
        <v>2.4</v>
      </c>
      <c r="G156" s="17">
        <v>679328</v>
      </c>
      <c r="H156" s="18" t="str">
        <f ca="1">IFERROR(__xludf.DUMMYFUNCTION("LOWER(REGEXREPLACE(B156&amp;"" ""&amp;C156,""[^а-яa-z0-9 ]"","" ""))")," оутбук  enovo  16v  1   ntel   ore  i7 13700   rocessor    cores up to 3 70   z   cores up to 5 00   z  16     512         8            500  aptop     4          am 1080       indows 11 для образовательных учреждений ")</f>
        <v xml:space="preserve"> оутбук  enovo  16v  1   ntel   ore  i7 13700   rocessor    cores up to 3 70   z   cores up to 5 00   z  16     512         8            500  aptop     4          am 1080       indows 11 для образовательных учреждений </v>
      </c>
    </row>
    <row r="157" spans="1:8" ht="63.75" x14ac:dyDescent="0.2">
      <c r="A157" s="13" t="s">
        <v>332</v>
      </c>
      <c r="B157" s="22" t="s">
        <v>333</v>
      </c>
      <c r="C157" s="14"/>
      <c r="D157" s="19" t="s">
        <v>14</v>
      </c>
      <c r="E157" s="20">
        <v>1</v>
      </c>
      <c r="F157" s="24">
        <v>2.2999999999999998</v>
      </c>
      <c r="G157" s="17">
        <v>427186</v>
      </c>
      <c r="H157" s="18" t="str">
        <f ca="1">IFERROR(__xludf.DUMMYFUNCTION("LOWER(REGEXREPLACE(B157&amp;"" ""&amp;C157,""[^а-яa-z0-9 ]"","" ""))")," оутбук  enovo  13  oga  4  1   ntel   ore  i5 1335   rocessor    cores up to 3 40   z   cores up to 4 60   z  13 3     512        16     nabled  iscrete    2 0        indows 11 для образовательных учреждений ")</f>
        <v xml:space="preserve"> оутбук  enovo  13  oga  4  1   ntel   ore  i5 1335   rocessor    cores up to 3 40   z   cores up to 4 60   z  13 3     512        16     nabled  iscrete    2 0        indows 11 для образовательных учреждений </v>
      </c>
    </row>
    <row r="158" spans="1:8" ht="76.5" x14ac:dyDescent="0.2">
      <c r="A158" s="13" t="s">
        <v>334</v>
      </c>
      <c r="B158" s="22" t="s">
        <v>335</v>
      </c>
      <c r="C158" s="14"/>
      <c r="D158" s="19" t="s">
        <v>14</v>
      </c>
      <c r="E158" s="20">
        <v>1</v>
      </c>
      <c r="F158" s="24">
        <v>2.4</v>
      </c>
      <c r="G158" s="17">
        <v>708632</v>
      </c>
      <c r="H158" s="18" t="str">
        <f ca="1">IFERROR(__xludf.DUMMYFUNCTION("LOWER(REGEXREPLACE(B158&amp;"" ""&amp;C158,""[^а-яa-z0-9 ]"","" ""))")," оутбук  enovo  16v  2  ntel   ore  i7 13700   rocessor    cores up to 3 70   z   cores up to 5 00   z  16      1        16          1000  aptop     6          am      indows 11 для образовательныхучреждений ")</f>
        <v xml:space="preserve"> оутбук  enovo  16v  2  ntel   ore  i7 13700   rocessor    cores up to 3 70   z   cores up to 5 00   z  16      1        16          1000  aptop     6          am      indows 11 для образовательныхучреждений </v>
      </c>
    </row>
    <row r="159" spans="1:8" ht="76.5" x14ac:dyDescent="0.2">
      <c r="A159" s="13" t="s">
        <v>336</v>
      </c>
      <c r="B159" s="14" t="s">
        <v>337</v>
      </c>
      <c r="C159" s="14"/>
      <c r="D159" s="19" t="s">
        <v>14</v>
      </c>
      <c r="E159" s="20">
        <v>1</v>
      </c>
      <c r="F159" s="24">
        <v>2.2000000000000002</v>
      </c>
      <c r="G159" s="17">
        <v>347760</v>
      </c>
      <c r="H159" s="18" t="str">
        <f ca="1">IFERROR(__xludf.DUMMYFUNCTION("LOWER(REGEXREPLACE(B159&amp;"" ""&amp;C159,""[^а-яa-z0-9 ]"","" ""))")," оутбук  enovo  hink ook 16  6  1  ntel   ore  i3 1315   rocessor    cores up to 3 30   z   cores up to 4 50   z  16     8    256         ntegrated  ntel       raphics        am      indows 11 для образовательных учреждений ")</f>
        <v xml:space="preserve"> оутбук  enovo  hink ook 16  6  1  ntel   ore  i3 1315   rocessor    cores up to 3 30   z   cores up to 4 50   z  16     8    256         ntegrated  ntel       raphics        am      indows 11 для образовательных учреждений </v>
      </c>
    </row>
    <row r="160" spans="1:8" ht="89.25" x14ac:dyDescent="0.2">
      <c r="A160" s="13" t="s">
        <v>338</v>
      </c>
      <c r="B160" s="22" t="s">
        <v>339</v>
      </c>
      <c r="C160" s="14"/>
      <c r="D160" s="19" t="s">
        <v>14</v>
      </c>
      <c r="E160" s="20">
        <v>1</v>
      </c>
      <c r="F160" s="24">
        <v>2.2000000000000002</v>
      </c>
      <c r="G160" s="17">
        <v>488826</v>
      </c>
      <c r="H160" s="18" t="str">
        <f ca="1">IFERROR(__xludf.DUMMYFUNCTION("LOWER(REGEXREPLACE(B160&amp;"" ""&amp;C160,""[^а-яa-z0-9 ]"","" ""))")," оутбук  enovo  hink ook 14  6  1  ntel   ore  i3 1315   rocessor    cores up to 3 30   z   cores up to 4 50   z  14      8       5 5200  z          256          2 2242    e  en4      ntel       raphics        am      indows 11 для образовательных учрежде"&amp;"ний ")</f>
        <v xml:space="preserve"> оутбук  enovo  hink ook 14  6  1  ntel   ore  i3 1315   rocessor    cores up to 3 30   z   cores up to 4 50   z  14      8       5 5200  z          256          2 2242    e  en4      ntel       raphics        am      indows 11 для образовательных учреждений </v>
      </c>
    </row>
    <row r="161" spans="1:8" ht="89.25" x14ac:dyDescent="0.2">
      <c r="A161" s="13" t="s">
        <v>340</v>
      </c>
      <c r="B161" s="22" t="s">
        <v>341</v>
      </c>
      <c r="C161" s="14"/>
      <c r="D161" s="19" t="s">
        <v>14</v>
      </c>
      <c r="E161" s="20">
        <v>1</v>
      </c>
      <c r="F161" s="24">
        <v>2.2999999999999998</v>
      </c>
      <c r="G161" s="17">
        <v>549022</v>
      </c>
      <c r="H161" s="18" t="str">
        <f ca="1">IFERROR(__xludf.DUMMYFUNCTION("LOWER(REGEXREPLACE(B161&amp;"" ""&amp;C161,""[^а-яa-z0-9 ]"","" ""))")," оутбук  enovo  hink ook 14  6  2  ntel   ore  i5 1335   rocessor    cores up to 3 40   z   cores up to 4 60   z  14      8       5 5200  z          256          2 2242    e  en4      ntegrated  ntel       raphics        am      indows 11 для образователь"&amp;"ных учреждений ")</f>
        <v xml:space="preserve"> оутбук  enovo  hink ook 14  6  2  ntel   ore  i5 1335   rocessor    cores up to 3 40   z   cores up to 4 60   z  14      8       5 5200  z          256          2 2242    e  en4      ntegrated  ntel       raphics        am      indows 11 для образовательных учреждений </v>
      </c>
    </row>
    <row r="162" spans="1:8" ht="89.25" x14ac:dyDescent="0.2">
      <c r="A162" s="13" t="s">
        <v>342</v>
      </c>
      <c r="B162" s="22" t="s">
        <v>343</v>
      </c>
      <c r="C162" s="14"/>
      <c r="D162" s="19" t="s">
        <v>14</v>
      </c>
      <c r="E162" s="20">
        <v>1</v>
      </c>
      <c r="F162" s="24">
        <v>2.4</v>
      </c>
      <c r="G162" s="17">
        <v>638501</v>
      </c>
      <c r="H162" s="18" t="str">
        <f ca="1">IFERROR(__xludf.DUMMYFUNCTION("LOWER(REGEXREPLACE(B162&amp;"" ""&amp;C162,""[^а-яa-z0-9 ]"","" ""))")," оутбук  enovo  hink ook 14  6  3  ntel   ore  i7 13700   rocessor    cores up to 3 70   z   cores up to 5 00   z  14      8       5 5200  z          256          2 2242    e  en4      ntegrated  ntel       raphics        am      indows 11 для образовател"&amp;"ьных учреждений ")</f>
        <v xml:space="preserve"> оутбук  enovo  hink ook 14  6  3  ntel   ore  i7 13700   rocessor    cores up to 3 70   z   cores up to 5 00   z  14      8       5 5200  z          256          2 2242    e  en4      ntegrated  ntel       raphics        am      indows 11 для образовательных учреждений </v>
      </c>
    </row>
    <row r="163" spans="1:8" ht="89.25" x14ac:dyDescent="0.2">
      <c r="A163" s="13" t="s">
        <v>344</v>
      </c>
      <c r="B163" s="22" t="s">
        <v>345</v>
      </c>
      <c r="C163" s="14"/>
      <c r="D163" s="19" t="s">
        <v>14</v>
      </c>
      <c r="E163" s="20">
        <v>1</v>
      </c>
      <c r="F163" s="24">
        <v>2.2999999999999998</v>
      </c>
      <c r="G163" s="17">
        <v>552169</v>
      </c>
      <c r="H163" s="18" t="str">
        <f ca="1">IFERROR(__xludf.DUMMYFUNCTION("LOWER(REGEXREPLACE(B163&amp;"" ""&amp;C163,""[^а-яa-z0-9 ]"","" ""))")," оутбук  enovo  hink ook 16  6  2  ntel   ore  i5 1335   rocessor    cores up to 3 40   z   cores up to 4 60   z  16      8       5 5200  z          256          2 2242    e  en4      ntegrated  ntel       raphics        am      indows 11 для образователь"&amp;"ных учреждений ")</f>
        <v xml:space="preserve"> оутбук  enovo  hink ook 16  6  2  ntel   ore  i5 1335   rocessor    cores up to 3 40   z   cores up to 4 60   z  16      8       5 5200  z          256          2 2242    e  en4      ntegrated  ntel       raphics        am      indows 11 для образовательных учреждений </v>
      </c>
    </row>
    <row r="164" spans="1:8" ht="89.25" x14ac:dyDescent="0.2">
      <c r="A164" s="13" t="s">
        <v>346</v>
      </c>
      <c r="B164" s="22" t="s">
        <v>347</v>
      </c>
      <c r="C164" s="14"/>
      <c r="D164" s="19" t="s">
        <v>14</v>
      </c>
      <c r="E164" s="20">
        <v>1</v>
      </c>
      <c r="F164" s="24">
        <v>2.4</v>
      </c>
      <c r="G164" s="17">
        <v>649382</v>
      </c>
      <c r="H164" s="18" t="str">
        <f ca="1">IFERROR(__xludf.DUMMYFUNCTION("LOWER(REGEXREPLACE(B164&amp;"" ""&amp;C164,""[^а-яa-z0-9 ]"","" ""))")," оутбук  enovo  hink ook 16  6  3  ntel   ore  i7 13700   rocessor    cores up to 3 70   z   cores up to 5 00   z  16      8       5 5200  z          256          2 2242    e  en4      ntegrated  ntel       raphics        am      indows 11 для образовател"&amp;"ьных учреждений ")</f>
        <v xml:space="preserve"> оутбук  enovo  hink ook 16  6  3  ntel   ore  i7 13700   rocessor    cores up to 3 70   z   cores up to 5 00   z  16      8       5 5200  z          256          2 2242    e  en4      ntegrated  ntel       raphics        am      indows 11 для образовательных учреждений </v>
      </c>
    </row>
    <row r="165" spans="1:8" ht="89.25" x14ac:dyDescent="0.2">
      <c r="A165" s="13" t="s">
        <v>348</v>
      </c>
      <c r="B165" s="14" t="s">
        <v>349</v>
      </c>
      <c r="C165" s="14"/>
      <c r="D165" s="19" t="s">
        <v>14</v>
      </c>
      <c r="E165" s="20">
        <v>1</v>
      </c>
      <c r="F165" s="24">
        <v>2.2000000000000002</v>
      </c>
      <c r="G165" s="17">
        <v>491287</v>
      </c>
      <c r="H165" s="18" t="str">
        <f ca="1">IFERROR(__xludf.DUMMYFUNCTION("LOWER(REGEXREPLACE(B165&amp;"" ""&amp;C165,""[^а-яa-z0-9 ]"","" ""))")," оутбук  enovo  hink ook 16  6  1  ntel   ore  i3 1315   rocessor    cores up to 3 30   z   cores up to 4 50   z  16      8    256         ntegrated  ntel       raphics        am      enovo  hink ad  ssential  ireless  ouse  indows 11 для образовательных "&amp;"учреждений ")</f>
        <v xml:space="preserve"> оутбук  enovo  hink ook 16  6  1  ntel   ore  i3 1315   rocessor    cores up to 3 30   z   cores up to 4 50   z  16      8    256         ntegrated  ntel       raphics        am      enovo  hink ad  ssential  ireless  ouse  indows 11 для образовательных учреждений </v>
      </c>
    </row>
    <row r="166" spans="1:8" ht="89.25" x14ac:dyDescent="0.2">
      <c r="A166" s="13" t="s">
        <v>350</v>
      </c>
      <c r="B166" s="22" t="s">
        <v>351</v>
      </c>
      <c r="C166" s="14"/>
      <c r="D166" s="19" t="s">
        <v>14</v>
      </c>
      <c r="E166" s="20">
        <v>1</v>
      </c>
      <c r="F166" s="24">
        <v>2.2999999999999998</v>
      </c>
      <c r="G166" s="17">
        <v>411653</v>
      </c>
      <c r="H166" s="18" t="str">
        <f ca="1">IFERROR(__xludf.DUMMYFUNCTION("LOWER(REGEXREPLACE(B166&amp;"" ""&amp;C166,""[^а-яa-z0-9 ]"","" ""))")," оутбук  enovo  90t  3  5  ntel   ore  i5 12400   rocessor    cores 2 50   z up to 4 40   z  16       5 4400  z         512          2 2280    e  en4      pal  e orce      1660        6       6        indows 11 для образовательных учреждений ")</f>
        <v xml:space="preserve"> оутбук  enovo  90t  3  5  ntel   ore  i5 12400   rocessor    cores 2 50   z up to 4 40   z  16       5 4400  z         512          2 2280    e  en4      pal  e orce      1660        6       6        indows 11 для образовательных учреждений </v>
      </c>
    </row>
    <row r="167" spans="1:8" ht="25.5" x14ac:dyDescent="0.2">
      <c r="A167" s="13" t="s">
        <v>352</v>
      </c>
      <c r="B167" s="22" t="s">
        <v>353</v>
      </c>
      <c r="C167" s="14"/>
      <c r="D167" s="19" t="s">
        <v>14</v>
      </c>
      <c r="E167" s="20">
        <v>1</v>
      </c>
      <c r="F167" s="21">
        <v>2</v>
      </c>
      <c r="G167" s="17">
        <v>345194</v>
      </c>
      <c r="H167" s="18" t="str">
        <f ca="1">IFERROR(__xludf.DUMMYFUNCTION("LOWER(REGEXREPLACE(B167&amp;"" ""&amp;C167,""[^а-яa-z0-9 ]"","" ""))")," оутбук  book  book  ite 15 6           i5 1240    8 b   256 b        in11 du ")</f>
        <v xml:space="preserve"> оутбук  book  book  ite 15 6           i5 1240    8 b   256 b        in11 du </v>
      </c>
    </row>
    <row r="168" spans="1:8" ht="25.5" x14ac:dyDescent="0.2">
      <c r="A168" s="13" t="s">
        <v>354</v>
      </c>
      <c r="B168" s="22" t="s">
        <v>355</v>
      </c>
      <c r="C168" s="14"/>
      <c r="D168" s="19" t="s">
        <v>14</v>
      </c>
      <c r="E168" s="20">
        <v>1</v>
      </c>
      <c r="F168" s="21">
        <v>2</v>
      </c>
      <c r="G168" s="17">
        <v>357885</v>
      </c>
      <c r="H168" s="18" t="str">
        <f ca="1">IFERROR(__xludf.DUMMYFUNCTION("LOWER(REGEXREPLACE(B168&amp;"" ""&amp;C168,""[^а-яa-z0-9 ]"","" ""))")," оутбук  book  book  ro 15 6           i5 1240    16 b   512 b        in11 du ")</f>
        <v xml:space="preserve"> оутбук  book  book  ro 15 6           i5 1240    16 b   512 b        in11 du </v>
      </c>
    </row>
    <row r="169" spans="1:8" ht="25.5" x14ac:dyDescent="0.2">
      <c r="A169" s="13" t="s">
        <v>356</v>
      </c>
      <c r="B169" s="22" t="s">
        <v>357</v>
      </c>
      <c r="C169" s="14"/>
      <c r="D169" s="19" t="s">
        <v>14</v>
      </c>
      <c r="E169" s="20">
        <v>1</v>
      </c>
      <c r="F169" s="21">
        <v>2</v>
      </c>
      <c r="G169" s="17">
        <v>403572</v>
      </c>
      <c r="H169" s="18" t="str">
        <f ca="1">IFERROR(__xludf.DUMMYFUNCTION("LOWER(REGEXREPLACE(B169&amp;"" ""&amp;C169,""[^а-яa-z0-9 ]"","" ""))")," оутбук  book  uantumflare 15 6           i7 1260    8 b   256 b        in11 du ")</f>
        <v xml:space="preserve"> оутбук  book  uantumflare 15 6           i7 1260    8 b   256 b        in11 du </v>
      </c>
    </row>
    <row r="170" spans="1:8" ht="25.5" x14ac:dyDescent="0.2">
      <c r="A170" s="13" t="s">
        <v>358</v>
      </c>
      <c r="B170" s="22" t="s">
        <v>359</v>
      </c>
      <c r="C170" s="14"/>
      <c r="D170" s="19" t="s">
        <v>14</v>
      </c>
      <c r="E170" s="20">
        <v>1</v>
      </c>
      <c r="F170" s="21">
        <v>2</v>
      </c>
      <c r="G170" s="17">
        <v>421338</v>
      </c>
      <c r="H170" s="18" t="str">
        <f ca="1">IFERROR(__xludf.DUMMYFUNCTION("LOWER(REGEXREPLACE(B170&amp;"" ""&amp;C170,""[^а-яa-z0-9 ]"","" ""))")," оутбук  book  hundercore  15 6           i7 1260    16 b   512 b        in11 du ")</f>
        <v xml:space="preserve"> оутбук  book  hundercore  15 6           i7 1260    16 b   512 b        in11 du </v>
      </c>
    </row>
    <row r="171" spans="1:8" ht="25.5" x14ac:dyDescent="0.2">
      <c r="A171" s="13" t="s">
        <v>360</v>
      </c>
      <c r="B171" s="22" t="s">
        <v>361</v>
      </c>
      <c r="C171" s="14"/>
      <c r="D171" s="19" t="s">
        <v>14</v>
      </c>
      <c r="E171" s="20">
        <v>1</v>
      </c>
      <c r="F171" s="21">
        <v>2</v>
      </c>
      <c r="G171" s="17">
        <v>289355</v>
      </c>
      <c r="H171" s="18" t="str">
        <f ca="1">IFERROR(__xludf.DUMMYFUNCTION("LOWER(REGEXREPLACE(B171&amp;"" ""&amp;C171,""[^а-яa-z0-9 ]"","" ""))")," оутбук  book  ova pectre 15 6            3 1135 4   8 b   256 b        in11 du ")</f>
        <v xml:space="preserve"> оутбук  book  ova pectre 15 6            3 1135 4   8 b   256 b        in11 du </v>
      </c>
    </row>
    <row r="172" spans="1:8" ht="38.25" x14ac:dyDescent="0.2">
      <c r="A172" s="13" t="s">
        <v>362</v>
      </c>
      <c r="B172" s="22" t="s">
        <v>363</v>
      </c>
      <c r="C172" s="14"/>
      <c r="D172" s="19" t="s">
        <v>14</v>
      </c>
      <c r="E172" s="20">
        <v>1</v>
      </c>
      <c r="F172" s="21">
        <v>2</v>
      </c>
      <c r="G172" s="17">
        <v>307122</v>
      </c>
      <c r="H172" s="18" t="str">
        <f ca="1">IFERROR(__xludf.DUMMYFUNCTION("LOWER(REGEXREPLACE(B172&amp;"" ""&amp;C172,""[^а-яa-z0-9 ]"","" ""))")," оутбук  book  ova pectre   15 6            3 1135 4   16 b   512 b        in11 du ")</f>
        <v xml:space="preserve"> оутбук  book  ova pectre   15 6            3 1135 4   16 b   512 b        in11 du </v>
      </c>
    </row>
    <row r="173" spans="1:8" ht="114.75" x14ac:dyDescent="0.2">
      <c r="A173" s="13" t="s">
        <v>364</v>
      </c>
      <c r="B173" s="22" t="s">
        <v>365</v>
      </c>
      <c r="C173" s="14"/>
      <c r="D173" s="19" t="s">
        <v>14</v>
      </c>
      <c r="E173" s="20">
        <v>1</v>
      </c>
      <c r="F173" s="24">
        <v>1.7</v>
      </c>
      <c r="G173" s="17">
        <v>554253</v>
      </c>
      <c r="H173" s="18" t="str">
        <f ca="1">IFERROR(__xludf.DUMMYFUNCTION("LOWER(REGEXREPLACE(B173&amp;"" ""&amp;C173,""[^а-яa-z0-9 ]"","" ""))")," оутбук     ro ook 450  10       i5 1335   ealtek      450  10   15 6             250     arrow ezel bent   8   1     4 3200   256      e    e  alue    11p64   1yw    ual  ry ic   2      amera    lickpad with numeric keypad    ntel   211  i  i 6  160   z "&amp;"     3 year  ext  usiness  ay  esponse  nsite  otebook  ardware  upport ")</f>
        <v xml:space="preserve"> оутбук     ro ook 450  10       i5 1335   ealtek      450  10   15 6             250     arrow ezel bent   8   1     4 3200   256      e    e  alue    11p64   1yw    ual  ry ic   2      amera    lickpad with numeric keypad    ntel   211  i  i 6  160   z      3 year  ext  usiness  ay  esponse  nsite  otebook  ardware  upport </v>
      </c>
    </row>
    <row r="174" spans="1:8" ht="114.75" x14ac:dyDescent="0.2">
      <c r="A174" s="13" t="s">
        <v>366</v>
      </c>
      <c r="B174" s="22" t="s">
        <v>367</v>
      </c>
      <c r="C174" s="14"/>
      <c r="D174" s="19" t="s">
        <v>14</v>
      </c>
      <c r="E174" s="20">
        <v>1</v>
      </c>
      <c r="F174" s="24">
        <v>1.7</v>
      </c>
      <c r="G174" s="17">
        <v>478044</v>
      </c>
      <c r="H174" s="18" t="str">
        <f ca="1">IFERROR(__xludf.DUMMYFUNCTION("LOWER(REGEXREPLACE(B174&amp;"" ""&amp;C174,""[^а-яa-z0-9 ]"","" ""))")," оутбук    250  10       i5 1334  250  10   15 6             250   8   1     4 3200   512      e    e  alue    11p64   1yw    lint  paque kbd     magepad num kypd  kbd    i  i 6     5 3 with 2  ntenna for  lastic  over    urbo  ilver  w     ebcam no  inge"&amp;"rprint  eader       o      3 year  ext  usiness  ay  esponse  nsite  otebook  ardware  upport ")</f>
        <v xml:space="preserve"> оутбук    250  10       i5 1334  250  10   15 6             250   8   1     4 3200   512      e    e  alue    11p64   1yw    lint  paque kbd     magepad num kypd  kbd    i  i 6     5 3 with 2  ntenna for  lastic  over    urbo  ilver  w     ebcam no  ingerprint  eader       o      3 year  ext  usiness  ay  esponse  nsite  otebook  ardware  upport </v>
      </c>
    </row>
    <row r="175" spans="1:8" ht="140.25" x14ac:dyDescent="0.2">
      <c r="A175" s="13" t="s">
        <v>368</v>
      </c>
      <c r="B175" s="14" t="s">
        <v>369</v>
      </c>
      <c r="C175" s="14" t="s">
        <v>370</v>
      </c>
      <c r="D175" s="19" t="s">
        <v>68</v>
      </c>
      <c r="E175" s="20">
        <v>2</v>
      </c>
      <c r="F175" s="24">
        <v>2.2999999999999998</v>
      </c>
      <c r="G175" s="17">
        <v>329094</v>
      </c>
      <c r="H175" s="18" t="str">
        <f ca="1">IFERROR(__xludf.DUMMYFUNCTION("LOWER(REGEXREPLACE(B175&amp;"" ""&amp;C175,""[^а-яa-z0-9 ]"","" ""))")," оутбук типа  3    ro  ote   кран   ип экрана        иагональ экрана  дюйм   15 6    азрешение экрана   ull     1920x1080    роцессор   ntel  ore i5 1235    дер  10   отоков  12   азовая частота  1 3   ц   аксимальная частота  4 4   ц   еб камера   еб кам"&amp;"ера  1  п  720p   лавиатура и мышь   окрытие экрана   атовое   астота обновления  60  ц   ркость  250  д м    лотность пикселей  141 ppi   нешний вид   вет  черный   атериал корпуса   люминий   торка веб камеры имеется   аспознавание лица  нет   стройства"&amp;" ввода  клавиатура   аскладка клавиатуры  английская русская казахская   ифровой блок клавиатуры  имеется   одсветка клавиш  одноцветная  белая    ачпад  стандартный тачпад   нтернет передача данных   luetooth  5 2   ifi       6 802 11ax1    азъемы перифе"&amp;"рии    45  1        2 0  1   ype    1        3 0  2        2 0  1    удиоразъем 3  5 мм jack  микрофон аудио   1     card  1   итание   атарея  49 08 h  11 55  4250      риблизительное время автономной работы  6 ч   ыходная мощность адаптера питания  65  "&amp;"т")</f>
        <v xml:space="preserve"> оутбук типа  3    ro  ote   кран   ип экрана        иагональ экрана  дюйм   15 6    азрешение экрана   ull     1920x1080    роцессор   ntel  ore i5 1235    дер  10   отоков  12   азовая частота  1 3   ц   аксимальная частота  4 4   ц   еб камера   еб камера  1  п  720p   лавиатура и мышь   окрытие экрана   атовое   астота обновления  60  ц   ркость  250  д м    лотность пикселей  141 ppi   нешний вид   вет  черный   атериал корпуса   люминий   торка веб камеры имеется   аспознавание лица  нет   стройства ввода  клавиатура   аскладка клавиатуры  английская русская казахская   ифровой блок клавиатуры  имеется   одсветка клавиш  одноцветная  белая    ачпад  стандартный тачпад   нтернет передача данных   luetooth  5 2   ifi       6 802 11ax1    азъемы периферии    45  1        2 0  1   ype    1        3 0  2        2 0  1    удиоразъем 3  5 мм jack  микрофон аудио   1     card  1   итание   атарея  49 08 h  11 55  4250      риблизительное время автономной работы  6 ч   ыходная мощность адаптера питания  65  т</v>
      </c>
    </row>
    <row r="176" spans="1:8" ht="12.75" x14ac:dyDescent="0.2">
      <c r="A176" s="13" t="s">
        <v>371</v>
      </c>
      <c r="B176" s="14" t="s">
        <v>372</v>
      </c>
      <c r="C176" s="14"/>
      <c r="D176" s="19" t="s">
        <v>14</v>
      </c>
      <c r="E176" s="16"/>
      <c r="F176" s="15"/>
      <c r="G176" s="17"/>
      <c r="H176" s="18" t="str">
        <f ca="1">IFERROR(__xludf.DUMMYFUNCTION("LOWER(REGEXREPLACE(B176&amp;"" ""&amp;C176,""[^а-яa-z0-9 ]"","" ""))")," онитор ")</f>
        <v xml:space="preserve"> онитор </v>
      </c>
    </row>
    <row r="177" spans="1:8" ht="38.25" x14ac:dyDescent="0.2">
      <c r="A177" s="13" t="s">
        <v>373</v>
      </c>
      <c r="B177" s="14" t="s">
        <v>374</v>
      </c>
      <c r="C177" s="14"/>
      <c r="D177" s="19" t="s">
        <v>14</v>
      </c>
      <c r="E177" s="16"/>
      <c r="F177" s="15"/>
      <c r="G177" s="17">
        <v>160625</v>
      </c>
      <c r="H177" s="18" t="str">
        <f ca="1">IFERROR(__xludf.DUMMYFUNCTION("LOWER(REGEXREPLACE(B177&amp;"" ""&amp;C177,""[^а-яa-z0-9 ]"","" ""))")," онитор 27   cer   272   bmiiipx   lack    2560x1440 144 z 320кд м2   10 0  1   178   178 4m 3        ")</f>
        <v xml:space="preserve"> онитор 27   cer   272   bmiiipx   lack    2560x1440 144 z 320кд м2   10 0  1   178   178 4m 3        </v>
      </c>
    </row>
    <row r="178" spans="1:8" ht="38.25" x14ac:dyDescent="0.2">
      <c r="A178" s="13" t="s">
        <v>375</v>
      </c>
      <c r="B178" s="22" t="s">
        <v>376</v>
      </c>
      <c r="C178" s="14"/>
      <c r="D178" s="19" t="s">
        <v>14</v>
      </c>
      <c r="E178" s="16"/>
      <c r="F178" s="15"/>
      <c r="G178" s="17">
        <v>285705</v>
      </c>
      <c r="H178" s="18" t="str">
        <f ca="1">IFERROR(__xludf.DUMMYFUNCTION("LOWER(REGEXREPLACE(B178&amp;"" ""&amp;C178,""[^а-яa-z0-9 ]"","" ""))")," онитор 27        ro rt   278     lack  ilver     2560x1440 75 z 350кд м2      178 5ms 2x        ")</f>
        <v xml:space="preserve"> онитор 27        ro rt   278     lack  ilver     2560x1440 75 z 350кд м2      178 5ms 2x        </v>
      </c>
    </row>
    <row r="179" spans="1:8" ht="38.25" x14ac:dyDescent="0.2">
      <c r="A179" s="13" t="s">
        <v>377</v>
      </c>
      <c r="B179" s="14" t="s">
        <v>378</v>
      </c>
      <c r="C179" s="14"/>
      <c r="D179" s="19" t="s">
        <v>14</v>
      </c>
      <c r="E179" s="16"/>
      <c r="F179" s="15"/>
      <c r="G179" s="17">
        <v>177589</v>
      </c>
      <c r="H179" s="18" t="str">
        <f ca="1">IFERROR(__xludf.DUMMYFUNCTION("LOWER(REGEXREPLACE(B179&amp;"" ""&amp;C179,""[^а-яa-z0-9 ]"","" ""))")," онитор 27   ell  2722      lack      2560x1440 165 z  350кд м2 3000 1      178  2ms  2x        ")</f>
        <v xml:space="preserve"> онитор 27   ell  2722      lack      2560x1440 165 z  350кд м2 3000 1      178  2ms  2x        </v>
      </c>
    </row>
    <row r="180" spans="1:8" ht="38.25" x14ac:dyDescent="0.2">
      <c r="A180" s="13" t="s">
        <v>379</v>
      </c>
      <c r="B180" s="22" t="s">
        <v>380</v>
      </c>
      <c r="C180" s="14"/>
      <c r="D180" s="19" t="s">
        <v>14</v>
      </c>
      <c r="E180" s="16"/>
      <c r="F180" s="15"/>
      <c r="G180" s="17">
        <v>210546</v>
      </c>
      <c r="H180" s="18" t="str">
        <f ca="1">IFERROR(__xludf.DUMMYFUNCTION("LOWER(REGEXREPLACE(B180&amp;"" ""&amp;C180,""[^а-яa-z0-9 ]"","" ""))")," онитор 27      27 4   ireless   ilver  lack  3840x2160 60 z 300кд м2    10  1      178  5ms         ")</f>
        <v xml:space="preserve"> онитор 27      27 4   ireless   ilver  lack  3840x2160 60 z 300кд м2    10  1      178  5ms         </v>
      </c>
    </row>
    <row r="181" spans="1:8" ht="38.25" x14ac:dyDescent="0.2">
      <c r="A181" s="13" t="s">
        <v>381</v>
      </c>
      <c r="B181" s="14" t="s">
        <v>382</v>
      </c>
      <c r="C181" s="14"/>
      <c r="D181" s="19" t="s">
        <v>14</v>
      </c>
      <c r="E181" s="16"/>
      <c r="F181" s="15"/>
      <c r="G181" s="17">
        <v>103872</v>
      </c>
      <c r="H181" s="18" t="str">
        <f ca="1">IFERROR(__xludf.DUMMYFUNCTION("LOWER(REGEXREPLACE(B181&amp;"" ""&amp;C181,""[^а-яa-z0-9 ]"","" ""))")," онитор 27   hilips 272 1     lack       1920x1080 75 z  300кд м2  1000 1  1ms                  udio ")</f>
        <v xml:space="preserve"> онитор 27   hilips 272 1     lack       1920x1080 75 z  300кд м2  1000 1  1ms                  udio </v>
      </c>
    </row>
    <row r="182" spans="1:8" ht="38.25" x14ac:dyDescent="0.2">
      <c r="A182" s="13" t="s">
        <v>383</v>
      </c>
      <c r="B182" s="22" t="s">
        <v>384</v>
      </c>
      <c r="C182" s="14"/>
      <c r="D182" s="19" t="s">
        <v>14</v>
      </c>
      <c r="E182" s="16"/>
      <c r="F182" s="15"/>
      <c r="G182" s="17">
        <v>165345</v>
      </c>
      <c r="H182" s="18" t="str">
        <f ca="1">IFERROR(__xludf.DUMMYFUNCTION("LOWER(REGEXREPLACE(B182&amp;"" ""&amp;C182,""[^а-яa-z0-9 ]"","" ""))")," онитор 27           27 850      lack       2560x1440 75 z  350кд м2      178  4ms            3x    ")</f>
        <v xml:space="preserve"> онитор 27           27 850      lack       2560x1440 75 z  350кд м2      178  4ms            3x    </v>
      </c>
    </row>
    <row r="183" spans="1:8" ht="25.5" x14ac:dyDescent="0.2">
      <c r="A183" s="13" t="s">
        <v>385</v>
      </c>
      <c r="B183" s="14" t="s">
        <v>386</v>
      </c>
      <c r="C183" s="14"/>
      <c r="D183" s="19" t="s">
        <v>14</v>
      </c>
      <c r="E183" s="16"/>
      <c r="F183" s="23">
        <v>3.25</v>
      </c>
      <c r="G183" s="17">
        <v>59333</v>
      </c>
      <c r="H183" s="18" t="str">
        <f ca="1">IFERROR(__xludf.DUMMYFUNCTION("LOWER(REGEXREPLACE(B183&amp;"" ""&amp;C183,""[^а-яa-z0-9 ]"","" ""))")," онитор     eries 3  ro 21 5 inch      onitor   322pf ")</f>
        <v xml:space="preserve"> онитор     eries 3  ro 21 5 inch      onitor   322pf </v>
      </c>
    </row>
    <row r="184" spans="1:8" ht="25.5" x14ac:dyDescent="0.2">
      <c r="A184" s="13" t="s">
        <v>387</v>
      </c>
      <c r="B184" s="14" t="s">
        <v>388</v>
      </c>
      <c r="C184" s="14"/>
      <c r="D184" s="19" t="s">
        <v>14</v>
      </c>
      <c r="E184" s="16"/>
      <c r="F184" s="23">
        <v>3.78</v>
      </c>
      <c r="G184" s="17">
        <v>68861</v>
      </c>
      <c r="H184" s="18" t="str">
        <f ca="1">IFERROR(__xludf.DUMMYFUNCTION("LOWER(REGEXREPLACE(B184&amp;"" ""&amp;C184,""[^а-яa-z0-9 ]"","" ""))")," онитор     eries 3  ro 23 8 inch      onitor   324pf ")</f>
        <v xml:space="preserve"> онитор     eries 3  ro 23 8 inch      onitor   324pf </v>
      </c>
    </row>
    <row r="185" spans="1:8" ht="38.25" x14ac:dyDescent="0.2">
      <c r="A185" s="13" t="s">
        <v>389</v>
      </c>
      <c r="B185" s="14" t="s">
        <v>390</v>
      </c>
      <c r="C185" s="14"/>
      <c r="D185" s="19" t="s">
        <v>14</v>
      </c>
      <c r="E185" s="16"/>
      <c r="F185" s="21">
        <v>4</v>
      </c>
      <c r="G185" s="17">
        <v>85814</v>
      </c>
      <c r="H185" s="18" t="str">
        <f ca="1">IFERROR(__xludf.DUMMYFUNCTION("LOWER(REGEXREPLACE(B185&amp;"" ""&amp;C185,""[^а-яa-z0-9 ]"","" ""))")," онитор 23 8         24     black       1920x1080  16 9    75  ц  250cd m2   178   178   1000 1  8  1  5ms                   ")</f>
        <v xml:space="preserve"> онитор 23 8         24     black       1920x1080  16 9    75  ц  250cd m2   178   178   1000 1  8  1  5ms                   </v>
      </c>
    </row>
    <row r="186" spans="1:8" ht="38.25" x14ac:dyDescent="0.2">
      <c r="A186" s="13" t="s">
        <v>391</v>
      </c>
      <c r="B186" s="14" t="s">
        <v>392</v>
      </c>
      <c r="C186" s="14"/>
      <c r="D186" s="19" t="s">
        <v>14</v>
      </c>
      <c r="E186" s="16"/>
      <c r="F186" s="21">
        <v>4</v>
      </c>
      <c r="G186" s="17">
        <v>85814</v>
      </c>
      <c r="H186" s="18" t="str">
        <f ca="1">IFERROR(__xludf.DUMMYFUNCTION("LOWER(REGEXREPLACE(B186&amp;"" ""&amp;C186,""[^а-яa-z0-9 ]"","" ""))")," онитор 23 8         24     black       1920x1080  16 9    100  ц  250cd m2   178   178   1000 1  8  1  5ms 1x            ")</f>
        <v xml:space="preserve"> онитор 23 8         24     black       1920x1080  16 9    100  ц  250cd m2   178   178   1000 1  8  1  5ms 1x            </v>
      </c>
    </row>
    <row r="187" spans="1:8" ht="38.25" x14ac:dyDescent="0.2">
      <c r="A187" s="13" t="s">
        <v>393</v>
      </c>
      <c r="B187" s="14" t="s">
        <v>394</v>
      </c>
      <c r="C187" s="14"/>
      <c r="D187" s="19" t="s">
        <v>14</v>
      </c>
      <c r="E187" s="16"/>
      <c r="F187" s="21">
        <v>4</v>
      </c>
      <c r="G187" s="17">
        <v>106525</v>
      </c>
      <c r="H187" s="18" t="str">
        <f ca="1">IFERROR(__xludf.DUMMYFUNCTION("LOWER(REGEXREPLACE(B187&amp;"" ""&amp;C187,""[^а-яa-z0-9 ]"","" ""))")," онитор 23 8         24    black       1920x1080  16 9    75  250cd m2   178   178   1000 1  8  1  5ms                  ")</f>
        <v xml:space="preserve"> онитор 23 8         24    black       1920x1080  16 9    75  250cd m2   178   178   1000 1  8  1  5ms                  </v>
      </c>
    </row>
    <row r="188" spans="1:8" ht="51" x14ac:dyDescent="0.2">
      <c r="A188" s="13" t="s">
        <v>395</v>
      </c>
      <c r="B188" s="22" t="s">
        <v>396</v>
      </c>
      <c r="C188" s="14"/>
      <c r="D188" s="19" t="s">
        <v>14</v>
      </c>
      <c r="E188" s="16"/>
      <c r="F188" s="21">
        <v>8</v>
      </c>
      <c r="G188" s="17">
        <v>250328</v>
      </c>
      <c r="H188" s="18" t="str">
        <f ca="1">IFERROR(__xludf.DUMMYFUNCTION("LOWER(REGEXREPLACE(B188&amp;"" ""&amp;C188,""[^а-яa-z0-9 ]"","" ""))")," онитор 27        ro rt   278     lack  ilver     2560x1440 60 z 350кд м2      178 5ms      ini               4x    3 0  2x2   udio ")</f>
        <v xml:space="preserve"> онитор 27        ro rt   278     lack  ilver     2560x1440 60 z 350кд м2      178 5ms      ini               4x    3 0  2x2   udio </v>
      </c>
    </row>
    <row r="189" spans="1:8" ht="51" x14ac:dyDescent="0.2">
      <c r="A189" s="13" t="s">
        <v>397</v>
      </c>
      <c r="B189" s="22" t="s">
        <v>398</v>
      </c>
      <c r="C189" s="14"/>
      <c r="D189" s="19" t="s">
        <v>14</v>
      </c>
      <c r="E189" s="16"/>
      <c r="F189" s="21">
        <v>8</v>
      </c>
      <c r="G189" s="17">
        <v>217783</v>
      </c>
      <c r="H189" s="18" t="str">
        <f ca="1">IFERROR(__xludf.DUMMYFUNCTION("LOWER(REGEXREPLACE(B189&amp;"" ""&amp;C189,""[^а-яa-z0-9 ]"","" ""))")," онитор 27         27       lack     2560x1440 75 z 350кд м2      178 5ms         2x    2 0  2x2   udio ")</f>
        <v xml:space="preserve"> онитор 27         27       lack     2560x1440 75 z 350кд м2      178 5ms         2x    2 0  2x2   udio </v>
      </c>
    </row>
    <row r="190" spans="1:8" ht="38.25" x14ac:dyDescent="0.2">
      <c r="A190" s="13" t="s">
        <v>399</v>
      </c>
      <c r="B190" s="22" t="s">
        <v>400</v>
      </c>
      <c r="C190" s="14"/>
      <c r="D190" s="19" t="s">
        <v>14</v>
      </c>
      <c r="E190" s="16"/>
      <c r="F190" s="21">
        <v>8</v>
      </c>
      <c r="G190" s="17">
        <v>163936</v>
      </c>
      <c r="H190" s="18" t="str">
        <f ca="1">IFERROR(__xludf.DUMMYFUNCTION("LOWER(REGEXREPLACE(B190&amp;"" ""&amp;C190,""[^а-яa-z0-9 ]"","" ""))")," онитор 27         27     lack     1920x1080 75 z 250кд м2      178 5ms             ub  2x2   udio ")</f>
        <v xml:space="preserve"> онитор 27         27     lack     1920x1080 75 z 250кд м2      178 5ms             ub  2x2   udio </v>
      </c>
    </row>
    <row r="191" spans="1:8" ht="38.25" x14ac:dyDescent="0.2">
      <c r="A191" s="13" t="s">
        <v>401</v>
      </c>
      <c r="B191" s="22" t="s">
        <v>402</v>
      </c>
      <c r="C191" s="14"/>
      <c r="D191" s="19" t="s">
        <v>14</v>
      </c>
      <c r="E191" s="16"/>
      <c r="F191" s="21">
        <v>8</v>
      </c>
      <c r="G191" s="17">
        <v>76951</v>
      </c>
      <c r="H191" s="18" t="str">
        <f ca="1">IFERROR(__xludf.DUMMYFUNCTION("LOWER(REGEXREPLACE(B191&amp;"" ""&amp;C191,""[^а-яa-z0-9 ]"","" ""))")," онитор 27         27      lack    1920x1080 75 z 250кд м2      178 5ms           ub  2x2   udio ")</f>
        <v xml:space="preserve"> онитор 27         27      lack    1920x1080 75 z 250кд м2      178 5ms           ub  2x2   udio </v>
      </c>
    </row>
    <row r="192" spans="1:8" ht="51" x14ac:dyDescent="0.2">
      <c r="A192" s="13" t="s">
        <v>403</v>
      </c>
      <c r="B192" s="22" t="s">
        <v>404</v>
      </c>
      <c r="C192" s="14"/>
      <c r="D192" s="19" t="s">
        <v>14</v>
      </c>
      <c r="E192" s="20">
        <v>1</v>
      </c>
      <c r="F192" s="21">
        <v>6</v>
      </c>
      <c r="G192" s="17">
        <v>154677</v>
      </c>
      <c r="H192" s="18" t="str">
        <f ca="1">IFERROR(__xludf.DUMMYFUNCTION("LOWER(REGEXREPLACE(B192&amp;"" ""&amp;C192,""[^а-яa-z0-9 ]"","" ""))")," онитор 24   cer  ero  247 bmiprxv  16 10  ero rame         4ms 100  1     300nits             udio  ut  eight adj   ivot             lack  cer  co isplay ")</f>
        <v xml:space="preserve"> онитор 24   cer  ero  247 bmiprxv  16 10  ero rame         4ms 100  1     300nits             udio  ut  eight adj   ivot             lack  cer  co isplay </v>
      </c>
    </row>
    <row r="193" spans="1:8" ht="38.25" x14ac:dyDescent="0.2">
      <c r="A193" s="13" t="s">
        <v>405</v>
      </c>
      <c r="B193" s="22" t="s">
        <v>406</v>
      </c>
      <c r="C193" s="14"/>
      <c r="D193" s="19" t="s">
        <v>14</v>
      </c>
      <c r="E193" s="16"/>
      <c r="F193" s="23">
        <v>6.23</v>
      </c>
      <c r="G193" s="17">
        <v>220548</v>
      </c>
      <c r="H193" s="18" t="str">
        <f ca="1">IFERROR(__xludf.DUMMYFUNCTION("LOWER(REGEXREPLACE(B193&amp;"" ""&amp;C193,""[^а-яa-z0-9 ]"","" ""))")," онитор 27   enovo   hink ision  27p 30 4   ireless 3840x2160 60 z 350 nits 16 9          1300 1 4ms ")</f>
        <v xml:space="preserve"> онитор 27   enovo   hink ision  27p 30 4   ireless 3840x2160 60 z 350 nits 16 9          1300 1 4ms </v>
      </c>
    </row>
    <row r="194" spans="1:8" ht="38.25" x14ac:dyDescent="0.2">
      <c r="A194" s="13" t="s">
        <v>407</v>
      </c>
      <c r="B194" s="22" t="s">
        <v>408</v>
      </c>
      <c r="C194" s="14"/>
      <c r="D194" s="19" t="s">
        <v>14</v>
      </c>
      <c r="E194" s="16"/>
      <c r="F194" s="23">
        <v>3.14</v>
      </c>
      <c r="G194" s="17">
        <v>66724</v>
      </c>
      <c r="H194" s="18" t="str">
        <f ca="1">IFERROR(__xludf.DUMMYFUNCTION("LOWER(REGEXREPLACE(B194&amp;"" ""&amp;C194,""[^а-яa-z0-9 ]"","" ""))")," онитор 21 5   enovo  hink ision  22e 20 1920x1080     75 z 250 nits 16 9          3000 1 4ms ")</f>
        <v xml:space="preserve"> онитор 21 5   enovo  hink ision  22e 20 1920x1080     75 z 250 nits 16 9          3000 1 4ms </v>
      </c>
    </row>
    <row r="195" spans="1:8" ht="38.25" x14ac:dyDescent="0.2">
      <c r="A195" s="13" t="s">
        <v>409</v>
      </c>
      <c r="B195" s="22" t="s">
        <v>410</v>
      </c>
      <c r="C195" s="14"/>
      <c r="D195" s="19" t="s">
        <v>14</v>
      </c>
      <c r="E195" s="16"/>
      <c r="F195" s="23">
        <v>3.82</v>
      </c>
      <c r="G195" s="17">
        <v>76452</v>
      </c>
      <c r="H195" s="18" t="str">
        <f ca="1">IFERROR(__xludf.DUMMYFUNCTION("LOWER(REGEXREPLACE(B195&amp;"" ""&amp;C195,""[^а-яa-z0-9 ]"","" ""))")," онитор 23 8   enovo   hink ision  24i 30 1920x1080     100 z 250 nits 16 9          1300 1 4ms ")</f>
        <v xml:space="preserve"> онитор 23 8   enovo   hink ision  24i 30 1920x1080     100 z 250 nits 16 9          1300 1 4ms </v>
      </c>
    </row>
    <row r="196" spans="1:8" ht="63.75" x14ac:dyDescent="0.2">
      <c r="A196" s="13" t="s">
        <v>411</v>
      </c>
      <c r="B196" s="22" t="s">
        <v>412</v>
      </c>
      <c r="C196" s="14"/>
      <c r="D196" s="19" t="s">
        <v>14</v>
      </c>
      <c r="E196" s="16"/>
      <c r="F196" s="23">
        <v>6.23</v>
      </c>
      <c r="G196" s="17">
        <v>243277</v>
      </c>
      <c r="H196" s="18" t="str">
        <f ca="1">IFERROR(__xludf.DUMMYFUNCTION("LOWER(REGEXREPLACE(B196&amp;"" ""&amp;C196,""[^а-яa-z0-9 ]"","" ""))")," онитор 27   enovo   hink ision  27h 28 2560x1440 16 9 60 z 350 nits 1x      1 4  1x    1 2  1x    out  1x       3 2  en 1     1 2  lt  ode  4x     3 2  en 1  1x    1 2   1x       3 2  en 1 4ms ")</f>
        <v xml:space="preserve"> онитор 27   enovo   hink ision  27h 28 2560x1440 16 9 60 z 350 nits 1x      1 4  1x    1 2  1x    out  1x       3 2  en 1     1 2  lt  ode  4x     3 2  en 1  1x    1 2   1x       3 2  en 1 4ms </v>
      </c>
    </row>
    <row r="197" spans="1:8" ht="38.25" x14ac:dyDescent="0.2">
      <c r="A197" s="13" t="s">
        <v>413</v>
      </c>
      <c r="B197" s="22" t="s">
        <v>414</v>
      </c>
      <c r="C197" s="14"/>
      <c r="D197" s="19" t="s">
        <v>14</v>
      </c>
      <c r="E197" s="16"/>
      <c r="F197" s="23">
        <v>3.82</v>
      </c>
      <c r="G197" s="17">
        <v>93089</v>
      </c>
      <c r="H197" s="18" t="str">
        <f ca="1">IFERROR(__xludf.DUMMYFUNCTION("LOWER(REGEXREPLACE(B197&amp;"" ""&amp;C197,""[^а-яa-z0-9 ]"","" ""))")," онитор 23 8   enovo  hink ision  24 28 1920x1080 60 z 250 nits 1x      1 4  1x    1 2  1x     4ms ")</f>
        <v xml:space="preserve"> онитор 23 8   enovo  hink ision  24 28 1920x1080 60 z 250 nits 1x      1 4  1x    1 2  1x     4ms </v>
      </c>
    </row>
    <row r="198" spans="1:8" ht="51" x14ac:dyDescent="0.2">
      <c r="A198" s="13" t="s">
        <v>415</v>
      </c>
      <c r="B198" s="22" t="s">
        <v>416</v>
      </c>
      <c r="C198" s="14"/>
      <c r="D198" s="19" t="s">
        <v>14</v>
      </c>
      <c r="E198" s="16"/>
      <c r="F198" s="23">
        <v>6.23</v>
      </c>
      <c r="G198" s="17">
        <v>189230</v>
      </c>
      <c r="H198" s="18" t="str">
        <f ca="1">IFERROR(__xludf.DUMMYFUNCTION("LOWER(REGEXREPLACE(B198&amp;"" ""&amp;C198,""[^а-яa-z0-9 ]"","" ""))")," онитор 27   enovo  hink ision  27q 20 2560x1440 16 9 60 z 350 nits 1x      1 4  1x    1 2 4x     3 1  en 1  1x      1x       3 1  en 1 4ms ")</f>
        <v xml:space="preserve"> онитор 27   enovo  hink ision  27q 20 2560x1440 16 9 60 z 350 nits 1x      1 4  1x    1 2 4x     3 1  en 1  1x      1x       3 1  en 1 4ms </v>
      </c>
    </row>
    <row r="199" spans="1:8" ht="38.25" x14ac:dyDescent="0.2">
      <c r="A199" s="13" t="s">
        <v>417</v>
      </c>
      <c r="B199" s="22" t="s">
        <v>418</v>
      </c>
      <c r="C199" s="14"/>
      <c r="D199" s="19" t="s">
        <v>14</v>
      </c>
      <c r="E199" s="16"/>
      <c r="F199" s="23">
        <v>6.23</v>
      </c>
      <c r="G199" s="17">
        <v>140039</v>
      </c>
      <c r="H199" s="18" t="str">
        <f ca="1">IFERROR(__xludf.DUMMYFUNCTION("LOWER(REGEXREPLACE(B199&amp;"" ""&amp;C199,""[^а-яa-z0-9 ]"","" ""))")," онитор 27   enovo  hink ision  27i 30 1920x1080 100 z 300 nits 2x      1 4  1x     4ms ")</f>
        <v xml:space="preserve"> онитор 27   enovo  hink ision  27i 30 1920x1080 100 z 300 nits 2x      1 4  1x     4ms </v>
      </c>
    </row>
    <row r="200" spans="1:8" ht="38.25" x14ac:dyDescent="0.2">
      <c r="A200" s="13" t="s">
        <v>419</v>
      </c>
      <c r="B200" s="22" t="s">
        <v>420</v>
      </c>
      <c r="C200" s="14"/>
      <c r="D200" s="19" t="s">
        <v>14</v>
      </c>
      <c r="E200" s="16"/>
      <c r="F200" s="23">
        <v>6.23</v>
      </c>
      <c r="G200" s="17">
        <v>157800</v>
      </c>
      <c r="H200" s="18" t="str">
        <f ca="1">IFERROR(__xludf.DUMMYFUNCTION("LOWER(REGEXREPLACE(B200&amp;"" ""&amp;C200,""[^а-яa-z0-9 ]"","" ""))")," онитор 27   enovo  hink ision  27q 20 2560x1440 16 9 75 z 350 nits 1x      1 4  1x    1 2 4ms ")</f>
        <v xml:space="preserve"> онитор 27   enovo  hink ision  27q 20 2560x1440 16 9 75 z 350 nits 1x      1 4  1x    1 2 4ms </v>
      </c>
    </row>
    <row r="201" spans="1:8" ht="255" x14ac:dyDescent="0.2">
      <c r="A201" s="13" t="s">
        <v>421</v>
      </c>
      <c r="B201" s="22" t="s">
        <v>422</v>
      </c>
      <c r="C201" s="14"/>
      <c r="D201" s="19" t="s">
        <v>14</v>
      </c>
      <c r="E201" s="16"/>
      <c r="F201" s="24">
        <v>23.6</v>
      </c>
      <c r="G201" s="17">
        <v>2245733</v>
      </c>
      <c r="H201" s="18" t="str">
        <f ca="1">IFERROR(__xludf.DUMMYFUNCTION("LOWER(REGEXREPLACE(B201&amp;"" ""&amp;C201,""[^а-яa-z0-9 ]"","" ""))")," онитор  тип  профессиональная     панель для видеостен  диагональ  55 дюймов  технология       соотношение сторон  16 9  разрешение   ull     1920 x 1080   яркость  700 кд м   антибликовое покрытие  28   количество портов       2  поддержка           да "&amp;" порты        2   displayport  1   dvi d  1   usb 2 0  1   rs 232c  rj45  аудио вход  ir вход  платформа  web   4 1  совместимость   restron  безопасность  enhanced kernel protection                15408 common criteria    2  защита от окружающей среды  у"&amp;"стойчива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круглосуточ"&amp;"ный  24 7   ориентация установки  горизонтальная и вертикальная ")</f>
        <v xml:space="preserve"> онитор  тип  профессиональная     панель для видеостен  диагональ  55 дюймов  технология       соотношение сторон  16 9  разрешение   ull     1920 x 1080   яркость  700 кд м   антибликовое покрытие  28   количество портов       2  поддержка           да  порты        2   displayport  1   dvi d  1   usb 2 0  1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v>
      </c>
    </row>
    <row r="202" spans="1:8" ht="255" x14ac:dyDescent="0.2">
      <c r="A202" s="13" t="s">
        <v>423</v>
      </c>
      <c r="B202" s="22" t="s">
        <v>424</v>
      </c>
      <c r="C202" s="14"/>
      <c r="D202" s="19" t="s">
        <v>14</v>
      </c>
      <c r="E202" s="16"/>
      <c r="F202" s="24">
        <v>23.6</v>
      </c>
      <c r="G202" s="17">
        <v>1892473</v>
      </c>
      <c r="H202" s="18" t="str">
        <f ca="1">IFERROR(__xludf.DUMMYFUNCTION("LOWER(REGEXREPLACE(B202&amp;"" ""&amp;C202,""[^а-яa-z0-9 ]"","" ""))"),"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"&amp;"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п"&amp;"ыли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"&amp;"ориентация установки  горизонтальная и вертикальная ")</f>
        <v xml:space="preserve">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v>
      </c>
    </row>
    <row r="203" spans="1:8" ht="242.25" x14ac:dyDescent="0.2">
      <c r="A203" s="13" t="s">
        <v>425</v>
      </c>
      <c r="B203" s="22" t="s">
        <v>426</v>
      </c>
      <c r="C203" s="14"/>
      <c r="D203" s="19" t="s">
        <v>14</v>
      </c>
      <c r="E203" s="16"/>
      <c r="F203" s="24">
        <v>23.6</v>
      </c>
      <c r="G203" s="17">
        <v>1374175</v>
      </c>
      <c r="H203" s="18" t="str">
        <f ca="1">IFERROR(__xludf.DUMMYFUNCTION("LOWER(REGEXREPLACE(B203&amp;"" ""&amp;C203,""[^а-яa-z0-9 ]"","" ""))"),"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"&amp;"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п"&amp;"ыли  ширина рамки  1 74 мм  межпанельный шов   контрастность  1000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"&amp;"7   ориентация установки  горизонтальная и вертикальная ")</f>
        <v xml:space="preserve">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1 74 мм  межпанельный шов   контрастность  1000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v>
      </c>
    </row>
    <row r="204" spans="1:8" ht="51" x14ac:dyDescent="0.2">
      <c r="A204" s="13" t="s">
        <v>427</v>
      </c>
      <c r="B204" s="14" t="s">
        <v>428</v>
      </c>
      <c r="C204" s="14"/>
      <c r="D204" s="19" t="s">
        <v>14</v>
      </c>
      <c r="E204" s="16"/>
      <c r="F204" s="24">
        <v>3.9</v>
      </c>
      <c r="G204" s="17">
        <v>87244</v>
      </c>
      <c r="H204" s="18" t="str">
        <f ca="1">IFERROR(__xludf.DUMMYFUNCTION("LOWER(REGEXREPLACE(B204&amp;"" ""&amp;C204,""[^а-яa-z0-9 ]"","" ""))")," онитор  диагональ  23 8 дюйма  технология       соотношение сторон  16 9  разрешение   ull     1920 x 1080   яркость  250 кд м   порты  2 x       выход для наушников ")</f>
        <v xml:space="preserve"> онитор  диагональ  23 8 дюйма  технология       соотношение сторон  16 9  разрешение   ull     1920 x 1080   яркость  250 кд м   порты  2 x       выход для наушников </v>
      </c>
    </row>
    <row r="205" spans="1:8" ht="63.75" x14ac:dyDescent="0.2">
      <c r="A205" s="13" t="s">
        <v>429</v>
      </c>
      <c r="B205" s="14" t="s">
        <v>430</v>
      </c>
      <c r="C205" s="14"/>
      <c r="D205" s="19" t="s">
        <v>14</v>
      </c>
      <c r="E205" s="16"/>
      <c r="F205" s="24">
        <v>5.2</v>
      </c>
      <c r="G205" s="17">
        <v>105234</v>
      </c>
      <c r="H205" s="18" t="str">
        <f ca="1">IFERROR(__xludf.DUMMYFUNCTION("LOWER(REGEXREPLACE(B205&amp;"" ""&amp;C205,""[^а-яa-z0-9 ]"","" ""))")," онитор  диагональ  27 дюймов  технология       соотношение сторон  16 9  разрешение   ull     1920 x 1080   яркость  250 кд м   количество портов       1  порты  2 x       выход для наушников ")</f>
        <v xml:space="preserve"> онитор  диагональ  27 дюймов  технология       соотношение сторон  16 9  разрешение   ull     1920 x 1080   яркость  250 кд м   количество портов       1  порты  2 x       выход для наушников </v>
      </c>
    </row>
    <row r="206" spans="1:8" ht="191.25" x14ac:dyDescent="0.2">
      <c r="A206" s="13" t="s">
        <v>431</v>
      </c>
      <c r="B206" s="14" t="s">
        <v>432</v>
      </c>
      <c r="C206" s="14"/>
      <c r="D206" s="19" t="s">
        <v>14</v>
      </c>
      <c r="E206" s="16"/>
      <c r="F206" s="24">
        <v>10.7</v>
      </c>
      <c r="G206" s="17">
        <v>236549</v>
      </c>
      <c r="H206" s="18" t="str">
        <f ca="1">IFERROR(__xludf.DUMMYFUNCTION("LOWER(REGEXREPLACE(B206&amp;"" ""&amp;C206,""[^а-яa-z0-9 ]"","" ""))")," онитор  диагональ  27 дюймов  разрешение  2560х1440  тип панели       тип покрытия  антибликовое  частота обновления  75  ц  время отклика  5 мс  яркость  350 кд м   контрастность  1000 1  порты        2 шт    display port  1 шт    выход на наушники  3 х"&amp;"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цветов"&amp;"ой чувствительности  супер разрешение   стабилизатор черного цвета     10  динамическая синхронизация действий       ethernet  autopivot ")</f>
        <v xml:space="preserve"> онитор  диагональ  27 дюймов  разрешение  2560х1440  тип панели       тип покрытия  антибликовое  частота обновления  75  ц  время отклика  5 мс  яркость  350 кд м   контрастность  1000 1  порты        2 шт    display port  1 шт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v>
      </c>
    </row>
    <row r="207" spans="1:8" ht="216.75" x14ac:dyDescent="0.2">
      <c r="A207" s="13" t="s">
        <v>433</v>
      </c>
      <c r="B207" s="14" t="s">
        <v>434</v>
      </c>
      <c r="C207" s="14"/>
      <c r="D207" s="19" t="s">
        <v>14</v>
      </c>
      <c r="E207" s="16"/>
      <c r="F207" s="24">
        <v>10.7</v>
      </c>
      <c r="G207" s="17">
        <v>259930</v>
      </c>
      <c r="H207" s="18" t="str">
        <f ca="1">IFERROR(__xludf.DUMMYFUNCTION("LOWER(REGEXREPLACE(B207&amp;"" ""&amp;C207,""[^а-яa-z0-9 ]"","" ""))")," онитор  диагональ  27 дюймов  разрешение  2560х1440  тип панели       тип покрытия  антибликовое  частота обновления  100  ц  время отклика  5 мс  яркость  350 кд м   контрастность  1000 1  порты        1 шт    display port  1 шт  вход  1 шт  выход   usb"&amp;"  1 шт  вход  3 шт  выход   usb c  1 шт  65  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"&amp;"встроенный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f>
        <v xml:space="preserve"> онитор  диагональ  27 дюймов  разрешение  2560х1440  тип панели       тип покрытия  антибликовое  частота обновления  100  ц  время отклика  5 мс  яркость  350 кд м   контрастность  1000 1  порты        1 шт    display port  1 шт  вход  1 шт  выход   usb  1 шт  вход  3 шт  выход   usb c  1 шт  65  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v>
      </c>
    </row>
    <row r="208" spans="1:8" ht="191.25" x14ac:dyDescent="0.2">
      <c r="A208" s="13" t="s">
        <v>435</v>
      </c>
      <c r="B208" s="22" t="s">
        <v>436</v>
      </c>
      <c r="C208" s="14"/>
      <c r="D208" s="19" t="s">
        <v>14</v>
      </c>
      <c r="E208" s="16"/>
      <c r="F208" s="24">
        <v>8.3000000000000007</v>
      </c>
      <c r="G208" s="17">
        <v>194274</v>
      </c>
      <c r="H208" s="18" t="str">
        <f ca="1">IFERROR(__xludf.DUMMYFUNCTION("LOWER(REGEXREPLACE(B208&amp;"" ""&amp;C208,""[^а-яa-z0-9 ]"","" ""))")," онитор  диагональ  23 8 дюймов  разрешение  1920х1080  тип панели       тип покрытия  антибликовое  частота обновления  100  ц  время отклика  5 мс  яркость  250 кд м   контрастность  1000 1  порты        1 шт    display port  2 шт    usb 3 2 gen 1  4 шт"&amp;"    usb c  1 шт  65  т   выход на наушники  3 х полосный  только звук   встроенные динамики  2  т х 2  тип регулировки  поворот  вращение  высота  наклон  стандарт крепления       100x100 мм  тип адаптера питания  встроенный  функции  отсутствие мерцания "&amp;" режим чтения  снижение цветовой чувствительности  супер разрешение   динамическая синхронизация действий ")</f>
        <v xml:space="preserve"> онитор  диагональ  23 8 дюймов  разрешение  1920х1080  тип панели       тип покрытия  антибликовое  частота обновления  100  ц  время отклика  5 мс  яркость  250 кд м   контрастность  1000 1  порты        1 шт    display port  2 шт    usb 3 2 gen 1  4 шт    usb c  1 шт  65  т   выход на наушники  3 х полосный  только звук   встроенные динамики  2  т х 2  тип регулировки  поворот  вращение  высота  наклон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 </v>
      </c>
    </row>
    <row r="209" spans="1:8" ht="229.5" x14ac:dyDescent="0.2">
      <c r="A209" s="13" t="s">
        <v>437</v>
      </c>
      <c r="B209" s="22" t="s">
        <v>438</v>
      </c>
      <c r="C209" s="14"/>
      <c r="D209" s="19" t="s">
        <v>14</v>
      </c>
      <c r="E209" s="16"/>
      <c r="F209" s="24">
        <v>57.3</v>
      </c>
      <c r="G209" s="17">
        <v>1485276</v>
      </c>
      <c r="H209" s="18" t="str">
        <f ca="1">IFERROR(__xludf.DUMMYFUNCTION("LOWER(REGEXREPLACE(B209&amp;"" ""&amp;C209,""[^а-яa-z0-9 ]"","" ""))")," онитор  тип  интерактивный дисплей  диагональ  75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"&amp;" direct led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энергопотре"&amp;"бление  240 вт  вес  45 5 кг  размеры  ш x в x г   1725 x 1048 x 87 мм  стандарт       800 x 400 мм  дополнительно  поддержка до 40 одновременных касаний  встроенный wi fi 802 11a b g n ac ax  wi fi 6   bluetooth 5 0  встроенная память 32     оперативная "&amp;"память 4    ")</f>
        <v xml:space="preserve"> онитор  тип  интерактивный дисплей  диагональ  75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direct led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энергопотребление  240 вт  вес  45 5 кг  размеры  ш x в x г   1725 x 1048 x 87 мм  стандарт       800 x 400 мм  дополнительно  поддержка до 40 одновременных касаний  встроенный wi fi 802 11a b g n ac ax  wi fi 6   bluetooth 5 0  встроенная память 32     оперативная память 4    </v>
      </c>
    </row>
    <row r="210" spans="1:8" ht="242.25" x14ac:dyDescent="0.2">
      <c r="A210" s="13" t="s">
        <v>439</v>
      </c>
      <c r="B210" s="22" t="s">
        <v>440</v>
      </c>
      <c r="C210" s="14"/>
      <c r="D210" s="19" t="s">
        <v>14</v>
      </c>
      <c r="E210" s="16"/>
      <c r="F210" s="24">
        <v>70.7</v>
      </c>
      <c r="G210" s="17">
        <v>1772304</v>
      </c>
      <c r="H210" s="18" t="str">
        <f ca="1">IFERROR(__xludf.DUMMYFUNCTION("LOWER(REGEXREPLACE(B210&amp;"" ""&amp;C210,""[^а-яa-z0-9 ]"","" ""))")," онитор  тип  интерактивный дисплей  диагональ  86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"&amp;" прямая  direct   тип дисплея       порты       вход  3        выход  1   displayport  dvi d  usb 2 0 type a  1   usb 3 0 type a  4   usb type c  rs 232c  rj45  аудио вход  аудио выход  spdif  операционная система  android 11 0  режим работы  16 7  энерго"&amp;"потребление  370 вт  типичное   500 вт  максимальное   вес  58 6 кг  размеры  ш x в x г   1957 x 1160 x 100 мм  стандарт       800 x 600 мм  дополнительно  поддержка до 40 одновременных касаний  встроенный wi fi 802 11a b g n ac ax  wi fi 6   bluetooth 5 "&amp;"0  встроенная память 32     оперативная память 4    ")</f>
        <v xml:space="preserve"> онитор  тип  интерактивный дисплей  диагональ  86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прямая  direct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энергопотребление  370 вт  типичное   500 вт  максимальное   вес  58 6 кг  размеры  ш x в x г   1957 x 1160 x 100 мм  стандарт       800 x 600 мм  дополнительно  поддержка до 40 одновременных касаний  встроенный wi fi 802 11a b g n ac ax  wi fi 6   bluetooth 5 0  встроенная память 32     оперативная память 4    </v>
      </c>
    </row>
    <row r="211" spans="1:8" ht="12.75" x14ac:dyDescent="0.2">
      <c r="A211" s="13" t="s">
        <v>441</v>
      </c>
      <c r="B211" s="14" t="s">
        <v>442</v>
      </c>
      <c r="C211" s="14"/>
      <c r="D211" s="19" t="s">
        <v>14</v>
      </c>
      <c r="E211" s="16"/>
      <c r="F211" s="15"/>
      <c r="G211" s="17"/>
      <c r="H211" s="18" t="str">
        <f ca="1">IFERROR(__xludf.DUMMYFUNCTION("LOWER(REGEXREPLACE(B211&amp;"" ""&amp;C211,""[^а-яa-z0-9 ]"","" ""))"),"   3 плеер ")</f>
        <v xml:space="preserve">   3 плеер </v>
      </c>
    </row>
    <row r="212" spans="1:8" ht="25.5" x14ac:dyDescent="0.2">
      <c r="A212" s="13" t="s">
        <v>443</v>
      </c>
      <c r="B212" s="14" t="s">
        <v>444</v>
      </c>
      <c r="C212" s="14"/>
      <c r="D212" s="19" t="s">
        <v>14</v>
      </c>
      <c r="E212" s="16"/>
      <c r="F212" s="15"/>
      <c r="G212" s="17">
        <v>37878</v>
      </c>
      <c r="H212" s="18" t="str">
        <f ca="1">IFERROR(__xludf.DUMMYFUNCTION("LOWER(REGEXREPLACE(B212&amp;"" ""&amp;C212,""[^а-яa-z0-9 ]"","" ""))"),"  3  layer  ii   3     3                     oice ec   qualizer        ilver ")</f>
        <v xml:space="preserve">  3  layer  ii   3     3                     oice ec   qualizer        ilver </v>
      </c>
    </row>
    <row r="213" spans="1:8" ht="38.25" x14ac:dyDescent="0.2">
      <c r="A213" s="13" t="s">
        <v>445</v>
      </c>
      <c r="B213" s="14" t="s">
        <v>446</v>
      </c>
      <c r="C213" s="14"/>
      <c r="D213" s="19" t="s">
        <v>14</v>
      </c>
      <c r="E213" s="16"/>
      <c r="F213" s="15"/>
      <c r="G213" s="17">
        <v>41494</v>
      </c>
      <c r="H213" s="18" t="str">
        <f ca="1">IFERROR(__xludf.DUMMYFUNCTION("LOWER(REGEXREPLACE(B213&amp;"" ""&amp;C213,""[^а-яa-z0-9 ]"","" ""))"),"  3  layer  ony     394  8 b    3                adio   qualizer  35 hours   lack ")</f>
        <v xml:space="preserve">  3  layer  ony     394  8 b    3                adio   qualizer  35 hours   lack </v>
      </c>
    </row>
    <row r="214" spans="1:8" ht="12.75" x14ac:dyDescent="0.2">
      <c r="A214" s="13" t="s">
        <v>447</v>
      </c>
      <c r="B214" s="14" t="s">
        <v>448</v>
      </c>
      <c r="C214" s="14"/>
      <c r="D214" s="19" t="s">
        <v>14</v>
      </c>
      <c r="E214" s="16"/>
      <c r="F214" s="15"/>
      <c r="G214" s="17"/>
      <c r="H214" s="18" t="str">
        <f ca="1">IFERROR(__xludf.DUMMYFUNCTION("LOWER(REGEXREPLACE(B214&amp;"" ""&amp;C214,""[^а-яa-z0-9 ]"","" ""))")," елевизор ")</f>
        <v xml:space="preserve"> елевизор </v>
      </c>
    </row>
    <row r="215" spans="1:8" ht="25.5" x14ac:dyDescent="0.2">
      <c r="A215" s="13" t="s">
        <v>449</v>
      </c>
      <c r="B215" s="14" t="s">
        <v>450</v>
      </c>
      <c r="C215" s="14"/>
      <c r="D215" s="19" t="s">
        <v>14</v>
      </c>
      <c r="E215" s="16"/>
      <c r="F215" s="15"/>
      <c r="G215" s="17">
        <v>117513</v>
      </c>
      <c r="H215" s="18" t="str">
        <f ca="1">IFERROR(__xludf.DUMMYFUNCTION("LOWER(REGEXREPLACE(B215&amp;"" ""&amp;C215,""[^а-яa-z0-9 ]"","" ""))"),"     елевизор  ivi 32 710    32  81 2см    ull    1920x1080   3x      2x      mart       i  i ")</f>
        <v xml:space="preserve">     елевизор  ivi 32 710    32  81 2см    ull    1920x1080   3x      2x      mart       i  i </v>
      </c>
    </row>
    <row r="216" spans="1:8" ht="38.25" x14ac:dyDescent="0.2">
      <c r="A216" s="13" t="s">
        <v>451</v>
      </c>
      <c r="B216" s="22" t="s">
        <v>452</v>
      </c>
      <c r="C216" s="14"/>
      <c r="D216" s="19" t="s">
        <v>14</v>
      </c>
      <c r="E216" s="16"/>
      <c r="F216" s="15"/>
      <c r="G216" s="17">
        <v>116063</v>
      </c>
      <c r="H216" s="18" t="str">
        <f ca="1">IFERROR(__xludf.DUMMYFUNCTION("LOWER(REGEXREPLACE(B216&amp;"" ""&amp;C216,""[^а-яa-z0-9 ]"","" ""))"),"     елевизор  iaomi  i     1  32   80см      1366x768   3x      2x      i  i            mart ")</f>
        <v xml:space="preserve">     елевизор  iaomi  i     1  32   80см      1366x768   3x      2x      i  i            mart </v>
      </c>
    </row>
    <row r="217" spans="1:8" ht="38.25" x14ac:dyDescent="0.2">
      <c r="A217" s="13" t="s">
        <v>453</v>
      </c>
      <c r="B217" s="22" t="s">
        <v>454</v>
      </c>
      <c r="C217" s="14"/>
      <c r="D217" s="19" t="s">
        <v>14</v>
      </c>
      <c r="E217" s="16"/>
      <c r="F217" s="15"/>
      <c r="G217" s="17">
        <v>147313</v>
      </c>
      <c r="H217" s="18" t="str">
        <f ca="1">IFERROR(__xludf.DUMMYFUNCTION("LOWER(REGEXREPLACE(B217&amp;"" ""&amp;C217,""[^а-яa-z0-9 ]"","" ""))"),"     елевизор  ivi 40 740    40  102 см    ull    1920x1080   3x      2x      i  i        mart     ")</f>
        <v xml:space="preserve">     елевизор  ivi 40 740    40  102 см    ull    1920x1080   3x      2x      i  i        mart     </v>
      </c>
    </row>
    <row r="218" spans="1:8" ht="38.25" x14ac:dyDescent="0.2">
      <c r="A218" s="13" t="s">
        <v>455</v>
      </c>
      <c r="B218" s="22" t="s">
        <v>456</v>
      </c>
      <c r="C218" s="14"/>
      <c r="D218" s="19" t="s">
        <v>14</v>
      </c>
      <c r="E218" s="16"/>
      <c r="F218" s="15"/>
      <c r="G218" s="17">
        <v>156305</v>
      </c>
      <c r="H218" s="18" t="str">
        <f ca="1">IFERROR(__xludf.DUMMYFUNCTION("LOWER(REGEXREPLACE(B218&amp;"" ""&amp;C218,""[^а-яa-z0-9 ]"","" ""))"),"     елевизор  aturn    50   800 4   50  127см    ltral    3840x2160   60 z  3x      3x    ")</f>
        <v xml:space="preserve">     елевизор  aturn    50   800 4   50  127см    ltral    3840x2160   60 z  3x      3x    </v>
      </c>
    </row>
    <row r="219" spans="1:8" ht="38.25" x14ac:dyDescent="0.2">
      <c r="A219" s="13" t="s">
        <v>457</v>
      </c>
      <c r="B219" s="14" t="s">
        <v>458</v>
      </c>
      <c r="C219" s="14"/>
      <c r="D219" s="19" t="s">
        <v>14</v>
      </c>
      <c r="E219" s="16"/>
      <c r="F219" s="15"/>
      <c r="G219" s="17">
        <v>298688</v>
      </c>
      <c r="H219" s="18" t="str">
        <f ca="1">IFERROR(__xludf.DUMMYFUNCTION("LOWER(REGEXREPLACE(B219&amp;"" ""&amp;C219,""[^а-яa-z0-9 ]"","" ""))"),"     елевизор  amsung   55  8000      55  140 см        3840x2160   3х     2x               mart ")</f>
        <v xml:space="preserve">     елевизор  amsung   55  8000      55  140 см        3840x2160   3х     2x               mart </v>
      </c>
    </row>
    <row r="220" spans="1:8" ht="25.5" x14ac:dyDescent="0.2">
      <c r="A220" s="13" t="s">
        <v>459</v>
      </c>
      <c r="B220" s="22" t="s">
        <v>460</v>
      </c>
      <c r="C220" s="14"/>
      <c r="D220" s="19" t="s">
        <v>14</v>
      </c>
      <c r="E220" s="16"/>
      <c r="F220" s="21">
        <v>14</v>
      </c>
      <c r="G220" s="17">
        <v>224812</v>
      </c>
      <c r="H220" s="18" t="str">
        <f ca="1">IFERROR(__xludf.DUMMYFUNCTION("LOWER(REGEXREPLACE(B220&amp;"" ""&amp;C220,""[^а-яa-z0-9 ]"","" ""))")," елевизор      55 23100 4   55   139 см    ltra    4   3840x2160          mart    ")</f>
        <v xml:space="preserve"> елевизор      55 23100 4   55   139 см    ltra    4   3840x2160          mart    </v>
      </c>
    </row>
    <row r="221" spans="1:8" ht="25.5" x14ac:dyDescent="0.2">
      <c r="A221" s="13" t="s">
        <v>461</v>
      </c>
      <c r="B221" s="22" t="s">
        <v>462</v>
      </c>
      <c r="C221" s="14"/>
      <c r="D221" s="19" t="s">
        <v>14</v>
      </c>
      <c r="E221" s="16"/>
      <c r="F221" s="21">
        <v>12</v>
      </c>
      <c r="G221" s="17">
        <v>198733</v>
      </c>
      <c r="H221" s="18" t="str">
        <f ca="1">IFERROR(__xludf.DUMMYFUNCTION("LOWER(REGEXREPLACE(B221&amp;"" ""&amp;C221,""[^а-яa-z0-9 ]"","" ""))")," елевизор      50 23100 4   50   127 см    ltra    4   3840x2160          mart    ")</f>
        <v xml:space="preserve"> елевизор      50 23100 4   50   127 см    ltra    4   3840x2160          mart    </v>
      </c>
    </row>
    <row r="222" spans="1:8" ht="25.5" x14ac:dyDescent="0.2">
      <c r="A222" s="13" t="s">
        <v>463</v>
      </c>
      <c r="B222" s="22" t="s">
        <v>464</v>
      </c>
      <c r="C222" s="14"/>
      <c r="D222" s="19" t="s">
        <v>14</v>
      </c>
      <c r="E222" s="16"/>
      <c r="F222" s="21">
        <v>8</v>
      </c>
      <c r="G222" s="17">
        <v>134884</v>
      </c>
      <c r="H222" s="18" t="str">
        <f ca="1">IFERROR(__xludf.DUMMYFUNCTION("LOWER(REGEXREPLACE(B222&amp;"" ""&amp;C222,""[^а-яa-z0-9 ]"","" ""))")," елевизор      43 23100 2   43   109 см          mart    ")</f>
        <v xml:space="preserve"> елевизор      43 23100 2   43   109 см          mart    </v>
      </c>
    </row>
    <row r="223" spans="1:8" ht="38.25" x14ac:dyDescent="0.2">
      <c r="A223" s="13" t="s">
        <v>465</v>
      </c>
      <c r="B223" s="22" t="s">
        <v>466</v>
      </c>
      <c r="C223" s="14" t="s">
        <v>467</v>
      </c>
      <c r="D223" s="19" t="s">
        <v>14</v>
      </c>
      <c r="E223" s="16"/>
      <c r="F223" s="24">
        <v>45.2</v>
      </c>
      <c r="G223" s="17">
        <v>1521791</v>
      </c>
      <c r="H223" s="18" t="str">
        <f ca="1">IFERROR(__xludf.DUMMYFUNCTION("LOWER(REGEXREPLACE(B223&amp;"" ""&amp;C223,""[^а-яa-z0-9 ]"","" ""))")," оммерческий телевизор   86  640   86 дюймов типа     азовая комплектация  пульт дистанционного управления    on  кабель питания  2 м  прилагается   ополнительный противоугонный аксессуар  hromecast")</f>
        <v xml:space="preserve"> оммерческий телевизор   86  640   86 дюймов типа     азовая комплектация  пульт дистанционного управления    on  кабель питания  2 м  прилагается   ополнительный противоугонный аксессуар  hromecast</v>
      </c>
    </row>
    <row r="224" spans="1:8" ht="38.25" x14ac:dyDescent="0.2">
      <c r="A224" s="13" t="s">
        <v>468</v>
      </c>
      <c r="B224" s="22" t="s">
        <v>469</v>
      </c>
      <c r="C224" s="14" t="s">
        <v>470</v>
      </c>
      <c r="D224" s="19" t="s">
        <v>14</v>
      </c>
      <c r="E224" s="16"/>
      <c r="F224" s="24">
        <v>31.4</v>
      </c>
      <c r="G224" s="17">
        <v>1260954</v>
      </c>
      <c r="H224" s="18" t="str">
        <f ca="1">IFERROR(__xludf.DUMMYFUNCTION("LOWER(REGEXREPLACE(B224&amp;"" ""&amp;C224,""[^а-яa-z0-9 ]"","" ""))")," оммерческий телевизор   75  640   75 дюймов типа     азовая комплектация  пульт дистанционного управления    on  кабель питания  2 м  прилагается   ополнительно приобретаемая комплектация  противоугонный аксессуар  hromecast")</f>
        <v xml:space="preserve"> оммерческий телевизор   75  640   75 дюймов типа     азовая комплектация  пульт дистанционного управления    on  кабель питания  2 м  прилагается   ополнительно приобретаемая комплектация  противоугонный аксессуар  hromecast</v>
      </c>
    </row>
    <row r="225" spans="1:8" ht="38.25" x14ac:dyDescent="0.2">
      <c r="A225" s="13" t="s">
        <v>471</v>
      </c>
      <c r="B225" s="22" t="s">
        <v>472</v>
      </c>
      <c r="C225" s="14" t="s">
        <v>473</v>
      </c>
      <c r="D225" s="19" t="s">
        <v>14</v>
      </c>
      <c r="E225" s="16"/>
      <c r="F225" s="24">
        <v>21.5</v>
      </c>
      <c r="G225" s="17">
        <v>670369</v>
      </c>
      <c r="H225" s="18" t="str">
        <f ca="1">IFERROR(__xludf.DUMMYFUNCTION("LOWER(REGEXREPLACE(B225&amp;"" ""&amp;C225,""[^а-яa-z0-9 ]"","" ""))")," оммерческий телевизор   65  640   65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f>
        <v xml:space="preserve"> оммерческий телевизор   65  640   65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6" spans="1:8" ht="38.25" x14ac:dyDescent="0.2">
      <c r="A226" s="13" t="s">
        <v>474</v>
      </c>
      <c r="B226" s="22" t="s">
        <v>475</v>
      </c>
      <c r="C226" s="14" t="s">
        <v>473</v>
      </c>
      <c r="D226" s="19" t="s">
        <v>14</v>
      </c>
      <c r="E226" s="16"/>
      <c r="F226" s="21">
        <v>14</v>
      </c>
      <c r="G226" s="17">
        <v>493609</v>
      </c>
      <c r="H226" s="18" t="str">
        <f ca="1">IFERROR(__xludf.DUMMYFUNCTION("LOWER(REGEXREPLACE(B226&amp;"" ""&amp;C226,""[^а-яa-z0-9 ]"","" ""))")," оммерческий телевизор   55  640   55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f>
        <v xml:space="preserve"> оммерческий телевизор   55  640   55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7" spans="1:8" ht="38.25" x14ac:dyDescent="0.2">
      <c r="A227" s="13" t="s">
        <v>476</v>
      </c>
      <c r="B227" s="22" t="s">
        <v>477</v>
      </c>
      <c r="C227" s="14" t="s">
        <v>473</v>
      </c>
      <c r="D227" s="19" t="s">
        <v>14</v>
      </c>
      <c r="E227" s="16"/>
      <c r="F227" s="24">
        <v>11.7</v>
      </c>
      <c r="G227" s="17">
        <v>560416</v>
      </c>
      <c r="H227" s="18" t="str">
        <f ca="1">IFERROR(__xludf.DUMMYFUNCTION("LOWER(REGEXREPLACE(B227&amp;"" ""&amp;C227,""[^а-яa-z0-9 ]"","" ""))")," оммерческий телевизор   50  640   50 дюймов типа     азовая комплектация  пульт дистанционного управления типа   can  отсоединенный кабель питания  1 5 м  прямой   противоугонная крышка для ключа  hromecast")</f>
        <v xml:space="preserve"> оммерческий телевизор   50  640   50 дюймов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8" spans="1:8" ht="38.25" x14ac:dyDescent="0.2">
      <c r="A228" s="13" t="s">
        <v>478</v>
      </c>
      <c r="B228" s="22" t="s">
        <v>479</v>
      </c>
      <c r="C228" s="14" t="s">
        <v>473</v>
      </c>
      <c r="D228" s="19" t="s">
        <v>14</v>
      </c>
      <c r="E228" s="16"/>
      <c r="F228" s="24">
        <v>8.8000000000000007</v>
      </c>
      <c r="G228" s="17">
        <v>387983</v>
      </c>
      <c r="H228" s="18" t="str">
        <f ca="1">IFERROR(__xludf.DUMMYFUNCTION("LOWER(REGEXREPLACE(B228&amp;"" ""&amp;C228,""[^а-яa-z0-9 ]"","" ""))")," оммерческий телевизор   43  640   43 дюйма типа     азовая комплектация  пульт дистанционного управления типа   can  отсоединенный кабель питания  1 5 м  прямой   противоугонная крышка для ключа  hromecast")</f>
        <v xml:space="preserve"> оммерческий телевизор   43  640   43 дюйма типа     азовая комплектация  пульт дистанционного управления типа   can  отсоединенный кабель питания  1 5 м  прямой   противоугонная крышка для ключа  hromecast</v>
      </c>
    </row>
    <row r="229" spans="1:8" ht="12.75" x14ac:dyDescent="0.2">
      <c r="A229" s="13" t="s">
        <v>480</v>
      </c>
      <c r="B229" s="14" t="s">
        <v>481</v>
      </c>
      <c r="C229" s="14"/>
      <c r="D229" s="19" t="s">
        <v>14</v>
      </c>
      <c r="E229" s="16"/>
      <c r="F229" s="15"/>
      <c r="G229" s="17"/>
      <c r="H229" s="18" t="str">
        <f ca="1">IFERROR(__xludf.DUMMYFUNCTION("LOWER(REGEXREPLACE(B229&amp;"" ""&amp;C229,""[^а-яa-z0-9 ]"","" ""))")," ринтер ")</f>
        <v xml:space="preserve"> ринтер </v>
      </c>
    </row>
    <row r="230" spans="1:8" ht="25.5" x14ac:dyDescent="0.2">
      <c r="A230" s="13" t="s">
        <v>482</v>
      </c>
      <c r="B230" s="14" t="s">
        <v>483</v>
      </c>
      <c r="C230" s="14"/>
      <c r="D230" s="19" t="s">
        <v>14</v>
      </c>
      <c r="E230" s="16"/>
      <c r="F230" s="24">
        <v>45.1</v>
      </c>
      <c r="G230" s="17">
        <v>1708791</v>
      </c>
      <c r="H230" s="18" t="str">
        <f ca="1">IFERROR(__xludf.DUMMYFUNCTION("LOWER(REGEXREPLACE(B230&amp;"" ""&amp;C230,""[^а-яa-z0-9 ]"","" ""))")," ринтер  3 цветной     olor  aser et  nt  751dn  rntr ")</f>
        <v xml:space="preserve"> ринтер  3 цветной     olor  aser et  nt  751dn  rntr </v>
      </c>
    </row>
    <row r="231" spans="1:8" ht="63.75" x14ac:dyDescent="0.2">
      <c r="A231" s="13" t="s">
        <v>484</v>
      </c>
      <c r="B231" s="14" t="s">
        <v>485</v>
      </c>
      <c r="C231" s="14"/>
      <c r="D231" s="19" t="s">
        <v>14</v>
      </c>
      <c r="E231" s="16"/>
      <c r="F231" s="21">
        <v>79</v>
      </c>
      <c r="G231" s="17">
        <v>949286</v>
      </c>
      <c r="H231" s="18" t="str">
        <f ca="1">IFERROR(__xludf.DUMMYFUNCTION("LOWER(REGEXREPLACE(B231&amp;"" ""&amp;C231,""[^а-яa-z0-9 ]"","" ""))")," ринтер  3 цветной  erox  ersa ink  7000   i       35 35 стр мин   4   19 19 стр мин   3   520 100 стр   1 05  z  ual ore  2     ost cript 3     5c 6      3 0  10 100 1000 ethernet  optional wi fi  1200x2400      ersa ink  7000   7000     ")</f>
        <v xml:space="preserve"> ринтер  3 цветной  erox  ersa ink  7000   i       35 35 стр мин   4   19 19 стр мин   3   520 100 стр   1 05  z  ual ore  2     ost cript 3     5c 6      3 0  10 100 1000 ethernet  optional wi fi  1200x2400      ersa ink  7000   7000     </v>
      </c>
    </row>
    <row r="232" spans="1:8" ht="38.25" x14ac:dyDescent="0.2">
      <c r="A232" s="13" t="s">
        <v>486</v>
      </c>
      <c r="B232" s="14" t="s">
        <v>487</v>
      </c>
      <c r="C232" s="14"/>
      <c r="D232" s="19" t="s">
        <v>14</v>
      </c>
      <c r="E232" s="16"/>
      <c r="F232" s="24">
        <v>3.5</v>
      </c>
      <c r="G232" s="17">
        <v>296776</v>
      </c>
      <c r="H232" s="18" t="str">
        <f ca="1">IFERROR(__xludf.DUMMYFUNCTION("LOWER(REGEXREPLACE(B232&amp;"" ""&amp;C232,""[^а-яa-z0-9 ]"","" ""))")," ринтер  4 цветной  pson  8058               ype     i  i  5760 x 1440 dpi  0х15см   draft        indows и      ")</f>
        <v xml:space="preserve"> ринтер  4 цветной  pson  8058               ype     i  i  5760 x 1440 dpi  0х15см   draft        indows и      </v>
      </c>
    </row>
    <row r="233" spans="1:8" ht="76.5" x14ac:dyDescent="0.2">
      <c r="A233" s="13" t="s">
        <v>488</v>
      </c>
      <c r="B233" s="22" t="s">
        <v>489</v>
      </c>
      <c r="C233" s="14"/>
      <c r="D233" s="19" t="s">
        <v>14</v>
      </c>
      <c r="E233" s="16"/>
      <c r="F233" s="21">
        <v>119</v>
      </c>
      <c r="G233" s="17">
        <v>1747022</v>
      </c>
      <c r="H233" s="18" t="str">
        <f ca="1">IFERROR(__xludf.DUMMYFUNCTION("LOWER(REGEXREPLACE(B233&amp;"" ""&amp;C233,""[^а-яa-z0-9 ]"","" ""))")," ринтер  3 цветной  erox  ersa ink  8000         45 стр мин   4   22 стр мин   3   дуплекс  нагрузка  max  205  в месяц  1040 100 стр   емкость лотков подачи  1 6  z  4     ost cript 3     5c 6      3 0   igabit  thernet ")</f>
        <v xml:space="preserve"> ринтер  3 цветной  erox  ersa ink  8000         45 стр мин   4   22 стр мин   3   дуплекс  нагрузка  max  205  в месяц  1040 100 стр   емкость лотков подачи  1 6  z  4     ost cript 3     5c 6      3 0   igabit  thernet </v>
      </c>
    </row>
    <row r="234" spans="1:8" ht="25.5" x14ac:dyDescent="0.2">
      <c r="A234" s="13" t="s">
        <v>490</v>
      </c>
      <c r="B234" s="14" t="s">
        <v>491</v>
      </c>
      <c r="C234" s="14"/>
      <c r="D234" s="19" t="s">
        <v>14</v>
      </c>
      <c r="E234" s="20">
        <v>2</v>
      </c>
      <c r="F234" s="21">
        <v>19</v>
      </c>
      <c r="G234" s="17">
        <v>632363</v>
      </c>
      <c r="H234" s="18" t="str">
        <f ca="1">IFERROR(__xludf.DUMMYFUNCTION("LOWER(REGEXREPLACE(B234&amp;"" ""&amp;C234,""[^а-яa-z0-9 ]"","" ""))")," ринтер  3 цветной  pson  11160            i  i  tray 250  duplex ")</f>
        <v xml:space="preserve"> ринтер  3 цветной  pson  11160            i  i  tray 250  duplex </v>
      </c>
    </row>
    <row r="235" spans="1:8" ht="25.5" x14ac:dyDescent="0.2">
      <c r="A235" s="13" t="s">
        <v>492</v>
      </c>
      <c r="B235" s="14" t="s">
        <v>493</v>
      </c>
      <c r="C235" s="14"/>
      <c r="D235" s="19" t="s">
        <v>14</v>
      </c>
      <c r="E235" s="20">
        <v>2</v>
      </c>
      <c r="F235" s="24">
        <v>5.2</v>
      </c>
      <c r="G235" s="17">
        <v>135125</v>
      </c>
      <c r="H235" s="18" t="str">
        <f ca="1">IFERROR(__xludf.DUMMYFUNCTION("LOWER(REGEXREPLACE(B235&amp;"" ""&amp;C235,""[^а-яa-z0-9 ]"","" ""))")," ринтер  4 матричный  pson    350        до 357 зн  сек  ")</f>
        <v xml:space="preserve"> ринтер  4 матричный  pson    350        до 357 зн  сек  </v>
      </c>
    </row>
    <row r="236" spans="1:8" ht="25.5" x14ac:dyDescent="0.2">
      <c r="A236" s="13" t="s">
        <v>494</v>
      </c>
      <c r="B236" s="14" t="s">
        <v>495</v>
      </c>
      <c r="C236" s="14"/>
      <c r="D236" s="19" t="s">
        <v>14</v>
      </c>
      <c r="E236" s="20">
        <v>2</v>
      </c>
      <c r="F236" s="24">
        <v>8.9</v>
      </c>
      <c r="G236" s="17">
        <v>240228</v>
      </c>
      <c r="H236" s="18" t="str">
        <f ca="1">IFERROR(__xludf.DUMMYFUNCTION("LOWER(REGEXREPLACE(B236&amp;"" ""&amp;C236,""[^а-яa-z0-9 ]"","" ""))")," ринтер  4 матричный  pson    890        до 738 зн  сек  ")</f>
        <v xml:space="preserve"> ринтер  4 матричный  pson    890        до 738 зн  сек  </v>
      </c>
    </row>
    <row r="237" spans="1:8" ht="25.5" x14ac:dyDescent="0.2">
      <c r="A237" s="13" t="s">
        <v>496</v>
      </c>
      <c r="B237" s="14" t="s">
        <v>497</v>
      </c>
      <c r="C237" s="14"/>
      <c r="D237" s="19" t="s">
        <v>14</v>
      </c>
      <c r="E237" s="20">
        <v>2</v>
      </c>
      <c r="F237" s="21">
        <v>6</v>
      </c>
      <c r="G237" s="17">
        <v>176634</v>
      </c>
      <c r="H237" s="18" t="str">
        <f ca="1">IFERROR(__xludf.DUMMYFUNCTION("LOWER(REGEXREPLACE(B237&amp;"" ""&amp;C237,""[^а-яa-z0-9 ]"","" ""))"),"  ринтер  pson  1170   4  20ppm 1200 x 2400dpi             i  i  tray  ")</f>
        <v xml:space="preserve">  ринтер  pson  1170   4  20ppm 1200 x 2400dpi             i  i  tray  </v>
      </c>
    </row>
    <row r="238" spans="1:8" ht="25.5" x14ac:dyDescent="0.2">
      <c r="A238" s="13" t="s">
        <v>498</v>
      </c>
      <c r="B238" s="22" t="s">
        <v>499</v>
      </c>
      <c r="C238" s="14"/>
      <c r="D238" s="19" t="s">
        <v>14</v>
      </c>
      <c r="E238" s="20">
        <v>2</v>
      </c>
      <c r="F238" s="24">
        <v>18.899999999999999</v>
      </c>
      <c r="G238" s="17">
        <v>294136</v>
      </c>
      <c r="H238" s="18" t="str">
        <f ca="1">IFERROR(__xludf.DUMMYFUNCTION("LOWER(REGEXREPLACE(B238&amp;"" ""&amp;C238,""[^а-яa-z0-9 ]"","" ""))"),"  ринтер      5390     4 25 25 pm  4 800 x 1 200 dpi            tray 250  ")</f>
        <v xml:space="preserve">  ринтер      5390     4 25 25 pm  4 800 x 1 200 dpi            tray 250  </v>
      </c>
    </row>
    <row r="239" spans="1:8" ht="51" x14ac:dyDescent="0.2">
      <c r="A239" s="13" t="s">
        <v>500</v>
      </c>
      <c r="B239" s="22" t="s">
        <v>501</v>
      </c>
      <c r="C239" s="14" t="s">
        <v>502</v>
      </c>
      <c r="D239" s="19" t="s">
        <v>14</v>
      </c>
      <c r="E239" s="20">
        <v>2</v>
      </c>
      <c r="F239" s="24">
        <v>16.600000000000001</v>
      </c>
      <c r="G239" s="17">
        <v>245912</v>
      </c>
      <c r="H239" s="18" t="str">
        <f ca="1">IFERROR(__xludf.DUMMYFUNCTION("LOWER(REGEXREPLACE(B239&amp;"" ""&amp;C239,""[^а-яa-z0-9 ]"","" ""))")," ринтер  атюша  247  монохромный лазерный  47 стр мин   4      1200 dpi      800   ц  512  б       thernet           host   i  i    3     5 6           2 2  экран  клавиатура   онер 3 000 отп   заменяемый 13 000 отп ")</f>
        <v xml:space="preserve"> ринтер  атюша  247  монохромный лазерный  47 стр мин   4      1200 dpi      800   ц  512  б       thernet           host   i  i    3     5 6           2 2  экран  клавиатура   онер 3 000 отп   заменяемый 13 000 отп </v>
      </c>
    </row>
    <row r="240" spans="1:8" ht="51" x14ac:dyDescent="0.2">
      <c r="A240" s="13" t="s">
        <v>503</v>
      </c>
      <c r="B240" s="14" t="s">
        <v>504</v>
      </c>
      <c r="C240" s="14" t="s">
        <v>505</v>
      </c>
      <c r="D240" s="19" t="s">
        <v>14</v>
      </c>
      <c r="E240" s="20">
        <v>2</v>
      </c>
      <c r="F240" s="24">
        <v>16.600000000000001</v>
      </c>
      <c r="G240" s="17">
        <v>312817</v>
      </c>
      <c r="H240" s="18" t="str">
        <f ca="1">IFERROR(__xludf.DUMMYFUNCTION("LOWER(REGEXREPLACE(B240&amp;"" ""&amp;C240,""[^а-яa-z0-9 ]"","" ""))")," ринтер  атюша  247e  монохромный лазерный  47 стр мин   4      1200 dpi      1   ц  2          thernet           host   i  i    3     5 6           2 2  экран  клавиатура   онер 3 000 отп   13 000 отп ")</f>
        <v xml:space="preserve"> ринтер  атюша  247e  монохромный лазерный  47 стр мин   4      1200 dpi      1   ц  2          thernet           host   i  i    3     5 6           2 2  экран  клавиатура   онер 3 000 отп   13 000 отп </v>
      </c>
    </row>
    <row r="241" spans="1:8" ht="38.25" x14ac:dyDescent="0.2">
      <c r="A241" s="13" t="s">
        <v>506</v>
      </c>
      <c r="B241" s="14" t="s">
        <v>507</v>
      </c>
      <c r="C241" s="14" t="s">
        <v>508</v>
      </c>
      <c r="D241" s="19" t="s">
        <v>14</v>
      </c>
      <c r="E241" s="20">
        <v>2</v>
      </c>
      <c r="F241" s="24">
        <v>9.9</v>
      </c>
      <c r="G241" s="17">
        <v>121136</v>
      </c>
      <c r="H241" s="18" t="str">
        <f ca="1">IFERROR(__xludf.DUMMYFUNCTION("LOWER(REGEXREPLACE(B241&amp;"" ""&amp;C241,""[^а-яa-z0-9 ]"","" ""))")," ринтер  атюша  133  монохромный лазерный  33 стр мин  4      1200 dpi  256          thernet           host  онер в комплекте на 700 отп")</f>
        <v xml:space="preserve"> ринтер  атюша  133  монохромный лазерный  33 стр мин  4      1200 dpi  256          thernet           host  онер в комплекте на 700 отп</v>
      </c>
    </row>
    <row r="242" spans="1:8" ht="38.25" x14ac:dyDescent="0.2">
      <c r="A242" s="13" t="s">
        <v>509</v>
      </c>
      <c r="B242" s="14" t="s">
        <v>510</v>
      </c>
      <c r="C242" s="14"/>
      <c r="D242" s="19" t="s">
        <v>14</v>
      </c>
      <c r="E242" s="20">
        <v>2</v>
      </c>
      <c r="F242" s="24">
        <v>9.9</v>
      </c>
      <c r="G242" s="17">
        <v>158161</v>
      </c>
      <c r="H242" s="18" t="str">
        <f ca="1">IFERROR(__xludf.DUMMYFUNCTION("LOWER(REGEXREPLACE(B242&amp;"" ""&amp;C242,""[^а-яa-z0-9 ]"","" ""))")," ринтер  атюша  140  монохромный светодиодный  40 стр мин  4      1          thernet      ")</f>
        <v xml:space="preserve"> ринтер  атюша  140  монохромный светодиодный  40 стр мин  4      1          thernet      </v>
      </c>
    </row>
    <row r="243" spans="1:8" ht="51" x14ac:dyDescent="0.2">
      <c r="A243" s="13" t="s">
        <v>511</v>
      </c>
      <c r="B243" s="14" t="s">
        <v>512</v>
      </c>
      <c r="C243" s="14"/>
      <c r="D243" s="19" t="s">
        <v>14</v>
      </c>
      <c r="E243" s="20">
        <v>2</v>
      </c>
      <c r="F243" s="24">
        <v>9.9</v>
      </c>
      <c r="G243" s="17">
        <v>181872</v>
      </c>
      <c r="H243" s="18" t="str">
        <f ca="1">IFERROR(__xludf.DUMMYFUNCTION("LOWER(REGEXREPLACE(B243&amp;"" ""&amp;C243,""[^а-яa-z0-9 ]"","" ""))")," ринтер  атюша  140   монохромный светодиодный  40 стр мин  4      большой лоток для бумаги      1200   ц  1          thernet      ")</f>
        <v xml:space="preserve"> ринтер  атюша  140   монохромный светодиодный  40 стр мин  4      большой лоток для бумаги      1200   ц  1          thernet      </v>
      </c>
    </row>
    <row r="244" spans="1:8" ht="76.5" x14ac:dyDescent="0.2">
      <c r="A244" s="13" t="s">
        <v>513</v>
      </c>
      <c r="B244" s="14" t="s">
        <v>514</v>
      </c>
      <c r="C244" s="14"/>
      <c r="D244" s="19" t="s">
        <v>14</v>
      </c>
      <c r="E244" s="20">
        <v>2</v>
      </c>
      <c r="F244" s="21">
        <v>9</v>
      </c>
      <c r="G244" s="17">
        <v>110482</v>
      </c>
      <c r="H244" s="18" t="str">
        <f ca="1">IFERROR(__xludf.DUMMYFUNCTION("LOWER(REGEXREPLACE(B244&amp;"" ""&amp;C244,""[^а-яa-z0-9 ]"","" ""))")," ринтер  indoh  500dn  монохромный лазерный  34 стр мин  4      2400х600 dpi   агрузка до 30 000 отп мес      1  ц  2 ядра  256  б       thernet           host   i  i   ir rint                 стартовый тонер на 700 отпечатков ")</f>
        <v xml:space="preserve"> ринтер  indoh  500dn  монохромный лазерный  34 стр мин  4      2400х600 dpi   агрузка до 30 000 отп мес      1  ц  2 ядра  256  б       thernet           host   i  i   ir rint                 стартовый тонер на 700 отпечатков </v>
      </c>
    </row>
    <row r="245" spans="1:8" ht="76.5" x14ac:dyDescent="0.2">
      <c r="A245" s="13" t="s">
        <v>515</v>
      </c>
      <c r="B245" s="22" t="s">
        <v>516</v>
      </c>
      <c r="C245" s="14"/>
      <c r="D245" s="19" t="s">
        <v>14</v>
      </c>
      <c r="E245" s="20">
        <v>2</v>
      </c>
      <c r="F245" s="24">
        <v>19.8</v>
      </c>
      <c r="G245" s="17">
        <v>249281</v>
      </c>
      <c r="H245" s="18" t="str">
        <f ca="1">IFERROR(__xludf.DUMMYFUNCTION("LOWER(REGEXREPLACE(B245&amp;"" ""&amp;C245,""[^а-яa-z0-9 ]"","" ""))")," ринтер  indoh  300dn цветной лазерный   4  24 стр мин  4 цветная печать  2400x600 dpi      1  ц  2  дра  512          thernet        i  i         3       стартовые тонер картриджи на 1500 отп  ч б и цвет   о 75 000 отп мес ")</f>
        <v xml:space="preserve"> ринтер  indoh  300dn цветной лазерный   4  24 стр мин  4 цветная печать  2400x600 dpi      1  ц  2  дра  512          thernet        i  i         3       стартовые тонер картриджи на 1500 отп  ч б и цвет   о 75 000 отп мес </v>
      </c>
    </row>
    <row r="246" spans="1:8" ht="63.75" x14ac:dyDescent="0.2">
      <c r="A246" s="13" t="s">
        <v>517</v>
      </c>
      <c r="B246" s="22" t="s">
        <v>518</v>
      </c>
      <c r="C246" s="14" t="s">
        <v>519</v>
      </c>
      <c r="D246" s="19" t="s">
        <v>14</v>
      </c>
      <c r="E246" s="20">
        <v>2</v>
      </c>
      <c r="F246" s="25">
        <v>12.125</v>
      </c>
      <c r="G246" s="17">
        <v>99632</v>
      </c>
      <c r="H246" s="18" t="str">
        <f ca="1">IFERROR(__xludf.DUMMYFUNCTION("LOWER(REGEXREPLACE(B246&amp;"" ""&amp;C246,""[^а-яa-z0-9 ]"","" ""))")," ринтер монохромный   erox   230      230       лазерный   4  34 стр  мин   подача 251 лист      исплей  1   ц      256             2 0   thernet 10 100   i  i  ринтер  erox  230     шнур питания  ч рный картридж  ресурс 1200 страниц   диск с программным "&amp;"обеспечением и документацией  паспорт безопасности продукта  краткое руководство пользователя")</f>
        <v xml:space="preserve"> ринтер монохромный   erox   230      230       лазерный   4  34 стр  мин   подача 251 лист      исплей  1   ц      256             2 0   thernet 10 100   i  i  ринтер  erox  230     шнур питания  ч рный картридж  ресурс 1200 страниц   диск с программным обеспечением и документацией  паспорт безопасности продукта  краткое руководство пользователя</v>
      </c>
    </row>
    <row r="247" spans="1:8" ht="63.75" x14ac:dyDescent="0.2">
      <c r="A247" s="13" t="s">
        <v>520</v>
      </c>
      <c r="B247" s="22" t="s">
        <v>521</v>
      </c>
      <c r="C247" s="14" t="s">
        <v>522</v>
      </c>
      <c r="D247" s="19" t="s">
        <v>14</v>
      </c>
      <c r="E247" s="20">
        <v>2</v>
      </c>
      <c r="F247" s="23">
        <v>19.25</v>
      </c>
      <c r="G247" s="17">
        <v>332079</v>
      </c>
      <c r="H247" s="18" t="str">
        <f ca="1">IFERROR(__xludf.DUMMYFUNCTION("LOWER(REGEXREPLACE(B247&amp;"" ""&amp;C247,""[^а-яa-z0-9 ]"","" ""))")," ринтер монохромный   erox   410     410      лазерный   4  47 стр  мин   подача 650 листов  сенсорный дисплей 4 3   1   ц      1         8    e         2 0   thernet 10 100 1000  ринтер  erox  410    шнур питания  ч рный картридж  ресурс 2400 страниц   д"&amp;"иск с программным обеспечением и документацией  руководство по установке  паспорт безопасности продукта  краткое руководство пользователя")</f>
        <v xml:space="preserve"> ринтер монохромный   erox   410     410      лазерный   4  47 стр  мин   подача 650 листов  сенсорный дисплей 4 3   1   ц      1         8    e         2 0   thernet 10 100 1000  ринтер  erox  410    шнур питания  ч 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v>
      </c>
    </row>
    <row r="248" spans="1:8" ht="63.75" x14ac:dyDescent="0.2">
      <c r="A248" s="13" t="s">
        <v>523</v>
      </c>
      <c r="B248" s="14" t="s">
        <v>524</v>
      </c>
      <c r="C248" s="14" t="s">
        <v>525</v>
      </c>
      <c r="D248" s="19" t="s">
        <v>14</v>
      </c>
      <c r="E248" s="20">
        <v>2</v>
      </c>
      <c r="F248" s="21">
        <v>37</v>
      </c>
      <c r="G248" s="17">
        <v>512380</v>
      </c>
      <c r="H248" s="18" t="str">
        <f ca="1">IFERROR(__xludf.DUMMYFUNCTION("LOWER(REGEXREPLACE(B248&amp;"" ""&amp;C248,""[^а-яa-z0-9 ]"","" ""))")," ринтер монохромный   erox   ersa ink  620     620      лазерный   4  61 стр  мин   подача 550 листов  сенсорный дисплей 5   1 2   ц      2         32    e         2 0   thernet 10 100 1000       ринтер  erox  620  сетевой кабель питания  руководство по у"&amp;"становке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f>
        <v xml:space="preserve"> ринтер монохромный   erox   ersa ink  620     620      лазерный   4  61 стр  мин   подача 550 листов  сенсорный дисплей 5   1 2   ц      2         32    e         2 0   thernet 10 100 1000       ринтер  erox  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v>
      </c>
    </row>
    <row r="249" spans="1:8" ht="76.5" x14ac:dyDescent="0.2">
      <c r="A249" s="13" t="s">
        <v>526</v>
      </c>
      <c r="B249" s="22" t="s">
        <v>527</v>
      </c>
      <c r="C249" s="14" t="s">
        <v>528</v>
      </c>
      <c r="D249" s="19" t="s">
        <v>14</v>
      </c>
      <c r="E249" s="20">
        <v>2</v>
      </c>
      <c r="F249" s="25">
        <v>25.875</v>
      </c>
      <c r="G249" s="17">
        <v>453695</v>
      </c>
      <c r="H249" s="18" t="str">
        <f ca="1">IFERROR(__xludf.DUMMYFUNCTION("LOWER(REGEXREPLACE(B249&amp;"" ""&amp;C249,""[^а-яa-z0-9 ]"","" ""))")," ринтер цветной   erox   410     410      лазерный    4  40 стр  мин   подача 251 лист  сенсорный дисплей 4 3   1   ц      1         8    e         2 0   thernet 10 100 1000  ринтер  erox  410  сетевой шнур питания  руководство по установке  памятка по те"&amp;"хнике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 лтый    ресурс 2000 страниц  ч рный картридж   ресурс 2400 страниц")</f>
        <v xml:space="preserve"> ринтер цветной   erox   410     410      лазерный    4  40 стр  мин   подача 251 лист  сенсорный дисплей 4 3   1   ц      1         8    e         2 0   thernet 10 100 1000  ринтер  erox  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 лтый    ресурс 2000 страниц  ч рный картридж   ресурс 2400 страниц</v>
      </c>
    </row>
    <row r="250" spans="1:8" ht="76.5" x14ac:dyDescent="0.2">
      <c r="A250" s="13" t="s">
        <v>529</v>
      </c>
      <c r="B250" s="22" t="s">
        <v>530</v>
      </c>
      <c r="C250" s="14" t="s">
        <v>531</v>
      </c>
      <c r="D250" s="19" t="s">
        <v>14</v>
      </c>
      <c r="E250" s="20">
        <v>2</v>
      </c>
      <c r="F250" s="21">
        <v>32</v>
      </c>
      <c r="G250" s="17">
        <v>615840</v>
      </c>
      <c r="H250" s="18" t="str">
        <f ca="1">IFERROR(__xludf.DUMMYFUNCTION("LOWER(REGEXREPLACE(B250&amp;"" ""&amp;C250,""[^а-яa-z0-9 ]"","" ""))")," ринтер цветной   erox   ersa ink  620     620      лазерный    4  50 стр  мин   подача 650 листов  сенсорный дисплей 5   1 2   ц      2         32    e         2 0   thernet 10 100 1000       ринтер  erox  620  шнур питания переменного тока  руководство "&amp;"по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тонер картриджи       ресурс 7000 страниц  принт картридж"&amp;"     ресурс 8000 страниц")</f>
        <v xml:space="preserve"> ринтер цветной   erox   ersa ink  620     620      лазерный    4  50 стр  мин   подача 650 листов  сенсорный дисплей 5   1 2   ц      2         32    e         2 0   thernet 10 100 1000       ринтер  erox  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тонер картриджи       ресурс 7000 страниц  принт картридж     ресурс 8000 страниц</v>
      </c>
    </row>
    <row r="251" spans="1:8" ht="12.75" x14ac:dyDescent="0.2">
      <c r="A251" s="13" t="s">
        <v>532</v>
      </c>
      <c r="B251" s="14" t="s">
        <v>533</v>
      </c>
      <c r="C251" s="14"/>
      <c r="D251" s="19" t="s">
        <v>14</v>
      </c>
      <c r="E251" s="16"/>
      <c r="F251" s="15"/>
      <c r="G251" s="17"/>
      <c r="H251" s="18" t="str">
        <f ca="1">IFERROR(__xludf.DUMMYFUNCTION("LOWER(REGEXREPLACE(B251&amp;"" ""&amp;C251,""[^а-яa-z0-9 ]"","" ""))")," оноблок ")</f>
        <v xml:space="preserve"> оноблок </v>
      </c>
    </row>
    <row r="252" spans="1:8" ht="51" x14ac:dyDescent="0.2">
      <c r="A252" s="13" t="s">
        <v>534</v>
      </c>
      <c r="B252" s="22" t="s">
        <v>535</v>
      </c>
      <c r="C252" s="14"/>
      <c r="D252" s="19" t="s">
        <v>14</v>
      </c>
      <c r="E252" s="16"/>
      <c r="F252" s="24">
        <v>6.5</v>
      </c>
      <c r="G252" s="17">
        <v>477540</v>
      </c>
      <c r="H252" s="18" t="str">
        <f ca="1">IFERROR(__xludf.DUMMYFUNCTION("LOWER(REGEXREPLACE(B252&amp;"" ""&amp;C252,""[^а-яa-z0-9 ]"","" ""))")," оноблок  vtech  40   ntel   ore  i3 10100 частота 3 60 4 30   z 4 ядра 8 потоков   ntel     raphics 630         4 8           256    indows 10 11 ")</f>
        <v xml:space="preserve"> оноблок  vtech  40   ntel   ore  i3 10100 частота 3 60 4 30   z 4 ядра 8 потоков   ntel     raphics 630         4 8           256    indows 10 11 </v>
      </c>
    </row>
    <row r="253" spans="1:8" ht="76.5" x14ac:dyDescent="0.2">
      <c r="A253" s="13" t="s">
        <v>536</v>
      </c>
      <c r="B253" s="22" t="s">
        <v>537</v>
      </c>
      <c r="C253" s="14"/>
      <c r="D253" s="19" t="s">
        <v>14</v>
      </c>
      <c r="E253" s="16"/>
      <c r="F253" s="21">
        <v>6</v>
      </c>
      <c r="G253" s="17">
        <v>423581</v>
      </c>
      <c r="H253" s="18" t="str">
        <f ca="1">IFERROR(__xludf.DUMMYFUNCTION("LOWER(REGEXREPLACE(B253&amp;"" ""&amp;C253,""[^а-яa-z0-9 ]"","" ""))")," оноблок  vtech  5 23 8    ntel      6400 6405  sus    4 4 b 2666 hz     256 b   2 ядер 2 потока 4   ntel   entium   old  6400 частота 4 00   z 2 ядра 4 потоков   ntel     raphics 610         4 4           256    indows 10 11 ")</f>
        <v xml:space="preserve"> оноблок  vtech  5 23 8    ntel      6400 6405  sus    4 4 b 2666 hz     256 b   2 ядер 2 потока 4   ntel   entium   old  6400 частота 4 00   z 2 ядра 4 потоков   ntel     raphics 610         4 4           256    indows 10 11 </v>
      </c>
    </row>
    <row r="254" spans="1:8" ht="63.75" x14ac:dyDescent="0.2">
      <c r="A254" s="13" t="s">
        <v>538</v>
      </c>
      <c r="B254" s="22" t="s">
        <v>539</v>
      </c>
      <c r="C254" s="14"/>
      <c r="D254" s="19" t="s">
        <v>14</v>
      </c>
      <c r="E254" s="16"/>
      <c r="F254" s="24">
        <v>6.5</v>
      </c>
      <c r="G254" s="17">
        <v>513961</v>
      </c>
      <c r="H254" s="18" t="str">
        <f ca="1">IFERROR(__xludf.DUMMYFUNCTION("LOWER(REGEXREPLACE(B254&amp;"" ""&amp;C254,""[^а-яa-z0-9 ]"","" ""))")," оноблок  vtech  40  ro  i3 10100     4 8 b      256 b   indows 10  ro  частота 3 60 4 30   z 4 ядра 8 потоков   ntel     raphics 630         4 8           256    indows 10 11 ")</f>
        <v xml:space="preserve"> оноблок  vtech  40  ro  i3 10100     4 8 b      256 b   indows 10  ro  частота 3 60 4 30   z 4 ядра 8 потоков   ntel     raphics 630         4 8           256    indows 10 11 </v>
      </c>
    </row>
    <row r="255" spans="1:8" ht="76.5" x14ac:dyDescent="0.2">
      <c r="A255" s="13" t="s">
        <v>540</v>
      </c>
      <c r="B255" s="22" t="s">
        <v>541</v>
      </c>
      <c r="C255" s="14"/>
      <c r="D255" s="19" t="s">
        <v>14</v>
      </c>
      <c r="E255" s="16"/>
      <c r="F255" s="24">
        <v>6.5</v>
      </c>
      <c r="G255" s="17">
        <v>453273</v>
      </c>
      <c r="H255" s="18" t="str">
        <f ca="1">IFERROR(__xludf.DUMMYFUNCTION("LOWER(REGEXREPLACE(B255&amp;"" ""&amp;C255,""[^а-яa-z0-9 ]"","" ""))")," оноблок  vtech    40 ro  black silver      ype     610     ntel   ore i3 12100     4 8 b 3200 hz      256 b   indows 11  ro для школ   ntel   ore i3 12100   ntel     raphics 730         4 8           256    indows 10 11 ")</f>
        <v xml:space="preserve"> оноблок  vtech    40 ro  black silver      ype     610     ntel   ore i3 12100     4 8 b 3200 hz      256 b   indows 11  ro для школ   ntel   ore i3 12100   ntel     raphics 730         4 8           256    indows 10 11 </v>
      </c>
    </row>
    <row r="256" spans="1:8" ht="76.5" x14ac:dyDescent="0.2">
      <c r="A256" s="13" t="s">
        <v>542</v>
      </c>
      <c r="B256" s="22" t="s">
        <v>543</v>
      </c>
      <c r="C256" s="14"/>
      <c r="D256" s="19" t="s">
        <v>14</v>
      </c>
      <c r="E256" s="16"/>
      <c r="F256" s="24">
        <v>6.5</v>
      </c>
      <c r="G256" s="17">
        <v>525776</v>
      </c>
      <c r="H256" s="18" t="str">
        <f ca="1">IFERROR(__xludf.DUMMYFUNCTION("LOWER(REGEXREPLACE(B256&amp;"" ""&amp;C256,""[^а-яa-z0-9 ]"","" ""))")," оноблок  vtech   40  ro   ouch      ype     610     ntel   ore i3 12100     4 8 b 3200 hz      256  b   indows 11  ro для школ   ntel   ore i3 12100   ntel     raphics 730         4 8           256    indows 10 11 ")</f>
        <v xml:space="preserve"> оноблок  vtech   40  ro   ouch      ype     610     ntel   ore i3 12100     4 8 b 3200 hz      256  b   indows 11  ro для школ   ntel   ore i3 12100   ntel     raphics 730         4 8           256    indows 10 11 </v>
      </c>
    </row>
    <row r="257" spans="1:8" ht="76.5" x14ac:dyDescent="0.2">
      <c r="A257" s="13" t="s">
        <v>544</v>
      </c>
      <c r="B257" s="22" t="s">
        <v>545</v>
      </c>
      <c r="C257" s="14"/>
      <c r="D257" s="19" t="s">
        <v>14</v>
      </c>
      <c r="E257" s="16"/>
      <c r="F257" s="24">
        <v>6.5</v>
      </c>
      <c r="G257" s="17">
        <v>516714</v>
      </c>
      <c r="H257" s="18" t="str">
        <f ca="1">IFERROR(__xludf.DUMMYFUNCTION("LOWER(REGEXREPLACE(B257&amp;"" ""&amp;C257,""[^а-яa-z0-9 ]"","" ""))")," оноблок  vtech    40 ro black silver      ype     610     ntel   ore i5 12400     4 8 b 3200 hz      256 b   2        indows 11  ro для школ   ntel   ore i5 12400   ntel     raphics 730         4 8           256    indows 10 11 ")</f>
        <v xml:space="preserve"> оноблок  vtech    40 ro black silver      ype     610     ntel   ore i5 12400     4 8 b 3200 hz      256 b   2        indows 11  ro для школ   ntel   ore i5 12400   ntel     raphics 730         4 8           256    indows 10 11 </v>
      </c>
    </row>
    <row r="258" spans="1:8" ht="76.5" x14ac:dyDescent="0.2">
      <c r="A258" s="13" t="s">
        <v>546</v>
      </c>
      <c r="B258" s="22" t="s">
        <v>547</v>
      </c>
      <c r="C258" s="14"/>
      <c r="D258" s="19" t="s">
        <v>14</v>
      </c>
      <c r="E258" s="16"/>
      <c r="F258" s="24">
        <v>6.5</v>
      </c>
      <c r="G258" s="17">
        <v>589216</v>
      </c>
      <c r="H258" s="18" t="str">
        <f ca="1">IFERROR(__xludf.DUMMYFUNCTION("LOWER(REGEXREPLACE(B258&amp;"" ""&amp;C258,""[^а-яa-z0-9 ]"","" ""))")," оноблок  vtech   40  ro   ouch      ype     610     ntel   ore i5 12400     4 8 b 3200 hz      256  b   2        indows 11  ro для школ   ntel   ore i5 12400   ntel     raphics 730         4 8           256    indows 10 11 ")</f>
        <v xml:space="preserve"> оноблок  vtech   40  ro   ouch      ype     610     ntel   ore i5 12400     4 8 b 3200 hz      256  b   2        indows 11  ro для школ   ntel   ore i5 12400   ntel     raphics 730         4 8           256    indows 10 11 </v>
      </c>
    </row>
    <row r="259" spans="1:8" ht="51" x14ac:dyDescent="0.2">
      <c r="A259" s="13" t="s">
        <v>548</v>
      </c>
      <c r="B259" s="22" t="s">
        <v>549</v>
      </c>
      <c r="C259" s="14"/>
      <c r="D259" s="19" t="s">
        <v>14</v>
      </c>
      <c r="E259" s="16"/>
      <c r="F259" s="24">
        <v>5.5</v>
      </c>
      <c r="G259" s="17">
        <v>356135</v>
      </c>
      <c r="H259" s="18" t="str">
        <f ca="1">IFERROR(__xludf.DUMMYFUNCTION("LOWER(REGEXREPLACE(B259&amp;"" ""&amp;C259,""[^а-яa-z0-9 ]"","" ""))")," оноблок  abortrix  tation        23  1920 1080  ull      ore i3 7100  4 ядерный  4 поточный  3  9   z       4              256   ")</f>
        <v xml:space="preserve"> оноблок  abortrix  tation        23  1920 1080  ull      ore i3 7100  4 ядерный  4 поточный  3  9   z       4              256   </v>
      </c>
    </row>
    <row r="260" spans="1:8" ht="38.25" x14ac:dyDescent="0.2">
      <c r="A260" s="13" t="s">
        <v>550</v>
      </c>
      <c r="B260" s="14" t="s">
        <v>551</v>
      </c>
      <c r="C260" s="14"/>
      <c r="D260" s="19" t="s">
        <v>14</v>
      </c>
      <c r="E260" s="16"/>
      <c r="F260" s="24">
        <v>5.5</v>
      </c>
      <c r="G260" s="17">
        <v>443665</v>
      </c>
      <c r="H260" s="18" t="str">
        <f ca="1">IFERROR(__xludf.DUMMYFUNCTION("LOWER(REGEXREPLACE(B260&amp;"" ""&amp;C260,""[^а-яa-z0-9 ]"","" ""))")," оноблок  abortrix  tation        23  1920 1080  ull      ore i5 11400  6 ядерный  12 поточный  4 4   z макс        8              512   ")</f>
        <v xml:space="preserve"> оноблок  abortrix  tation        23  1920 1080  ull      ore i5 11400  6 ядерный  12 поточный  4 4   z макс        8              512   </v>
      </c>
    </row>
    <row r="261" spans="1:8" ht="114.75" x14ac:dyDescent="0.2">
      <c r="A261" s="13" t="s">
        <v>552</v>
      </c>
      <c r="B261" s="22" t="s">
        <v>553</v>
      </c>
      <c r="C261" s="14"/>
      <c r="D261" s="19" t="s">
        <v>14</v>
      </c>
      <c r="E261" s="16"/>
      <c r="F261" s="24">
        <v>11.4</v>
      </c>
      <c r="G261" s="17">
        <v>580077</v>
      </c>
      <c r="H261" s="18" t="str">
        <f ca="1">IFERROR(__xludf.DUMMYFUNCTION("LOWER(REGEXREPLACE(B261&amp;"" ""&amp;C261,""[^а-яa-z0-9 ]"","" ""))")," оноблок  enovo      660  23 8   1920 1080  ull      ore  i5 1155 7  4 ядра  8 потоков  2 5   z 4 5   z   urbo  max   indows 10  для образовательных учреждений   64 разрядная версия       ffice  ot32         4  8               web camera 720   512        "&amp;"  ort  1      3 0  1      3 10  2      2 0  1       1   45 ")</f>
        <v xml:space="preserve"> оноблок  enovo      660  23 8   1920 1080  ull      ore  i5 1155 7  4 ядра  8 потоков  2 5   z 4 5   z   urbo  max   indows 10  для образовательных учреждений   64 разрядная версия       ffice  ot32         4  8               web camera 720   512          ort  1      3 0  1      3 10  2      2 0  1       1   45 </v>
      </c>
    </row>
    <row r="262" spans="1:8" ht="114.75" x14ac:dyDescent="0.2">
      <c r="A262" s="13" t="s">
        <v>554</v>
      </c>
      <c r="B262" s="22" t="s">
        <v>555</v>
      </c>
      <c r="C262" s="14"/>
      <c r="D262" s="19" t="s">
        <v>14</v>
      </c>
      <c r="E262" s="16"/>
      <c r="F262" s="24">
        <v>11.4</v>
      </c>
      <c r="G262" s="17">
        <v>485652</v>
      </c>
      <c r="H262" s="18" t="str">
        <f ca="1">IFERROR(__xludf.DUMMYFUNCTION("LOWER(REGEXREPLACE(B262&amp;"" ""&amp;C262,""[^а-яa-z0-9 ]"","" ""))")," оноблок  enovo      660  23 8   1920 1080  ull      ore  i3 1115 4  2 ядра  4 потоков  3   z 4 1   z   urbo  max   indows 10  для образовательных учреждений   64 разрядная версия       ffice  ot32         4  8               web camera 720   512          "&amp;"ort  1      3 0  1      3 10  2      2 0  1       1   45 ")</f>
        <v xml:space="preserve"> оноблок  enovo      660  23 8   1920 1080  ull      ore  i3 1115 4  2 ядра  4 потоков  3   z 4 1   z   urbo  max   indows 10  для образовательных учреждений   64 разрядная версия       ffice  ot32         4  8               web camera 720   512          ort  1      3 0  1      3 10  2      2 0  1       1   45 </v>
      </c>
    </row>
    <row r="263" spans="1:8" ht="25.5" x14ac:dyDescent="0.2">
      <c r="A263" s="13" t="s">
        <v>556</v>
      </c>
      <c r="B263" s="14" t="s">
        <v>557</v>
      </c>
      <c r="C263" s="14"/>
      <c r="D263" s="19" t="s">
        <v>14</v>
      </c>
      <c r="E263" s="16"/>
      <c r="F263" s="24">
        <v>9.3000000000000007</v>
      </c>
      <c r="G263" s="17">
        <v>426029</v>
      </c>
      <c r="H263" s="18" t="str">
        <f ca="1">IFERROR(__xludf.DUMMYFUNCTION("LOWER(REGEXREPLACE(B263&amp;"" ""&amp;C263,""[^а-яa-z0-9 ]"","" ""))")," оноблок  enovo  eo 50a 24  23 8      ore  5 12450  2 0  8  12   8       5 4800  z ")</f>
        <v xml:space="preserve"> оноблок  enovo  eo 50a 24  23 8      ore  5 12450  2 0  8  12   8       5 4800  z </v>
      </c>
    </row>
    <row r="264" spans="1:8" ht="89.25" x14ac:dyDescent="0.2">
      <c r="A264" s="13" t="s">
        <v>558</v>
      </c>
      <c r="B264" s="22" t="s">
        <v>559</v>
      </c>
      <c r="C264" s="14"/>
      <c r="D264" s="19" t="s">
        <v>14</v>
      </c>
      <c r="E264" s="20">
        <v>1</v>
      </c>
      <c r="F264" s="24">
        <v>6.1</v>
      </c>
      <c r="G264" s="17">
        <v>414481</v>
      </c>
      <c r="H264" s="18" t="str">
        <f ca="1">IFERROR(__xludf.DUMMYFUNCTION("LOWER(REGEXREPLACE(B264&amp;"" ""&amp;C264,""[^а-яa-z0-9 ]"","" ""))")," оноблок  eriton  2514    ore i3 1315u  8 b    4  256гб      диагональ экрана 23 8       дисплей  мышь проводная  клавиатура  встроенные5       2  web камера   in11 ro  du  предустановленная система управления классом  cer  lassroom  anager с бессрочной л"&amp;"ицензией ")</f>
        <v xml:space="preserve"> оноблок  eriton  2514    ore i3 1315u  8 b    4  256гб      диагональ экрана 23 8       дисплей  мышь проводная  клавиатура  встроенные5       2  web камера   in11 ro  du  предустановленная система управления классом  cer  lassroom  anager с бессрочной лицензией </v>
      </c>
    </row>
    <row r="265" spans="1:8" ht="63.75" x14ac:dyDescent="0.2">
      <c r="A265" s="13" t="s">
        <v>560</v>
      </c>
      <c r="B265" s="22" t="s">
        <v>561</v>
      </c>
      <c r="C265" s="14"/>
      <c r="D265" s="19" t="s">
        <v>14</v>
      </c>
      <c r="E265" s="20">
        <v>1</v>
      </c>
      <c r="F265" s="24">
        <v>6.3</v>
      </c>
      <c r="G265" s="17">
        <v>525363</v>
      </c>
      <c r="H265" s="18" t="str">
        <f ca="1">IFERROR(__xludf.DUMMYFUNCTION("LOWER(REGEXREPLACE(B265&amp;"" ""&amp;C265,""[^а-яa-z0-9 ]"","" ""))")," оноблок  cer  eriton  2594   23 8       i3 1215   8 b  256 b         11pro       1   007  предустановленная система управления классом  cer  lassroom  anager с бессрочной лицензией ")</f>
        <v xml:space="preserve"> оноблок  cer  eriton  2594   23 8       i3 1215   8 b  256 b         11pro       1   007  предустановленная система управления классом  cer  lassroom  anager с бессрочной лицензией </v>
      </c>
    </row>
    <row r="266" spans="1:8" ht="63.75" x14ac:dyDescent="0.2">
      <c r="A266" s="13" t="s">
        <v>562</v>
      </c>
      <c r="B266" s="22" t="s">
        <v>563</v>
      </c>
      <c r="C266" s="14"/>
      <c r="D266" s="19" t="s">
        <v>14</v>
      </c>
      <c r="E266" s="20">
        <v>1</v>
      </c>
      <c r="F266" s="24">
        <v>5.8</v>
      </c>
      <c r="G266" s="17">
        <v>721317</v>
      </c>
      <c r="H266" s="18" t="str">
        <f ca="1">IFERROR(__xludf.DUMMYFUNCTION("LOWER(REGEXREPLACE(B266&amp;"" ""&amp;C266,""[^а-яa-z0-9 ]"","" ""))")," оноблок  cer  eriton  4694   23 8       i5 12400  16 b  512 b         11pro           00   предустановленная система управления классом  cer  lassroom  anager с бессрочной лицензией ")</f>
        <v xml:space="preserve"> оноблок  cer  eriton  4694   23 8       i5 12400  16 b  512 b         11pro           00   предустановленная система управления классом  cer  lassroom  anager с бессрочной лицензией </v>
      </c>
    </row>
    <row r="267" spans="1:8" ht="89.25" x14ac:dyDescent="0.2">
      <c r="A267" s="13" t="s">
        <v>564</v>
      </c>
      <c r="B267" s="22" t="s">
        <v>565</v>
      </c>
      <c r="C267" s="14"/>
      <c r="D267" s="19" t="s">
        <v>14</v>
      </c>
      <c r="E267" s="20">
        <v>1</v>
      </c>
      <c r="F267" s="23">
        <v>6.68</v>
      </c>
      <c r="G267" s="17">
        <v>445618</v>
      </c>
      <c r="H267" s="18" t="str">
        <f ca="1">IFERROR(__xludf.DUMMYFUNCTION("LOWER(REGEXREPLACE(B267&amp;"" ""&amp;C267,""[^а-яa-z0-9 ]"","" ""))")," оноблок  enovo     hink entre  eo 30a 24  4  1  ore i5 13420  2 1  8  12     8      4 3200  z  o     256          2 2280    e  en4      pal 23 8     am     i  i 6   201 2x2       luetooth  5 1  ual  icrophone  indows 11 для образовательных учреждений ")</f>
        <v xml:space="preserve"> оноблок  enovo     hink entre  eo 30a 24  4  1  ore i5 13420  2 1  8  12     8      4 3200  z  o     256          2 2280    e  en4      pal 23 8     am     i  i 6   201 2x2       luetooth  5 1  ual  icrophone  indows 11 для образовательных учреждений </v>
      </c>
    </row>
    <row r="268" spans="1:8" ht="76.5" x14ac:dyDescent="0.2">
      <c r="A268" s="13" t="s">
        <v>566</v>
      </c>
      <c r="B268" s="22" t="s">
        <v>567</v>
      </c>
      <c r="C268" s="14"/>
      <c r="D268" s="19" t="s">
        <v>14</v>
      </c>
      <c r="E268" s="20">
        <v>1</v>
      </c>
      <c r="F268" s="23">
        <v>6.68</v>
      </c>
      <c r="G268" s="17">
        <v>387596</v>
      </c>
      <c r="H268" s="18" t="str">
        <f ca="1">IFERROR(__xludf.DUMMYFUNCTION("LOWER(REGEXREPLACE(B268&amp;"" ""&amp;C268,""[^а-яa-z0-9 ]"","" ""))")," оноблок  enovo  90a  3  1 23 8   ntel   entium   old  7400  rocessor  3 70   z  4       4 3200  z          256          2 2280    e  en4      pal  ntegrated  raphics       indows 11 для образовательных учреждений ")</f>
        <v xml:space="preserve"> оноблок  enovo  90a  3  1 23 8   ntel   entium   old  7400  rocessor  3 70   z  4       4 3200  z          256          2 2280    e  en4      pal  ntegrated  raphics       indows 11 для образовательных учреждений </v>
      </c>
    </row>
    <row r="269" spans="1:8" ht="76.5" x14ac:dyDescent="0.2">
      <c r="A269" s="13" t="s">
        <v>568</v>
      </c>
      <c r="B269" s="22" t="s">
        <v>569</v>
      </c>
      <c r="C269" s="14"/>
      <c r="D269" s="19" t="s">
        <v>14</v>
      </c>
      <c r="E269" s="20">
        <v>1</v>
      </c>
      <c r="F269" s="24">
        <v>6.6</v>
      </c>
      <c r="G269" s="17">
        <v>521677</v>
      </c>
      <c r="H269" s="18" t="str">
        <f ca="1">IFERROR(__xludf.DUMMYFUNCTION("LOWER(REGEXREPLACE(B269&amp;"" ""&amp;C269,""[^а-яa-z0-9 ]"","" ""))")," оноблок  enovo 23 8   eo 30a 24  4  2  ore i5 13420  2 1  8  12     8      4 3200  z  o     512          2 2280    e  en4      ntegrated  raphics             am     indows 11 для образовательных учреждений ")</f>
        <v xml:space="preserve"> оноблок  enovo 23 8   eo 30a 24  4  2  ore i5 13420  2 1  8  12     8      4 3200  z  o     512          2 2280    e  en4      ntegrated  raphics             am     indows 11 для образовательных учреждений </v>
      </c>
    </row>
    <row r="270" spans="1:8" ht="76.5" x14ac:dyDescent="0.2">
      <c r="A270" s="13" t="s">
        <v>570</v>
      </c>
      <c r="B270" s="22" t="s">
        <v>571</v>
      </c>
      <c r="C270" s="14"/>
      <c r="D270" s="19" t="s">
        <v>14</v>
      </c>
      <c r="E270" s="20">
        <v>1</v>
      </c>
      <c r="F270" s="24">
        <v>6.6</v>
      </c>
      <c r="G270" s="17">
        <v>383144</v>
      </c>
      <c r="H270" s="18" t="str">
        <f ca="1">IFERROR(__xludf.DUMMYFUNCTION("LOWER(REGEXREPLACE(B270&amp;"" ""&amp;C270,""[^а-яa-z0-9 ]"","" ""))")," оноблок  enovo 23 8   eo 50a 24  4  1  ore i5 13500  2 6  12  16  8      5 5200  o     512          2 2280    e  en4      ntegrated  raphics             am  indows 11 для образовательных учреждений ")</f>
        <v xml:space="preserve"> оноблок  enovo 23 8   eo 50a 24  4  1  ore i5 13500  2 6  12  16  8      5 5200  o     512          2 2280    e  en4      ntegrated  raphics             am  indows 11 для образовательных учреждений </v>
      </c>
    </row>
    <row r="271" spans="1:8" ht="38.25" x14ac:dyDescent="0.2">
      <c r="A271" s="13" t="s">
        <v>572</v>
      </c>
      <c r="B271" s="14" t="s">
        <v>573</v>
      </c>
      <c r="C271" s="14"/>
      <c r="D271" s="19" t="s">
        <v>14</v>
      </c>
      <c r="E271" s="20">
        <v>1</v>
      </c>
      <c r="F271" s="21">
        <v>8</v>
      </c>
      <c r="G271" s="17">
        <v>378837</v>
      </c>
      <c r="H271" s="18" t="str">
        <f ca="1">IFERROR(__xludf.DUMMYFUNCTION("LOWER(REGEXREPLACE(B271&amp;"" ""&amp;C271,""[^а-яa-z0-9 ]"","" ""))")," оноблок  vision  vision  park 23 8     1920x1080 full viewing angle        5 12450  3200 16   512    ")</f>
        <v xml:space="preserve"> оноблок  vision  vision  park 23 8     1920x1080 full viewing angle        5 12450  3200 16   512    </v>
      </c>
    </row>
    <row r="272" spans="1:8" ht="38.25" x14ac:dyDescent="0.2">
      <c r="A272" s="13" t="s">
        <v>574</v>
      </c>
      <c r="B272" s="14" t="s">
        <v>575</v>
      </c>
      <c r="C272" s="14"/>
      <c r="D272" s="19" t="s">
        <v>14</v>
      </c>
      <c r="E272" s="20">
        <v>1</v>
      </c>
      <c r="F272" s="21">
        <v>8</v>
      </c>
      <c r="G272" s="17">
        <v>439971</v>
      </c>
      <c r="H272" s="18" t="str">
        <f ca="1">IFERROR(__xludf.DUMMYFUNCTION("LOWER(REGEXREPLACE(B272&amp;"" ""&amp;C272,""[^а-яa-z0-9 ]"","" ""))")," оноблок  vision  nigma 23 8     1920x1080 full viewing angle        7 12700     4 3200 32   512    ")</f>
        <v xml:space="preserve"> оноблок  vision  nigma 23 8     1920x1080 full viewing angle        7 12700     4 3200 32   512    </v>
      </c>
    </row>
    <row r="273" spans="1:8" ht="89.25" x14ac:dyDescent="0.2">
      <c r="A273" s="13" t="s">
        <v>576</v>
      </c>
      <c r="B273" s="22" t="s">
        <v>577</v>
      </c>
      <c r="C273" s="14"/>
      <c r="D273" s="19" t="s">
        <v>14</v>
      </c>
      <c r="E273" s="20">
        <v>1</v>
      </c>
      <c r="F273" s="21">
        <v>5</v>
      </c>
      <c r="G273" s="17">
        <v>508799</v>
      </c>
      <c r="H273" s="18" t="str">
        <f ca="1">IFERROR(__xludf.DUMMYFUNCTION("LOWER(REGEXREPLACE(B273&amp;"" ""&amp;C273,""[^а-яa-z0-9 ]"","" ""))")," оноблок     ro ne 240  10 24 i    i3  300      23 8 inch                 250   8      4   256     2      alue    11  ro   1yw      3 year  ext  usiness  ay  nsite  esktop  nly  ardware  upport arranty  xtension   125  lack  ellulose  iber  ackagingkbd   ")</f>
        <v xml:space="preserve"> оноблок     ro ne 240  10 24 i    i3  300      23 8 inch                 250   8      4   256     2      alue    11  ro   1yw      3 year  ext  usiness  ay  nsite  esktop  nly  ardware  upport arranty  xtension   125  lack  ellulose  iber  ackagingkbd   </v>
      </c>
    </row>
    <row r="274" spans="1:8" ht="63.75" x14ac:dyDescent="0.2">
      <c r="A274" s="13" t="s">
        <v>578</v>
      </c>
      <c r="B274" s="22" t="s">
        <v>579</v>
      </c>
      <c r="C274" s="14"/>
      <c r="D274" s="19" t="s">
        <v>14</v>
      </c>
      <c r="E274" s="20">
        <v>1</v>
      </c>
      <c r="F274" s="24">
        <v>6.6</v>
      </c>
      <c r="G274" s="17">
        <v>352742</v>
      </c>
      <c r="H274" s="18" t="str">
        <f ca="1">IFERROR(__xludf.DUMMYFUNCTION("LOWER(REGEXREPLACE(B274&amp;"" ""&amp;C274,""[^а-яa-z0-9 ]"","" ""))")," оноблок  3 2410  24 i510400 8 256  in11  диагональ экрана 23 8   оперативная память 8       4  ж сткий диск      256     процессор  ntel  ore processor i5 10400  лицензионная  indows 11  ro 64  it ")</f>
        <v xml:space="preserve"> оноблок  3 2410  24 i510400 8 256  in11  диагональ экрана 23 8   оперативная память 8       4  ж сткий диск      256     процессор  ntel  ore processor i5 10400  лицензионная  indows 11  ro 64  it </v>
      </c>
    </row>
    <row r="275" spans="1:8" ht="76.5" x14ac:dyDescent="0.2">
      <c r="A275" s="13" t="s">
        <v>580</v>
      </c>
      <c r="B275" s="22" t="s">
        <v>581</v>
      </c>
      <c r="C275" s="14"/>
      <c r="D275" s="19" t="s">
        <v>14</v>
      </c>
      <c r="E275" s="20">
        <v>1</v>
      </c>
      <c r="F275" s="24">
        <v>6.6</v>
      </c>
      <c r="G275" s="17">
        <v>401621</v>
      </c>
      <c r="H275" s="18" t="str">
        <f ca="1">IFERROR(__xludf.DUMMYFUNCTION("LOWER(REGEXREPLACE(B275&amp;"" ""&amp;C275,""[^а-яa-z0-9 ]"","" ""))")," оноблок  3 2410  24 i510400 16 512 1    in  диагональ экрана 23 8   оперативная память 16       4  ж сткий диск       512            1    процессор  ntel  ore processor i5 10400  лицензионная  indows 11  ro 64  it ")</f>
        <v xml:space="preserve"> оноблок  3 2410  24 i510400 16 512 1    in  диагональ экрана 23 8   оперативная память 16       4  ж сткий диск       512            1    процессор  ntel  ore processor i5 10400  лицензионная  indows 11  ro 64  it </v>
      </c>
    </row>
    <row r="276" spans="1:8" ht="63.75" x14ac:dyDescent="0.2">
      <c r="A276" s="13" t="s">
        <v>582</v>
      </c>
      <c r="B276" s="22" t="s">
        <v>583</v>
      </c>
      <c r="C276" s="14"/>
      <c r="D276" s="19" t="s">
        <v>14</v>
      </c>
      <c r="E276" s="20">
        <v>1</v>
      </c>
      <c r="F276" s="24">
        <v>6.6</v>
      </c>
      <c r="G276" s="17">
        <v>398979</v>
      </c>
      <c r="H276" s="18" t="str">
        <f ca="1">IFERROR(__xludf.DUMMYFUNCTION("LOWER(REGEXREPLACE(B276&amp;"" ""&amp;C276,""[^а-яa-z0-9 ]"","" ""))")," оноблок  3 2711  27 i510400 8 256  in 11  диагональ экрана 23 8   оперативная память 8       4  ж сткий диск       256      ntel  ore processor i5 10400  лицензионная  indows 11  ro 64  it ")</f>
        <v xml:space="preserve"> оноблок  3 2711  27 i510400 8 256  in 11  диагональ экрана 23 8   оперативная память 8       4  ж сткий диск       256      ntel  ore processor i5 10400  лицензионная  indows 11  ro 64  it </v>
      </c>
    </row>
    <row r="277" spans="1:8" ht="63.75" x14ac:dyDescent="0.2">
      <c r="A277" s="13" t="s">
        <v>584</v>
      </c>
      <c r="B277" s="22" t="s">
        <v>585</v>
      </c>
      <c r="C277" s="14"/>
      <c r="D277" s="19" t="s">
        <v>14</v>
      </c>
      <c r="E277" s="20">
        <v>1</v>
      </c>
      <c r="F277" s="24">
        <v>6.6</v>
      </c>
      <c r="G277" s="17">
        <v>447858</v>
      </c>
      <c r="H277" s="18" t="str">
        <f ca="1">IFERROR(__xludf.DUMMYFUNCTION("LOWER(REGEXREPLACE(B277&amp;"" ""&amp;C277,""[^а-яa-z0-9 ]"","" ""))")," оноблок  3 2711  27 i510400 16 512 1    in  диагональ экрана 23 8   оперативная память 16       4  ж сткий диск       512           1     ntel  ore processor i5 10400  лицензионная  indows 11  ro 64  it ")</f>
        <v xml:space="preserve"> оноблок  3 2711  27 i510400 16 512 1    in  диагональ экрана 23 8   оперативная память 16       4  ж сткий диск       512           1     ntel  ore processor i5 10400  лицензионная  indows 11  ro 64  it </v>
      </c>
    </row>
    <row r="278" spans="1:8" ht="63.75" x14ac:dyDescent="0.2">
      <c r="A278" s="13" t="s">
        <v>586</v>
      </c>
      <c r="B278" s="22" t="s">
        <v>587</v>
      </c>
      <c r="C278" s="14"/>
      <c r="D278" s="19" t="s">
        <v>14</v>
      </c>
      <c r="E278" s="20">
        <v>1</v>
      </c>
      <c r="F278" s="24">
        <v>6.6</v>
      </c>
      <c r="G278" s="17">
        <v>369255</v>
      </c>
      <c r="H278" s="18" t="str">
        <f ca="1">IFERROR(__xludf.DUMMYFUNCTION("LOWER(REGEXREPLACE(B278&amp;"" ""&amp;C278,""[^а-яa-z0-9 ]"","" ""))")," оноблок  3 2410  24 i511400 8 256  in11  диагональ экрана 23 8   оперативная память 8       4  ж сткий диск       256     процессор  ntel  ore processor i5 11400  лицензионная  indows 11  ro 64  it ")</f>
        <v xml:space="preserve"> оноблок  3 2410  24 i511400 8 256  in11  диагональ экрана 23 8   оперативная память 8       4  ж сткий диск       256     процессор  ntel  ore processor i5 11400  лицензионная  indows 11  ro 64  it </v>
      </c>
    </row>
    <row r="279" spans="1:8" ht="76.5" x14ac:dyDescent="0.2">
      <c r="A279" s="13" t="s">
        <v>588</v>
      </c>
      <c r="B279" s="22" t="s">
        <v>589</v>
      </c>
      <c r="C279" s="14"/>
      <c r="D279" s="19" t="s">
        <v>14</v>
      </c>
      <c r="E279" s="20">
        <v>1</v>
      </c>
      <c r="F279" s="24">
        <v>6.6</v>
      </c>
      <c r="G279" s="17">
        <v>418134</v>
      </c>
      <c r="H279" s="18" t="str">
        <f ca="1">IFERROR(__xludf.DUMMYFUNCTION("LOWER(REGEXREPLACE(B279&amp;"" ""&amp;C279,""[^а-яa-z0-9 ]"","" ""))")," оноблок  3 2410  24 i511400 16 512 1    in  диагональ экрана 23 8   оперативная память 16       4  ж сткий диск       512            1    процессор  ntel  ore processor i5 11400  лицензионная  indows 11  ro 64  it ")</f>
        <v xml:space="preserve"> оноблок  3 2410  24 i511400 16 512 1    in  диагональ экрана 23 8   оперативная память 16       4  ж сткий диск       512            1    процессор  ntel  ore processor i5 11400  лицензионная  indows 11  ro 64  it </v>
      </c>
    </row>
    <row r="280" spans="1:8" ht="63.75" x14ac:dyDescent="0.2">
      <c r="A280" s="13" t="s">
        <v>590</v>
      </c>
      <c r="B280" s="22" t="s">
        <v>591</v>
      </c>
      <c r="C280" s="14"/>
      <c r="D280" s="19" t="s">
        <v>14</v>
      </c>
      <c r="E280" s="20">
        <v>1</v>
      </c>
      <c r="F280" s="24">
        <v>6.6</v>
      </c>
      <c r="G280" s="17">
        <v>415492</v>
      </c>
      <c r="H280" s="18" t="str">
        <f ca="1">IFERROR(__xludf.DUMMYFUNCTION("LOWER(REGEXREPLACE(B280&amp;"" ""&amp;C280,""[^а-яa-z0-9 ]"","" ""))")," оноблок  3 2711  27 i511400 8 256  in  диагональ экрана 27   оперативная память 8       4  ж сткий диск        256    процессор  ntel  ore processor i5 11400  лицензионная  indows 11  ro 64  it ")</f>
        <v xml:space="preserve"> оноблок  3 2711  27 i511400 8 256  in  диагональ экрана 27   оперативная память 8       4  ж сткий диск        256    процессор  ntel  ore processor i5 11400  лицензионная  indows 11  ro 64  it </v>
      </c>
    </row>
    <row r="281" spans="1:8" ht="76.5" x14ac:dyDescent="0.2">
      <c r="A281" s="13" t="s">
        <v>592</v>
      </c>
      <c r="B281" s="22" t="s">
        <v>593</v>
      </c>
      <c r="C281" s="14"/>
      <c r="D281" s="19" t="s">
        <v>14</v>
      </c>
      <c r="E281" s="20">
        <v>1</v>
      </c>
      <c r="F281" s="24">
        <v>6.6</v>
      </c>
      <c r="G281" s="17">
        <v>444555</v>
      </c>
      <c r="H281" s="18" t="str">
        <f ca="1">IFERROR(__xludf.DUMMYFUNCTION("LOWER(REGEXREPLACE(B281&amp;"" ""&amp;C281,""[^а-яa-z0-9 ]"","" ""))")," оноблок  3 2711  27 i511400 8 256 1    in  диагональ экрана 27   оперативная память 16       4  ж сткий диск       256            1     процессор  ntel  ore processor i5 11400  лицензионная  indows 11  ro 64  it ")</f>
        <v xml:space="preserve"> оноблок  3 2711  27 i511400 8 256 1    in  диагональ экрана 27   оперативная память 16       4  ж сткий диск       256            1     процессор  ntel  ore processor i5 11400  лицензионная  indows 11  ro 64  it </v>
      </c>
    </row>
    <row r="282" spans="1:8" ht="63.75" x14ac:dyDescent="0.2">
      <c r="A282" s="13" t="s">
        <v>594</v>
      </c>
      <c r="B282" s="22" t="s">
        <v>595</v>
      </c>
      <c r="C282" s="14"/>
      <c r="D282" s="19" t="s">
        <v>14</v>
      </c>
      <c r="E282" s="20">
        <v>1</v>
      </c>
      <c r="F282" s="24">
        <v>6.6</v>
      </c>
      <c r="G282" s="17">
        <v>364632</v>
      </c>
      <c r="H282" s="18" t="str">
        <f ca="1">IFERROR(__xludf.DUMMYFUNCTION("LOWER(REGEXREPLACE(B282&amp;"" ""&amp;C282,""[^а-яa-z0-9 ]"","" ""))")," оноблок  3 2410  24 i312100 8 256  in11  диагональ экрана 23 8   оперативная память 8       4  ж сткий диск       256      ntel  ore processor i3 12100  лицензионная  indows 11  ro 64  it ")</f>
        <v xml:space="preserve"> оноблок  3 2410  24 i312100 8 256  in11  диагональ экрана 23 8   оперативная память 8       4  ж сткий диск       256      ntel  ore processor i3 12100  лицензионная  indows 11  ro 64  it </v>
      </c>
    </row>
    <row r="283" spans="1:8" ht="76.5" x14ac:dyDescent="0.2">
      <c r="A283" s="13" t="s">
        <v>596</v>
      </c>
      <c r="B283" s="22" t="s">
        <v>597</v>
      </c>
      <c r="C283" s="14"/>
      <c r="D283" s="19" t="s">
        <v>14</v>
      </c>
      <c r="E283" s="20">
        <v>1</v>
      </c>
      <c r="F283" s="24">
        <v>6.6</v>
      </c>
      <c r="G283" s="17">
        <v>413511</v>
      </c>
      <c r="H283" s="18" t="str">
        <f ca="1">IFERROR(__xludf.DUMMYFUNCTION("LOWER(REGEXREPLACE(B283&amp;"" ""&amp;C283,""[^а-яa-z0-9 ]"","" ""))")," оноблок  3 2410  24 i312100 16 512 1    in  диагональ экрана 23 8   оперативная память 16       4  ж сткий диск        512            1     процессор  ntel  ore processor i5 12400  лицензионная  indows 11  ro 64  it ")</f>
        <v xml:space="preserve"> оноблок  3 2410  24 i312100 16 512 1    in  диагональ экрана 23 8   оперативная память 16       4  ж сткий диск        512            1     процессор  ntel  ore processor i5 12400  лицензионная  indows 11  ro 64  it </v>
      </c>
    </row>
    <row r="284" spans="1:8" ht="51" x14ac:dyDescent="0.2">
      <c r="A284" s="13" t="s">
        <v>598</v>
      </c>
      <c r="B284" s="22" t="s">
        <v>599</v>
      </c>
      <c r="C284" s="14"/>
      <c r="D284" s="19" t="s">
        <v>14</v>
      </c>
      <c r="E284" s="20">
        <v>1</v>
      </c>
      <c r="F284" s="24">
        <v>7.6</v>
      </c>
      <c r="G284" s="17">
        <v>451824</v>
      </c>
      <c r="H284" s="18" t="str">
        <f ca="1">IFERROR(__xludf.DUMMYFUNCTION("LOWER(REGEXREPLACE(B284&amp;"" ""&amp;C284,""[^а-яa-z0-9 ]"","" ""))")," оноблок  3 2711  27 i512400 8 256  in  диагональ экрана 27   оперативная память 8       4  ж сткий диск       256     процессор  ntel  ore processor i5 12400 ")</f>
        <v xml:space="preserve"> оноблок  3 2711  27 i512400 8 256  in  диагональ экрана 27   оперативная память 8       4  ж сткий диск       256     процессор  ntel  ore processor i5 12400 </v>
      </c>
    </row>
    <row r="285" spans="1:8" ht="63.75" x14ac:dyDescent="0.2">
      <c r="A285" s="13" t="s">
        <v>600</v>
      </c>
      <c r="B285" s="22" t="s">
        <v>601</v>
      </c>
      <c r="C285" s="14"/>
      <c r="D285" s="19" t="s">
        <v>14</v>
      </c>
      <c r="E285" s="20">
        <v>1</v>
      </c>
      <c r="F285" s="24">
        <v>7.6</v>
      </c>
      <c r="G285" s="17">
        <v>480887</v>
      </c>
      <c r="H285" s="18" t="str">
        <f ca="1">IFERROR(__xludf.DUMMYFUNCTION("LOWER(REGEXREPLACE(B285&amp;"" ""&amp;C285,""[^а-яa-z0-9 ]"","" ""))")," оноблок  3 2711  27 i512400 8 256 1    in  оперативная память 8       4  ж сткий диск       256           1     процессор  ntel  ore processor i5 12400  лицензионная  indows 11  ro 64  it ")</f>
        <v xml:space="preserve"> оноблок  3 2711  27 i512400 8 256 1    in  оперативная память 8       4  ж сткий диск       256           1     процессор  ntel  ore processor i5 12400  лицензионная  indows 11  ro 64  it </v>
      </c>
    </row>
    <row r="286" spans="1:8" ht="178.5" x14ac:dyDescent="0.2">
      <c r="A286" s="13" t="s">
        <v>602</v>
      </c>
      <c r="B286" s="14" t="s">
        <v>603</v>
      </c>
      <c r="C286" s="14" t="s">
        <v>604</v>
      </c>
      <c r="D286" s="19" t="s">
        <v>68</v>
      </c>
      <c r="E286" s="20">
        <v>2</v>
      </c>
      <c r="F286" s="24">
        <v>8.8000000000000007</v>
      </c>
      <c r="G286" s="17">
        <v>456419</v>
      </c>
      <c r="H286" s="18" t="str">
        <f ca="1">IFERROR(__xludf.DUMMYFUNCTION("LOWER(REGEXREPLACE(B286&amp;"" ""&amp;C286,""[^а-яa-z0-9 ]"","" ""))")," оноблок типа  3   6   исплей  23 8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"&amp;"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онтрастно"&amp;"сть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"&amp;" атчик отпечатка пальца  4 х     3 0  ype    1 x          1 x           1 x    1 2  1 х         45 100 и 1000  бит с   1 x  ine  ut  ack 3 5mm  1 x  ic  n  ack 3 5mm  1 х power connector   орты ввода вывода на боковой панели корпуса  1 х     3 0  ype    2"&amp;"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f>
        <v xml:space="preserve"> оноблок типа  3   6   исплей  23 8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атчик отпечатка пальца  4 х     3 0  ype    1 x          1 x           1 x    1 2  1 х         45 100 и 1000  бит с   1 x  ine  ut  ack 3 5mm  1 x  ic  n  ack 3 5mm  1 х power connector   орты ввода вывода на боковой панели корпуса  1 х     3 0  ype    2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v>
      </c>
    </row>
    <row r="287" spans="1:8" ht="165.75" x14ac:dyDescent="0.2">
      <c r="A287" s="13" t="s">
        <v>605</v>
      </c>
      <c r="B287" s="14" t="s">
        <v>606</v>
      </c>
      <c r="C287" s="14" t="s">
        <v>607</v>
      </c>
      <c r="D287" s="19" t="s">
        <v>68</v>
      </c>
      <c r="E287" s="20">
        <v>2</v>
      </c>
      <c r="F287" s="24">
        <v>9.4</v>
      </c>
      <c r="G287" s="17">
        <v>456421</v>
      </c>
      <c r="H287" s="18" t="str">
        <f ca="1">IFERROR(__xludf.DUMMYFUNCTION("LOWER(REGEXREPLACE(B287&amp;"" ""&amp;C287,""[^а-яa-z0-9 ]"","" ""))")," оноблок типа  3   6   исплей  27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"&amp;"вердотельный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онтрастност"&amp;"ь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ат"&amp;"чик отпечатка пальца  4 х     3 0  ype    1 x          1 x           1 x    1 2  1 х         45 100 и 1000  бит с   1 x  ine  ut  ack 3 5mm  1 x  ic  n  ack 3 5mm  1 х power connector   орты ввода вывода на боковой панели корпуса  1 х     3 0  ype    2 х "&amp;"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f>
        <v xml:space="preserve"> оноблок типа  3   6   исплей  27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атчик отпечатка пальца  4 х     3 0  ype    1 x          1 x           1 x    1 2  1 х         45 100 и 1000  бит с   1 x  ine  ut  ack 3 5mm  1 x  ic  n  ack 3 5mm  1 х power connector   орты ввода вывода на боковой панели корпуса  1 х     3 0  ype    2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v>
      </c>
    </row>
    <row r="288" spans="1:8" ht="114.75" x14ac:dyDescent="0.2">
      <c r="A288" s="13" t="s">
        <v>608</v>
      </c>
      <c r="B288" s="22" t="s">
        <v>609</v>
      </c>
      <c r="C288" s="14" t="s">
        <v>610</v>
      </c>
      <c r="D288" s="19" t="s">
        <v>68</v>
      </c>
      <c r="E288" s="20">
        <v>2</v>
      </c>
      <c r="F288" s="24">
        <v>8.8000000000000007</v>
      </c>
      <c r="G288" s="17">
        <v>396664</v>
      </c>
      <c r="H288" s="18" t="str">
        <f ca="1">IFERROR(__xludf.DUMMYFUNCTION("LOWER(REGEXREPLACE(B288&amp;"" ""&amp;C288,""[^а-яa-z0-9 ]"","" ""))")," оноблок типа  3   ori   исплей  23 8 дюймов   ип матрицы        оотношение сторон  16 9   азрешение  1920 x 1080  ull      становленная оперативная память  8  б   астота функционирования  3200   ц   ип памяти     4   орм фактор оперативной памяти        "&amp;"    вердотельный накопитель        мкость накопителя  512 b  лавиатура и мышь   амера 2     строенными микрофоном 2 штук   инамики 2 шт по 3   1 слот для kensington lock  3 х     2 0  ype    2 х     3 0  ype    1 x       1 х    45 1 х power connector   ор"&amp;"ты ввода вывода на боковой панели корпуса  1 х     3 0  ype    1 х      ype    1 х 2in1 combo jack   1 x  ine  ut  ack 3 5mm  1 x  ic  n  ack 3 5mm   роцессор   7 13620    бщее количество ядер  10   оличество потоков  16   актовая частота  2 4   ц   аксим"&amp;"альная тактовая частота  4 9   ц   бъем кэша третьего уровня  24  б ")</f>
        <v xml:space="preserve"> оноблок типа  3   ori   исплей  23 8 дюймов   ип матрицы        оотношение сторон  16 9   азрешение  1920 x 1080  ull      становленная оперативная память  8  б   астота функционирования  3200   ц   ип памяти     4   орм фактор оперативной памяти            вердотельный накопитель        мкость накопителя  512 b  лавиатура и мышь   амера 2     строенными микрофоном 2 штук   инамики 2 шт по 3   1 слот для kensington lock  3 х     2 0  ype    2 х     3 0  ype    1 x       1 х    45 1 х power connector   орты ввода вывода на боковой панели корпуса  1 х     3 0  ype    1 х      ype    1 х 2in1 combo jack   1 x  ine  ut  ack 3 5mm  1 x  ic  n  ack 3 5mm   роцессор   7 13620    бщее количество ядер  10   оличество потоков  16   актовая частота  2 4   ц   аксимальная тактовая частота  4 9   ц   бъем кэша третьего уровня  24  б </v>
      </c>
    </row>
    <row r="289" spans="1:8" ht="12.75" x14ac:dyDescent="0.2">
      <c r="A289" s="13" t="s">
        <v>611</v>
      </c>
      <c r="B289" s="14" t="s">
        <v>612</v>
      </c>
      <c r="C289" s="14"/>
      <c r="D289" s="19" t="s">
        <v>14</v>
      </c>
      <c r="E289" s="16"/>
      <c r="F289" s="15"/>
      <c r="G289" s="17"/>
      <c r="H289" s="18" t="str">
        <f ca="1">IFERROR(__xludf.DUMMYFUNCTION("LOWER(REGEXREPLACE(B289&amp;"" ""&amp;C289,""[^а-яa-z0-9 ]"","" ""))"),"    ")</f>
        <v xml:space="preserve">    </v>
      </c>
    </row>
    <row r="290" spans="1:8" ht="76.5" x14ac:dyDescent="0.2">
      <c r="A290" s="13" t="s">
        <v>613</v>
      </c>
      <c r="B290" s="14" t="s">
        <v>614</v>
      </c>
      <c r="C290" s="14" t="s">
        <v>615</v>
      </c>
      <c r="D290" s="19" t="s">
        <v>14</v>
      </c>
      <c r="E290" s="20">
        <v>2</v>
      </c>
      <c r="F290" s="21">
        <v>25</v>
      </c>
      <c r="G290" s="17">
        <v>391443</v>
      </c>
      <c r="H290" s="18" t="str">
        <f ca="1">IFERROR(__xludf.DUMMYFUNCTION("LOWER(REGEXREPLACE(B290&amp;"" ""&amp;C290,""[^а-яa-z0-9 ]"","" ""))"),"     атюша  247  монохромный лазерный  принтер копир сканер факс  47 стр мин  4      печать  1200 dpi   канер цвет  4  3  до 60 стр мин      800   ц  4 ядра   1  б       thernet           host   i  i    3                     50 листов 6  панель управления"&amp;"  клавиатура   онер 3 000 отп   заменяемый 13 000 отп ")</f>
        <v xml:space="preserve">     атюша  247  монохромный лазерный  принтер копир сканер факс  47 стр мин  4      печать  1200 dpi   канер цвет  4  3  до 60 стр мин      800   ц  4 ядра   1  б       thernet           host   i  i    3                     50 листов 6  панель управления  клавиатура   онер 3 000 отп   заменяемый 13 000 отп </v>
      </c>
    </row>
    <row r="291" spans="1:8" ht="76.5" x14ac:dyDescent="0.2">
      <c r="A291" s="13" t="s">
        <v>616</v>
      </c>
      <c r="B291" s="14" t="s">
        <v>617</v>
      </c>
      <c r="C291" s="14" t="s">
        <v>615</v>
      </c>
      <c r="D291" s="19" t="s">
        <v>14</v>
      </c>
      <c r="E291" s="20">
        <v>2</v>
      </c>
      <c r="F291" s="21">
        <v>25</v>
      </c>
      <c r="G291" s="17">
        <v>396558</v>
      </c>
      <c r="H291" s="18" t="str">
        <f ca="1">IFERROR(__xludf.DUMMYFUNCTION("LOWER(REGEXREPLACE(B291&amp;"" ""&amp;C291,""[^а-яa-z0-9 ]"","" ""))"),"     атюша  247e  монохромный лазерный  принтер копир сканер факс  47 стр мин  4      печать  1200 dpi   канер цвет  4  3  до 60 стр мин      1   ц  1          thernet           host   i  i    3                     50 листов 6  панель управления  клавиату"&amp;"ра   онер 3 000 отп   заменяемый 13 000 отп ")</f>
        <v xml:space="preserve">     атюша  247e  монохромный лазерный  принтер копир сканер факс  47 стр мин  4      печать  1200 dpi   канер цвет  4  3  до 60 стр мин      1   ц  1          thernet           host   i  i    3                     50 листов 6  панель управления  клавиатура   онер 3 000 отп   заменяемый 13 000 отп </v>
      </c>
    </row>
    <row r="292" spans="1:8" ht="76.5" x14ac:dyDescent="0.2">
      <c r="A292" s="13" t="s">
        <v>618</v>
      </c>
      <c r="B292" s="22" t="s">
        <v>619</v>
      </c>
      <c r="C292" s="14" t="s">
        <v>620</v>
      </c>
      <c r="D292" s="19" t="s">
        <v>14</v>
      </c>
      <c r="E292" s="20">
        <v>2</v>
      </c>
      <c r="F292" s="24">
        <v>66.400000000000006</v>
      </c>
      <c r="G292" s="17">
        <v>1572509</v>
      </c>
      <c r="H292" s="18" t="str">
        <f ca="1">IFERROR(__xludf.DUMMYFUNCTION("LOWER(REGEXREPLACE(B292&amp;"" ""&amp;C292,""[^а-яa-z0-9 ]"","" ""))"),"     атюша  348  монохромный лазерный цветной  принтер копир сканер   3  48 стр мин      печать  4  1200 dpi   канер цвет  4  3 до 70 стр мин      1 2  ц  2  б       thernet           host    3                100 листов 10 1  панель   онер 20 000 отп   за"&amp;"мена 30 000 отп  до 200 000 отп мес ")</f>
        <v xml:space="preserve">     атюша  348  монохромный лазерный цветной  принтер копир сканер   3  48 стр мин      печать  4  1200 dpi   канер цвет  4  3 до 70 стр мин      1 2  ц  2  б       thernet           host    3                100 листов 10 1  панель   онер 20 000 отп   замена 30 000 отп  до 200 000 отп мес </v>
      </c>
    </row>
    <row r="293" spans="1:8" ht="38.25" x14ac:dyDescent="0.2">
      <c r="A293" s="13" t="s">
        <v>621</v>
      </c>
      <c r="B293" s="14" t="s">
        <v>622</v>
      </c>
      <c r="C293" s="14" t="s">
        <v>508</v>
      </c>
      <c r="D293" s="19" t="s">
        <v>14</v>
      </c>
      <c r="E293" s="20">
        <v>2</v>
      </c>
      <c r="F293" s="24">
        <v>13.1</v>
      </c>
      <c r="G293" s="17">
        <v>141644</v>
      </c>
      <c r="H293" s="18" t="str">
        <f ca="1">IFERROR(__xludf.DUMMYFUNCTION("LOWER(REGEXREPLACE(B293&amp;"" ""&amp;C293,""[^а-яa-z0-9 ]"","" ""))"),"     атюша  133  монохромный лазерный  принтер копир сканер  33 стр мин  4      1200 dpi  512         thernet           host  онер в комплекте на 700 отп")</f>
        <v xml:space="preserve">     атюша  133  монохромный лазерный  принтер копир сканер  33 стр мин  4      1200 dpi  512         thernet           host  онер в комплекте на 700 отп</v>
      </c>
    </row>
    <row r="294" spans="1:8" ht="63.75" x14ac:dyDescent="0.2">
      <c r="A294" s="13" t="s">
        <v>623</v>
      </c>
      <c r="B294" s="14" t="s">
        <v>624</v>
      </c>
      <c r="C294" s="14" t="s">
        <v>625</v>
      </c>
      <c r="D294" s="19" t="s">
        <v>14</v>
      </c>
      <c r="E294" s="20">
        <v>2</v>
      </c>
      <c r="F294" s="21">
        <v>13</v>
      </c>
      <c r="G294" s="17">
        <v>234119</v>
      </c>
      <c r="H294" s="18" t="str">
        <f ca="1">IFERROR(__xludf.DUMMYFUNCTION("LOWER(REGEXREPLACE(B294&amp;"" ""&amp;C294,""[^а-яa-z0-9 ]"","" ""))"),"     атюша  240  монохромный светодиодный  принтер копир сканер факс  40 стр мин  4  ч б  1200 dpi   кан  цвет чб 1200 dpi  4         1000  б  thernet  1200   ц          host  75 листов  онер в комплекте 3 000 отпечатков")</f>
        <v xml:space="preserve">     атюша  240  монохромный светодиодный  принтер копир сканер факс  40 стр мин  4  ч б  1200 dpi   кан  цвет чб 1200 dpi  4         1000  б  thernet  1200   ц          host  75 листов  онер в комплекте 3 000 отпечатков</v>
      </c>
    </row>
    <row r="295" spans="1:8" ht="51" x14ac:dyDescent="0.2">
      <c r="A295" s="13" t="s">
        <v>626</v>
      </c>
      <c r="B295" s="14" t="s">
        <v>627</v>
      </c>
      <c r="C295" s="14"/>
      <c r="D295" s="19" t="s">
        <v>14</v>
      </c>
      <c r="E295" s="20">
        <v>2</v>
      </c>
      <c r="F295" s="21">
        <v>13</v>
      </c>
      <c r="G295" s="17">
        <v>180157</v>
      </c>
      <c r="H295" s="18" t="str">
        <f ca="1">IFERROR(__xludf.DUMMYFUNCTION("LOWER(REGEXREPLACE(B295&amp;"" ""&amp;C295,""[^а-яa-z0-9 ]"","" ""))"),"     атюша  140  монохромный светодиодный  принтер копир сканер  40 стр мин  4       кан  цвет чб      1200   ц  1          thernet      ")</f>
        <v xml:space="preserve">     атюша  140  монохромный светодиодный  принтер копир сканер  40 стр мин  4       кан  цвет чб      1200   ц  1          thernet      </v>
      </c>
    </row>
    <row r="296" spans="1:8" ht="51" x14ac:dyDescent="0.2">
      <c r="A296" s="13" t="s">
        <v>628</v>
      </c>
      <c r="B296" s="14" t="s">
        <v>629</v>
      </c>
      <c r="C296" s="14"/>
      <c r="D296" s="19" t="s">
        <v>14</v>
      </c>
      <c r="E296" s="20">
        <v>2</v>
      </c>
      <c r="F296" s="24">
        <v>13.7</v>
      </c>
      <c r="G296" s="17">
        <v>209611</v>
      </c>
      <c r="H296" s="18" t="str">
        <f ca="1">IFERROR(__xludf.DUMMYFUNCTION("LOWER(REGEXREPLACE(B296&amp;"" ""&amp;C296,""[^а-яa-z0-9 ]"","" ""))"),"     атюша  140   монохромный светодиодный  принтер копир сканер  40 стр мин  4       кан  цвет чб  большой лоток для бумаги      1200   ц  2          thernet      ")</f>
        <v xml:space="preserve">     атюша  140   монохромный светодиодный  принтер копир сканер  40 стр мин  4       кан  цвет чб  большой лоток для бумаги      1200   ц  2          thernet      </v>
      </c>
    </row>
    <row r="297" spans="1:8" ht="63.75" x14ac:dyDescent="0.2">
      <c r="A297" s="13" t="s">
        <v>630</v>
      </c>
      <c r="B297" s="14" t="s">
        <v>631</v>
      </c>
      <c r="C297" s="14"/>
      <c r="D297" s="19" t="s">
        <v>14</v>
      </c>
      <c r="E297" s="20">
        <v>2</v>
      </c>
      <c r="F297" s="24">
        <v>13.7</v>
      </c>
      <c r="G297" s="17">
        <v>288209</v>
      </c>
      <c r="H297" s="18" t="str">
        <f ca="1">IFERROR(__xludf.DUMMYFUNCTION("LOWER(REGEXREPLACE(B297&amp;"" ""&amp;C297,""[^а-яa-z0-9 ]"","" ""))"),"     атюша  240   монохромный светодиодный  принтер копир сканер факс  40 стр мин  4  ч б  1200 dpi   кан  цвет чб  большой лоток для бумаги  1000  б  thernet           host ")</f>
        <v xml:space="preserve">     атюша  240   монохромный светодиодный  принтер копир сканер факс  40 стр мин  4  ч б  1200 dpi   кан  цвет чб  большой лоток для бумаги  1000  б  thernet           host </v>
      </c>
    </row>
    <row r="298" spans="1:8" ht="114.75" x14ac:dyDescent="0.2">
      <c r="A298" s="13" t="s">
        <v>632</v>
      </c>
      <c r="B298" s="22" t="s">
        <v>633</v>
      </c>
      <c r="C298" s="14" t="s">
        <v>634</v>
      </c>
      <c r="D298" s="19" t="s">
        <v>68</v>
      </c>
      <c r="E298" s="20">
        <v>2</v>
      </c>
      <c r="F298" s="21">
        <v>106</v>
      </c>
      <c r="G298" s="17">
        <v>1308161</v>
      </c>
      <c r="H298" s="18" t="str">
        <f ca="1">IFERROR(__xludf.DUMMYFUNCTION("LOWER(REGEXREPLACE(B298&amp;"" ""&amp;C298,""[^а-яa-z0-9 ]"","" ""))"),"     indoh  511  монохромный лазерный  принтер копир сканер   3  28 стр мин  1800х600 dpi   втоподатчик    628  130 листов  скорость сканирования до 45 стр мин   агрузка до 28 000 отп мес   роцессор 1 2  ц  2 ядра   2  б  4 б макс        250         1000 "&amp;" б  thernet           host    3     5 6   умага 60 220 г м2  подача 1100 листов  вывод 250 листов 7  панель управления   втоподатчик  тонер и тумба для хранения и наполного размещения в комплекте")</f>
        <v xml:space="preserve">     indoh  511  монохромный лазерный  принтер копир сканер   3  28 стр мин  1800х600 dpi   втоподатчик    628  130 листов  скорость сканирования до 45 стр мин   агрузка до 28 000 отп мес   роцессор 1 2  ц  2 ядра   2  б  4 б макс        250         1000  б  thernet           host    3     5 6   умага 60 220 г м2  подача 1100 листов  вывод 250 листов 7  панель управления   втоподатчик  тонер и тумба для хранения и наполного размещения в комплекте</v>
      </c>
    </row>
    <row r="299" spans="1:8" ht="114.75" x14ac:dyDescent="0.2">
      <c r="A299" s="13" t="s">
        <v>635</v>
      </c>
      <c r="B299" s="22" t="s">
        <v>636</v>
      </c>
      <c r="C299" s="14" t="s">
        <v>634</v>
      </c>
      <c r="D299" s="19" t="s">
        <v>68</v>
      </c>
      <c r="E299" s="20">
        <v>2</v>
      </c>
      <c r="F299" s="21">
        <v>106</v>
      </c>
      <c r="G299" s="17">
        <v>1527681</v>
      </c>
      <c r="H299" s="18" t="str">
        <f ca="1">IFERROR(__xludf.DUMMYFUNCTION("LOWER(REGEXREPLACE(B299&amp;"" ""&amp;C299,""[^а-яa-z0-9 ]"","" ""))"),"     indoh  512  монохромный лазерный  принтер копир сканер   3  36 стр мин  1800х600 dpi   втоподатчик    628  130 листов  скорость сканирования до 45 стр мин   агрузка до 48 000 отп мес   роцессор 1 2  ц  2  б  4 б макс        250         1000  б  thern"&amp;"et           host    3     5 6   умага 60 220 г м2  подача 1100 листов  вывод 250 листов 7  панель управления   втоподатчик  тонер и тумба для хранения и наполного размещения в комплекте")</f>
        <v xml:space="preserve">     indoh  512  монохромный лазерный  принтер копир сканер   3  36 стр мин  1800х600 dpi   втоподатчик    628  130 листов  скорость сканирования до 45 стр мин   агрузка до 48 000 отп мес   роцессор 1 2  ц  2  б  4 б макс        250         1000  б  thernet           host    3     5 6   умага 60 220 г м2  подача 1100 листов  вывод 250 листов 7  панель управления   втоподатчик  тонер и тумба для хранения и наполного размещения в комплекте</v>
      </c>
    </row>
    <row r="300" spans="1:8" ht="114.75" x14ac:dyDescent="0.2">
      <c r="A300" s="13" t="s">
        <v>637</v>
      </c>
      <c r="B300" s="22" t="s">
        <v>638</v>
      </c>
      <c r="C300" s="14" t="s">
        <v>639</v>
      </c>
      <c r="D300" s="19" t="s">
        <v>68</v>
      </c>
      <c r="E300" s="20">
        <v>2</v>
      </c>
      <c r="F300" s="21">
        <v>117</v>
      </c>
      <c r="G300" s="17">
        <v>2024902</v>
      </c>
      <c r="H300" s="18" t="str">
        <f ca="1">IFERROR(__xludf.DUMMYFUNCTION("LOWER(REGEXREPLACE(B300&amp;"" ""&amp;C300,""[^а-яa-z0-9 ]"","" ""))"),"     indoh  330e полноцветный лазерный принтер копир сканер   3  22 стр мин  1800х600 dpi   втоподатчик    633  130 листов  скорость сканирования до 55 стр мин   о 80 000 отп мес      1 6  ц  4 ядра   6  б      256         1000  б  thernet           host "&amp;"   3     5 6   умага 60 256 г м2  подача 1100 листов  вывод 250 листов 7  панель управления   лок фотобарабана       80 70 000 отпечатков   втоподатчик  комплект тонеров и тумба для хранения и наполного размещения в комплекте")</f>
        <v xml:space="preserve">     indoh  330e полноцветный лазерный принтер копир сканер   3  22 стр мин  1800х600 dpi   втоподатчик    633  130 листов  скорость сканирования до 55 стр мин   о 80 000 отп мес      1 6  ц  4 ядра   6  б      256         1000  б  thernet           host    3     5 6   умага 60 256 г м2  подача 1100 листов  вывод 250 листов 7  панель управления   лок фотобарабана       80 70 000 отпечатков   втоподатчик  комплект тонеров и тумба для хранения и наполного размещения в комплекте</v>
      </c>
    </row>
    <row r="301" spans="1:8" ht="114.75" x14ac:dyDescent="0.2">
      <c r="A301" s="13" t="s">
        <v>640</v>
      </c>
      <c r="B301" s="22" t="s">
        <v>641</v>
      </c>
      <c r="C301" s="14" t="s">
        <v>642</v>
      </c>
      <c r="D301" s="19" t="s">
        <v>68</v>
      </c>
      <c r="E301" s="20">
        <v>2</v>
      </c>
      <c r="F301" s="21">
        <v>117</v>
      </c>
      <c r="G301" s="17">
        <v>2201611</v>
      </c>
      <c r="H301" s="18" t="str">
        <f ca="1">IFERROR(__xludf.DUMMYFUNCTION("LOWER(REGEXREPLACE(B301&amp;"" ""&amp;C301,""[^а-яa-z0-9 ]"","" ""))"),"     indoh  332e полноцветный лазерный принтер копир сканер   3  28 стр мин  1800х600 dpi   втоподатчик    633  130 листов  скорость сканирования до 55 стр мин   о 108 000 отп мес      1 6  ц  4 ядра   6  б      256         1000  б  thernet           host"&amp;"    3     5 6   умага 60 256 г м2  подача 1100 листов  вывод 250 листов 7  панель управления   лок фотобарабана       105 90 000 отпечатков   втоподатчик  комплект тонеров и тумба для хранения и наполного размещения в комплекте")</f>
        <v xml:space="preserve">     indoh  332e полноцветный лазерный принтер копир сканер   3  28 стр мин  1800х600 dpi   втоподатчик    633  130 листов  скорость сканирования до 55 стр мин   о 108 000 отп мес      1 6  ц  4 ядра   6  б      256         1000  б  thernet           host    3     5 6   умага 60 256 г м2  подача 1100 листов  вывод 250 листов 7  панель управления   лок фотобарабана       105 90 000 отпечатков   втоподатчик  комплект тонеров и тумба для хранения и наполного размещения в комплекте</v>
      </c>
    </row>
    <row r="302" spans="1:8" ht="89.25" x14ac:dyDescent="0.2">
      <c r="A302" s="13" t="s">
        <v>643</v>
      </c>
      <c r="B302" s="22" t="s">
        <v>644</v>
      </c>
      <c r="C302" s="14" t="s">
        <v>645</v>
      </c>
      <c r="D302" s="19" t="s">
        <v>14</v>
      </c>
      <c r="E302" s="20">
        <v>2</v>
      </c>
      <c r="F302" s="21">
        <v>14</v>
      </c>
      <c r="G302" s="17">
        <v>147663</v>
      </c>
      <c r="H302" s="18" t="str">
        <f ca="1">IFERROR(__xludf.DUMMYFUNCTION("LOWER(REGEXREPLACE(B302&amp;"" ""&amp;C302,""[^а-яa-z0-9 ]"","" ""))"),"     indoh  500  монохромный лазерный  принтер копир сканер факс  34 стр мин  4     печать копирование  2400x600 dpi   агрузка до 30 000 отп мес   канер цвет  4 до 23 стр мин      1  ц  2  дра  512  б       thernet           host   i  i   ir rint         "&amp;"         втоподатчик оригиналов 50 листов   тартовый тонер на 700 отпечатков")</f>
        <v xml:space="preserve">     indoh  500  монохромный лазерный  принтер копир сканер факс  34 стр мин  4     печать копирование  2400x600 dpi   агрузка до 30 000 отп мес   канер цвет  4 до 23 стр мин      1  ц  2  дра  512  б       thernet           host   i  i   ir rint                  втоподатчик оригиналов 50 листов   тартовый тонер на 700 отпечатков</v>
      </c>
    </row>
    <row r="303" spans="1:8" ht="102" x14ac:dyDescent="0.2">
      <c r="A303" s="13" t="s">
        <v>646</v>
      </c>
      <c r="B303" s="14" t="s">
        <v>647</v>
      </c>
      <c r="C303" s="14"/>
      <c r="D303" s="19" t="s">
        <v>14</v>
      </c>
      <c r="E303" s="20">
        <v>2</v>
      </c>
      <c r="F303" s="24">
        <v>26.3</v>
      </c>
      <c r="G303" s="17">
        <v>272279</v>
      </c>
      <c r="H303" s="18" t="str">
        <f ca="1">IFERROR(__xludf.DUMMYFUNCTION("LOWER(REGEXREPLACE(B303&amp;"" ""&amp;C303,""[^а-яa-z0-9 ]"","" ""))"),"     indoh  300 цветной лазерный   4 принтер копир сканер факс  24 стр мин  4 цветная печать копирование  2400x600 dpi   канер цвет  4 до 90 изобр мин      1  ц  2  дра  1  б       thernet           host   i  i         3           50 л  стартовые тонер ка"&amp;"ртриджи на 1500 отп  ч б и цвет   о 75 000 отп мес ")</f>
        <v xml:space="preserve">     indoh  300 цветной лазерный   4 принтер копир сканер факс  24 стр мин  4 цветная печать копирование  2400x600 dpi   канер цвет  4 до 90 изобр мин      1  ц  2  дра  1  б       thernet           host   i  i         3           50 л  стартовые тонер картриджи на 1500 отп  ч б и цвет   о 75 000 отп мес </v>
      </c>
    </row>
    <row r="304" spans="1:8" ht="63.75" x14ac:dyDescent="0.2">
      <c r="A304" s="13" t="s">
        <v>648</v>
      </c>
      <c r="B304" s="14" t="s">
        <v>649</v>
      </c>
      <c r="C304" s="14" t="s">
        <v>650</v>
      </c>
      <c r="D304" s="19" t="s">
        <v>14</v>
      </c>
      <c r="E304" s="20">
        <v>2</v>
      </c>
      <c r="F304" s="24">
        <v>65.5</v>
      </c>
      <c r="G304" s="17">
        <v>1560746</v>
      </c>
      <c r="H304" s="18" t="str">
        <f ca="1">IFERROR(__xludf.DUMMYFUNCTION("LOWER(REGEXREPLACE(B304&amp;"" ""&amp;C304,""[^а-яa-z0-9 ]"","" ""))"),"     атюша  325p  монохромный лазерный  принтер копир сканер   3 формат  монохромный  25  4 мин  1200 dpi   канер цвет чб      1200   ц  4          thernet           host 8  панель   онер в комплекте 6000 отп   о 100 000 отп мес ")</f>
        <v xml:space="preserve">     атюша  325p  монохромный лазерный  принтер копир сканер   3 формат  монохромный  25  4 мин  1200 dpi   канер цвет чб      1200   ц  4          thernet           host 8  панель   онер в комплекте 6000 отп   о 100 000 отп мес </v>
      </c>
    </row>
    <row r="305" spans="1:8" ht="63.75" x14ac:dyDescent="0.2">
      <c r="A305" s="13" t="s">
        <v>651</v>
      </c>
      <c r="B305" s="14" t="s">
        <v>652</v>
      </c>
      <c r="C305" s="14" t="s">
        <v>653</v>
      </c>
      <c r="D305" s="19" t="s">
        <v>14</v>
      </c>
      <c r="E305" s="20">
        <v>2</v>
      </c>
      <c r="F305" s="24">
        <v>65.5</v>
      </c>
      <c r="G305" s="17">
        <v>2034912</v>
      </c>
      <c r="H305" s="18" t="str">
        <f ca="1">IFERROR(__xludf.DUMMYFUNCTION("LOWER(REGEXREPLACE(B305&amp;"" ""&amp;C305,""[^а-яa-z0-9 ]"","" ""))"),"     атюша  350p  монохромный лазерный  принтер копир сканер   3 формат  монохромный  50  4 мин  1200 dpi   канер цвет чб      1200   ц  4          thernet           host 8  панель   онер в комплекте 10 000 отп ")</f>
        <v xml:space="preserve">     атюша  350p  монохромный лазерный  принтер копир сканер   3 формат  монохромный  50  4 мин  1200 dpi   канер цвет чб      1200   ц  4          thernet           host 8  панель   онер в комплекте 10 000 отп </v>
      </c>
    </row>
    <row r="306" spans="1:8" ht="63.75" x14ac:dyDescent="0.2">
      <c r="A306" s="13" t="s">
        <v>654</v>
      </c>
      <c r="B306" s="14" t="s">
        <v>655</v>
      </c>
      <c r="C306" s="14" t="s">
        <v>656</v>
      </c>
      <c r="D306" s="19" t="s">
        <v>68</v>
      </c>
      <c r="E306" s="20">
        <v>2</v>
      </c>
      <c r="F306" s="24">
        <v>89.1</v>
      </c>
      <c r="G306" s="17">
        <v>1747104</v>
      </c>
      <c r="H306" s="18" t="str">
        <f ca="1">IFERROR(__xludf.DUMMYFUNCTION("LOWER(REGEXREPLACE(B306&amp;"" ""&amp;C306,""[^а-яa-z0-9 ]"","" ""))"),"     anon image        3326i  цветной  лазерный   3  26 стр мин  1 6   ц  ual  ore  rocessor  2 0 б       функцией цветной печати   3  тип печати   лазерный  26 стр мин  время выхода первой страницы не более 7 секунд  емкость лотка для загрузки бумаги  не"&amp;" менее 250 листов   ип сканера  планшетный с автоподатчиком  1 6  ц  ual  ore  rocessor  2 0 б           стенд стойка  тонеры  10           11 000 стр     k   17 500 стр  ")</f>
        <v xml:space="preserve">     anon image        3326i  цветной  лазерный   3  26 стр мин  1 6   ц  ual  ore  rocessor  2 0 б       функцией цветной печати   3  тип печати   лазерный  26 стр мин  время выхода первой страницы не более 7 секунд  емкость лотка для загрузки бумаги  не менее 250 листов   ип сканера  планшетный с автоподатчиком  1 6  ц  ual  ore  rocessor  2 0 б           стенд стойка  тонеры  10           11 000 стр     k   17 500 стр  </v>
      </c>
    </row>
    <row r="307" spans="1:8" ht="76.5" x14ac:dyDescent="0.2">
      <c r="A307" s="13" t="s">
        <v>657</v>
      </c>
      <c r="B307" s="22" t="s">
        <v>658</v>
      </c>
      <c r="C307" s="14" t="s">
        <v>659</v>
      </c>
      <c r="D307" s="19" t="s">
        <v>68</v>
      </c>
      <c r="E307" s="20">
        <v>2</v>
      </c>
      <c r="F307" s="21">
        <v>20</v>
      </c>
      <c r="G307" s="17">
        <v>255916</v>
      </c>
      <c r="H307" s="18" t="str">
        <f ca="1">IFERROR(__xludf.DUMMYFUNCTION("LOWER(REGEXREPLACE(B307&amp;"" ""&amp;C307,""[^а-яa-z0-9 ]"","" ""))"),"     anon i          1440i  монохромный   4  лазерный  40 стр мин  1 2   ц  rocessor   1 б          2 0  i  peed  10       100        1000 ase     ireless 802 11b g n   ireless  irect  onnection  онохромное   4  тип печати   лазерный  40 стр мин    ремя в"&amp;"ыхода первой страницы  не более 5 секунд   мкость лотка для загрузки бумаги  не менее 250 листов   ип сканера  планшетный с автоподатчиком  1 2   ц  rocessor  1            2 0  i  peed  10       100        1000 ase     ireless 802 11b g n   ireless  irect"&amp;"  onnection       тонер  13   k   10 600 стр  ")</f>
        <v xml:space="preserve">     anon i          1440i  монохромный   4  лазерный  40 стр мин  1 2   ц  rocessor   1 б          2 0  i  peed  10       100        1000 ase     ireless 802 11b g n   ireless  irect  onnection  онохромное   4  тип печати   лазерный  40 стр мин    ремя выхода первой страницы  не более 5 секунд   мкость лотка для загрузки бумаги  не менее 250 листов   ип сканера  планшетный с автоподатчиком  1 2   ц  rocessor  1            2 0  i  peed  10       100        1000 ase     ireless 802 11b g n   ireless  irect  onnection       тонер  13   k   10 600 стр  </v>
      </c>
    </row>
    <row r="308" spans="1:8" ht="76.5" x14ac:dyDescent="0.2">
      <c r="A308" s="13" t="s">
        <v>660</v>
      </c>
      <c r="B308" s="22" t="s">
        <v>661</v>
      </c>
      <c r="C308" s="14" t="s">
        <v>662</v>
      </c>
      <c r="D308" s="19" t="s">
        <v>68</v>
      </c>
      <c r="E308" s="20">
        <v>2</v>
      </c>
      <c r="F308" s="24">
        <v>41.9</v>
      </c>
      <c r="G308" s="17">
        <v>991756</v>
      </c>
      <c r="H308" s="18" t="str">
        <f ca="1">IFERROR(__xludf.DUMMYFUNCTION("LOWER(REGEXREPLACE(B308&amp;"" ""&amp;C308,""[^а-яa-z0-9 ]"","" ""))"),"     anon  1538       цветной   4  лазерный  38 стр  мин  1 6  ц  ual  ore  rocessor  2 0 б      1000 ase   100 ase    10 ase     ireless      ветной  устройство с функцией цветной печати   4  тип печати   лазерный  38 стр  мин   ремя выхода первой страни"&amp;"цы  не более 6 9 секунд   мкость лотка для загрузки бумаги  не менее 250 листов   ип сканера  планшетный с автоподатчиком  1 6  ц  ual  ore  rocessor  2 0 б      1000 ase   100 ase    10 ase     ireless           802 11 b g n       2 0   ost  x2      2 0 "&amp;"  evice  x1       тонеры  10           5000 стр     k   6000 стр  ")</f>
        <v xml:space="preserve">     anon  1538       цветной   4  лазерный  38 стр  мин  1 6  ц  ual  ore  rocessor  2 0 б      1000 ase   100 ase    10 ase     ireless      ветной  устройство с функцией цветной печати   4  тип печати   лазерный  38 стр  мин   ремя выхода первой страницы  не более 6 9 секунд   мкость лотка для загрузки бумаги  не менее 250 листов   ип сканера  планшетный с автоподатчиком  1 6  ц  ual  ore  rocessor  2 0 б      1000 ase   100 ase    10 ase     ireless           802 11 b g n       2 0   ost  x2      2 0   evice  x1       тонеры  10           5000 стр     k   6000 стр  </v>
      </c>
    </row>
    <row r="309" spans="1:8" ht="76.5" x14ac:dyDescent="0.2">
      <c r="A309" s="13" t="s">
        <v>663</v>
      </c>
      <c r="B309" s="14" t="s">
        <v>664</v>
      </c>
      <c r="C309" s="14" t="s">
        <v>665</v>
      </c>
      <c r="D309" s="19" t="s">
        <v>14</v>
      </c>
      <c r="E309" s="20">
        <v>2</v>
      </c>
      <c r="F309" s="21">
        <v>33</v>
      </c>
      <c r="G309" s="17">
        <v>564966</v>
      </c>
      <c r="H309" s="18" t="str">
        <f ca="1">IFERROR(__xludf.DUMMYFUNCTION("LOWER(REGEXREPLACE(B309&amp;"" ""&amp;C309,""[^а-яa-z0-9 ]"","" ""))"),"    монохромное   erox   ersa ink  415     415      лазерное    4  47 стр  мин   подача 650 листов  двусторонний автоподатчик документов  до 98 изобр  мин   сенсорный дисплей 7   1 2   ц      2         32    e         2 0   thernet 10 100 1000        ax  "&amp;"    415  етевой шнур питания  уководство по установке  нформационный буклет о продукте  нструкция по технике безопасности  уклет об обновлении программного обеспечения  иск с программным обеспечением и документацией   рный картридж  ресурс печати   6000 с"&amp;"траниц")</f>
        <v xml:space="preserve">    монохромное   erox   ersa ink  415     415      лазерное    4  47 стр  мин   подача 650 листов  двусторонний автоподатчик документов  до 98 изобр  мин   сенсорный дисплей 7   1 2   ц      2         32    e         2 0   thernet 10 100 1000        ax      415  етевой шнур питания  уководство по установке  нформационный буклет о продукте  нструкция по технике безопасности  уклет об обновлении программного обеспечения  иск с программным обеспечением и документацией   рный картридж  ресурс печати   6000 страниц</v>
      </c>
    </row>
    <row r="310" spans="1:8" ht="89.25" x14ac:dyDescent="0.2">
      <c r="A310" s="13" t="s">
        <v>666</v>
      </c>
      <c r="B310" s="22" t="s">
        <v>667</v>
      </c>
      <c r="C310" s="14" t="s">
        <v>668</v>
      </c>
      <c r="D310" s="19" t="s">
        <v>14</v>
      </c>
      <c r="E310" s="20">
        <v>2</v>
      </c>
      <c r="F310" s="21">
        <v>58</v>
      </c>
      <c r="G310" s="17">
        <v>1035042</v>
      </c>
      <c r="H310" s="18" t="str">
        <f ca="1">IFERROR(__xludf.DUMMYFUNCTION("LOWER(REGEXREPLACE(B310&amp;"" ""&amp;C310,""[^а-яa-z0-9 ]"","" ""))"),"    монохромное   erox   ersa ink  625     625      лазерное   4  61 стр  мин   подача 650 листов  двусторонний автоподатчик документов  до 144 изобр  мин   сенсорный дисплей 7   1 2   ц      4         32    e         2 0   thernet 10 100 1000        ax  "&amp;"    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стран"&amp;"иц ")</f>
        <v xml:space="preserve">    монохромное   erox   ersa ink  625     625      лазерное   4  61 стр  мин   подача 650 листов  двусторонний автоподатчик документов  до 144 изобр  мин   сенсорный дисплей 7   1 2   ц      4         32    e         2 0   thernet 10 100 1000        ax      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v>
      </c>
    </row>
    <row r="311" spans="1:8" ht="76.5" x14ac:dyDescent="0.2">
      <c r="A311" s="13" t="s">
        <v>669</v>
      </c>
      <c r="B311" s="14" t="s">
        <v>670</v>
      </c>
      <c r="C311" s="14" t="s">
        <v>671</v>
      </c>
      <c r="D311" s="19" t="s">
        <v>14</v>
      </c>
      <c r="E311" s="20">
        <v>2</v>
      </c>
      <c r="F311" s="24">
        <v>27.1</v>
      </c>
      <c r="G311" s="17">
        <v>319176</v>
      </c>
      <c r="H311" s="18" t="str">
        <f ca="1">IFERROR(__xludf.DUMMYFUNCTION("LOWER(REGEXREPLACE(B311&amp;"" ""&amp;C311,""[^а-яa-z0-9 ]"","" ""))"),"    цветное   erox   325      325       лазерное цветное   4  33 стр  мин   подача 251 лист  двусторонний автоподатчик документов  до 47 изобр  мин   сенсорный дисплей 4 3   1 2   ц      2         8    e         2 0   thernet 10 100 1000   i  i   ax  ринт"&amp;"ер  erox  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 лтый    ресурс 100"&amp;"0 страниц  ч рный картридж   ресурс 1500 страниц")</f>
        <v xml:space="preserve">    цветное   erox   325      325       лазерное цветное   4  33 стр  мин   подача 251 лист  двусторонний автоподатчик документов  до 47 изобр  мин   сенсорный дисплей 4 3   1 2   ц      2         8    e         2 0   thernet 10 100 1000   i  i   ax  ринтер  erox  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 лтый    ресурс 1000 страниц  ч рный картридж   ресурс 1500 страниц</v>
      </c>
    </row>
    <row r="312" spans="1:8" ht="89.25" x14ac:dyDescent="0.2">
      <c r="A312" s="13" t="s">
        <v>672</v>
      </c>
      <c r="B312" s="22" t="s">
        <v>673</v>
      </c>
      <c r="C312" s="14" t="s">
        <v>674</v>
      </c>
      <c r="D312" s="19" t="s">
        <v>14</v>
      </c>
      <c r="E312" s="20">
        <v>2</v>
      </c>
      <c r="F312" s="21">
        <v>33</v>
      </c>
      <c r="G312" s="17">
        <v>767616</v>
      </c>
      <c r="H312" s="18" t="str">
        <f ca="1">IFERROR(__xludf.DUMMYFUNCTION("LOWER(REGEXREPLACE(B312&amp;"" ""&amp;C312,""[^а-яa-z0-9 ]"","" ""))"),"    цветное   erox   ersa ink  415     415      лазерное   4  40 стр  мин   подача 251 лист  двусторонний автоподатчик документов  до 98 изобр  мин   сенсорный дисплей 7   1 2   ц      2         32    e         2 0   thernet 10 100 1000        ax      ero"&amp;"x  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старто"&amp;"вые картриджи  по одному каждого цвета  голубой  пурпурный  ж лтый    ресурс 2000 страниц  ч рный картридж   ресурс 2400 страниц")</f>
        <v xml:space="preserve">    цветное   erox   ersa ink  415     415      лазерное   4  40 стр  мин   подача 251 лист  двусторонний автоподатчик документов  до 98 изобр  мин   сенсорный дисплей 7   1 2   ц      2         32    e         2 0   thernet 10 100 1000        ax      erox  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стартовые картриджи  по одному каждого цвета  голубой  пурпурный  ж лтый    ресурс 2000 страниц  ч рный картридж   ресурс 2400 страниц</v>
      </c>
    </row>
    <row r="313" spans="1:8" ht="89.25" x14ac:dyDescent="0.2">
      <c r="A313" s="13" t="s">
        <v>675</v>
      </c>
      <c r="B313" s="14" t="s">
        <v>676</v>
      </c>
      <c r="C313" s="14" t="s">
        <v>677</v>
      </c>
      <c r="D313" s="19" t="s">
        <v>14</v>
      </c>
      <c r="E313" s="20">
        <v>2</v>
      </c>
      <c r="F313" s="21">
        <v>53</v>
      </c>
      <c r="G313" s="17">
        <v>1264983</v>
      </c>
      <c r="H313" s="18" t="str">
        <f ca="1">IFERROR(__xludf.DUMMYFUNCTION("LOWER(REGEXREPLACE(B313&amp;"" ""&amp;C313,""[^а-яa-z0-9 ]"","" ""))"),"    цветное   erox   ersa ink  625     625      лазерное    4  50 стр  мин   подача 650 листов  двусторонний автоподатчик документов  до 98 изобр  мин   сенсорный дисплей 7   1 2   ц      4         32    e         2 0   thernet 10 100 1000        ax      "&amp;"erox  625  сетевой шнур питания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"&amp;" голубой  пурпурный  ж лтый    ресурс 7000 страниц  ч рный картридж       ресурс 8000 страниц")</f>
        <v xml:space="preserve">    цветное   erox   ersa ink  625     625      лазерное    4  50 стр  мин   подача 650 листов  двусторонний автоподатчик документов  до 98 изобр  мин   сенсорный дисплей 7   1 2   ц      4         32    e         2 0   thernet 10 100 1000        ax      erox  625  сетевой шнур питания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голубой  пурпурный  ж лтый    ресурс 7000 страниц  ч рный картридж       ресурс 8000 страниц</v>
      </c>
    </row>
    <row r="314" spans="1:8" ht="25.5" x14ac:dyDescent="0.2">
      <c r="A314" s="13" t="s">
        <v>678</v>
      </c>
      <c r="B314" s="14" t="s">
        <v>679</v>
      </c>
      <c r="C314" s="14"/>
      <c r="D314" s="15"/>
      <c r="E314" s="16"/>
      <c r="F314" s="15"/>
      <c r="G314" s="17"/>
      <c r="H314" s="18" t="str">
        <f ca="1">IFERROR(__xludf.DUMMYFUNCTION("LOWER(REGEXREPLACE(B314&amp;"" ""&amp;C314,""[^а-яa-z0-9 ]"","" ""))")," борудование и мебель вспомогательные для групповой комнаты ")</f>
        <v xml:space="preserve"> борудование и мебель вспомогательные для групповой комнаты </v>
      </c>
    </row>
    <row r="315" spans="1:8" ht="12.75" x14ac:dyDescent="0.2">
      <c r="A315" s="13" t="s">
        <v>680</v>
      </c>
      <c r="B315" s="14" t="s">
        <v>681</v>
      </c>
      <c r="C315" s="14"/>
      <c r="D315" s="19" t="s">
        <v>14</v>
      </c>
      <c r="E315" s="16"/>
      <c r="F315" s="15"/>
      <c r="G315" s="17"/>
      <c r="H315" s="18" t="str">
        <f ca="1">IFERROR(__xludf.DUMMYFUNCTION("LOWER(REGEXREPLACE(B315&amp;"" ""&amp;C315,""[^а-яa-z0-9 ]"","" ""))")," каф для посуды ")</f>
        <v xml:space="preserve"> каф для посуды </v>
      </c>
    </row>
    <row r="316" spans="1:8" ht="12.75" x14ac:dyDescent="0.2">
      <c r="A316" s="13" t="s">
        <v>682</v>
      </c>
      <c r="B316" s="14" t="s">
        <v>683</v>
      </c>
      <c r="C316" s="14"/>
      <c r="D316" s="19" t="s">
        <v>14</v>
      </c>
      <c r="E316" s="16"/>
      <c r="F316" s="15"/>
      <c r="G316" s="17">
        <v>121942</v>
      </c>
      <c r="H316" s="18" t="str">
        <f ca="1">IFERROR(__xludf.DUMMYFUNCTION("LOWER(REGEXREPLACE(B316&amp;"" ""&amp;C316,""[^а-яa-z0-9 ]"","" ""))")," каф с полками для посуды 800 450 1800 ")</f>
        <v xml:space="preserve"> каф с полками для посуды 800 450 1800 </v>
      </c>
    </row>
    <row r="317" spans="1:8" ht="12.75" x14ac:dyDescent="0.2">
      <c r="A317" s="13" t="s">
        <v>684</v>
      </c>
      <c r="B317" s="14" t="s">
        <v>685</v>
      </c>
      <c r="C317" s="14"/>
      <c r="D317" s="19" t="s">
        <v>14</v>
      </c>
      <c r="E317" s="16"/>
      <c r="F317" s="15"/>
      <c r="G317" s="17"/>
      <c r="H317" s="18" t="str">
        <f ca="1">IFERROR(__xludf.DUMMYFUNCTION("LOWER(REGEXREPLACE(B317&amp;"" ""&amp;C317,""[^а-яa-z0-9 ]"","" ""))")," каф для моющих средств ")</f>
        <v xml:space="preserve"> каф для моющих средств </v>
      </c>
    </row>
    <row r="318" spans="1:8" ht="25.5" x14ac:dyDescent="0.2">
      <c r="A318" s="13" t="s">
        <v>686</v>
      </c>
      <c r="B318" s="14" t="s">
        <v>687</v>
      </c>
      <c r="C318" s="14" t="s">
        <v>688</v>
      </c>
      <c r="D318" s="19" t="s">
        <v>14</v>
      </c>
      <c r="E318" s="16"/>
      <c r="F318" s="15"/>
      <c r="G318" s="17">
        <v>35714</v>
      </c>
      <c r="H318" s="18" t="str">
        <f ca="1">IFERROR(__xludf.DUMMYFUNCTION("LOWER(REGEXREPLACE(B318&amp;"" ""&amp;C318,""[^а-яa-z0-9 ]"","" ""))")," каф для моющих средств 800х500х1800мм  каф для моющих средств 800х500х1800мм   атериал      16мм   нутри секции имеются полки для инвентаря")</f>
        <v xml:space="preserve"> каф для моющих средств 800х500х1800мм  каф для моющих средств 800х500х1800мм   атериал      16мм   нутри секции имеются полки для инвентаря</v>
      </c>
    </row>
    <row r="319" spans="1:8" ht="12.75" x14ac:dyDescent="0.2">
      <c r="A319" s="13" t="s">
        <v>689</v>
      </c>
      <c r="B319" s="14" t="s">
        <v>690</v>
      </c>
      <c r="C319" s="14"/>
      <c r="D319" s="19" t="s">
        <v>14</v>
      </c>
      <c r="E319" s="16"/>
      <c r="F319" s="15"/>
      <c r="G319" s="17"/>
      <c r="H319" s="18" t="str">
        <f ca="1">IFERROR(__xludf.DUMMYFUNCTION("LOWER(REGEXREPLACE(B319&amp;"" ""&amp;C319,""[^а-яa-z0-9 ]"","" ""))")," каф для уборочного инвентаря ")</f>
        <v xml:space="preserve"> каф для уборочного инвентаря </v>
      </c>
    </row>
    <row r="320" spans="1:8" ht="38.25" x14ac:dyDescent="0.2">
      <c r="A320" s="13" t="s">
        <v>691</v>
      </c>
      <c r="B320" s="22" t="s">
        <v>692</v>
      </c>
      <c r="C320" s="14" t="s">
        <v>693</v>
      </c>
      <c r="D320" s="19" t="s">
        <v>14</v>
      </c>
      <c r="E320" s="16"/>
      <c r="F320" s="21">
        <v>22</v>
      </c>
      <c r="G320" s="17">
        <v>142069</v>
      </c>
      <c r="H320" s="18" t="str">
        <f ca="1">IFERROR(__xludf.DUMMYFUNCTION("LOWER(REGEXREPLACE(B320&amp;"" ""&amp;C320,""[^а-яa-z0-9 ]"","" ""))")," каф металлический для хозинвентаря одностворчатый 500х400х1750мм  каф металлический для хозинвентаря одностворчатый 500х400х1750мм   нутри секции имеются полки для инвентаря")</f>
        <v xml:space="preserve"> каф металлический для хозинвентаря одностворчатый 500х400х1750мм  каф металлический для хозинвентаря одностворчатый 500х400х1750мм   нутри секции имеются полки для инвентаря</v>
      </c>
    </row>
    <row r="321" spans="1:8" ht="38.25" x14ac:dyDescent="0.2">
      <c r="A321" s="13" t="s">
        <v>694</v>
      </c>
      <c r="B321" s="22" t="s">
        <v>695</v>
      </c>
      <c r="C321" s="14" t="s">
        <v>696</v>
      </c>
      <c r="D321" s="19" t="s">
        <v>14</v>
      </c>
      <c r="E321" s="20">
        <v>2</v>
      </c>
      <c r="F321" s="21">
        <v>28</v>
      </c>
      <c r="G321" s="17">
        <v>142143</v>
      </c>
      <c r="H321" s="18" t="str">
        <f ca="1">IFERROR(__xludf.DUMMYFUNCTION("LOWER(REGEXREPLACE(B321&amp;"" ""&amp;C321,""[^а-яa-z0-9 ]"","" ""))")," каф металлический для хозинвентаря двухстворчатый 800х400х1750мм  каф металлический для хозинвентаря двухстворчатый 800х400х1750мм   нутри секции имеются полки для инвентаря")</f>
        <v xml:space="preserve"> каф металлический для хозинвентаря двухстворчатый 800х400х1750мм  каф металлический для хозинвентаря двухстворчатый 800х400х1750мм   нутри секции имеются полки для инвентаря</v>
      </c>
    </row>
    <row r="322" spans="1:8" ht="51" x14ac:dyDescent="0.2">
      <c r="A322" s="13" t="s">
        <v>697</v>
      </c>
      <c r="B322" s="22" t="s">
        <v>698</v>
      </c>
      <c r="C322" s="14" t="s">
        <v>699</v>
      </c>
      <c r="D322" s="19" t="s">
        <v>14</v>
      </c>
      <c r="E322" s="16"/>
      <c r="F322" s="21">
        <v>22</v>
      </c>
      <c r="G322" s="17">
        <v>77704</v>
      </c>
      <c r="H322" s="18" t="str">
        <f ca="1">IFERROR(__xludf.DUMMYFUNCTION("LOWER(REGEXREPLACE(B322&amp;"" ""&amp;C322,""[^а-яa-z0-9 ]"","" ""))")," каф металлический односекционный для уборочного инвентаря с замком 600 500 1656мм  с полками и нишей   окрытие   краска порошковая полимерная   каф металлический для уборочного инвентаря 600 500 1656мм   каф односекционный   олки и ниша для инвентаря   о"&amp;"крытие   краска порошковая полимерная   вери снабжены замком ")</f>
        <v xml:space="preserve"> каф металлический односекционный для уборочного инвентаря с замком 600 500 1656мм  с полками и нишей   окрытие   краска порошковая полимерная   каф металлический для уборочного инвентаря 600 500 1656мм   каф односекционный   олки и ниша для инвентаря   окрытие   краска порошковая полимерная   вери снабжены замком </v>
      </c>
    </row>
    <row r="323" spans="1:8" ht="12.75" x14ac:dyDescent="0.2">
      <c r="A323" s="13" t="s">
        <v>700</v>
      </c>
      <c r="B323" s="14" t="s">
        <v>701</v>
      </c>
      <c r="C323" s="14"/>
      <c r="D323" s="19" t="s">
        <v>14</v>
      </c>
      <c r="E323" s="16"/>
      <c r="F323" s="15"/>
      <c r="G323" s="17"/>
      <c r="H323" s="18" t="str">
        <f ca="1">IFERROR(__xludf.DUMMYFUNCTION("LOWER(REGEXREPLACE(B323&amp;"" ""&amp;C323,""[^а-яa-z0-9 ]"","" ""))")," теллаж ")</f>
        <v xml:space="preserve"> теллаж </v>
      </c>
    </row>
    <row r="324" spans="1:8" ht="38.25" x14ac:dyDescent="0.2">
      <c r="A324" s="13" t="s">
        <v>702</v>
      </c>
      <c r="B324" s="14" t="s">
        <v>703</v>
      </c>
      <c r="C324" s="14" t="s">
        <v>704</v>
      </c>
      <c r="D324" s="19" t="s">
        <v>14</v>
      </c>
      <c r="E324" s="20">
        <v>2</v>
      </c>
      <c r="F324" s="21">
        <v>52</v>
      </c>
      <c r="G324" s="17">
        <v>120527</v>
      </c>
      <c r="H324" s="18" t="str">
        <f ca="1">IFERROR(__xludf.DUMMYFUNCTION("LOWER(REGEXREPLACE(B324&amp;"" ""&amp;C324,""[^а-яa-z0-9 ]"","" ""))")," теллаж для цветов 1500х300х1300мм   аркас изготовлен из стального профиля   олки      16 мм  аркас изготовлен из стального профиля 25х25 мм  толщина 1 2 мм   покраска полимерно порошковая на 2 слоя   олки      16мм  торцы закатаны кромочным материалом   "&amp;"  1 5 мм ")</f>
        <v xml:space="preserve"> теллаж для цветов 1500х300х1300мм   аркас изготовлен из стального профиля   олки      16 мм  аркас изготовлен из стального профиля 25х25 мм  толщина 1 2 мм   покраска полимерно порошковая на 2 слоя   олки      16мм  торцы закатаны кромочным материалом     1 5 мм </v>
      </c>
    </row>
    <row r="325" spans="1:8" ht="12.75" x14ac:dyDescent="0.2">
      <c r="A325" s="13" t="s">
        <v>705</v>
      </c>
      <c r="B325" s="14" t="s">
        <v>706</v>
      </c>
      <c r="C325" s="14"/>
      <c r="D325" s="19" t="s">
        <v>14</v>
      </c>
      <c r="E325" s="16"/>
      <c r="F325" s="15"/>
      <c r="G325" s="17"/>
      <c r="H325" s="18" t="str">
        <f ca="1">IFERROR(__xludf.DUMMYFUNCTION("LOWER(REGEXREPLACE(B325&amp;"" ""&amp;C325,""[^а-яa-z0-9 ]"","" ""))")," ешалка ")</f>
        <v xml:space="preserve"> ешалка </v>
      </c>
    </row>
    <row r="326" spans="1:8" ht="25.5" x14ac:dyDescent="0.2">
      <c r="A326" s="13" t="s">
        <v>707</v>
      </c>
      <c r="B326" s="14" t="s">
        <v>708</v>
      </c>
      <c r="C326" s="14" t="s">
        <v>709</v>
      </c>
      <c r="D326" s="19" t="s">
        <v>14</v>
      </c>
      <c r="E326" s="16"/>
      <c r="F326" s="15"/>
      <c r="G326" s="17">
        <v>16491</v>
      </c>
      <c r="H326" s="18" t="str">
        <f ca="1">IFERROR(__xludf.DUMMYFUNCTION("LOWER(REGEXREPLACE(B326&amp;"" ""&amp;C326,""[^а-яa-z0-9 ]"","" ""))")," каф 5 ти секционный с полками и крючками  600 150 600   атериал       16 мм   каф 5 ти секционный с полками и крючками  600 150 600   атериал       16 мм ")</f>
        <v xml:space="preserve"> каф 5 ти секционный с полками и крючками  600 150 600   атериал       16 мм   каф 5 ти секционный с полками и крючками  600 150 600   атериал       16 мм </v>
      </c>
    </row>
    <row r="327" spans="1:8" ht="25.5" x14ac:dyDescent="0.2">
      <c r="A327" s="13" t="s">
        <v>710</v>
      </c>
      <c r="B327" s="14" t="s">
        <v>711</v>
      </c>
      <c r="C327" s="14" t="s">
        <v>711</v>
      </c>
      <c r="D327" s="19" t="s">
        <v>14</v>
      </c>
      <c r="E327" s="16"/>
      <c r="F327" s="15"/>
      <c r="G327" s="17">
        <v>19983</v>
      </c>
      <c r="H327" s="18" t="str">
        <f ca="1">IFERROR(__xludf.DUMMYFUNCTION("LOWER(REGEXREPLACE(B327&amp;"" ""&amp;C327,""[^а-яa-z0-9 ]"","" ""))")," ешалка 5 ти секционная с полками и крючками 658 116 1000   атериал        16 мм   ешалка 5 ти секционная с полками и крючками 658 116 1000   атериал        16 мм ")</f>
        <v xml:space="preserve"> ешалка 5 ти секционная с полками и крючками 658 116 1000   атериал        16 мм   ешалка 5 ти секционная с полками и крючками 658 116 1000   атериал        16 мм </v>
      </c>
    </row>
    <row r="328" spans="1:8" ht="25.5" x14ac:dyDescent="0.2">
      <c r="A328" s="13" t="s">
        <v>712</v>
      </c>
      <c r="B328" s="14" t="s">
        <v>713</v>
      </c>
      <c r="C328" s="14" t="s">
        <v>713</v>
      </c>
      <c r="D328" s="19" t="s">
        <v>14</v>
      </c>
      <c r="E328" s="20">
        <v>2</v>
      </c>
      <c r="F328" s="21">
        <v>1</v>
      </c>
      <c r="G328" s="17">
        <v>19134</v>
      </c>
      <c r="H328" s="18" t="str">
        <f ca="1">IFERROR(__xludf.DUMMYFUNCTION("LOWER(REGEXREPLACE(B328&amp;"" ""&amp;C328,""[^а-яa-z0-9 ]"","" ""))")," ешалка настенная на 14 крючков для одежды  размер 2256х254х263мм       16мм  ешалка настенная на 14 крючков для одежды  размер 2256х254х263мм       16мм")</f>
        <v xml:space="preserve"> ешалка настенная на 14 крючков для одежды  размер 2256х254х263мм       16мм  ешалка настенная на 14 крючков для одежды  размер 2256х254х263мм       16мм</v>
      </c>
    </row>
    <row r="329" spans="1:8" ht="12.75" x14ac:dyDescent="0.2">
      <c r="A329" s="13" t="s">
        <v>714</v>
      </c>
      <c r="B329" s="14" t="s">
        <v>715</v>
      </c>
      <c r="C329" s="14"/>
      <c r="D329" s="19" t="s">
        <v>14</v>
      </c>
      <c r="E329" s="16"/>
      <c r="F329" s="15"/>
      <c r="G329" s="17"/>
      <c r="H329" s="18" t="str">
        <f ca="1">IFERROR(__xludf.DUMMYFUNCTION("LOWER(REGEXREPLACE(B329&amp;"" ""&amp;C329,""[^а-яa-z0-9 ]"","" ""))")," каф гардеробный ")</f>
        <v xml:space="preserve"> каф гардеробный </v>
      </c>
    </row>
    <row r="330" spans="1:8" ht="38.25" x14ac:dyDescent="0.2">
      <c r="A330" s="13" t="s">
        <v>716</v>
      </c>
      <c r="B330" s="14" t="s">
        <v>717</v>
      </c>
      <c r="C330" s="14" t="s">
        <v>718</v>
      </c>
      <c r="D330" s="19" t="s">
        <v>14</v>
      </c>
      <c r="E330" s="16"/>
      <c r="F330" s="15"/>
      <c r="G330" s="17">
        <v>111607</v>
      </c>
      <c r="H330" s="18" t="str">
        <f ca="1">IFERROR(__xludf.DUMMYFUNCTION("LOWER(REGEXREPLACE(B330&amp;"" ""&amp;C330,""[^а-яa-z0-9 ]"","" ""))")," каф гардеробный 2300 1100х550х2200мм   атериал        16мм  полки для головного убора и обуви  перекладина   каф гардеробный 2300 1100х550х2200мм       16мм  полки для головного убора и обуви  перекладина ")</f>
        <v xml:space="preserve"> каф гардеробный 2300 1100х550х2200мм   атериал        16мм  полки для головного убора и обуви  перекладина   каф гардеробный 2300 1100х550х2200мм       16мм  полки для головного убора и обуви  перекладина </v>
      </c>
    </row>
    <row r="331" spans="1:8" ht="12.75" x14ac:dyDescent="0.2">
      <c r="A331" s="13" t="s">
        <v>719</v>
      </c>
      <c r="B331" s="14" t="s">
        <v>720</v>
      </c>
      <c r="C331" s="14"/>
      <c r="D331" s="19" t="s">
        <v>14</v>
      </c>
      <c r="E331" s="16"/>
      <c r="F331" s="15"/>
      <c r="G331" s="17"/>
      <c r="H331" s="18" t="str">
        <f ca="1">IFERROR(__xludf.DUMMYFUNCTION("LOWER(REGEXREPLACE(B331&amp;"" ""&amp;C331,""[^а-яa-z0-9 ]"","" ""))")," ровать односпальная ")</f>
        <v xml:space="preserve"> ровать односпальная </v>
      </c>
    </row>
    <row r="332" spans="1:8" ht="76.5" x14ac:dyDescent="0.2">
      <c r="A332" s="13" t="s">
        <v>721</v>
      </c>
      <c r="B332" s="14" t="s">
        <v>722</v>
      </c>
      <c r="C332" s="14" t="s">
        <v>723</v>
      </c>
      <c r="D332" s="19" t="s">
        <v>14</v>
      </c>
      <c r="E332" s="16"/>
      <c r="F332" s="15"/>
      <c r="G332" s="17">
        <v>31889</v>
      </c>
      <c r="H332" s="18" t="str">
        <f ca="1">IFERROR(__xludf.DUMMYFUNCTION("LOWER(REGEXREPLACE(B332&amp;"" ""&amp;C332,""[^а-яa-z0-9 ]"","" ""))"),"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   ровать детская односпальная  размеры 1436х650х600мм   аркас цельносварная рамоч"&amp;"ная конструкция  выполненная из стальных труб и окрашенная стойкой к химическим и механическим воздействиям порошковой краской   оковины и царги кровати из      16 мм  все углы закруглены   оже 1400х600мм ")</f>
        <v xml:space="preserve">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   ровать детская односпальная  размеры 1436х650х600мм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оковины и царги кровати из      16 мм  все углы закруглены   оже 1400х600мм </v>
      </c>
    </row>
    <row r="333" spans="1:8" ht="38.25" x14ac:dyDescent="0.2">
      <c r="A333" s="13" t="s">
        <v>724</v>
      </c>
      <c r="B333" s="14" t="s">
        <v>725</v>
      </c>
      <c r="C333" s="14" t="s">
        <v>725</v>
      </c>
      <c r="D333" s="19" t="s">
        <v>14</v>
      </c>
      <c r="E333" s="16"/>
      <c r="F333" s="15"/>
      <c r="G333" s="17">
        <v>29100</v>
      </c>
      <c r="H333" s="18" t="str">
        <f ca="1">IFERROR(__xludf.DUMMYFUNCTION("LOWER(REGEXREPLACE(B333&amp;"" ""&amp;C333,""[^а-яa-z0-9 ]"","" ""))")," ровать детская односпальная  размеры 1440х650х700мм   аркас      16мм  все углы закруглены   оже 1400х600мм   ровать детская односпальная  размеры 1440х650х700мм   аркас      16мм  все углы закруглены   оже 1400х600мм ")</f>
        <v xml:space="preserve"> ровать детская односпальная  размеры 1440х650х700мм   аркас      16мм  все углы закруглены   оже 1400х600мм   ровать детская односпальная  размеры 1440х650х700мм   аркас      16мм  все углы закруглены   оже 1400х600мм </v>
      </c>
    </row>
    <row r="334" spans="1:8" ht="38.25" x14ac:dyDescent="0.2">
      <c r="A334" s="13" t="s">
        <v>726</v>
      </c>
      <c r="B334" s="14" t="s">
        <v>727</v>
      </c>
      <c r="C334" s="14" t="s">
        <v>727</v>
      </c>
      <c r="D334" s="19" t="s">
        <v>14</v>
      </c>
      <c r="E334" s="20">
        <v>2</v>
      </c>
      <c r="F334" s="21">
        <v>20</v>
      </c>
      <c r="G334" s="17">
        <v>30294</v>
      </c>
      <c r="H334" s="18" t="str">
        <f ca="1">IFERROR(__xludf.DUMMYFUNCTION("LOWER(REGEXREPLACE(B334&amp;"" ""&amp;C334,""[^а-яa-z0-9 ]"","" ""))")," ровать детская односпальная  размеры 1436х640х550мм       16мм  все углы закруглены  ровать детская односпальная  размеры 1436х640х550мм       16мм  все углы закруглены")</f>
        <v xml:space="preserve"> ровать детская односпальная  размеры 1436х640х550мм       16мм  все углы закруглены  ровать детская односпальная  размеры 1436х640х550мм       16мм  все углы закруглены</v>
      </c>
    </row>
    <row r="335" spans="1:8" ht="38.25" x14ac:dyDescent="0.2">
      <c r="A335" s="13" t="s">
        <v>728</v>
      </c>
      <c r="B335" s="14" t="s">
        <v>729</v>
      </c>
      <c r="C335" s="14" t="s">
        <v>730</v>
      </c>
      <c r="D335" s="19" t="s">
        <v>14</v>
      </c>
      <c r="E335" s="20">
        <v>2</v>
      </c>
      <c r="F335" s="21">
        <v>37</v>
      </c>
      <c r="G335" s="17">
        <v>30809</v>
      </c>
      <c r="H335" s="18" t="str">
        <f ca="1">IFERROR(__xludf.DUMMYFUNCTION("LOWER(REGEXREPLACE(B335&amp;"" ""&amp;C335,""[^а-яa-z0-9 ]"","" ""))")," ровать детская односпальная  размеры 1400х600х450мм       16мм  без острых углов      16 мм  класс эмиссии  1   ромки деталей облицованы полимерным кромочным материалом        толщиной 2 мм   урнитура  стяжка типа  lum")</f>
        <v xml:space="preserve"> ровать детская односпальная  размеры 1400х600х450мм       16мм  без острых углов      16 мм  класс эмиссии  1   ромки деталей облицованы полимерным кромочным материалом        толщиной 2 мм   урнитура  стяжка типа  lum</v>
      </c>
    </row>
    <row r="336" spans="1:8" ht="127.5" x14ac:dyDescent="0.2">
      <c r="A336" s="13" t="s">
        <v>731</v>
      </c>
      <c r="B336" s="14" t="s">
        <v>732</v>
      </c>
      <c r="C336" s="14" t="s">
        <v>733</v>
      </c>
      <c r="D336" s="19" t="s">
        <v>14</v>
      </c>
      <c r="E336" s="20">
        <v>2</v>
      </c>
      <c r="F336" s="21">
        <v>26</v>
      </c>
      <c r="G336" s="17">
        <v>27385</v>
      </c>
      <c r="H336" s="18" t="str">
        <f ca="1">IFERROR(__xludf.DUMMYFUNCTION("LOWER(REGEXREPLACE(B336&amp;"" ""&amp;C336,""[^а-яa-z0-9 ]"","" ""))")," ровать детская 1 ярус  материал изготовления      16 мм  габаритные размеры 1532х650х500 мм  ля изготовления должна использоваться      не менее 16 мм   вет на выбор по каталогу   тделка видимы торцов должна быть из     не менее 2 мм  остальных элементов"&amp;" 0 4 мм   снование кровати содержит 1 перемычку из профильной квадратной трубы 25х25 мм для более жесткой конструкции   пинки и царги изготовлены из лдсп не менее 16мм  которые соединяются между собой с помощью винтовой стяжки м6 и гайки боченка   пинки с"&amp;" внешним радиусом закругления не менее 800 мм и внутренним   не менее 550 мм  а царги имеют волнообразную форму   поры имеют на концах заглушки из ударопрочных полимеров  предотвращающих порчу полового покрытия ")</f>
        <v xml:space="preserve"> ровать детская 1 ярус  материал изготовления      16 мм  габаритные размеры 1532х650х500 мм  ля изготовления должна использоваться      не менее 16 мм   вет на выбор по каталогу   тделка видимы торцов должна быть из     не менее 2 мм  остальных элементов 0 4 мм   снование кровати содержит 1 перемычку из профильной квадратной трубы 25х25 мм для более жесткой конструкции   пинки и царги изготовлены из лдсп не менее 16мм  которые соединяются между собой с помощью винтовой стяжки м6 и гайки боченка   пинки с внешним радиусом закругления не менее 800 мм и внутренним   не менее 550 мм  а царги имеют волнообразную форму   поры имеют на концах заглушки из ударопрочных полимеров  предотвращающих порчу полового покрытия </v>
      </c>
    </row>
    <row r="337" spans="1:8" ht="12.75" x14ac:dyDescent="0.2">
      <c r="A337" s="13" t="s">
        <v>734</v>
      </c>
      <c r="B337" s="14" t="s">
        <v>735</v>
      </c>
      <c r="C337" s="14"/>
      <c r="D337" s="19" t="s">
        <v>14</v>
      </c>
      <c r="E337" s="16"/>
      <c r="F337" s="15"/>
      <c r="G337" s="17"/>
      <c r="H337" s="18" t="str">
        <f ca="1">IFERROR(__xludf.DUMMYFUNCTION("LOWER(REGEXREPLACE(B337&amp;"" ""&amp;C337,""[^а-яa-z0-9 ]"","" ""))")," ровать двухъярусная ")</f>
        <v xml:space="preserve"> ровать двухъярусная </v>
      </c>
    </row>
    <row r="338" spans="1:8" ht="89.25" x14ac:dyDescent="0.2">
      <c r="A338" s="13" t="s">
        <v>736</v>
      </c>
      <c r="B338" s="22" t="s">
        <v>737</v>
      </c>
      <c r="C338" s="14" t="s">
        <v>738</v>
      </c>
      <c r="D338" s="19" t="s">
        <v>14</v>
      </c>
      <c r="E338" s="16"/>
      <c r="F338" s="15"/>
      <c r="G338" s="17">
        <v>84746</v>
      </c>
      <c r="H338" s="18" t="str">
        <f ca="1">IFERROR(__xludf.DUMMYFUNCTION("LOWER(REGEXREPLACE(B338&amp;"" ""&amp;C338,""[^а-яa-z0-9 ]"","" ""))")," ровать детская двухъярусная   аркас цельносварная рамочная конструкция   ерхний ярус кровати с нижним соединяется лестницей   оковины и царги кровати из      16 мм   се углы закруглены   азмеры  1477х657х1359мм   оже 1400х600мм   ровать детская двухъярус"&amp;"ная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ерхний ярус кровати с нижним соединяется лестницей   оковины и царги кровати из      16 мм   се"&amp;" углы закруглены   азмеры  1477х657х1359мм   оже 1400х600мм ")</f>
        <v xml:space="preserve"> ровать детская двухъярусная   аркас цельносварная рамочная конструкция   ерхний ярус кровати с нижним соединяется лестницей   оковины и царги кровати из      16 мм   се углы закруглены   азмеры  1477х657х1359мм   оже 1400х600мм   ровать детская двухъярусная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ерхний ярус кровати с нижним соединяется лестницей   оковины и царги кровати из      16 мм   се углы закруглены   азмеры  1477х657х1359мм   оже 1400х600мм </v>
      </c>
    </row>
    <row r="339" spans="1:8" ht="51" x14ac:dyDescent="0.2">
      <c r="A339" s="13" t="s">
        <v>739</v>
      </c>
      <c r="B339" s="14" t="s">
        <v>740</v>
      </c>
      <c r="C339" s="14" t="s">
        <v>741</v>
      </c>
      <c r="D339" s="19" t="s">
        <v>14</v>
      </c>
      <c r="E339" s="16"/>
      <c r="F339" s="15"/>
      <c r="G339" s="17">
        <v>75299</v>
      </c>
      <c r="H339" s="18" t="str">
        <f ca="1">IFERROR(__xludf.DUMMYFUNCTION("LOWER(REGEXREPLACE(B339&amp;"" ""&amp;C339,""[^а-яa-z0-9 ]"","" ""))")," ровать детская двухъярусная   аркас      16мм  все углы закруглены   азмеры 1450 700 1200мм   ровать детская двухъярусная   аркас      16мм  все углы закруглены   ерхний и нижний ярус соединяются лестницей из      с перекладинами  покрытые лаковым покрыт"&amp;"ием   азмеры 1450 700 1200мм ")</f>
        <v xml:space="preserve"> ровать детская двухъярусная   аркас      16мм  все углы закруглены   азмеры 1450 700 1200мм   ровать детская двухъярусная   аркас      16мм  все углы закруглены   ерхний и нижний ярус соединяются лестницей из      с перекладинами  покрытые лаковым покрытием   азмеры 1450 700 1200мм </v>
      </c>
    </row>
    <row r="340" spans="1:8" ht="12.75" x14ac:dyDescent="0.2">
      <c r="A340" s="13" t="s">
        <v>742</v>
      </c>
      <c r="B340" s="14" t="s">
        <v>743</v>
      </c>
      <c r="C340" s="14"/>
      <c r="D340" s="19" t="s">
        <v>14</v>
      </c>
      <c r="E340" s="16"/>
      <c r="F340" s="15"/>
      <c r="G340" s="17"/>
      <c r="H340" s="18" t="str">
        <f ca="1">IFERROR(__xludf.DUMMYFUNCTION("LOWER(REGEXREPLACE(B340&amp;"" ""&amp;C340,""[^а-яa-z0-9 ]"","" ""))")," ровать трехъярусная выкатная ")</f>
        <v xml:space="preserve"> ровать трехъярусная выкатная </v>
      </c>
    </row>
    <row r="341" spans="1:8" ht="114.75" x14ac:dyDescent="0.2">
      <c r="A341" s="13" t="s">
        <v>744</v>
      </c>
      <c r="B341" s="22" t="s">
        <v>745</v>
      </c>
      <c r="C341" s="14" t="s">
        <v>746</v>
      </c>
      <c r="D341" s="19" t="s">
        <v>14</v>
      </c>
      <c r="E341" s="16"/>
      <c r="F341" s="15"/>
      <c r="G341" s="17">
        <v>100054</v>
      </c>
      <c r="H341" s="18" t="str">
        <f ca="1">IFERROR(__xludf.DUMMYFUNCTION("LOWER(REGEXREPLACE(B341&amp;"" ""&amp;C341,""[^а-яa-z0-9 ]"","" ""))"),"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15"&amp;"0мм   лина кровати при выдвижении 1680мм   азмеры 1610 600 1680 740мм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рет"&amp;"ий ярус установлен на пластиковые наконечники   ервый ярус на высоте 150мм   лина кровати при выдвижении 1680мм   азмеры 1610 600 1680 740мм ")</f>
        <v xml:space="preserve">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150мм   лина кровати при выдвижении 1680мм   азмеры 1610 600 1680 740мм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150мм   лина кровати при выдвижении 1680мм   азмеры 1610 600 1680 740мм </v>
      </c>
    </row>
    <row r="342" spans="1:8" ht="38.25" x14ac:dyDescent="0.2">
      <c r="A342" s="13" t="s">
        <v>747</v>
      </c>
      <c r="B342" s="14" t="s">
        <v>748</v>
      </c>
      <c r="C342" s="14" t="s">
        <v>748</v>
      </c>
      <c r="D342" s="19" t="s">
        <v>14</v>
      </c>
      <c r="E342" s="20">
        <v>2</v>
      </c>
      <c r="F342" s="21">
        <v>55</v>
      </c>
      <c r="G342" s="17">
        <v>82301</v>
      </c>
      <c r="H342" s="18" t="str">
        <f ca="1">IFERROR(__xludf.DUMMYFUNCTION("LOWER(REGEXREPLACE(B342&amp;"" ""&amp;C342,""[^а-яa-z0-9 ]"","" ""))")," ровать трехъярусная  телоскопическая  выполнена из      16мм  размеры 1528х693х923мм  ровать трехъярусная  телоскопическая  выполнена из      16мм  размеры 1528х693х923мм")</f>
        <v xml:space="preserve"> ровать трехъярусная  телоскопическая  выполнена из      16мм  размеры 1528х693х923мм  ровать трехъярусная  телоскопическая  выполнена из      16мм  размеры 1528х693х923мм</v>
      </c>
    </row>
    <row r="343" spans="1:8" ht="12.75" x14ac:dyDescent="0.2">
      <c r="A343" s="13" t="s">
        <v>749</v>
      </c>
      <c r="B343" s="14" t="s">
        <v>750</v>
      </c>
      <c r="C343" s="14"/>
      <c r="D343" s="19" t="s">
        <v>14</v>
      </c>
      <c r="E343" s="16"/>
      <c r="F343" s="15"/>
      <c r="G343" s="17"/>
      <c r="H343" s="18" t="str">
        <f ca="1">IFERROR(__xludf.DUMMYFUNCTION("LOWER(REGEXREPLACE(B343&amp;"" ""&amp;C343,""[^а-яa-z0-9 ]"","" ""))")," аскладушка ")</f>
        <v xml:space="preserve"> аскладушка </v>
      </c>
    </row>
    <row r="344" spans="1:8" ht="12.75" x14ac:dyDescent="0.2">
      <c r="A344" s="13" t="s">
        <v>751</v>
      </c>
      <c r="B344" s="14" t="s">
        <v>752</v>
      </c>
      <c r="C344" s="14"/>
      <c r="D344" s="19" t="s">
        <v>14</v>
      </c>
      <c r="E344" s="16"/>
      <c r="F344" s="15"/>
      <c r="G344" s="17">
        <v>9375</v>
      </c>
      <c r="H344" s="18" t="str">
        <f ca="1">IFERROR(__xludf.DUMMYFUNCTION("LOWER(REGEXREPLACE(B344&amp;"" ""&amp;C344,""[^а-яa-z0-9 ]"","" ""))")," аскладушка детская 1670х600х270 мм ")</f>
        <v xml:space="preserve"> аскладушка детская 1670х600х270 мм </v>
      </c>
    </row>
    <row r="345" spans="1:8" ht="25.5" x14ac:dyDescent="0.2">
      <c r="A345" s="13" t="s">
        <v>753</v>
      </c>
      <c r="B345" s="14" t="s">
        <v>754</v>
      </c>
      <c r="C345" s="14"/>
      <c r="D345" s="19" t="s">
        <v>14</v>
      </c>
      <c r="E345" s="16"/>
      <c r="F345" s="15"/>
      <c r="G345" s="17">
        <v>11607</v>
      </c>
      <c r="H345" s="18" t="str">
        <f ca="1">IFERROR(__xludf.DUMMYFUNCTION("LOWER(REGEXREPLACE(B345&amp;"" ""&amp;C345,""[^а-яa-z0-9 ]"","" ""))")," аскладушка детская с поролоном 1670х600х270 мм ")</f>
        <v xml:space="preserve"> аскладушка детская с поролоном 1670х600х270 мм </v>
      </c>
    </row>
    <row r="346" spans="1:8" ht="12.75" x14ac:dyDescent="0.2">
      <c r="A346" s="13" t="s">
        <v>755</v>
      </c>
      <c r="B346" s="14" t="s">
        <v>756</v>
      </c>
      <c r="C346" s="14"/>
      <c r="D346" s="19" t="s">
        <v>14</v>
      </c>
      <c r="E346" s="16"/>
      <c r="F346" s="15"/>
      <c r="G346" s="17">
        <v>13393</v>
      </c>
      <c r="H346" s="18" t="str">
        <f ca="1">IFERROR(__xludf.DUMMYFUNCTION("LOWER(REGEXREPLACE(B346&amp;"" ""&amp;C346,""[^а-яa-z0-9 ]"","" ""))")," аскладушка взрослая 2040х720х380 мм ")</f>
        <v xml:space="preserve"> аскладушка взрослая 2040х720х380 мм </v>
      </c>
    </row>
    <row r="347" spans="1:8" x14ac:dyDescent="0.2">
      <c r="A347" s="12" t="s">
        <v>757</v>
      </c>
      <c r="B347" s="26"/>
      <c r="C347" s="27"/>
      <c r="D347" s="26"/>
      <c r="E347" s="28"/>
      <c r="F347" s="26"/>
      <c r="G347" s="29"/>
      <c r="H347" s="30" t="str">
        <f ca="1">IFERROR(__xludf.DUMMYFUNCTION("LOWER(REGEXREPLACE(B347&amp;"" ""&amp;C347,""[^а-яa-z0-9 ]"","" ""))")," ")</f>
        <v xml:space="preserve"> </v>
      </c>
    </row>
    <row r="348" spans="1:8" ht="12.75" x14ac:dyDescent="0.2">
      <c r="A348" s="31" t="s">
        <v>758</v>
      </c>
      <c r="B348" s="27" t="s">
        <v>759</v>
      </c>
      <c r="C348" s="27"/>
      <c r="D348" s="32"/>
      <c r="E348" s="9"/>
      <c r="F348" s="32"/>
      <c r="G348" s="10"/>
      <c r="H348" s="30" t="str">
        <f ca="1">IFERROR(__xludf.DUMMYFUNCTION("LOWER(REGEXREPLACE(B348&amp;"" ""&amp;C348,""[^а-яa-z0-9 ]"","" ""))")," нвентарь для рисования ")</f>
        <v xml:space="preserve"> нвентарь для рисования </v>
      </c>
    </row>
    <row r="349" spans="1:8" ht="12.75" x14ac:dyDescent="0.2">
      <c r="A349" s="31" t="s">
        <v>760</v>
      </c>
      <c r="B349" s="27" t="s">
        <v>761</v>
      </c>
      <c r="C349" s="27"/>
      <c r="D349" s="33" t="s">
        <v>14</v>
      </c>
      <c r="E349" s="9"/>
      <c r="F349" s="32"/>
      <c r="G349" s="10"/>
      <c r="H349" s="30" t="str">
        <f ca="1">IFERROR(__xludf.DUMMYFUNCTION("LOWER(REGEXREPLACE(B349&amp;"" ""&amp;C349,""[^а-яa-z0-9 ]"","" ""))")," ольберт ")</f>
        <v xml:space="preserve"> ольберт </v>
      </c>
    </row>
    <row r="350" spans="1:8" ht="25.5" x14ac:dyDescent="0.2">
      <c r="A350" s="31" t="s">
        <v>762</v>
      </c>
      <c r="B350" s="27" t="s">
        <v>763</v>
      </c>
      <c r="C350" s="27" t="s">
        <v>763</v>
      </c>
      <c r="D350" s="33" t="s">
        <v>14</v>
      </c>
      <c r="E350" s="9"/>
      <c r="F350" s="32"/>
      <c r="G350" s="10">
        <v>17054</v>
      </c>
      <c r="H350" s="30" t="str">
        <f ca="1">IFERROR(__xludf.DUMMYFUNCTION("LOWER(REGEXREPLACE(B350&amp;"" ""&amp;C350,""[^а-яa-z0-9 ]"","" ""))")," ольберт напольный алюминиевый  размеры не менее 960х960х1800мм  ольберт напольный алюминиевый  размеры не менее 960х960х1800мм")</f>
        <v xml:space="preserve"> ольберт напольный алюминиевый  размеры не менее 960х960х1800мм  ольберт напольный алюминиевый  размеры не менее 960х960х1800мм</v>
      </c>
    </row>
    <row r="351" spans="1:8" ht="51" x14ac:dyDescent="0.2">
      <c r="A351" s="31" t="s">
        <v>764</v>
      </c>
      <c r="B351" s="8" t="s">
        <v>765</v>
      </c>
      <c r="C351" s="27"/>
      <c r="D351" s="33" t="s">
        <v>14</v>
      </c>
      <c r="E351" s="34">
        <v>2</v>
      </c>
      <c r="F351" s="35">
        <v>5.4</v>
      </c>
      <c r="G351" s="10">
        <v>46127</v>
      </c>
      <c r="H351" s="30" t="str">
        <f ca="1">IFERROR(__xludf.DUMMYFUNCTION("LOWER(REGEXREPLACE(B351&amp;"" ""&amp;C351,""[^а-яa-z0-9 ]"","" ""))")," ольберт двухсторонний 1200х600мм  с двумя рабочими поверхностями 600х580мм  двумя лотками 600х50мм и планкой ограничителем типа  нт парк 17091 ")</f>
        <v xml:space="preserve"> ольберт двухсторонний 1200х600мм  с двумя рабочими поверхностями 600х580мм  двумя лотками 600х50мм и планкой ограничителем типа  нт парк 17091 </v>
      </c>
    </row>
    <row r="352" spans="1:8" x14ac:dyDescent="0.2">
      <c r="A352" s="12" t="s">
        <v>766</v>
      </c>
      <c r="B352" s="26"/>
      <c r="C352" s="27"/>
      <c r="D352" s="26"/>
      <c r="E352" s="28"/>
      <c r="F352" s="26"/>
      <c r="G352" s="29"/>
      <c r="H352" s="30" t="str">
        <f ca="1">IFERROR(__xludf.DUMMYFUNCTION("LOWER(REGEXREPLACE(B352&amp;"" ""&amp;C352,""[^а-яa-z0-9 ]"","" ""))")," ")</f>
        <v xml:space="preserve"> </v>
      </c>
    </row>
    <row r="353" spans="1:8" ht="12.75" x14ac:dyDescent="0.2">
      <c r="A353" s="31" t="s">
        <v>767</v>
      </c>
      <c r="B353" s="27" t="s">
        <v>768</v>
      </c>
      <c r="C353" s="27"/>
      <c r="D353" s="32"/>
      <c r="E353" s="9"/>
      <c r="F353" s="32"/>
      <c r="G353" s="10"/>
      <c r="H353" s="30" t="str">
        <f ca="1">IFERROR(__xludf.DUMMYFUNCTION("LOWER(REGEXREPLACE(B353&amp;"" ""&amp;C353,""[^а-яa-z0-9 ]"","" ""))")," етодический кабинет ")</f>
        <v xml:space="preserve"> етодический кабинет </v>
      </c>
    </row>
    <row r="354" spans="1:8" ht="12.75" x14ac:dyDescent="0.2">
      <c r="A354" s="31" t="s">
        <v>769</v>
      </c>
      <c r="B354" s="27" t="s">
        <v>770</v>
      </c>
      <c r="C354" s="27"/>
      <c r="D354" s="33" t="s">
        <v>14</v>
      </c>
      <c r="E354" s="9"/>
      <c r="F354" s="32"/>
      <c r="G354" s="10"/>
      <c r="H354" s="30" t="str">
        <f ca="1">IFERROR(__xludf.DUMMYFUNCTION("LOWER(REGEXREPLACE(B354&amp;"" ""&amp;C354,""[^а-яa-z0-9 ]"","" ""))")," каф для книг открытый ")</f>
        <v xml:space="preserve"> каф для книг открытый </v>
      </c>
    </row>
    <row r="355" spans="1:8" ht="25.5" x14ac:dyDescent="0.2">
      <c r="A355" s="31" t="s">
        <v>771</v>
      </c>
      <c r="B355" s="27" t="s">
        <v>772</v>
      </c>
      <c r="C355" s="27" t="s">
        <v>773</v>
      </c>
      <c r="D355" s="33" t="s">
        <v>14</v>
      </c>
      <c r="E355" s="9"/>
      <c r="F355" s="32"/>
      <c r="G355" s="10">
        <v>44643</v>
      </c>
      <c r="H355" s="30" t="str">
        <f ca="1">IFERROR(__xludf.DUMMYFUNCTION("LOWER(REGEXREPLACE(B355&amp;"" ""&amp;C355,""[^а-яa-z0-9 ]"","" ""))")," каф для книг открытый       16мм  размеры 1000х500х1800мм  каф для книг открытый       16мм  размеры 1000х500х1800мм   олки открытые ")</f>
        <v xml:space="preserve"> каф для книг открытый       16мм  размеры 1000х500х1800мм  каф для книг открытый       16мм  размеры 1000х500х1800мм   олки открытые </v>
      </c>
    </row>
    <row r="356" spans="1:8" ht="12.75" x14ac:dyDescent="0.2">
      <c r="A356" s="31" t="s">
        <v>774</v>
      </c>
      <c r="B356" s="27" t="s">
        <v>775</v>
      </c>
      <c r="C356" s="27"/>
      <c r="D356" s="33" t="s">
        <v>14</v>
      </c>
      <c r="E356" s="9"/>
      <c r="F356" s="32"/>
      <c r="G356" s="10"/>
      <c r="H356" s="30" t="str">
        <f ca="1">IFERROR(__xludf.DUMMYFUNCTION("LOWER(REGEXREPLACE(B356&amp;"" ""&amp;C356,""[^а-яa-z0-9 ]"","" ""))")," аминатор ")</f>
        <v xml:space="preserve"> аминатор </v>
      </c>
    </row>
    <row r="357" spans="1:8" ht="25.5" x14ac:dyDescent="0.2">
      <c r="A357" s="31" t="s">
        <v>776</v>
      </c>
      <c r="B357" s="27" t="s">
        <v>777</v>
      </c>
      <c r="C357" s="27"/>
      <c r="D357" s="33" t="s">
        <v>14</v>
      </c>
      <c r="E357" s="9"/>
      <c r="F357" s="32"/>
      <c r="G357" s="10">
        <v>36750</v>
      </c>
      <c r="H357" s="30" t="str">
        <f ca="1">IFERROR(__xludf.DUMMYFUNCTION("LOWER(REGEXREPLACE(B357&amp;"" ""&amp;C357,""[^а-яa-z0-9 ]"","" ""))")," аминатор  4   unar    размерами 2 125 мкм  30 см мин  серый синий            ")</f>
        <v xml:space="preserve"> аминатор  4   unar    размерами 2 125 мкм  30 см мин  серый синий            </v>
      </c>
    </row>
    <row r="358" spans="1:8" ht="12.75" x14ac:dyDescent="0.2">
      <c r="A358" s="31" t="s">
        <v>778</v>
      </c>
      <c r="B358" s="27" t="s">
        <v>779</v>
      </c>
      <c r="C358" s="27"/>
      <c r="D358" s="33" t="s">
        <v>14</v>
      </c>
      <c r="E358" s="9"/>
      <c r="F358" s="32"/>
      <c r="G358" s="10"/>
      <c r="H358" s="30" t="str">
        <f ca="1">IFERROR(__xludf.DUMMYFUNCTION("LOWER(REGEXREPLACE(B358&amp;"" ""&amp;C358,""[^а-яa-z0-9 ]"","" ""))")," ашина переплетная ")</f>
        <v xml:space="preserve"> ашина переплетная </v>
      </c>
    </row>
    <row r="359" spans="1:8" ht="25.5" x14ac:dyDescent="0.2">
      <c r="A359" s="31" t="s">
        <v>780</v>
      </c>
      <c r="B359" s="27" t="s">
        <v>781</v>
      </c>
      <c r="C359" s="27"/>
      <c r="D359" s="33" t="s">
        <v>14</v>
      </c>
      <c r="E359" s="9"/>
      <c r="F359" s="32"/>
      <c r="G359" s="10">
        <v>160500</v>
      </c>
      <c r="H359" s="30" t="str">
        <f ca="1">IFERROR(__xludf.DUMMYFUNCTION("LOWER(REGEXREPLACE(B359&amp;"" ""&amp;C359,""[^а-яa-z0-9 ]"","" ""))")," ашина для переплета для пластиковых пружин                    ")</f>
        <v xml:space="preserve"> ашина для переплета для пластиковых пружин                    </v>
      </c>
    </row>
    <row r="360" spans="1:8" ht="38.25" x14ac:dyDescent="0.2">
      <c r="A360" s="31" t="s">
        <v>782</v>
      </c>
      <c r="B360" s="8" t="s">
        <v>783</v>
      </c>
      <c r="C360" s="27"/>
      <c r="D360" s="33" t="s">
        <v>14</v>
      </c>
      <c r="E360" s="9"/>
      <c r="F360" s="32"/>
      <c r="G360" s="10">
        <v>47823</v>
      </c>
      <c r="H360" s="30" t="str">
        <f ca="1">IFERROR(__xludf.DUMMYFUNCTION("LOWER(REGEXREPLACE(B360&amp;"" ""&amp;C360,""[^а-яa-z0-9 ]"","" ""))")," ереплетная машина  omix  2980  дырокол 15 листов  переплет до 120 листов   lack  ilver ")</f>
        <v xml:space="preserve"> ереплетная машина  omix  2980  дырокол 15 листов  переплет до 120 листов   lack  ilver </v>
      </c>
    </row>
    <row r="361" spans="1:8" ht="38.25" x14ac:dyDescent="0.2">
      <c r="A361" s="31" t="s">
        <v>784</v>
      </c>
      <c r="B361" s="27" t="s">
        <v>785</v>
      </c>
      <c r="C361" s="27"/>
      <c r="D361" s="33" t="s">
        <v>14</v>
      </c>
      <c r="E361" s="9"/>
      <c r="F361" s="32"/>
      <c r="G361" s="10">
        <v>37411</v>
      </c>
      <c r="H361" s="30" t="str">
        <f ca="1">IFERROR(__xludf.DUMMYFUNCTION("LOWER(REGEXREPLACE(B361&amp;"" ""&amp;C361,""[^а-яa-z0-9 ]"","" ""))")," ереплетная машина  ellowes  tarlet 2   дырокол 12 листов  переплет до 120 листов  16мм   hite  lack ")</f>
        <v xml:space="preserve"> ереплетная машина  ellowes  tarlet 2   дырокол 12 листов  переплет до 120 листов  16мм   hite  lack </v>
      </c>
    </row>
    <row r="362" spans="1:8" ht="38.25" x14ac:dyDescent="0.2">
      <c r="A362" s="31" t="s">
        <v>786</v>
      </c>
      <c r="B362" s="27" t="s">
        <v>787</v>
      </c>
      <c r="C362" s="27"/>
      <c r="D362" s="33" t="s">
        <v>14</v>
      </c>
      <c r="E362" s="9"/>
      <c r="F362" s="32"/>
      <c r="G362" s="10">
        <v>33839</v>
      </c>
      <c r="H362" s="30" t="str">
        <f ca="1">IFERROR(__xludf.DUMMYFUNCTION("LOWER(REGEXREPLACE(B362&amp;"" ""&amp;C362,""[^а-яa-z0-9 ]"","" ""))")," ереплетная машина      omb ind 100  дырокол 9 листов  переплет до 160 листов  19мм    lack ")</f>
        <v xml:space="preserve"> ереплетная машина      omb ind 100  дырокол 9 листов  переплет до 160 листов  19мм    lack </v>
      </c>
    </row>
    <row r="363" spans="1:8" ht="38.25" x14ac:dyDescent="0.2">
      <c r="A363" s="31" t="s">
        <v>788</v>
      </c>
      <c r="B363" s="27" t="s">
        <v>789</v>
      </c>
      <c r="C363" s="27"/>
      <c r="D363" s="33" t="s">
        <v>14</v>
      </c>
      <c r="E363" s="9"/>
      <c r="F363" s="32"/>
      <c r="G363" s="10">
        <v>37878</v>
      </c>
      <c r="H363" s="30" t="str">
        <f ca="1">IFERROR(__xludf.DUMMYFUNCTION("LOWER(REGEXREPLACE(B363&amp;"" ""&amp;C363,""[^а-яa-z0-9 ]"","" ""))")," ереплетная машина      omb ind 110  дырокол 12 листов  переплет до 190 листов  22мм    lack ")</f>
        <v xml:space="preserve"> ереплетная машина      omb ind 110  дырокол 12 листов  переплет до 190 листов  22мм    lack </v>
      </c>
    </row>
    <row r="364" spans="1:8" ht="38.25" x14ac:dyDescent="0.2">
      <c r="A364" s="31" t="s">
        <v>790</v>
      </c>
      <c r="B364" s="27" t="s">
        <v>791</v>
      </c>
      <c r="C364" s="27"/>
      <c r="D364" s="33" t="s">
        <v>14</v>
      </c>
      <c r="E364" s="9"/>
      <c r="F364" s="32"/>
      <c r="G364" s="10">
        <v>77655</v>
      </c>
      <c r="H364" s="30" t="str">
        <f ca="1">IFERROR(__xludf.DUMMYFUNCTION("LOWER(REGEXREPLACE(B364&amp;"" ""&amp;C364,""[^а-яa-z0-9 ]"","" ""))")," ереплетная машина      omb ind 200  дырокол 20 листов  переплет до 330 листов  38мм    lack ")</f>
        <v xml:space="preserve"> ереплетная машина      omb ind 200  дырокол 20 листов  переплет до 330 листов  38мм    lack </v>
      </c>
    </row>
    <row r="365" spans="1:8" ht="38.25" x14ac:dyDescent="0.2">
      <c r="A365" s="31" t="s">
        <v>792</v>
      </c>
      <c r="B365" s="27" t="s">
        <v>793</v>
      </c>
      <c r="C365" s="27"/>
      <c r="D365" s="33" t="s">
        <v>14</v>
      </c>
      <c r="E365" s="9"/>
      <c r="F365" s="32"/>
      <c r="G365" s="10">
        <v>156161</v>
      </c>
      <c r="H365" s="30" t="str">
        <f ca="1">IFERROR(__xludf.DUMMYFUNCTION("LOWER(REGEXREPLACE(B365&amp;"" ""&amp;C365,""[^а-яa-z0-9 ]"","" ""))")," ереплетная машина      omb ind 210  дырокол 25 листов  переплет до 450 листов  51мм    lack  ray ")</f>
        <v xml:space="preserve"> ереплетная машина      omb ind 210  дырокол 25 листов  переплет до 450 листов  51мм    lack  ray </v>
      </c>
    </row>
    <row r="366" spans="1:8" ht="38.25" x14ac:dyDescent="0.2">
      <c r="A366" s="31" t="s">
        <v>794</v>
      </c>
      <c r="B366" s="27" t="s">
        <v>795</v>
      </c>
      <c r="C366" s="27"/>
      <c r="D366" s="33" t="s">
        <v>14</v>
      </c>
      <c r="E366" s="9"/>
      <c r="F366" s="32"/>
      <c r="G366" s="10">
        <v>126472</v>
      </c>
      <c r="H366" s="30" t="str">
        <f ca="1">IFERROR(__xludf.DUMMYFUNCTION("LOWER(REGEXREPLACE(B366&amp;"" ""&amp;C366,""[^а-яa-z0-9 ]"","" ""))")," ереплетная машина      omb ind  200   дырокол 15 листов  переплет до 330 листов  38мм    lack ")</f>
        <v xml:space="preserve"> ереплетная машина      omb ind  200   дырокол 15 листов  переплет до 330 листов  38мм    lack </v>
      </c>
    </row>
    <row r="367" spans="1:8" ht="25.5" x14ac:dyDescent="0.2">
      <c r="A367" s="31" t="s">
        <v>796</v>
      </c>
      <c r="B367" s="27" t="s">
        <v>797</v>
      </c>
      <c r="C367" s="27"/>
      <c r="D367" s="32"/>
      <c r="E367" s="9"/>
      <c r="F367" s="32"/>
      <c r="G367" s="10"/>
      <c r="H367" s="30" t="str">
        <f ca="1">IFERROR(__xludf.DUMMYFUNCTION("LOWER(REGEXREPLACE(B367&amp;"" ""&amp;C367,""[^а-яa-z0-9 ]"","" ""))")," ругие административно хозяйственные кабинеты ")</f>
        <v xml:space="preserve"> ругие административно хозяйственные кабинеты </v>
      </c>
    </row>
    <row r="368" spans="1:8" ht="12.75" x14ac:dyDescent="0.2">
      <c r="A368" s="31" t="s">
        <v>798</v>
      </c>
      <c r="B368" s="27" t="s">
        <v>799</v>
      </c>
      <c r="C368" s="27"/>
      <c r="D368" s="33" t="s">
        <v>14</v>
      </c>
      <c r="E368" s="9"/>
      <c r="F368" s="32"/>
      <c r="G368" s="10"/>
      <c r="H368" s="30" t="str">
        <f ca="1">IFERROR(__xludf.DUMMYFUNCTION("LOWER(REGEXREPLACE(B368&amp;"" ""&amp;C368,""[^а-яa-z0-9 ]"","" ""))")," каф для документов ")</f>
        <v xml:space="preserve"> каф для документов </v>
      </c>
    </row>
    <row r="369" spans="1:8" ht="38.25" x14ac:dyDescent="0.2">
      <c r="A369" s="31" t="s">
        <v>800</v>
      </c>
      <c r="B369" s="27" t="s">
        <v>801</v>
      </c>
      <c r="C369" s="27" t="s">
        <v>801</v>
      </c>
      <c r="D369" s="33" t="s">
        <v>14</v>
      </c>
      <c r="E369" s="9"/>
      <c r="F369" s="32"/>
      <c r="G369" s="10">
        <v>39538</v>
      </c>
      <c r="H369" s="30" t="str">
        <f ca="1">IFERROR(__xludf.DUMMYFUNCTION("LOWER(REGEXREPLACE(B369&amp;"" ""&amp;C369,""[^а-яa-z0-9 ]"","" ""))")," каф для документов   верх с открытой полкой  низ с закрытыми полками и дверьми   азмеры 1000 340 1200мм       16мм   каф для документов   верх с открытой полкой  низ с закрытыми полками и дверьми   азмеры 1000 340 1200мм       16мм ")</f>
        <v xml:space="preserve"> каф для документов   верх с открытой полкой  низ с закрытыми полками и дверьми   азмеры 1000 340 1200мм       16мм   каф для документов   верх с открытой полкой  низ с закрытыми полками и дверьми   азмеры 1000 340 1200мм       16мм </v>
      </c>
    </row>
    <row r="370" spans="1:8" ht="38.25" x14ac:dyDescent="0.2">
      <c r="A370" s="31" t="s">
        <v>802</v>
      </c>
      <c r="B370" s="27" t="s">
        <v>803</v>
      </c>
      <c r="C370" s="27" t="s">
        <v>803</v>
      </c>
      <c r="D370" s="33" t="s">
        <v>14</v>
      </c>
      <c r="E370" s="9"/>
      <c r="F370" s="32"/>
      <c r="G370" s="10">
        <v>45864</v>
      </c>
      <c r="H370" s="30" t="str">
        <f ca="1">IFERROR(__xludf.DUMMYFUNCTION("LOWER(REGEXREPLACE(B370&amp;"" ""&amp;C370,""[^а-яa-z0-9 ]"","" ""))")," каф для документов с открытыми верхними полками и закрытой нижней частью   азмеры 800 450 2000мм       16мм   каф для документов с открытыми верхними полками и закрытой нижней частью   азмеры 800 450 2000мм       16мм ")</f>
        <v xml:space="preserve"> каф для документов с открытыми верхними полками и закрытой нижней частью   азмеры 800 450 2000мм       16мм   каф для документов с открытыми верхними полками и закрытой нижней частью   азмеры 800 450 2000мм       16мм </v>
      </c>
    </row>
    <row r="371" spans="1:8" ht="38.25" x14ac:dyDescent="0.2">
      <c r="A371" s="31" t="s">
        <v>804</v>
      </c>
      <c r="B371" s="27" t="s">
        <v>805</v>
      </c>
      <c r="C371" s="27" t="s">
        <v>805</v>
      </c>
      <c r="D371" s="33" t="s">
        <v>14</v>
      </c>
      <c r="E371" s="9"/>
      <c r="F371" s="32"/>
      <c r="G371" s="10">
        <v>44643</v>
      </c>
      <c r="H371" s="30" t="str">
        <f ca="1">IFERROR(__xludf.DUMMYFUNCTION("LOWER(REGEXREPLACE(B371&amp;"" ""&amp;C371,""[^а-яa-z0-9 ]"","" ""))")," каф для документов с открытыми верхними полками и закрытой нижней частью   азмеры 600х450х1800мм       16мм   каф для документов с открытыми верхними полками и закрытой нижней частью   азмеры 600х450х1800мм       16мм ")</f>
        <v xml:space="preserve"> каф для документов с открытыми верхними полками и закрытой нижней частью   азмеры 600х450х1800мм       16мм   каф для документов с открытыми верхними полками и закрытой нижней частью   азмеры 600х450х1800мм       16мм </v>
      </c>
    </row>
    <row r="372" spans="1:8" ht="12.75" x14ac:dyDescent="0.2">
      <c r="A372" s="31" t="s">
        <v>806</v>
      </c>
      <c r="B372" s="27" t="s">
        <v>807</v>
      </c>
      <c r="C372" s="27"/>
      <c r="D372" s="33" t="s">
        <v>14</v>
      </c>
      <c r="E372" s="9"/>
      <c r="F372" s="32"/>
      <c r="G372" s="10"/>
      <c r="H372" s="30" t="str">
        <f ca="1">IFERROR(__xludf.DUMMYFUNCTION("LOWER(REGEXREPLACE(B372&amp;"" ""&amp;C372,""[^а-яa-z0-9 ]"","" ""))")," тол из     пластика ")</f>
        <v xml:space="preserve"> тол из     пластика </v>
      </c>
    </row>
    <row r="373" spans="1:8" ht="12.75" x14ac:dyDescent="0.2">
      <c r="A373" s="31" t="s">
        <v>808</v>
      </c>
      <c r="B373" s="27" t="s">
        <v>809</v>
      </c>
      <c r="C373" s="27"/>
      <c r="D373" s="33" t="s">
        <v>14</v>
      </c>
      <c r="E373" s="9"/>
      <c r="F373" s="34">
        <v>15</v>
      </c>
      <c r="G373" s="10">
        <v>62397</v>
      </c>
      <c r="H373" s="30" t="str">
        <f ca="1">IFERROR(__xludf.DUMMYFUNCTION("LOWER(REGEXREPLACE(B373&amp;"" ""&amp;C373,""[^а-яa-z0-9 ]"","" ""))")," тол из     пластика  размер 800х800х720 мм ")</f>
        <v xml:space="preserve"> тол из     пластика  размер 800х800х720 мм </v>
      </c>
    </row>
    <row r="374" spans="1:8" ht="12.75" x14ac:dyDescent="0.2">
      <c r="A374" s="31" t="s">
        <v>810</v>
      </c>
      <c r="B374" s="27" t="s">
        <v>811</v>
      </c>
      <c r="C374" s="27"/>
      <c r="D374" s="33" t="s">
        <v>14</v>
      </c>
      <c r="E374" s="9"/>
      <c r="F374" s="34">
        <v>22</v>
      </c>
      <c r="G374" s="10">
        <v>74542</v>
      </c>
      <c r="H374" s="30" t="str">
        <f ca="1">IFERROR(__xludf.DUMMYFUNCTION("LOWER(REGEXREPLACE(B374&amp;"" ""&amp;C374,""[^а-яa-z0-9 ]"","" ""))")," тол из     пластика  размер 800х1200х720 мм ")</f>
        <v xml:space="preserve"> тол из     пластика  размер 800х1200х720 мм </v>
      </c>
    </row>
    <row r="375" spans="1:8" ht="12.75" x14ac:dyDescent="0.2">
      <c r="A375" s="31" t="s">
        <v>812</v>
      </c>
      <c r="B375" s="27" t="s">
        <v>813</v>
      </c>
      <c r="C375" s="27"/>
      <c r="D375" s="33" t="s">
        <v>14</v>
      </c>
      <c r="E375" s="9"/>
      <c r="F375" s="32"/>
      <c r="G375" s="10"/>
      <c r="H375" s="30" t="str">
        <f ca="1">IFERROR(__xludf.DUMMYFUNCTION("LOWER(REGEXREPLACE(B375&amp;"" ""&amp;C375,""[^а-яa-z0-9 ]"","" ""))")," тул из пластика ")</f>
        <v xml:space="preserve"> тул из пластика </v>
      </c>
    </row>
    <row r="376" spans="1:8" ht="25.5" x14ac:dyDescent="0.2">
      <c r="A376" s="31" t="s">
        <v>814</v>
      </c>
      <c r="B376" s="27" t="s">
        <v>815</v>
      </c>
      <c r="C376" s="27" t="s">
        <v>816</v>
      </c>
      <c r="D376" s="33" t="s">
        <v>14</v>
      </c>
      <c r="E376" s="9"/>
      <c r="F376" s="36">
        <v>4.67</v>
      </c>
      <c r="G376" s="10">
        <v>18633</v>
      </c>
      <c r="H376" s="30" t="str">
        <f ca="1">IFERROR(__xludf.DUMMYFUNCTION("LOWER(REGEXREPLACE(B376&amp;"" ""&amp;C376,""[^а-яa-z0-9 ]"","" ""))")," тул из пластика  размер 465х530х800 мм  атериал сидушки и ножек пластик   азмеры 465х530х800мм ")</f>
        <v xml:space="preserve"> тул из пластика  размер 465х530х800 мм  атериал сидушки и ножек пластик   азмеры 465х530х800мм </v>
      </c>
    </row>
    <row r="377" spans="1:8" ht="25.5" x14ac:dyDescent="0.2">
      <c r="A377" s="31" t="s">
        <v>817</v>
      </c>
      <c r="B377" s="27" t="s">
        <v>818</v>
      </c>
      <c r="C377" s="27" t="s">
        <v>819</v>
      </c>
      <c r="D377" s="33" t="s">
        <v>14</v>
      </c>
      <c r="E377" s="9"/>
      <c r="F377" s="34">
        <v>4</v>
      </c>
      <c r="G377" s="10">
        <v>17115</v>
      </c>
      <c r="H377" s="30" t="str">
        <f ca="1">IFERROR(__xludf.DUMMYFUNCTION("LOWER(REGEXREPLACE(B377&amp;"" ""&amp;C377,""[^а-яa-z0-9 ]"","" ""))")," тул из пластика  размер 500х550х820 мм  атериал пластик   азмеры 500х550х820мм   тул цельнолитой ")</f>
        <v xml:space="preserve"> тул из пластика  размер 500х550х820 мм  атериал пластик   азмеры 500х550х820мм   тул цельнолитой </v>
      </c>
    </row>
    <row r="378" spans="1:8" ht="25.5" x14ac:dyDescent="0.2">
      <c r="A378" s="31" t="s">
        <v>820</v>
      </c>
      <c r="B378" s="27" t="s">
        <v>821</v>
      </c>
      <c r="C378" s="27" t="s">
        <v>822</v>
      </c>
      <c r="D378" s="33" t="s">
        <v>14</v>
      </c>
      <c r="E378" s="9"/>
      <c r="F378" s="34">
        <v>6</v>
      </c>
      <c r="G378" s="10">
        <v>26691</v>
      </c>
      <c r="H378" s="30" t="str">
        <f ca="1">IFERROR(__xludf.DUMMYFUNCTION("LOWER(REGEXREPLACE(B378&amp;"" ""&amp;C378,""[^а-яa-z0-9 ]"","" ""))")," тул из пластика  размер 590х590х840 мм  атериал сидушки и ножек пластик   азмеры 590х590х840мм ")</f>
        <v xml:space="preserve"> тул из пластика  размер 590х590х840 мм  атериал сидушки и ножек пластик   азмеры 590х590х840мм </v>
      </c>
    </row>
    <row r="379" spans="1:8" ht="25.5" x14ac:dyDescent="0.2">
      <c r="A379" s="31" t="s">
        <v>823</v>
      </c>
      <c r="B379" s="27" t="s">
        <v>824</v>
      </c>
      <c r="C379" s="27" t="s">
        <v>825</v>
      </c>
      <c r="D379" s="33" t="s">
        <v>14</v>
      </c>
      <c r="E379" s="34">
        <v>2</v>
      </c>
      <c r="F379" s="35">
        <v>11.1</v>
      </c>
      <c r="G379" s="10">
        <v>25201</v>
      </c>
      <c r="H379" s="30" t="str">
        <f ca="1">IFERROR(__xludf.DUMMYFUNCTION("LOWER(REGEXREPLACE(B379&amp;"" ""&amp;C379,""[^а-яa-z0-9 ]"","" ""))")," тул офисный пластиковый  каркас хром  тул изготовлен из пластика   аркас из хромированного металла   атериал  основание   хром  спинка   пластик")</f>
        <v xml:space="preserve"> тул офисный пластиковый  каркас хром  тул изготовлен из пластика   аркас из хромированного металла   атериал  основание   хром  спинка   пластик</v>
      </c>
    </row>
    <row r="380" spans="1:8" ht="38.25" x14ac:dyDescent="0.2">
      <c r="A380" s="31" t="s">
        <v>826</v>
      </c>
      <c r="B380" s="27" t="s">
        <v>827</v>
      </c>
      <c r="C380" s="27" t="s">
        <v>828</v>
      </c>
      <c r="D380" s="33" t="s">
        <v>14</v>
      </c>
      <c r="E380" s="34">
        <v>2</v>
      </c>
      <c r="F380" s="34">
        <v>5</v>
      </c>
      <c r="G380" s="10">
        <v>35541</v>
      </c>
      <c r="H380" s="30" t="str">
        <f ca="1">IFERROR(__xludf.DUMMYFUNCTION("LOWER(REGEXREPLACE(B380&amp;"" ""&amp;C380,""[^а-яa-z0-9 ]"","" ""))")," тул офисный   иденье и спинка  пластик   аркас стула  металл  хром лак черный муар   азмер  460х480х840мм  вет по согласованию с заказчиком   силенный каркас до 240 кг ")</f>
        <v xml:space="preserve"> тул офисный   иденье и спинка  пластик   аркас стула  металл  хром лак черный муар   азмер  460х480х840мм  вет по согласованию с заказчиком   силенный каркас до 240 кг </v>
      </c>
    </row>
    <row r="381" spans="1:8" ht="25.5" x14ac:dyDescent="0.2">
      <c r="A381" s="31" t="s">
        <v>829</v>
      </c>
      <c r="B381" s="8" t="s">
        <v>830</v>
      </c>
      <c r="C381" s="27" t="s">
        <v>831</v>
      </c>
      <c r="D381" s="33" t="s">
        <v>14</v>
      </c>
      <c r="E381" s="9"/>
      <c r="F381" s="34">
        <v>7</v>
      </c>
      <c r="G381" s="10">
        <v>40869</v>
      </c>
      <c r="H381" s="30" t="str">
        <f ca="1">IFERROR(__xludf.DUMMYFUNCTION("LOWER(REGEXREPLACE(B381&amp;"" ""&amp;C381,""[^а-яa-z0-9 ]"","" ""))")," тул офисный пластиковый   атериал сиденья и спинки полипропилен   атериал основания  пустотелая сталь   азмер  860 592 515 мм   вет по согласованию")</f>
        <v xml:space="preserve"> тул офисный пластиковый   атериал сиденья и спинки полипропилен   атериал основания  пустотелая сталь   азмер  860 592 515 мм   вет по согласованию</v>
      </c>
    </row>
    <row r="382" spans="1:8" ht="38.25" x14ac:dyDescent="0.2">
      <c r="A382" s="31" t="s">
        <v>832</v>
      </c>
      <c r="B382" s="8" t="s">
        <v>833</v>
      </c>
      <c r="C382" s="27" t="s">
        <v>834</v>
      </c>
      <c r="D382" s="33" t="s">
        <v>14</v>
      </c>
      <c r="E382" s="34">
        <v>2</v>
      </c>
      <c r="F382" s="36">
        <v>5.75</v>
      </c>
      <c r="G382" s="10">
        <v>27720</v>
      </c>
      <c r="H382" s="30" t="str">
        <f ca="1">IFERROR(__xludf.DUMMYFUNCTION("LOWER(REGEXREPLACE(B382&amp;"" ""&amp;C382,""[^а-яa-z0-9 ]"","" ""))")," тул типа  орум   вет по согласованию с заказчиком   атериал   полипропилен   абаритные размеры  590х590х840мм  тул типа  орум   вет по согласованию с заказчиком   атериал   полипропилен   абаритные размеры  590х590х840мм")</f>
        <v xml:space="preserve"> тул типа  орум   вет по согласованию с заказчиком   атериал   полипропилен   абаритные размеры  590х590х840мм  тул типа  орум   вет по согласованию с заказчиком   атериал   полипропилен   абаритные размеры  590х590х840мм</v>
      </c>
    </row>
    <row r="383" spans="1:8" ht="51" x14ac:dyDescent="0.2">
      <c r="A383" s="31" t="s">
        <v>835</v>
      </c>
      <c r="B383" s="27" t="s">
        <v>836</v>
      </c>
      <c r="C383" s="27" t="s">
        <v>837</v>
      </c>
      <c r="D383" s="33" t="s">
        <v>14</v>
      </c>
      <c r="E383" s="34">
        <v>2</v>
      </c>
      <c r="F383" s="36">
        <v>4.68</v>
      </c>
      <c r="G383" s="10">
        <v>19353</v>
      </c>
      <c r="H383" s="30" t="str">
        <f ca="1">IFERROR(__xludf.DUMMYFUNCTION("LOWER(REGEXREPLACE(B383&amp;"" ""&amp;C383,""[^а-яa-z0-9 ]"","" ""))")," тул типа       атериал   пластик   вет по согласованию с заказчиком   атериал   полипропилен   абаритные размеры  465х530х800мм  тул типа       атериал   пластик   вет по согласованию с заказчиком   атериал   полипропилен   абаритные размеры  465х530х800"&amp;"мм")</f>
        <v xml:space="preserve"> тул типа       атериал   пластик   вет по согласованию с заказчиком   атериал   полипропилен   абаритные размеры  465х530х800мм  тул типа       атериал   пластик   вет по согласованию с заказчиком   атериал   полипропилен   абаритные размеры  465х530х800мм</v>
      </c>
    </row>
    <row r="384" spans="1:8" ht="38.25" x14ac:dyDescent="0.2">
      <c r="A384" s="31" t="s">
        <v>838</v>
      </c>
      <c r="B384" s="27" t="s">
        <v>839</v>
      </c>
      <c r="C384" s="27" t="s">
        <v>839</v>
      </c>
      <c r="D384" s="33" t="s">
        <v>14</v>
      </c>
      <c r="E384" s="34">
        <v>2</v>
      </c>
      <c r="F384" s="36">
        <v>4.29</v>
      </c>
      <c r="G384" s="10">
        <v>21600</v>
      </c>
      <c r="H384" s="30" t="str">
        <f ca="1">IFERROR(__xludf.DUMMYFUNCTION("LOWER(REGEXREPLACE(B384&amp;"" ""&amp;C384,""[^а-яa-z0-9 ]"","" ""))")," тул типа        атериал   полипропилен   абаритные размеры  480х470х845мм   вет по согласованию с заказчиком  тул типа        атериал   полипропилен   абаритные размеры  480х470х845мм   вет по согласованию с заказчиком")</f>
        <v xml:space="preserve"> тул типа        атериал   полипропилен   абаритные размеры  480х470х845мм   вет по согласованию с заказчиком  тул типа        атериал   полипропилен   абаритные размеры  480х470х845мм   вет по согласованию с заказчиком</v>
      </c>
    </row>
    <row r="385" spans="1:8" ht="38.25" x14ac:dyDescent="0.2">
      <c r="A385" s="31" t="s">
        <v>840</v>
      </c>
      <c r="B385" s="27" t="s">
        <v>841</v>
      </c>
      <c r="C385" s="27" t="s">
        <v>841</v>
      </c>
      <c r="D385" s="33" t="s">
        <v>14</v>
      </c>
      <c r="E385" s="34">
        <v>2</v>
      </c>
      <c r="F385" s="35">
        <v>3.7</v>
      </c>
      <c r="G385" s="10">
        <v>18000</v>
      </c>
      <c r="H385" s="30" t="str">
        <f ca="1">IFERROR(__xludf.DUMMYFUNCTION("LOWER(REGEXREPLACE(B385&amp;"" ""&amp;C385,""[^а-яa-z0-9 ]"","" ""))")," тул типа        атериал  полипропилен   абаритные размеры  465х415х845мм   вет по согласованию с заказчиком  тул типа        атериал  полипропилен   абаритные размеры  465х415х845мм   вет по согласованию с заказчиком")</f>
        <v xml:space="preserve"> тул типа        атериал  полипропилен   абаритные размеры  465х415х845мм   вет по согласованию с заказчиком  тул типа        атериал  полипропилен   абаритные размеры  465х415х845мм   вет по согласованию с заказчиком</v>
      </c>
    </row>
    <row r="386" spans="1:8" ht="25.5" x14ac:dyDescent="0.2">
      <c r="A386" s="31" t="s">
        <v>842</v>
      </c>
      <c r="B386" s="8" t="s">
        <v>843</v>
      </c>
      <c r="C386" s="27"/>
      <c r="D386" s="33" t="s">
        <v>14</v>
      </c>
      <c r="E386" s="34">
        <v>2</v>
      </c>
      <c r="F386" s="36">
        <v>1.29</v>
      </c>
      <c r="G386" s="10">
        <v>5581</v>
      </c>
      <c r="H386" s="30" t="str">
        <f ca="1">IFERROR(__xludf.DUMMYFUNCTION("LOWER(REGEXREPLACE(B386&amp;"" ""&amp;C386,""[^а-яa-z0-9 ]"","" ""))")," абурет корзина типа  на   атериал   полипропилен   вет  антрацит ")</f>
        <v xml:space="preserve"> абурет корзина типа  на   атериал   полипропилен   вет  антрацит </v>
      </c>
    </row>
    <row r="387" spans="1:8" ht="38.25" x14ac:dyDescent="0.2">
      <c r="A387" s="31" t="s">
        <v>844</v>
      </c>
      <c r="B387" s="27" t="s">
        <v>845</v>
      </c>
      <c r="C387" s="27"/>
      <c r="D387" s="33" t="s">
        <v>14</v>
      </c>
      <c r="E387" s="34">
        <v>2</v>
      </c>
      <c r="F387" s="35">
        <v>1.6</v>
      </c>
      <c r="G387" s="10">
        <v>5402</v>
      </c>
      <c r="H387" s="30" t="str">
        <f ca="1">IFERROR(__xludf.DUMMYFUNCTION("LOWER(REGEXREPLACE(B387&amp;"" ""&amp;C387,""[^а-яa-z0-9 ]"","" ""))")," абурет корзина типа  ркеш   атериал   полипропилен   вет  антрацит   абаритные размеры  395х250х310мм ")</f>
        <v xml:space="preserve"> абурет корзина типа  ркеш   атериал   полипропилен   вет  антрацит   абаритные размеры  395х250х310мм </v>
      </c>
    </row>
    <row r="388" spans="1:8" ht="25.5" x14ac:dyDescent="0.2">
      <c r="A388" s="31" t="s">
        <v>846</v>
      </c>
      <c r="B388" s="8" t="s">
        <v>847</v>
      </c>
      <c r="C388" s="27" t="s">
        <v>848</v>
      </c>
      <c r="D388" s="33" t="s">
        <v>14</v>
      </c>
      <c r="E388" s="34">
        <v>2</v>
      </c>
      <c r="F388" s="34">
        <v>1</v>
      </c>
      <c r="G388" s="10">
        <v>2252</v>
      </c>
      <c r="H388" s="30" t="str">
        <f ca="1">IFERROR(__xludf.DUMMYFUNCTION("LOWER(REGEXREPLACE(B388&amp;"" ""&amp;C388,""[^а-яa-z0-9 ]"","" ""))")," абурет типа  улип   атериал   полипропилен   вет  антрацит  абурет типа  улип   атериал   полипропилен   вет  антрацит")</f>
        <v xml:space="preserve"> абурет типа  улип   атериал   полипропилен   вет  антрацит  абурет типа  улип   атериал   полипропилен   вет  антрацит</v>
      </c>
    </row>
    <row r="389" spans="1:8" ht="38.25" x14ac:dyDescent="0.2">
      <c r="A389" s="31" t="s">
        <v>849</v>
      </c>
      <c r="B389" s="27" t="s">
        <v>850</v>
      </c>
      <c r="C389" s="27" t="s">
        <v>850</v>
      </c>
      <c r="D389" s="33" t="s">
        <v>14</v>
      </c>
      <c r="E389" s="34">
        <v>2</v>
      </c>
      <c r="F389" s="36">
        <v>1.41</v>
      </c>
      <c r="G389" s="10">
        <v>4682</v>
      </c>
      <c r="H389" s="30" t="str">
        <f ca="1">IFERROR(__xludf.DUMMYFUNCTION("LOWER(REGEXREPLACE(B389&amp;"" ""&amp;C389,""[^а-яa-z0-9 ]"","" ""))")," тул детский типа  окси   вет по согласованию с заказчиком   атериал   полипропилен   абаритные размеры  390х400х585мм  тул детский типа  окси   вет по согласованию с заказчиком   атериал   полипропилен   абаритные размеры  390х400х585мм")</f>
        <v xml:space="preserve"> тул детский типа  окси   вет по согласованию с заказчиком   атериал   полипропилен   абаритные размеры  390х400х585мм  тул детский типа  окси   вет по согласованию с заказчиком   атериал   полипропилен   абаритные размеры  390х400х585мм</v>
      </c>
    </row>
    <row r="390" spans="1:8" ht="38.25" x14ac:dyDescent="0.2">
      <c r="A390" s="31" t="s">
        <v>851</v>
      </c>
      <c r="B390" s="27" t="s">
        <v>852</v>
      </c>
      <c r="C390" s="27" t="s">
        <v>853</v>
      </c>
      <c r="D390" s="33" t="s">
        <v>14</v>
      </c>
      <c r="E390" s="34">
        <v>2</v>
      </c>
      <c r="F390" s="34">
        <v>5</v>
      </c>
      <c r="G390" s="10">
        <v>27443</v>
      </c>
      <c r="H390" s="30" t="str">
        <f ca="1">IFERROR(__xludf.DUMMYFUNCTION("LOWER(REGEXREPLACE(B390&amp;"" ""&amp;C390,""[^а-яa-z0-9 ]"","" ""))")," тул из пластика  размер 470х390х770мм  металлический каркас  бивка отсутствует   есткость сиденья средняя   ысота 770мм   ирина 470мм   лубина 390мм   иденье и спинка из полипропиленового пластика   вет по согласованию")</f>
        <v xml:space="preserve"> тул из пластика  размер 470х390х770мм  металлический каркас  бивка отсутствует   есткость сиденья средняя   ысота 770мм   ирина 470мм   лубина 390мм   иденье и спинка из полипропиленового пластика   вет по согласованию</v>
      </c>
    </row>
    <row r="391" spans="1:8" ht="25.5" x14ac:dyDescent="0.2">
      <c r="A391" s="31" t="s">
        <v>854</v>
      </c>
      <c r="B391" s="27" t="s">
        <v>855</v>
      </c>
      <c r="C391" s="27" t="s">
        <v>856</v>
      </c>
      <c r="D391" s="33" t="s">
        <v>14</v>
      </c>
      <c r="E391" s="34">
        <v>2</v>
      </c>
      <c r="F391" s="34">
        <v>7</v>
      </c>
      <c r="G391" s="10">
        <v>11985</v>
      </c>
      <c r="H391" s="30" t="str">
        <f ca="1">IFERROR(__xludf.DUMMYFUNCTION("LOWER(REGEXREPLACE(B391&amp;"" ""&amp;C391,""[^а-яa-z0-9 ]"","" ""))")," тул из пластика  размер 440х400х780мм  ножки металлические  аркас пластик   ожки металлические с эффектом покраски под дерево")</f>
        <v xml:space="preserve"> тул из пластика  размер 440х400х780мм  ножки металлические  аркас пластик   ожки металлические с эффектом покраски под дерево</v>
      </c>
    </row>
    <row r="392" spans="1:8" ht="38.25" x14ac:dyDescent="0.2">
      <c r="A392" s="31" t="s">
        <v>857</v>
      </c>
      <c r="B392" s="27" t="s">
        <v>858</v>
      </c>
      <c r="C392" s="27" t="s">
        <v>859</v>
      </c>
      <c r="D392" s="33" t="s">
        <v>14</v>
      </c>
      <c r="E392" s="34">
        <v>2</v>
      </c>
      <c r="F392" s="35">
        <v>3.5</v>
      </c>
      <c r="G392" s="10">
        <v>8359</v>
      </c>
      <c r="H392" s="30" t="str">
        <f ca="1">IFERROR(__xludf.DUMMYFUNCTION("LOWER(REGEXREPLACE(B392&amp;"" ""&amp;C392,""[^а-яa-z0-9 ]"","" ""))")," тул из пластика  размер 400х380х780мм  металлический каркас цветной  бивка отсутствует   есткость сиденья средняя   ысота 780мм   ирина 400мм   лубина 380мм   иденье и спинка из полипропиленового пластика   вет по согласованию")</f>
        <v xml:space="preserve"> тул из пластика  размер 400х380х780мм  металлический каркас цветной  бивка отсутствует   есткость сиденья средняя   ысота 780мм   ирина 400мм   лубина 380мм   иденье и спинка из полипропиленового пластика   вет по согласованию</v>
      </c>
    </row>
    <row r="393" spans="1:8" x14ac:dyDescent="0.2">
      <c r="A393" s="12" t="s">
        <v>860</v>
      </c>
      <c r="B393" s="26"/>
      <c r="C393" s="27"/>
      <c r="D393" s="26"/>
      <c r="E393" s="28"/>
      <c r="F393" s="26"/>
      <c r="G393" s="29"/>
      <c r="H393" s="30" t="str">
        <f ca="1">IFERROR(__xludf.DUMMYFUNCTION("LOWER(REGEXREPLACE(B393&amp;"" ""&amp;C393,""[^а-яa-z0-9 ]"","" ""))")," ")</f>
        <v xml:space="preserve"> </v>
      </c>
    </row>
    <row r="394" spans="1:8" ht="12.75" x14ac:dyDescent="0.2">
      <c r="A394" s="31" t="s">
        <v>861</v>
      </c>
      <c r="B394" s="27" t="s">
        <v>862</v>
      </c>
      <c r="C394" s="27"/>
      <c r="D394" s="32"/>
      <c r="E394" s="9"/>
      <c r="F394" s="32"/>
      <c r="G394" s="10"/>
      <c r="H394" s="30" t="str">
        <f ca="1">IFERROR(__xludf.DUMMYFUNCTION("LOWER(REGEXREPLACE(B394&amp;"" ""&amp;C394,""[^а-яa-z0-9 ]"","" ""))")," ациональные музыкальные инструменты ")</f>
        <v xml:space="preserve"> ациональные музыкальные инструменты </v>
      </c>
    </row>
    <row r="395" spans="1:8" ht="12.75" x14ac:dyDescent="0.2">
      <c r="A395" s="31" t="s">
        <v>863</v>
      </c>
      <c r="B395" s="27" t="s">
        <v>864</v>
      </c>
      <c r="C395" s="27" t="s">
        <v>865</v>
      </c>
      <c r="D395" s="33" t="s">
        <v>14</v>
      </c>
      <c r="E395" s="9"/>
      <c r="F395" s="32"/>
      <c r="G395" s="10">
        <v>40179</v>
      </c>
      <c r="H395" s="30" t="str">
        <f ca="1">IFERROR(__xludf.DUMMYFUNCTION("LOWER(REGEXREPLACE(B395&amp;"" ""&amp;C395,""[^а-яa-z0-9 ]"","" ""))")," омбра  омбра  длина грифа не менее 450 мм ")</f>
        <v xml:space="preserve"> омбра  омбра  длина грифа не менее 450 мм </v>
      </c>
    </row>
    <row r="396" spans="1:8" ht="25.5" x14ac:dyDescent="0.2">
      <c r="A396" s="31" t="s">
        <v>866</v>
      </c>
      <c r="B396" s="27" t="s">
        <v>867</v>
      </c>
      <c r="C396" s="27" t="s">
        <v>868</v>
      </c>
      <c r="D396" s="33" t="s">
        <v>14</v>
      </c>
      <c r="E396" s="34">
        <v>2</v>
      </c>
      <c r="F396" s="35">
        <v>1.2</v>
      </c>
      <c r="G396" s="10">
        <v>71429</v>
      </c>
      <c r="H396" s="30" t="str">
        <f ca="1">IFERROR(__xludf.DUMMYFUNCTION("LOWER(REGEXREPLACE(B396&amp;"" ""&amp;C396,""[^а-яa-z0-9 ]"","" ""))")," ауылпаз  дарный музыкальный инструмент   орпус котлообразный изготовлен из тв рдых пород дерева  лицевая часть обтянута из козлиной кожи ")</f>
        <v xml:space="preserve"> ауылпаз  дарный музыкальный инструмент   орпус котлообразный изготовлен из тв рдых пород дерева  лицевая часть обтянута из козлиной кожи </v>
      </c>
    </row>
    <row r="397" spans="1:8" ht="12.75" x14ac:dyDescent="0.2">
      <c r="A397" s="31" t="s">
        <v>869</v>
      </c>
      <c r="B397" s="27" t="s">
        <v>870</v>
      </c>
      <c r="C397" s="27"/>
      <c r="D397" s="33" t="s">
        <v>14</v>
      </c>
      <c r="E397" s="9"/>
      <c r="F397" s="32"/>
      <c r="G397" s="10">
        <v>312500</v>
      </c>
      <c r="H397" s="30" t="str">
        <f ca="1">IFERROR(__xludf.DUMMYFUNCTION("LOWER(REGEXREPLACE(B397&amp;"" ""&amp;C397,""[^а-яa-z0-9 ]"","" ""))")," ет ген ")</f>
        <v xml:space="preserve"> ет ген </v>
      </c>
    </row>
    <row r="398" spans="1:8" ht="12.75" x14ac:dyDescent="0.2">
      <c r="A398" s="31" t="s">
        <v>871</v>
      </c>
      <c r="B398" s="27" t="s">
        <v>872</v>
      </c>
      <c r="C398" s="27"/>
      <c r="D398" s="33" t="s">
        <v>14</v>
      </c>
      <c r="E398" s="9"/>
      <c r="F398" s="32"/>
      <c r="G398" s="10">
        <v>116071</v>
      </c>
      <c r="H398" s="30" t="str">
        <f ca="1">IFERROR(__xludf.DUMMYFUNCTION("LOWER(REGEXREPLACE(B398&amp;"" ""&amp;C398,""[^а-яa-z0-9 ]"","" ""))")," обыз ")</f>
        <v xml:space="preserve"> обыз </v>
      </c>
    </row>
    <row r="399" spans="1:8" ht="25.5" x14ac:dyDescent="0.2">
      <c r="A399" s="31" t="s">
        <v>873</v>
      </c>
      <c r="B399" s="27" t="s">
        <v>874</v>
      </c>
      <c r="C399" s="27" t="s">
        <v>875</v>
      </c>
      <c r="D399" s="33" t="s">
        <v>14</v>
      </c>
      <c r="E399" s="9"/>
      <c r="F399" s="32"/>
      <c r="G399" s="10">
        <v>35714</v>
      </c>
      <c r="H399" s="30" t="str">
        <f ca="1">IFERROR(__xludf.DUMMYFUNCTION("LOWER(REGEXREPLACE(B399&amp;"" ""&amp;C399,""[^а-яa-z0-9 ]"","" ""))")," азсырнай  то духовой музыкальный инструмент  сделанный из глины   меет по бокам отверстия    комплекте идет чехол ")</f>
        <v xml:space="preserve"> азсырнай  то духовой музыкальный инструмент  сделанный из глины   меет по бокам отверстия    комплекте идет чехол </v>
      </c>
    </row>
    <row r="400" spans="1:8" ht="12.75" x14ac:dyDescent="0.2">
      <c r="A400" s="31" t="s">
        <v>876</v>
      </c>
      <c r="B400" s="27" t="s">
        <v>877</v>
      </c>
      <c r="C400" s="27"/>
      <c r="D400" s="33" t="s">
        <v>14</v>
      </c>
      <c r="E400" s="9"/>
      <c r="F400" s="32"/>
      <c r="G400" s="10">
        <v>339286</v>
      </c>
      <c r="H400" s="30" t="str">
        <f ca="1">IFERROR(__xludf.DUMMYFUNCTION("LOWER(REGEXREPLACE(B400&amp;"" ""&amp;C400,""[^а-яa-z0-9 ]"","" ""))")," дырна ")</f>
        <v xml:space="preserve"> дырна </v>
      </c>
    </row>
    <row r="401" spans="1:8" ht="12.75" x14ac:dyDescent="0.2">
      <c r="A401" s="31" t="s">
        <v>878</v>
      </c>
      <c r="B401" s="27" t="s">
        <v>879</v>
      </c>
      <c r="C401" s="27"/>
      <c r="D401" s="33" t="s">
        <v>14</v>
      </c>
      <c r="E401" s="9"/>
      <c r="F401" s="32"/>
      <c r="G401" s="10">
        <v>133929</v>
      </c>
      <c r="H401" s="30" t="str">
        <f ca="1">IFERROR(__xludf.DUMMYFUNCTION("LOWER(REGEXREPLACE(B401&amp;"" ""&amp;C401,""[^а-яa-z0-9 ]"","" ""))")," ертер ")</f>
        <v xml:space="preserve"> ертер </v>
      </c>
    </row>
    <row r="402" spans="1:8" ht="12.75" x14ac:dyDescent="0.2">
      <c r="A402" s="31" t="s">
        <v>880</v>
      </c>
      <c r="B402" s="27" t="s">
        <v>881</v>
      </c>
      <c r="C402" s="27"/>
      <c r="D402" s="33" t="s">
        <v>14</v>
      </c>
      <c r="E402" s="9"/>
      <c r="F402" s="32"/>
      <c r="G402" s="10">
        <v>116071</v>
      </c>
      <c r="H402" s="30" t="str">
        <f ca="1">IFERROR(__xludf.DUMMYFUNCTION("LOWER(REGEXREPLACE(B402&amp;"" ""&amp;C402,""[^а-яa-z0-9 ]"","" ""))")," ыл  обыз ")</f>
        <v xml:space="preserve"> ыл  обыз </v>
      </c>
    </row>
    <row r="403" spans="1:8" ht="12.75" x14ac:dyDescent="0.2">
      <c r="A403" s="31" t="s">
        <v>882</v>
      </c>
      <c r="B403" s="27" t="s">
        <v>883</v>
      </c>
      <c r="C403" s="27"/>
      <c r="D403" s="33" t="s">
        <v>14</v>
      </c>
      <c r="E403" s="9"/>
      <c r="F403" s="32"/>
      <c r="G403" s="10">
        <v>491071</v>
      </c>
      <c r="H403" s="30" t="str">
        <f ca="1">IFERROR(__xludf.DUMMYFUNCTION("LOWER(REGEXREPLACE(B403&amp;"" ""&amp;C403,""[^а-яa-z0-9 ]"","" ""))")," ар  обыз ")</f>
        <v xml:space="preserve"> ар  обыз </v>
      </c>
    </row>
    <row r="404" spans="1:8" ht="12.75" x14ac:dyDescent="0.2">
      <c r="A404" s="31" t="s">
        <v>884</v>
      </c>
      <c r="B404" s="27" t="s">
        <v>885</v>
      </c>
      <c r="C404" s="27"/>
      <c r="D404" s="33" t="s">
        <v>14</v>
      </c>
      <c r="E404" s="9"/>
      <c r="F404" s="32"/>
      <c r="G404" s="10">
        <v>491071</v>
      </c>
      <c r="H404" s="30" t="str">
        <f ca="1">IFERROR(__xludf.DUMMYFUNCTION("LOWER(REGEXREPLACE(B404&amp;"" ""&amp;C404,""[^а-яa-z0-9 ]"","" ""))")," ас  обыз ")</f>
        <v xml:space="preserve"> ас  обыз </v>
      </c>
    </row>
    <row r="405" spans="1:8" ht="12.75" x14ac:dyDescent="0.2">
      <c r="A405" s="31" t="s">
        <v>886</v>
      </c>
      <c r="B405" s="27" t="s">
        <v>887</v>
      </c>
      <c r="C405" s="27"/>
      <c r="D405" s="33" t="s">
        <v>14</v>
      </c>
      <c r="E405" s="9"/>
      <c r="F405" s="32"/>
      <c r="G405" s="10">
        <v>58036</v>
      </c>
      <c r="H405" s="30" t="str">
        <f ca="1">IFERROR(__xludf.DUMMYFUNCTION("LOWER(REGEXREPLACE(B405&amp;"" ""&amp;C405,""[^а-яa-z0-9 ]"","" ""))")," абыл ")</f>
        <v xml:space="preserve"> абыл </v>
      </c>
    </row>
    <row r="406" spans="1:8" ht="12.75" x14ac:dyDescent="0.2">
      <c r="A406" s="31" t="s">
        <v>888</v>
      </c>
      <c r="B406" s="27" t="s">
        <v>889</v>
      </c>
      <c r="C406" s="27"/>
      <c r="D406" s="33" t="s">
        <v>14</v>
      </c>
      <c r="E406" s="9"/>
      <c r="F406" s="32"/>
      <c r="G406" s="10">
        <v>66964</v>
      </c>
      <c r="H406" s="30" t="str">
        <f ca="1">IFERROR(__xludf.DUMMYFUNCTION("LOWER(REGEXREPLACE(B406&amp;"" ""&amp;C406,""[^а-яa-z0-9 ]"","" ""))")," епш к ")</f>
        <v xml:space="preserve"> епш к </v>
      </c>
    </row>
    <row r="407" spans="1:8" ht="12.75" x14ac:dyDescent="0.2">
      <c r="A407" s="31" t="s">
        <v>890</v>
      </c>
      <c r="B407" s="27" t="s">
        <v>891</v>
      </c>
      <c r="C407" s="27"/>
      <c r="D407" s="33" t="s">
        <v>14</v>
      </c>
      <c r="E407" s="9"/>
      <c r="F407" s="32"/>
      <c r="G407" s="10">
        <v>12500</v>
      </c>
      <c r="H407" s="30" t="str">
        <f ca="1">IFERROR(__xludf.DUMMYFUNCTION("LOWER(REGEXREPLACE(B407&amp;"" ""&amp;C407,""[^а-яa-z0-9 ]"","" ""))")," ай т я  деревянный ")</f>
        <v xml:space="preserve"> ай т я  деревянный </v>
      </c>
    </row>
    <row r="408" spans="1:8" ht="12.75" x14ac:dyDescent="0.2">
      <c r="A408" s="31" t="s">
        <v>892</v>
      </c>
      <c r="B408" s="27" t="s">
        <v>893</v>
      </c>
      <c r="C408" s="27"/>
      <c r="D408" s="33" t="s">
        <v>14</v>
      </c>
      <c r="E408" s="9"/>
      <c r="F408" s="32"/>
      <c r="G408" s="10">
        <v>12500</v>
      </c>
      <c r="H408" s="30" t="str">
        <f ca="1">IFERROR(__xludf.DUMMYFUNCTION("LOWER(REGEXREPLACE(B408&amp;"" ""&amp;C408,""[^а-яa-z0-9 ]"","" ""))")," о ылда   коробка  ")</f>
        <v xml:space="preserve"> о ылда   коробка  </v>
      </c>
    </row>
    <row r="409" spans="1:8" ht="12.75" x14ac:dyDescent="0.2">
      <c r="A409" s="31" t="s">
        <v>894</v>
      </c>
      <c r="B409" s="27" t="s">
        <v>895</v>
      </c>
      <c r="C409" s="27"/>
      <c r="D409" s="33" t="s">
        <v>14</v>
      </c>
      <c r="E409" s="9"/>
      <c r="F409" s="32"/>
      <c r="G409" s="10">
        <v>44643</v>
      </c>
      <c r="H409" s="30" t="str">
        <f ca="1">IFERROR(__xludf.DUMMYFUNCTION("LOWER(REGEXREPLACE(B409&amp;"" ""&amp;C409,""[^а-яa-z0-9 ]"","" ""))")," ыбыз ы с футляром ")</f>
        <v xml:space="preserve"> ыбыз ы с футляром </v>
      </c>
    </row>
    <row r="410" spans="1:8" ht="12.75" x14ac:dyDescent="0.2">
      <c r="A410" s="31" t="s">
        <v>896</v>
      </c>
      <c r="B410" s="27" t="s">
        <v>897</v>
      </c>
      <c r="C410" s="27"/>
      <c r="D410" s="33" t="s">
        <v>14</v>
      </c>
      <c r="E410" s="9"/>
      <c r="F410" s="32"/>
      <c r="G410" s="10">
        <v>75893</v>
      </c>
      <c r="H410" s="30" t="str">
        <f ca="1">IFERROR(__xludf.DUMMYFUNCTION("LOWER(REGEXREPLACE(B410&amp;"" ""&amp;C410,""[^а-яa-z0-9 ]"","" ""))")," ерней с футляром ")</f>
        <v xml:space="preserve"> ерней с футляром </v>
      </c>
    </row>
    <row r="411" spans="1:8" ht="12.75" x14ac:dyDescent="0.2">
      <c r="A411" s="31" t="s">
        <v>898</v>
      </c>
      <c r="B411" s="27" t="s">
        <v>899</v>
      </c>
      <c r="C411" s="27"/>
      <c r="D411" s="33" t="s">
        <v>14</v>
      </c>
      <c r="E411" s="9"/>
      <c r="F411" s="32"/>
      <c r="G411" s="10">
        <v>17857</v>
      </c>
      <c r="H411" s="30" t="str">
        <f ca="1">IFERROR(__xludf.DUMMYFUNCTION("LOWER(REGEXREPLACE(B411&amp;"" ""&amp;C411,""[^а-яa-z0-9 ]"","" ""))")," сатая  сылдырма ты ")</f>
        <v xml:space="preserve"> сатая  сылдырма ты </v>
      </c>
    </row>
    <row r="412" spans="1:8" ht="25.5" x14ac:dyDescent="0.2">
      <c r="A412" s="31" t="s">
        <v>900</v>
      </c>
      <c r="B412" s="27" t="s">
        <v>901</v>
      </c>
      <c r="C412" s="27" t="s">
        <v>902</v>
      </c>
      <c r="D412" s="33" t="s">
        <v>14</v>
      </c>
      <c r="E412" s="9"/>
      <c r="F412" s="32"/>
      <c r="G412" s="10">
        <v>17857</v>
      </c>
      <c r="H412" s="30" t="str">
        <f ca="1">IFERROR(__xludf.DUMMYFUNCTION("LOWER(REGEXREPLACE(B412&amp;"" ""&amp;C412,""[^а-яa-z0-9 ]"","" ""))")," сатая   умовой музыкальный ударный инструмент   а корпус навешиваются колокольчики или лепестки ")</f>
        <v xml:space="preserve"> сатая   умовой музыкальный ударный инструмент   а корпус навешиваются колокольчики или лепестки </v>
      </c>
    </row>
    <row r="413" spans="1:8" ht="12.75" x14ac:dyDescent="0.2">
      <c r="A413" s="31" t="s">
        <v>903</v>
      </c>
      <c r="B413" s="27" t="s">
        <v>904</v>
      </c>
      <c r="C413" s="27"/>
      <c r="D413" s="33" t="s">
        <v>14</v>
      </c>
      <c r="E413" s="9"/>
      <c r="F413" s="32"/>
      <c r="G413" s="10">
        <v>13393</v>
      </c>
      <c r="H413" s="30" t="str">
        <f ca="1">IFERROR(__xludf.DUMMYFUNCTION("LOWER(REGEXREPLACE(B413&amp;"" ""&amp;C413,""[^а-яa-z0-9 ]"","" ""))")," а пан ")</f>
        <v xml:space="preserve"> а пан </v>
      </c>
    </row>
    <row r="414" spans="1:8" ht="12.75" x14ac:dyDescent="0.2">
      <c r="A414" s="31" t="s">
        <v>905</v>
      </c>
      <c r="B414" s="27" t="s">
        <v>906</v>
      </c>
      <c r="C414" s="27"/>
      <c r="D414" s="32"/>
      <c r="E414" s="9"/>
      <c r="F414" s="32"/>
      <c r="G414" s="10"/>
      <c r="H414" s="30" t="str">
        <f ca="1">IFERROR(__xludf.DUMMYFUNCTION("LOWER(REGEXREPLACE(B414&amp;"" ""&amp;C414,""[^а-яa-z0-9 ]"","" ""))")," ациональные принадлежности и мебель ")</f>
        <v xml:space="preserve"> ациональные принадлежности и мебель </v>
      </c>
    </row>
    <row r="415" spans="1:8" ht="12.75" x14ac:dyDescent="0.2">
      <c r="A415" s="31" t="s">
        <v>907</v>
      </c>
      <c r="B415" s="27" t="s">
        <v>908</v>
      </c>
      <c r="C415" s="27"/>
      <c r="D415" s="33" t="s">
        <v>14</v>
      </c>
      <c r="E415" s="9"/>
      <c r="F415" s="32"/>
      <c r="G415" s="10">
        <v>89286</v>
      </c>
      <c r="H415" s="30" t="str">
        <f ca="1">IFERROR(__xludf.DUMMYFUNCTION("LOWER(REGEXREPLACE(B415&amp;"" ""&amp;C415,""[^а-яa-z0-9 ]"","" ""))")," ес к ")</f>
        <v xml:space="preserve"> ес к </v>
      </c>
    </row>
    <row r="416" spans="1:8" ht="12.75" x14ac:dyDescent="0.2">
      <c r="A416" s="31" t="s">
        <v>909</v>
      </c>
      <c r="B416" s="27" t="s">
        <v>910</v>
      </c>
      <c r="C416" s="27"/>
      <c r="D416" s="33" t="s">
        <v>14</v>
      </c>
      <c r="E416" s="9"/>
      <c r="F416" s="32"/>
      <c r="G416" s="10">
        <v>71429</v>
      </c>
      <c r="H416" s="30" t="str">
        <f ca="1">IFERROR(__xludf.DUMMYFUNCTION("LOWER(REGEXREPLACE(B416&amp;"" ""&amp;C416,""[^а-яa-z0-9 ]"","" ""))")," анды  ")</f>
        <v xml:space="preserve"> анды  </v>
      </c>
    </row>
    <row r="417" spans="1:8" x14ac:dyDescent="0.2">
      <c r="A417" s="12" t="s">
        <v>911</v>
      </c>
      <c r="B417" s="26"/>
      <c r="C417" s="27"/>
      <c r="D417" s="26"/>
      <c r="E417" s="28"/>
      <c r="F417" s="26"/>
      <c r="G417" s="29"/>
      <c r="H417" s="30" t="str">
        <f ca="1">IFERROR(__xludf.DUMMYFUNCTION("LOWER(REGEXREPLACE(B417&amp;"" ""&amp;C417,""[^а-яa-z0-9 ]"","" ""))")," ")</f>
        <v xml:space="preserve"> </v>
      </c>
    </row>
    <row r="418" spans="1:8" ht="12.75" x14ac:dyDescent="0.2">
      <c r="A418" s="31" t="s">
        <v>912</v>
      </c>
      <c r="B418" s="27" t="s">
        <v>913</v>
      </c>
      <c r="C418" s="27"/>
      <c r="D418" s="32"/>
      <c r="E418" s="9"/>
      <c r="F418" s="32"/>
      <c r="G418" s="10"/>
      <c r="H418" s="30" t="str">
        <f ca="1">IFERROR(__xludf.DUMMYFUNCTION("LOWER(REGEXREPLACE(B418&amp;"" ""&amp;C418,""[^а-яa-z0-9 ]"","" ""))")," нвентарь для спортивных игр ")</f>
        <v xml:space="preserve"> нвентарь для спортивных игр </v>
      </c>
    </row>
    <row r="419" spans="1:8" ht="12.75" x14ac:dyDescent="0.2">
      <c r="A419" s="31" t="s">
        <v>914</v>
      </c>
      <c r="B419" s="27" t="s">
        <v>915</v>
      </c>
      <c r="C419" s="27"/>
      <c r="D419" s="33" t="s">
        <v>68</v>
      </c>
      <c r="E419" s="9"/>
      <c r="F419" s="32"/>
      <c r="G419" s="10"/>
      <c r="H419" s="30" t="str">
        <f ca="1">IFERROR(__xludf.DUMMYFUNCTION("LOWER(REGEXREPLACE(B419&amp;"" ""&amp;C419,""[^а-яa-z0-9 ]"","" ""))")," ухой бассейн в комплекте с шариками ")</f>
        <v xml:space="preserve"> ухой бассейн в комплекте с шариками </v>
      </c>
    </row>
    <row r="420" spans="1:8" ht="25.5" x14ac:dyDescent="0.2">
      <c r="A420" s="31" t="s">
        <v>916</v>
      </c>
      <c r="B420" s="8" t="s">
        <v>917</v>
      </c>
      <c r="C420" s="27"/>
      <c r="D420" s="33" t="s">
        <v>68</v>
      </c>
      <c r="E420" s="9"/>
      <c r="F420" s="32"/>
      <c r="G420" s="10">
        <v>8929</v>
      </c>
      <c r="H420" s="30" t="str">
        <f ca="1">IFERROR(__xludf.DUMMYFUNCTION("LOWER(REGEXREPLACE(B420&amp;"" ""&amp;C420,""[^а-яa-z0-9 ]"","" ""))")," ухой бассейн в комплекте с шариками габариты  950х330 мм ")</f>
        <v xml:space="preserve"> ухой бассейн в комплекте с шариками габариты  950х330 мм </v>
      </c>
    </row>
    <row r="421" spans="1:8" ht="25.5" x14ac:dyDescent="0.2">
      <c r="A421" s="31" t="s">
        <v>918</v>
      </c>
      <c r="B421" s="8" t="s">
        <v>919</v>
      </c>
      <c r="C421" s="27"/>
      <c r="D421" s="32"/>
      <c r="E421" s="9"/>
      <c r="F421" s="32"/>
      <c r="G421" s="10"/>
      <c r="H421" s="30" t="str">
        <f ca="1">IFERROR(__xludf.DUMMYFUNCTION("LOWER(REGEXREPLACE(B421&amp;"" ""&amp;C421,""[^а-яa-z0-9 ]"","" ""))")," борудование и инвентарь для детских игр на спортивной площадке ")</f>
        <v xml:space="preserve"> борудование и инвентарь для детских игр на спортивной площадке </v>
      </c>
    </row>
    <row r="422" spans="1:8" ht="12.75" x14ac:dyDescent="0.2">
      <c r="A422" s="31" t="s">
        <v>920</v>
      </c>
      <c r="B422" s="27" t="s">
        <v>921</v>
      </c>
      <c r="C422" s="27"/>
      <c r="D422" s="33" t="s">
        <v>14</v>
      </c>
      <c r="E422" s="9"/>
      <c r="F422" s="32"/>
      <c r="G422" s="10"/>
      <c r="H422" s="30" t="str">
        <f ca="1">IFERROR(__xludf.DUMMYFUNCTION("LOWER(REGEXREPLACE(B422&amp;"" ""&amp;C422,""[^а-яa-z0-9 ]"","" ""))")," елосипед детский ")</f>
        <v xml:space="preserve"> елосипед детский </v>
      </c>
    </row>
    <row r="423" spans="1:8" ht="25.5" x14ac:dyDescent="0.2">
      <c r="A423" s="31" t="s">
        <v>922</v>
      </c>
      <c r="B423" s="27" t="s">
        <v>923</v>
      </c>
      <c r="C423" s="27"/>
      <c r="D423" s="33" t="s">
        <v>14</v>
      </c>
      <c r="E423" s="9"/>
      <c r="F423" s="32"/>
      <c r="G423" s="10">
        <v>8482</v>
      </c>
      <c r="H423" s="30" t="str">
        <f ca="1">IFERROR(__xludf.DUMMYFUNCTION("LOWER(REGEXREPLACE(B423&amp;"" ""&amp;C423,""[^а-яa-z0-9 ]"","" ""))")," елосипед детский трехколесный велосипед   алдырган  ")</f>
        <v xml:space="preserve"> елосипед детский трехколесный велосипед   алдырган  </v>
      </c>
    </row>
    <row r="424" spans="1:8" ht="25.5" x14ac:dyDescent="0.2">
      <c r="A424" s="31" t="s">
        <v>924</v>
      </c>
      <c r="B424" s="27" t="s">
        <v>925</v>
      </c>
      <c r="C424" s="27"/>
      <c r="D424" s="33" t="s">
        <v>14</v>
      </c>
      <c r="E424" s="9"/>
      <c r="F424" s="32"/>
      <c r="G424" s="10">
        <v>9375</v>
      </c>
      <c r="H424" s="30" t="str">
        <f ca="1">IFERROR(__xludf.DUMMYFUNCTION("LOWER(REGEXREPLACE(B424&amp;"" ""&amp;C424,""[^а-яa-z0-9 ]"","" ""))")," елосипед детский трехколесный   алдырган  с ручкой ")</f>
        <v xml:space="preserve"> елосипед детский трехколесный   алдырган  с ручкой </v>
      </c>
    </row>
    <row r="425" spans="1:8" ht="12.75" x14ac:dyDescent="0.2">
      <c r="A425" s="31" t="s">
        <v>926</v>
      </c>
      <c r="B425" s="27" t="s">
        <v>927</v>
      </c>
      <c r="C425" s="27"/>
      <c r="D425" s="33" t="s">
        <v>14</v>
      </c>
      <c r="E425" s="9"/>
      <c r="F425" s="32"/>
      <c r="G425" s="10">
        <v>13393</v>
      </c>
      <c r="H425" s="30" t="str">
        <f ca="1">IFERROR(__xludf.DUMMYFUNCTION("LOWER(REGEXREPLACE(B425&amp;"" ""&amp;C425,""[^а-яa-z0-9 ]"","" ""))")," еговел ")</f>
        <v xml:space="preserve"> еговел </v>
      </c>
    </row>
    <row r="426" spans="1:8" ht="12.75" x14ac:dyDescent="0.2">
      <c r="A426" s="31" t="s">
        <v>928</v>
      </c>
      <c r="B426" s="27" t="s">
        <v>929</v>
      </c>
      <c r="C426" s="27"/>
      <c r="D426" s="32"/>
      <c r="E426" s="9"/>
      <c r="F426" s="32"/>
      <c r="G426" s="10"/>
      <c r="H426" s="30" t="str">
        <f ca="1">IFERROR(__xludf.DUMMYFUNCTION("LOWER(REGEXREPLACE(B426&amp;"" ""&amp;C426,""[^а-яa-z0-9 ]"","" ""))")," имний инвентарь ")</f>
        <v xml:space="preserve"> имний инвентарь </v>
      </c>
    </row>
    <row r="427" spans="1:8" ht="12.75" x14ac:dyDescent="0.2">
      <c r="A427" s="31" t="s">
        <v>930</v>
      </c>
      <c r="B427" s="27" t="s">
        <v>931</v>
      </c>
      <c r="C427" s="27"/>
      <c r="D427" s="33" t="s">
        <v>14</v>
      </c>
      <c r="E427" s="9"/>
      <c r="F427" s="32"/>
      <c r="G427" s="10"/>
      <c r="H427" s="30" t="str">
        <f ca="1">IFERROR(__xludf.DUMMYFUNCTION("LOWER(REGEXREPLACE(B427&amp;"" ""&amp;C427,""[^а-яa-z0-9 ]"","" ""))")," анки ")</f>
        <v xml:space="preserve"> анки </v>
      </c>
    </row>
    <row r="428" spans="1:8" ht="25.5" x14ac:dyDescent="0.2">
      <c r="A428" s="31" t="s">
        <v>932</v>
      </c>
      <c r="B428" s="27" t="s">
        <v>933</v>
      </c>
      <c r="C428" s="27"/>
      <c r="D428" s="33" t="s">
        <v>14</v>
      </c>
      <c r="E428" s="9"/>
      <c r="F428" s="34">
        <v>4</v>
      </c>
      <c r="G428" s="10">
        <v>4286</v>
      </c>
      <c r="H428" s="30" t="str">
        <f ca="1">IFERROR(__xludf.DUMMYFUNCTION("LOWER(REGEXREPLACE(B428&amp;"" ""&amp;C428,""[^а-яa-z0-9 ]"","" ""))")," анки детские          со спинкой размерами 720х335х165 мм ")</f>
        <v xml:space="preserve"> анки детские          со спинкой размерами 720х335х165 мм </v>
      </c>
    </row>
    <row r="429" spans="1:8" ht="25.5" x14ac:dyDescent="0.2">
      <c r="A429" s="31" t="s">
        <v>934</v>
      </c>
      <c r="B429" s="27" t="s">
        <v>935</v>
      </c>
      <c r="C429" s="27"/>
      <c r="D429" s="33" t="s">
        <v>14</v>
      </c>
      <c r="E429" s="9"/>
      <c r="F429" s="34">
        <v>5</v>
      </c>
      <c r="G429" s="10">
        <v>6696</v>
      </c>
      <c r="H429" s="30" t="str">
        <f ca="1">IFERROR(__xludf.DUMMYFUNCTION("LOWER(REGEXREPLACE(B429&amp;"" ""&amp;C429,""[^а-яa-z0-9 ]"","" ""))")," анки трубчатые          с подножкой и роликами размерами 800х360х190 950 мм ")</f>
        <v xml:space="preserve"> анки трубчатые          с подножкой и роликами размерами 800х360х190 950 мм </v>
      </c>
    </row>
    <row r="430" spans="1:8" ht="25.5" x14ac:dyDescent="0.2">
      <c r="A430" s="31" t="s">
        <v>936</v>
      </c>
      <c r="B430" s="27" t="s">
        <v>937</v>
      </c>
      <c r="C430" s="27"/>
      <c r="D430" s="33" t="s">
        <v>14</v>
      </c>
      <c r="E430" s="9"/>
      <c r="F430" s="35">
        <v>6.5</v>
      </c>
      <c r="G430" s="10">
        <v>6696</v>
      </c>
      <c r="H430" s="30" t="str">
        <f ca="1">IFERROR(__xludf.DUMMYFUNCTION("LOWER(REGEXREPLACE(B430&amp;"" ""&amp;C430,""[^а-яa-z0-9 ]"","" ""))")," анки для двойняшек удлиненные трубчатые         размерами 1200х370х195 960 мм ")</f>
        <v xml:space="preserve"> анки для двойняшек удлиненные трубчатые         размерами 1200х370х195 960 мм </v>
      </c>
    </row>
    <row r="431" spans="1:8" x14ac:dyDescent="0.2">
      <c r="A431" s="12" t="s">
        <v>938</v>
      </c>
      <c r="B431" s="26"/>
      <c r="C431" s="27"/>
      <c r="D431" s="26"/>
      <c r="E431" s="28"/>
      <c r="F431" s="26"/>
      <c r="G431" s="29"/>
      <c r="H431" s="30" t="str">
        <f ca="1">IFERROR(__xludf.DUMMYFUNCTION("LOWER(REGEXREPLACE(B431&amp;"" ""&amp;C431,""[^а-яa-z0-9 ]"","" ""))")," ")</f>
        <v xml:space="preserve"> </v>
      </c>
    </row>
    <row r="432" spans="1:8" ht="12.75" x14ac:dyDescent="0.2">
      <c r="A432" s="31" t="s">
        <v>939</v>
      </c>
      <c r="B432" s="27" t="s">
        <v>940</v>
      </c>
      <c r="C432" s="27"/>
      <c r="D432" s="32"/>
      <c r="E432" s="9"/>
      <c r="F432" s="32"/>
      <c r="G432" s="10"/>
      <c r="H432" s="30" t="str">
        <f ca="1">IFERROR(__xludf.DUMMYFUNCTION("LOWER(REGEXREPLACE(B432&amp;"" ""&amp;C432,""[^а-яa-z0-9 ]"","" ""))")," узыкальные инструменты и оборудование ")</f>
        <v xml:space="preserve"> узыкальные инструменты и оборудование </v>
      </c>
    </row>
    <row r="433" spans="1:8" ht="12.75" x14ac:dyDescent="0.2">
      <c r="A433" s="31" t="s">
        <v>941</v>
      </c>
      <c r="B433" s="27" t="s">
        <v>942</v>
      </c>
      <c r="C433" s="27"/>
      <c r="D433" s="33" t="s">
        <v>14</v>
      </c>
      <c r="E433" s="9"/>
      <c r="F433" s="32"/>
      <c r="G433" s="10">
        <v>697500</v>
      </c>
      <c r="H433" s="30" t="str">
        <f ca="1">IFERROR(__xludf.DUMMYFUNCTION("LOWER(REGEXREPLACE(B433&amp;"" ""&amp;C433,""[^а-яa-z0-9 ]"","" ""))")," ккордеон ")</f>
        <v xml:space="preserve"> ккордеон </v>
      </c>
    </row>
    <row r="434" spans="1:8" x14ac:dyDescent="0.2">
      <c r="A434" s="12" t="s">
        <v>943</v>
      </c>
      <c r="B434" s="26"/>
      <c r="C434" s="27"/>
      <c r="D434" s="26"/>
      <c r="E434" s="28"/>
      <c r="F434" s="26"/>
      <c r="G434" s="29"/>
      <c r="H434" s="30" t="str">
        <f ca="1">IFERROR(__xludf.DUMMYFUNCTION("LOWER(REGEXREPLACE(B434&amp;"" ""&amp;C434,""[^а-яa-z0-9 ]"","" ""))")," ")</f>
        <v xml:space="preserve"> </v>
      </c>
    </row>
    <row r="435" spans="1:8" ht="12.75" x14ac:dyDescent="0.2">
      <c r="A435" s="31" t="s">
        <v>944</v>
      </c>
      <c r="B435" s="27" t="s">
        <v>945</v>
      </c>
      <c r="C435" s="27"/>
      <c r="D435" s="32"/>
      <c r="E435" s="9"/>
      <c r="F435" s="32"/>
      <c r="G435" s="10"/>
      <c r="H435" s="30" t="str">
        <f ca="1">IFERROR(__xludf.DUMMYFUNCTION("LOWER(REGEXREPLACE(B435&amp;"" ""&amp;C435,""[^а-яa-z0-9 ]"","" ""))")," борудование для прачечной ")</f>
        <v xml:space="preserve"> борудование для прачечной </v>
      </c>
    </row>
    <row r="436" spans="1:8" ht="12.75" x14ac:dyDescent="0.2">
      <c r="A436" s="31" t="s">
        <v>946</v>
      </c>
      <c r="B436" s="27" t="s">
        <v>947</v>
      </c>
      <c r="C436" s="27"/>
      <c r="D436" s="33" t="s">
        <v>14</v>
      </c>
      <c r="E436" s="9"/>
      <c r="F436" s="32"/>
      <c r="G436" s="10"/>
      <c r="H436" s="30" t="str">
        <f ca="1">IFERROR(__xludf.DUMMYFUNCTION("LOWER(REGEXREPLACE(B436&amp;"" ""&amp;C436,""[^а-яa-z0-9 ]"","" ""))")," ележка для перевозки белья ")</f>
        <v xml:space="preserve"> ележка для перевозки белья </v>
      </c>
    </row>
    <row r="437" spans="1:8" ht="25.5" x14ac:dyDescent="0.2">
      <c r="A437" s="31" t="s">
        <v>948</v>
      </c>
      <c r="B437" s="27" t="s">
        <v>949</v>
      </c>
      <c r="C437" s="27"/>
      <c r="D437" s="33" t="s">
        <v>14</v>
      </c>
      <c r="E437" s="9"/>
      <c r="F437" s="32"/>
      <c r="G437" s="10">
        <v>153333</v>
      </c>
      <c r="H437" s="30" t="str">
        <f ca="1">IFERROR(__xludf.DUMMYFUNCTION("LOWER(REGEXREPLACE(B437&amp;"" ""&amp;C437,""[^а-яa-z0-9 ]"","" ""))")," ележка для сухого белья из полипропилена  стандартная  830 480 620 мм ")</f>
        <v xml:space="preserve"> ележка для сухого белья из полипропилена  стандартная  830 480 620 мм </v>
      </c>
    </row>
    <row r="438" spans="1:8" ht="25.5" x14ac:dyDescent="0.2">
      <c r="A438" s="31" t="s">
        <v>950</v>
      </c>
      <c r="B438" s="27" t="s">
        <v>951</v>
      </c>
      <c r="C438" s="27"/>
      <c r="D438" s="33" t="s">
        <v>14</v>
      </c>
      <c r="E438" s="9"/>
      <c r="F438" s="32"/>
      <c r="G438" s="10">
        <v>257653</v>
      </c>
      <c r="H438" s="30" t="str">
        <f ca="1">IFERROR(__xludf.DUMMYFUNCTION("LOWER(REGEXREPLACE(B438&amp;"" ""&amp;C438,""[^а-яa-z0-9 ]"","" ""))")," ележка для сухого белья из полипропилена  удлиненная  1020 630 825 мм ")</f>
        <v xml:space="preserve"> ележка для сухого белья из полипропилена  удлиненная  1020 630 825 мм </v>
      </c>
    </row>
    <row r="439" spans="1:8" ht="25.5" x14ac:dyDescent="0.2">
      <c r="A439" s="31" t="s">
        <v>952</v>
      </c>
      <c r="B439" s="27" t="s">
        <v>953</v>
      </c>
      <c r="C439" s="27"/>
      <c r="D439" s="33" t="s">
        <v>14</v>
      </c>
      <c r="E439" s="9"/>
      <c r="F439" s="32"/>
      <c r="G439" s="10">
        <v>220781</v>
      </c>
      <c r="H439" s="30" t="str">
        <f ca="1">IFERROR(__xludf.DUMMYFUNCTION("LOWER(REGEXREPLACE(B439&amp;"" ""&amp;C439,""[^а-яa-z0-9 ]"","" ""))")," ележка для влажного белья из алюминия  стандартная  840 490 650 мм ")</f>
        <v xml:space="preserve"> ележка для влажного белья из алюминия  стандартная  840 490 650 мм </v>
      </c>
    </row>
    <row r="440" spans="1:8" ht="25.5" x14ac:dyDescent="0.2">
      <c r="A440" s="31" t="s">
        <v>954</v>
      </c>
      <c r="B440" s="27" t="s">
        <v>955</v>
      </c>
      <c r="C440" s="27"/>
      <c r="D440" s="33" t="s">
        <v>14</v>
      </c>
      <c r="E440" s="9"/>
      <c r="F440" s="32"/>
      <c r="G440" s="10">
        <v>299921</v>
      </c>
      <c r="H440" s="30" t="str">
        <f ca="1">IFERROR(__xludf.DUMMYFUNCTION("LOWER(REGEXREPLACE(B440&amp;"" ""&amp;C440,""[^а-яa-z0-9 ]"","" ""))")," ележка для влажного белья из алюминия  удлиненная  1030 630 850 мм ")</f>
        <v xml:space="preserve"> ележка для влажного белья из алюминия  удлиненная  1030 630 850 мм </v>
      </c>
    </row>
    <row r="441" spans="1:8" ht="12.75" x14ac:dyDescent="0.2">
      <c r="A441" s="31" t="s">
        <v>956</v>
      </c>
      <c r="B441" s="27" t="s">
        <v>957</v>
      </c>
      <c r="C441" s="27"/>
      <c r="D441" s="33" t="s">
        <v>14</v>
      </c>
      <c r="E441" s="9"/>
      <c r="F441" s="32"/>
      <c r="G441" s="10">
        <v>51402</v>
      </c>
      <c r="H441" s="30" t="str">
        <f ca="1">IFERROR(__xludf.DUMMYFUNCTION("LOWER(REGEXREPLACE(B441&amp;"" ""&amp;C441,""[^а-яa-z0-9 ]"","" ""))")," ележка для перевозки белья 930 430 980 ")</f>
        <v xml:space="preserve"> ележка для перевозки белья 930 430 980 </v>
      </c>
    </row>
    <row r="442" spans="1:8" ht="38.25" x14ac:dyDescent="0.2">
      <c r="A442" s="31" t="s">
        <v>958</v>
      </c>
      <c r="B442" s="27" t="s">
        <v>959</v>
      </c>
      <c r="C442" s="27"/>
      <c r="D442" s="33" t="s">
        <v>14</v>
      </c>
      <c r="E442" s="34">
        <v>2</v>
      </c>
      <c r="F442" s="34">
        <v>16</v>
      </c>
      <c r="G442" s="10">
        <v>79802</v>
      </c>
      <c r="H442" s="30" t="str">
        <f ca="1">IFERROR(__xludf.DUMMYFUNCTION("LOWER(REGEXREPLACE(B442&amp;"" ""&amp;C442,""[^а-яa-z0-9 ]"","" ""))")," ележка для белья типа    120   бъем корзины 120 л  грузоподъемность 75 кг  габаритные размеры   х х   960х530х960 мм ")</f>
        <v xml:space="preserve"> ележка для белья типа    120   бъем корзины 120 л  грузоподъемность 75 кг  габаритные размеры   х х   960х530х960 мм </v>
      </c>
    </row>
    <row r="443" spans="1:8" ht="38.25" x14ac:dyDescent="0.2">
      <c r="A443" s="31" t="s">
        <v>960</v>
      </c>
      <c r="B443" s="27" t="s">
        <v>961</v>
      </c>
      <c r="C443" s="27"/>
      <c r="D443" s="33" t="s">
        <v>14</v>
      </c>
      <c r="E443" s="34">
        <v>2</v>
      </c>
      <c r="F443" s="34">
        <v>29</v>
      </c>
      <c r="G443" s="10">
        <v>159592</v>
      </c>
      <c r="H443" s="30" t="str">
        <f ca="1">IFERROR(__xludf.DUMMYFUNCTION("LOWER(REGEXREPLACE(B443&amp;"" ""&amp;C443,""[^а-яa-z0-9 ]"","" ""))")," ележка для белья типа    200   бъем корзины 200 л  грузоподъемность 75 кг  габаритные размеры   х х   1150х720х900 мм ")</f>
        <v xml:space="preserve"> ележка для белья типа    200   бъем корзины 200 л  грузоподъемность 75 кг  габаритные размеры   х х   1150х720х900 мм </v>
      </c>
    </row>
    <row r="444" spans="1:8" ht="38.25" x14ac:dyDescent="0.2">
      <c r="A444" s="31" t="s">
        <v>962</v>
      </c>
      <c r="B444" s="27" t="s">
        <v>963</v>
      </c>
      <c r="C444" s="27"/>
      <c r="D444" s="33" t="s">
        <v>14</v>
      </c>
      <c r="E444" s="34">
        <v>2</v>
      </c>
      <c r="F444" s="34">
        <v>13</v>
      </c>
      <c r="G444" s="10">
        <v>167569</v>
      </c>
      <c r="H444" s="30" t="str">
        <f ca="1">IFERROR(__xludf.DUMMYFUNCTION("LOWER(REGEXREPLACE(B444&amp;"" ""&amp;C444,""[^а-яa-z0-9 ]"","" ""))")," ележка для белья типа    200   бъем корзины 200 л  грузоподъемность 100 кг  габаритные размеры   х х   650х605х845 мм ")</f>
        <v xml:space="preserve"> ележка для белья типа    200   бъем корзины 200 л  грузоподъемность 100 кг  габаритные размеры   х х   650х605х845 мм </v>
      </c>
    </row>
    <row r="445" spans="1:8" ht="38.25" x14ac:dyDescent="0.2">
      <c r="A445" s="31" t="s">
        <v>964</v>
      </c>
      <c r="B445" s="27" t="s">
        <v>965</v>
      </c>
      <c r="C445" s="27"/>
      <c r="D445" s="33" t="s">
        <v>14</v>
      </c>
      <c r="E445" s="34">
        <v>2</v>
      </c>
      <c r="F445" s="34">
        <v>36</v>
      </c>
      <c r="G445" s="10">
        <v>232367</v>
      </c>
      <c r="H445" s="30" t="str">
        <f ca="1">IFERROR(__xludf.DUMMYFUNCTION("LOWER(REGEXREPLACE(B445&amp;"" ""&amp;C445,""[^а-яa-z0-9 ]"","" ""))")," ележка для белья типа    200   бъем корзины 200 л  грузоподъемность 100 кг  габаритные размеры   х х   1255х540х950 мм ")</f>
        <v xml:space="preserve"> ележка для белья типа    200   бъем корзины 200 л  грузоподъемность 100 кг  габаритные размеры   х х   1255х540х950 мм </v>
      </c>
    </row>
    <row r="446" spans="1:8" ht="38.25" x14ac:dyDescent="0.2">
      <c r="A446" s="31" t="s">
        <v>966</v>
      </c>
      <c r="B446" s="27" t="s">
        <v>967</v>
      </c>
      <c r="C446" s="27"/>
      <c r="D446" s="33" t="s">
        <v>14</v>
      </c>
      <c r="E446" s="34">
        <v>2</v>
      </c>
      <c r="F446" s="34">
        <v>16</v>
      </c>
      <c r="G446" s="10">
        <v>188067</v>
      </c>
      <c r="H446" s="30" t="str">
        <f ca="1">IFERROR(__xludf.DUMMYFUNCTION("LOWER(REGEXREPLACE(B446&amp;"" ""&amp;C446,""[^а-яa-z0-9 ]"","" ""))")," ележка для белья типа    300   бъем корзины 300 л  грузоподъемность 150 кг  габаритные размеры   х х   950х605х845 мм ")</f>
        <v xml:space="preserve"> ележка для белья типа    300   бъем корзины 300 л  грузоподъемность 150 кг  габаритные размеры   х х   950х605х845 мм </v>
      </c>
    </row>
    <row r="447" spans="1:8" ht="38.25" x14ac:dyDescent="0.2">
      <c r="A447" s="31" t="s">
        <v>968</v>
      </c>
      <c r="B447" s="27" t="s">
        <v>969</v>
      </c>
      <c r="C447" s="27"/>
      <c r="D447" s="33" t="s">
        <v>14</v>
      </c>
      <c r="E447" s="34">
        <v>2</v>
      </c>
      <c r="F447" s="34">
        <v>40</v>
      </c>
      <c r="G447" s="10">
        <v>246452</v>
      </c>
      <c r="H447" s="30" t="str">
        <f ca="1">IFERROR(__xludf.DUMMYFUNCTION("LOWER(REGEXREPLACE(B447&amp;"" ""&amp;C447,""[^а-яa-z0-9 ]"","" ""))")," ележка для белья типа    300   бъем корзины 300 л  грузоподъемность 150 кг  габаритные размеры   х х   1135х600х930 мм ")</f>
        <v xml:space="preserve"> ележка для белья типа    300   бъем корзины 300 л  грузоподъемность 150 кг  габаритные размеры   х х   1135х600х930 мм </v>
      </c>
    </row>
    <row r="448" spans="1:8" ht="51" x14ac:dyDescent="0.2">
      <c r="A448" s="31" t="s">
        <v>970</v>
      </c>
      <c r="B448" s="27" t="s">
        <v>971</v>
      </c>
      <c r="C448" s="27"/>
      <c r="D448" s="33" t="s">
        <v>14</v>
      </c>
      <c r="E448" s="34">
        <v>2</v>
      </c>
      <c r="F448" s="35">
        <v>22.5</v>
      </c>
      <c r="G448" s="10">
        <v>195080</v>
      </c>
      <c r="H448" s="30" t="str">
        <f ca="1">IFERROR(__xludf.DUMMYFUNCTION("LOWER(REGEXREPLACE(B448&amp;"" ""&amp;C448,""[^а-яa-z0-9 ]"","" ""))")," ележка сетчатая с полками для белья типа     500   бъем корзины 500 л  грузоподъемность 100 кг  габаритные размеры   х х   1053х437х1640 мм ")</f>
        <v xml:space="preserve"> ележка сетчатая с полками для белья типа     500   бъем корзины 500 л  грузоподъемность 100 кг  габаритные размеры   х х   1053х437х1640 мм </v>
      </c>
    </row>
    <row r="449" spans="1:8" ht="51" x14ac:dyDescent="0.2">
      <c r="A449" s="31" t="s">
        <v>972</v>
      </c>
      <c r="B449" s="27" t="s">
        <v>973</v>
      </c>
      <c r="C449" s="27"/>
      <c r="D449" s="33" t="s">
        <v>14</v>
      </c>
      <c r="E449" s="34">
        <v>2</v>
      </c>
      <c r="F449" s="35">
        <v>35.5</v>
      </c>
      <c r="G449" s="10">
        <v>279078</v>
      </c>
      <c r="H449" s="30" t="str">
        <f ca="1">IFERROR(__xludf.DUMMYFUNCTION("LOWER(REGEXREPLACE(B449&amp;"" ""&amp;C449,""[^а-яa-z0-9 ]"","" ""))")," ележка сетчатая с полками для белья типа     600   бъем корзины 600 л  грузоподъемность 120 кг  габаритные размеры   х х   960х610х1655 мм ")</f>
        <v xml:space="preserve"> ележка сетчатая с полками для белья типа     600   бъем корзины 600 л  грузоподъемность 120 кг  габаритные размеры   х х   960х610х1655 мм </v>
      </c>
    </row>
    <row r="450" spans="1:8" ht="51" x14ac:dyDescent="0.2">
      <c r="A450" s="31" t="s">
        <v>974</v>
      </c>
      <c r="B450" s="27" t="s">
        <v>975</v>
      </c>
      <c r="C450" s="27"/>
      <c r="D450" s="33" t="s">
        <v>14</v>
      </c>
      <c r="E450" s="34">
        <v>2</v>
      </c>
      <c r="F450" s="34">
        <v>51</v>
      </c>
      <c r="G450" s="10">
        <v>363474</v>
      </c>
      <c r="H450" s="30" t="str">
        <f ca="1">IFERROR(__xludf.DUMMYFUNCTION("LOWER(REGEXREPLACE(B450&amp;"" ""&amp;C450,""[^а-яa-z0-9 ]"","" ""))")," ележка сетчатая с полками для белья типа      800   бъем корзины 800 л  грузоподъемность 140 кг  габаритные размеры   х х   900х700х1800 мм ")</f>
        <v xml:space="preserve"> ележка сетчатая с полками для белья типа      800   бъем корзины 800 л  грузоподъемность 140 кг  габаритные размеры   х х   900х700х1800 мм </v>
      </c>
    </row>
    <row r="451" spans="1:8" ht="38.25" x14ac:dyDescent="0.2">
      <c r="A451" s="31" t="s">
        <v>976</v>
      </c>
      <c r="B451" s="27" t="s">
        <v>977</v>
      </c>
      <c r="C451" s="27" t="s">
        <v>978</v>
      </c>
      <c r="D451" s="33" t="s">
        <v>14</v>
      </c>
      <c r="E451" s="34">
        <v>2</v>
      </c>
      <c r="F451" s="34">
        <v>22</v>
      </c>
      <c r="G451" s="10">
        <v>330000</v>
      </c>
      <c r="H451" s="30" t="str">
        <f ca="1">IFERROR(__xludf.DUMMYFUNCTION("LOWER(REGEXREPLACE(B451&amp;"" ""&amp;C451,""[^а-яa-z0-9 ]"","" ""))")," ележка для белья  пластиковый корпус цельнозаливной  объем 200 л   абаритные размеры  1050х750х800 мм  ележка пластиковая для транспортировки  хранения и замачивания белья  4 поворотных колеса  2 из них с тормозом ")</f>
        <v xml:space="preserve"> ележка для белья  пластиковый корпус цельнозаливной  объем 200 л   абаритные размеры  1050х750х800 мм  ележка пластиковая для транспортировки  хранения и замачивания белья  4 поворотных колеса  2 из них с тормозом </v>
      </c>
    </row>
    <row r="452" spans="1:8" ht="38.25" x14ac:dyDescent="0.2">
      <c r="A452" s="31" t="s">
        <v>979</v>
      </c>
      <c r="B452" s="27" t="s">
        <v>980</v>
      </c>
      <c r="C452" s="27" t="s">
        <v>978</v>
      </c>
      <c r="D452" s="33" t="s">
        <v>14</v>
      </c>
      <c r="E452" s="34">
        <v>2</v>
      </c>
      <c r="F452" s="34">
        <v>26</v>
      </c>
      <c r="G452" s="10">
        <v>412492</v>
      </c>
      <c r="H452" s="30" t="str">
        <f ca="1">IFERROR(__xludf.DUMMYFUNCTION("LOWER(REGEXREPLACE(B452&amp;"" ""&amp;C452,""[^а-яa-z0-9 ]"","" ""))")," ележка для белья  пластиковый корпус цельнозаливной  объем 300 л   абаритные размеры  1200х850х800 мм  ележка пластиковая для транспортировки  хранения и замачивания белья  4 поворотных колеса  2 из них с тормозом ")</f>
        <v xml:space="preserve"> ележка для белья  пластиковый корпус цельнозаливной  объем 300 л   абаритные размеры  1200х850х800 мм  ележка пластиковая для транспортировки  хранения и замачивания белья  4 поворотных колеса  2 из них с тормозом </v>
      </c>
    </row>
    <row r="453" spans="1:8" ht="38.25" x14ac:dyDescent="0.2">
      <c r="A453" s="31" t="s">
        <v>981</v>
      </c>
      <c r="B453" s="27" t="s">
        <v>982</v>
      </c>
      <c r="C453" s="27" t="s">
        <v>978</v>
      </c>
      <c r="D453" s="33" t="s">
        <v>14</v>
      </c>
      <c r="E453" s="34">
        <v>2</v>
      </c>
      <c r="F453" s="34">
        <v>30</v>
      </c>
      <c r="G453" s="10">
        <v>529134</v>
      </c>
      <c r="H453" s="30" t="str">
        <f ca="1">IFERROR(__xludf.DUMMYFUNCTION("LOWER(REGEXREPLACE(B453&amp;"" ""&amp;C453,""[^а-яa-z0-9 ]"","" ""))")," ележка для белья  пластиковый корпус цельнозаливной  объем 400 л   абаритные размеры  1350х850х800 мм  ележка пластиковая для транспортировки  хранения и замачивания белья  4 поворотных колеса  2 из них с тормозом ")</f>
        <v xml:space="preserve"> ележка для белья  пластиковый корпус цельнозаливной  объем 400 л   абаритные размеры  1350х850х800 мм  ележка пластиковая для транспортировки  хранения и замачивания белья  4 поворотных колеса  2 из них с тормозом </v>
      </c>
    </row>
    <row r="454" spans="1:8" ht="38.25" x14ac:dyDescent="0.2">
      <c r="A454" s="31" t="s">
        <v>983</v>
      </c>
      <c r="B454" s="27" t="s">
        <v>984</v>
      </c>
      <c r="C454" s="27" t="s">
        <v>985</v>
      </c>
      <c r="D454" s="33" t="s">
        <v>14</v>
      </c>
      <c r="E454" s="34">
        <v>2</v>
      </c>
      <c r="F454" s="34">
        <v>26</v>
      </c>
      <c r="G454" s="10">
        <v>526641</v>
      </c>
      <c r="H454" s="30" t="str">
        <f ca="1">IFERROR(__xludf.DUMMYFUNCTION("LOWER(REGEXREPLACE(B454&amp;"" ""&amp;C454,""[^а-яa-z0-9 ]"","" ""))")," ележка стеллаж из нержавеющей стали  3 полки  4 поворотных колеса  2 из них с тормозом   абаритные размеры  800х600х1800 мм  ележка стеллаж из нержавеющей стали  решетчатого типа ")</f>
        <v xml:space="preserve"> ележка стеллаж из нержавеющей стали  3 полки  4 поворотных колеса  2 из них с тормозом   абаритные размеры  800х600х1800 мм  ележка стеллаж из нержавеющей стали  решетчатого типа </v>
      </c>
    </row>
    <row r="455" spans="1:8" ht="38.25" x14ac:dyDescent="0.2">
      <c r="A455" s="31" t="s">
        <v>986</v>
      </c>
      <c r="B455" s="27" t="s">
        <v>987</v>
      </c>
      <c r="C455" s="27" t="s">
        <v>985</v>
      </c>
      <c r="D455" s="33" t="s">
        <v>14</v>
      </c>
      <c r="E455" s="34">
        <v>2</v>
      </c>
      <c r="F455" s="34">
        <v>32</v>
      </c>
      <c r="G455" s="10">
        <v>575855</v>
      </c>
      <c r="H455" s="30" t="str">
        <f ca="1">IFERROR(__xludf.DUMMYFUNCTION("LOWER(REGEXREPLACE(B455&amp;"" ""&amp;C455,""[^а-яa-z0-9 ]"","" ""))")," ележка стеллаж из нержавеющей стали  3 полки  4 поворотных колеса  2 из них с тормозом   абаритные размеры  1000х600х1800 мм  ележка стеллаж из нержавеющей стали  решетчатого типа ")</f>
        <v xml:space="preserve"> ележка стеллаж из нержавеющей стали  3 полки  4 поворотных колеса  2 из них с тормозом   абаритные размеры  1000х600х1800 мм  ележка стеллаж из нержавеющей стали  решетчатого типа </v>
      </c>
    </row>
    <row r="456" spans="1:8" ht="38.25" x14ac:dyDescent="0.2">
      <c r="A456" s="31" t="s">
        <v>988</v>
      </c>
      <c r="B456" s="27" t="s">
        <v>989</v>
      </c>
      <c r="C456" s="27" t="s">
        <v>985</v>
      </c>
      <c r="D456" s="33" t="s">
        <v>14</v>
      </c>
      <c r="E456" s="34">
        <v>2</v>
      </c>
      <c r="F456" s="34">
        <v>36</v>
      </c>
      <c r="G456" s="10">
        <v>629968</v>
      </c>
      <c r="H456" s="30" t="str">
        <f ca="1">IFERROR(__xludf.DUMMYFUNCTION("LOWER(REGEXREPLACE(B456&amp;"" ""&amp;C456,""[^а-яa-z0-9 ]"","" ""))")," ележка стеллаж из нержавеющей стали  3 полки  4 поворотных колеса  2 из них с тормозом   абаритные размеры  1200х600х1800 мм  ележка стеллаж из нержавеющей стали  решетчатого типа ")</f>
        <v xml:space="preserve"> ележка стеллаж из нержавеющей стали  3 полки  4 поворотных колеса  2 из них с тормозом   абаритные размеры  1200х600х1800 мм  ележка стеллаж из нержавеющей стали  решетчатого типа </v>
      </c>
    </row>
    <row r="457" spans="1:8" ht="12.75" x14ac:dyDescent="0.2">
      <c r="A457" s="31" t="s">
        <v>990</v>
      </c>
      <c r="B457" s="27" t="s">
        <v>991</v>
      </c>
      <c r="C457" s="27"/>
      <c r="D457" s="33" t="s">
        <v>14</v>
      </c>
      <c r="E457" s="9"/>
      <c r="F457" s="32"/>
      <c r="G457" s="10"/>
      <c r="H457" s="30" t="str">
        <f ca="1">IFERROR(__xludf.DUMMYFUNCTION("LOWER(REGEXREPLACE(B457&amp;"" ""&amp;C457,""[^а-яa-z0-9 ]"","" ""))")," ашина стиральная профессиональная ")</f>
        <v xml:space="preserve"> ашина стиральная профессиональная </v>
      </c>
    </row>
    <row r="458" spans="1:8" ht="25.5" x14ac:dyDescent="0.2">
      <c r="A458" s="31" t="s">
        <v>992</v>
      </c>
      <c r="B458" s="27" t="s">
        <v>993</v>
      </c>
      <c r="C458" s="27"/>
      <c r="D458" s="33" t="s">
        <v>14</v>
      </c>
      <c r="E458" s="9"/>
      <c r="F458" s="32"/>
      <c r="G458" s="10">
        <v>2509081</v>
      </c>
      <c r="H458" s="30" t="str">
        <f ca="1">IFERROR(__xludf.DUMMYFUNCTION("LOWER(REGEXREPLACE(B458&amp;"" ""&amp;C458,""[^а-яa-z0-9 ]"","" ""))")," тиральная машина с отжимом 535 об мин   агрузочная масса 11 кг ")</f>
        <v xml:space="preserve"> тиральная машина с отжимом 535 об мин   агрузочная масса 11 кг </v>
      </c>
    </row>
    <row r="459" spans="1:8" ht="25.5" x14ac:dyDescent="0.2">
      <c r="A459" s="31" t="s">
        <v>994</v>
      </c>
      <c r="B459" s="27" t="s">
        <v>995</v>
      </c>
      <c r="C459" s="27"/>
      <c r="D459" s="33" t="s">
        <v>14</v>
      </c>
      <c r="E459" s="9"/>
      <c r="F459" s="32"/>
      <c r="G459" s="10">
        <v>3155295</v>
      </c>
      <c r="H459" s="30" t="str">
        <f ca="1">IFERROR(__xludf.DUMMYFUNCTION("LOWER(REGEXREPLACE(B459&amp;"" ""&amp;C459,""[^а-яa-z0-9 ]"","" ""))")," тиральная машина с отжимом 470 об мин   агрузочная масса 18 кг ")</f>
        <v xml:space="preserve"> тиральная машина с отжимом 470 об мин   агрузочная масса 18 кг </v>
      </c>
    </row>
    <row r="460" spans="1:8" ht="25.5" x14ac:dyDescent="0.2">
      <c r="A460" s="31" t="s">
        <v>996</v>
      </c>
      <c r="B460" s="27" t="s">
        <v>997</v>
      </c>
      <c r="C460" s="27"/>
      <c r="D460" s="33" t="s">
        <v>14</v>
      </c>
      <c r="E460" s="9"/>
      <c r="F460" s="32"/>
      <c r="G460" s="10">
        <v>3881273</v>
      </c>
      <c r="H460" s="30" t="str">
        <f ca="1">IFERROR(__xludf.DUMMYFUNCTION("LOWER(REGEXREPLACE(B460&amp;"" ""&amp;C460,""[^а-яa-z0-9 ]"","" ""))")," тиральная машина с отжимом 470 об мин   агрузочная масса 23 кг ")</f>
        <v xml:space="preserve"> тиральная машина с отжимом 470 об мин   агрузочная масса 23 кг </v>
      </c>
    </row>
    <row r="461" spans="1:8" ht="25.5" x14ac:dyDescent="0.2">
      <c r="A461" s="31" t="s">
        <v>998</v>
      </c>
      <c r="B461" s="27" t="s">
        <v>999</v>
      </c>
      <c r="C461" s="27"/>
      <c r="D461" s="33" t="s">
        <v>14</v>
      </c>
      <c r="E461" s="9"/>
      <c r="F461" s="32"/>
      <c r="G461" s="10">
        <v>4606817</v>
      </c>
      <c r="H461" s="30" t="str">
        <f ca="1">IFERROR(__xludf.DUMMYFUNCTION("LOWER(REGEXREPLACE(B461&amp;"" ""&amp;C461,""[^а-яa-z0-9 ]"","" ""))")," тиральная машина с отжимом 450 об мин   агрузочная масса 30 кг ")</f>
        <v xml:space="preserve"> тиральная машина с отжимом 450 об мин   агрузочная масса 30 кг </v>
      </c>
    </row>
    <row r="462" spans="1:8" ht="25.5" x14ac:dyDescent="0.2">
      <c r="A462" s="31" t="s">
        <v>1000</v>
      </c>
      <c r="B462" s="27" t="s">
        <v>1001</v>
      </c>
      <c r="C462" s="27"/>
      <c r="D462" s="33" t="s">
        <v>14</v>
      </c>
      <c r="E462" s="9"/>
      <c r="F462" s="32"/>
      <c r="G462" s="10">
        <v>5142957</v>
      </c>
      <c r="H462" s="30" t="str">
        <f ca="1">IFERROR(__xludf.DUMMYFUNCTION("LOWER(REGEXREPLACE(B462&amp;"" ""&amp;C462,""[^а-яa-z0-9 ]"","" ""))")," тиральная машина с отжимом 450 об мин   агрузочная масса 40 кг ")</f>
        <v xml:space="preserve"> тиральная машина с отжимом 450 об мин   агрузочная масса 40 кг </v>
      </c>
    </row>
    <row r="463" spans="1:8" ht="25.5" x14ac:dyDescent="0.2">
      <c r="A463" s="31" t="s">
        <v>1002</v>
      </c>
      <c r="B463" s="27" t="s">
        <v>1003</v>
      </c>
      <c r="C463" s="27"/>
      <c r="D463" s="33" t="s">
        <v>14</v>
      </c>
      <c r="E463" s="9"/>
      <c r="F463" s="32"/>
      <c r="G463" s="10">
        <v>7683723</v>
      </c>
      <c r="H463" s="30" t="str">
        <f ca="1">IFERROR(__xludf.DUMMYFUNCTION("LOWER(REGEXREPLACE(B463&amp;"" ""&amp;C463,""[^а-яa-z0-9 ]"","" ""))")," тиральная машина с отжимом 408 об мин   агрузочная масса 55 кг ")</f>
        <v xml:space="preserve"> тиральная машина с отжимом 408 об мин   агрузочная масса 55 кг </v>
      </c>
    </row>
    <row r="464" spans="1:8" ht="25.5" x14ac:dyDescent="0.2">
      <c r="A464" s="31" t="s">
        <v>1004</v>
      </c>
      <c r="B464" s="27" t="s">
        <v>1005</v>
      </c>
      <c r="C464" s="27"/>
      <c r="D464" s="33" t="s">
        <v>14</v>
      </c>
      <c r="E464" s="9"/>
      <c r="F464" s="32"/>
      <c r="G464" s="10">
        <v>9018302</v>
      </c>
      <c r="H464" s="30" t="str">
        <f ca="1">IFERROR(__xludf.DUMMYFUNCTION("LOWER(REGEXREPLACE(B464&amp;"" ""&amp;C464,""[^а-яa-z0-9 ]"","" ""))")," тиральная машина с отжимом 360 об мин   агрузочная масса 70 кг ")</f>
        <v xml:space="preserve"> тиральная машина с отжимом 360 об мин   агрузочная масса 70 кг </v>
      </c>
    </row>
    <row r="465" spans="1:8" ht="25.5" x14ac:dyDescent="0.2">
      <c r="A465" s="31" t="s">
        <v>1006</v>
      </c>
      <c r="B465" s="27" t="s">
        <v>1007</v>
      </c>
      <c r="C465" s="27"/>
      <c r="D465" s="33" t="s">
        <v>14</v>
      </c>
      <c r="E465" s="9"/>
      <c r="F465" s="32"/>
      <c r="G465" s="10">
        <v>9018302</v>
      </c>
      <c r="H465" s="30" t="str">
        <f ca="1">IFERROR(__xludf.DUMMYFUNCTION("LOWER(REGEXREPLACE(B465&amp;"" ""&amp;C465,""[^а-яa-z0-9 ]"","" ""))")," тиральная машина с отжимом 360 об мин   агрузочная масса 85 кг ")</f>
        <v xml:space="preserve"> тиральная машина с отжимом 360 об мин   агрузочная масса 85 кг </v>
      </c>
    </row>
    <row r="466" spans="1:8" ht="25.5" x14ac:dyDescent="0.2">
      <c r="A466" s="31" t="s">
        <v>1008</v>
      </c>
      <c r="B466" s="27" t="s">
        <v>1009</v>
      </c>
      <c r="C466" s="27"/>
      <c r="D466" s="33" t="s">
        <v>14</v>
      </c>
      <c r="E466" s="9"/>
      <c r="F466" s="32"/>
      <c r="G466" s="10">
        <v>2799916</v>
      </c>
      <c r="H466" s="30" t="str">
        <f ca="1">IFERROR(__xludf.DUMMYFUNCTION("LOWER(REGEXREPLACE(B466&amp;"" ""&amp;C466,""[^а-яa-z0-9 ]"","" ""))")," тиральная машина с окончательным отжимом 1002 об мин   агрузочная масса 8 кг ")</f>
        <v xml:space="preserve"> тиральная машина с окончательным отжимом 1002 об мин   агрузочная масса 8 кг </v>
      </c>
    </row>
    <row r="467" spans="1:8" ht="25.5" x14ac:dyDescent="0.2">
      <c r="A467" s="31" t="s">
        <v>1010</v>
      </c>
      <c r="B467" s="27" t="s">
        <v>1011</v>
      </c>
      <c r="C467" s="27"/>
      <c r="D467" s="33" t="s">
        <v>14</v>
      </c>
      <c r="E467" s="9"/>
      <c r="F467" s="32"/>
      <c r="G467" s="10">
        <v>3000105</v>
      </c>
      <c r="H467" s="30" t="str">
        <f ca="1">IFERROR(__xludf.DUMMYFUNCTION("LOWER(REGEXREPLACE(B467&amp;"" ""&amp;C467,""[^а-яa-z0-9 ]"","" ""))")," тиральная машина с окончательным отжимом 1002 об мин   агрузочная масса 11 кг ")</f>
        <v xml:space="preserve"> тиральная машина с окончательным отжимом 1002 об мин   агрузочная масса 11 кг </v>
      </c>
    </row>
    <row r="468" spans="1:8" ht="25.5" x14ac:dyDescent="0.2">
      <c r="A468" s="31" t="s">
        <v>1012</v>
      </c>
      <c r="B468" s="27" t="s">
        <v>1013</v>
      </c>
      <c r="C468" s="27"/>
      <c r="D468" s="33" t="s">
        <v>14</v>
      </c>
      <c r="E468" s="9"/>
      <c r="F468" s="32"/>
      <c r="G468" s="10">
        <v>3845459</v>
      </c>
      <c r="H468" s="30" t="str">
        <f ca="1">IFERROR(__xludf.DUMMYFUNCTION("LOWER(REGEXREPLACE(B468&amp;"" ""&amp;C468,""[^а-яa-z0-9 ]"","" ""))")," тиральная машина с окончательным отжимом 947 об мин   агрузочная масса 14 кг ")</f>
        <v xml:space="preserve"> тиральная машина с окончательным отжимом 947 об мин   агрузочная масса 14 кг </v>
      </c>
    </row>
    <row r="469" spans="1:8" ht="25.5" x14ac:dyDescent="0.2">
      <c r="A469" s="31" t="s">
        <v>1014</v>
      </c>
      <c r="B469" s="27" t="s">
        <v>1015</v>
      </c>
      <c r="C469" s="27"/>
      <c r="D469" s="33" t="s">
        <v>14</v>
      </c>
      <c r="E469" s="9"/>
      <c r="F469" s="32"/>
      <c r="G469" s="10">
        <v>4205633</v>
      </c>
      <c r="H469" s="30" t="str">
        <f ca="1">IFERROR(__xludf.DUMMYFUNCTION("LOWER(REGEXREPLACE(B469&amp;"" ""&amp;C469,""[^а-яa-z0-9 ]"","" ""))")," тиральная машина с окончательным отжимом 947 об мин   агрузочная масса 18 кг ")</f>
        <v xml:space="preserve"> тиральная машина с окончательным отжимом 947 об мин   агрузочная масса 18 кг </v>
      </c>
    </row>
    <row r="470" spans="1:8" ht="25.5" x14ac:dyDescent="0.2">
      <c r="A470" s="31" t="s">
        <v>1016</v>
      </c>
      <c r="B470" s="27" t="s">
        <v>1017</v>
      </c>
      <c r="C470" s="27"/>
      <c r="D470" s="33" t="s">
        <v>14</v>
      </c>
      <c r="E470" s="9"/>
      <c r="F470" s="32"/>
      <c r="G470" s="10">
        <v>5187682</v>
      </c>
      <c r="H470" s="30" t="str">
        <f ca="1">IFERROR(__xludf.DUMMYFUNCTION("LOWER(REGEXREPLACE(B470&amp;"" ""&amp;C470,""[^а-яa-z0-9 ]"","" ""))")," тиральная машина с окончательным отжимом  947 об мин   агрузочная масса 23 кг ")</f>
        <v xml:space="preserve"> тиральная машина с окончательным отжимом  947 об мин   агрузочная масса 23 кг </v>
      </c>
    </row>
    <row r="471" spans="1:8" ht="25.5" x14ac:dyDescent="0.2">
      <c r="A471" s="31" t="s">
        <v>1018</v>
      </c>
      <c r="B471" s="27" t="s">
        <v>1019</v>
      </c>
      <c r="C471" s="27"/>
      <c r="D471" s="33" t="s">
        <v>14</v>
      </c>
      <c r="E471" s="9"/>
      <c r="F471" s="32"/>
      <c r="G471" s="10">
        <v>5991218</v>
      </c>
      <c r="H471" s="30" t="str">
        <f ca="1">IFERROR(__xludf.DUMMYFUNCTION("LOWER(REGEXREPLACE(B471&amp;"" ""&amp;C471,""[^а-яa-z0-9 ]"","" ""))")," тиральная машина с окончательным отжимом 840 об мин   агрузочная масса 26 кг ")</f>
        <v xml:space="preserve"> тиральная машина с окончательным отжимом 840 об мин   агрузочная масса 26 кг </v>
      </c>
    </row>
    <row r="472" spans="1:8" ht="25.5" x14ac:dyDescent="0.2">
      <c r="A472" s="31" t="s">
        <v>1020</v>
      </c>
      <c r="B472" s="27" t="s">
        <v>1021</v>
      </c>
      <c r="C472" s="27"/>
      <c r="D472" s="33" t="s">
        <v>14</v>
      </c>
      <c r="E472" s="9"/>
      <c r="F472" s="32"/>
      <c r="G472" s="10">
        <v>10927092</v>
      </c>
      <c r="H472" s="30" t="str">
        <f ca="1">IFERROR(__xludf.DUMMYFUNCTION("LOWER(REGEXREPLACE(B472&amp;"" ""&amp;C472,""[^а-яa-z0-9 ]"","" ""))")," тиральная машина с окончательным отжимом 830 об мин   агрузочная масса 40 кг ")</f>
        <v xml:space="preserve"> тиральная машина с окончательным отжимом 830 об мин   агрузочная масса 40 кг </v>
      </c>
    </row>
    <row r="473" spans="1:8" ht="25.5" x14ac:dyDescent="0.2">
      <c r="A473" s="31" t="s">
        <v>1022</v>
      </c>
      <c r="B473" s="27" t="s">
        <v>1023</v>
      </c>
      <c r="C473" s="27"/>
      <c r="D473" s="33" t="s">
        <v>14</v>
      </c>
      <c r="E473" s="9"/>
      <c r="F473" s="32"/>
      <c r="G473" s="10">
        <v>12563840</v>
      </c>
      <c r="H473" s="30" t="str">
        <f ca="1">IFERROR(__xludf.DUMMYFUNCTION("LOWER(REGEXREPLACE(B473&amp;"" ""&amp;C473,""[^а-яa-z0-9 ]"","" ""))")," тиральная машина с окончательным отжимом 829 об мин   агрузочная масса 55 кг ")</f>
        <v xml:space="preserve"> тиральная машина с окончательным отжимом 829 об мин   агрузочная масса 55 кг </v>
      </c>
    </row>
    <row r="474" spans="1:8" ht="25.5" x14ac:dyDescent="0.2">
      <c r="A474" s="31" t="s">
        <v>1024</v>
      </c>
      <c r="B474" s="27" t="s">
        <v>1025</v>
      </c>
      <c r="C474" s="27"/>
      <c r="D474" s="33" t="s">
        <v>14</v>
      </c>
      <c r="E474" s="9"/>
      <c r="F474" s="32"/>
      <c r="G474" s="10">
        <v>15041446</v>
      </c>
      <c r="H474" s="30" t="str">
        <f ca="1">IFERROR(__xludf.DUMMYFUNCTION("LOWER(REGEXREPLACE(B474&amp;"" ""&amp;C474,""[^а-яa-z0-9 ]"","" ""))")," тиральная машина с окончательным отжимом 750 об мин   агрузочная масса 70 кг ")</f>
        <v xml:space="preserve"> тиральная машина с окончательным отжимом 750 об мин   агрузочная масса 70 кг </v>
      </c>
    </row>
    <row r="475" spans="1:8" ht="25.5" x14ac:dyDescent="0.2">
      <c r="A475" s="31" t="s">
        <v>1026</v>
      </c>
      <c r="B475" s="27" t="s">
        <v>1027</v>
      </c>
      <c r="C475" s="27"/>
      <c r="D475" s="33" t="s">
        <v>14</v>
      </c>
      <c r="E475" s="9"/>
      <c r="F475" s="32"/>
      <c r="G475" s="10">
        <v>16923256</v>
      </c>
      <c r="H475" s="30" t="str">
        <f ca="1">IFERROR(__xludf.DUMMYFUNCTION("LOWER(REGEXREPLACE(B475&amp;"" ""&amp;C475,""[^а-яa-z0-9 ]"","" ""))")," тиральная машина с окончательным отжимом 750 об мин   агрузочная масса 85 кг ")</f>
        <v xml:space="preserve"> тиральная машина с окончательным отжимом 750 об мин   агрузочная масса 85 кг </v>
      </c>
    </row>
    <row r="476" spans="1:8" ht="25.5" x14ac:dyDescent="0.2">
      <c r="A476" s="31" t="s">
        <v>1028</v>
      </c>
      <c r="B476" s="27" t="s">
        <v>1029</v>
      </c>
      <c r="C476" s="27"/>
      <c r="D476" s="33" t="s">
        <v>14</v>
      </c>
      <c r="E476" s="9"/>
      <c r="F476" s="32"/>
      <c r="G476" s="10">
        <v>21248497</v>
      </c>
      <c r="H476" s="30" t="str">
        <f ca="1">IFERROR(__xludf.DUMMYFUNCTION("LOWER(REGEXREPLACE(B476&amp;"" ""&amp;C476,""[^а-яa-z0-9 ]"","" ""))")," тиральная машина с окончательным отжимом 750 об мин   агрузочная масса 100 кг ")</f>
        <v xml:space="preserve"> тиральная машина с окончательным отжимом 750 об мин   агрузочная масса 100 кг </v>
      </c>
    </row>
    <row r="477" spans="1:8" ht="25.5" x14ac:dyDescent="0.2">
      <c r="A477" s="31" t="s">
        <v>1030</v>
      </c>
      <c r="B477" s="27" t="s">
        <v>1031</v>
      </c>
      <c r="C477" s="27"/>
      <c r="D477" s="33" t="s">
        <v>14</v>
      </c>
      <c r="E477" s="9"/>
      <c r="F477" s="32"/>
      <c r="G477" s="10">
        <v>22640183</v>
      </c>
      <c r="H477" s="30" t="str">
        <f ca="1">IFERROR(__xludf.DUMMYFUNCTION("LOWER(REGEXREPLACE(B477&amp;"" ""&amp;C477,""[^а-яa-z0-9 ]"","" ""))")," тиральная машина с окончательным отжимом 700 об мин   агрузочная масса 125 кг ")</f>
        <v xml:space="preserve"> тиральная машина с окончательным отжимом 700 об мин   агрузочная масса 125 кг </v>
      </c>
    </row>
    <row r="478" spans="1:8" ht="38.25" x14ac:dyDescent="0.2">
      <c r="A478" s="31" t="s">
        <v>1032</v>
      </c>
      <c r="B478" s="27" t="s">
        <v>1033</v>
      </c>
      <c r="C478" s="27"/>
      <c r="D478" s="33" t="s">
        <v>14</v>
      </c>
      <c r="E478" s="9"/>
      <c r="F478" s="32"/>
      <c r="G478" s="10">
        <v>7708004</v>
      </c>
      <c r="H478" s="30" t="str">
        <f ca="1">IFERROR(__xludf.DUMMYFUNCTION("LOWER(REGEXREPLACE(B478&amp;"" ""&amp;C478,""[^а-яa-z0-9 ]"","" ""))")," тиральная машина санитарно барьерного типа с окончательным отжимом 947 об мин   агрузочная масса 18 кг ")</f>
        <v xml:space="preserve"> тиральная машина санитарно барьерного типа с окончательным отжимом 947 об мин   агрузочная масса 18 кг </v>
      </c>
    </row>
    <row r="479" spans="1:8" ht="38.25" x14ac:dyDescent="0.2">
      <c r="A479" s="31" t="s">
        <v>1034</v>
      </c>
      <c r="B479" s="27" t="s">
        <v>1035</v>
      </c>
      <c r="C479" s="27"/>
      <c r="D479" s="33" t="s">
        <v>14</v>
      </c>
      <c r="E479" s="9"/>
      <c r="F479" s="32"/>
      <c r="G479" s="10">
        <v>8446339</v>
      </c>
      <c r="H479" s="30" t="str">
        <f ca="1">IFERROR(__xludf.DUMMYFUNCTION("LOWER(REGEXREPLACE(B479&amp;"" ""&amp;C479,""[^а-яa-z0-9 ]"","" ""))")," тиральная машина санитарно барьерного типа с окончательным отжимом 947 об мин   агрузочная масса 23 кг ")</f>
        <v xml:space="preserve"> тиральная машина санитарно барьерного типа с окончательным отжимом 947 об мин   агрузочная масса 23 кг </v>
      </c>
    </row>
    <row r="480" spans="1:8" ht="38.25" x14ac:dyDescent="0.2">
      <c r="A480" s="31" t="s">
        <v>1036</v>
      </c>
      <c r="B480" s="27" t="s">
        <v>1037</v>
      </c>
      <c r="C480" s="27"/>
      <c r="D480" s="33" t="s">
        <v>14</v>
      </c>
      <c r="E480" s="9"/>
      <c r="F480" s="32"/>
      <c r="G480" s="10">
        <v>11592134</v>
      </c>
      <c r="H480" s="30" t="str">
        <f ca="1">IFERROR(__xludf.DUMMYFUNCTION("LOWER(REGEXREPLACE(B480&amp;"" ""&amp;C480,""[^а-яa-z0-9 ]"","" ""))")," тиральная машина санитарно барьерного типа с окончательным отжимом 846 об мин   агрузочная масса 30 кг ")</f>
        <v xml:space="preserve"> тиральная машина санитарно барьерного типа с окончательным отжимом 846 об мин   агрузочная масса 30 кг </v>
      </c>
    </row>
    <row r="481" spans="1:8" ht="38.25" x14ac:dyDescent="0.2">
      <c r="A481" s="31" t="s">
        <v>1038</v>
      </c>
      <c r="B481" s="27" t="s">
        <v>1039</v>
      </c>
      <c r="C481" s="27"/>
      <c r="D481" s="33" t="s">
        <v>14</v>
      </c>
      <c r="E481" s="9"/>
      <c r="F481" s="32"/>
      <c r="G481" s="10">
        <v>17212385</v>
      </c>
      <c r="H481" s="30" t="str">
        <f ca="1">IFERROR(__xludf.DUMMYFUNCTION("LOWER(REGEXREPLACE(B481&amp;"" ""&amp;C481,""[^а-яa-z0-9 ]"","" ""))")," тиральная машина санитарно барьерного типа с окончательным отжимом 802 об мин   агрузочная масса 55 кг ")</f>
        <v xml:space="preserve"> тиральная машина санитарно барьерного типа с окончательным отжимом 802 об мин   агрузочная масса 55 кг </v>
      </c>
    </row>
    <row r="482" spans="1:8" ht="51" x14ac:dyDescent="0.2">
      <c r="A482" s="31" t="s">
        <v>1040</v>
      </c>
      <c r="B482" s="27" t="s">
        <v>1041</v>
      </c>
      <c r="C482" s="27"/>
      <c r="D482" s="33" t="s">
        <v>14</v>
      </c>
      <c r="E482" s="34">
        <v>2</v>
      </c>
      <c r="F482" s="34">
        <v>240</v>
      </c>
      <c r="G482" s="10">
        <v>3349369</v>
      </c>
      <c r="H482" s="30" t="str">
        <f ca="1">IFERROR(__xludf.DUMMYFUNCTION("LOWER(REGEXREPLACE(B482&amp;"" ""&amp;C482,""[^а-яa-z0-9 ]"","" ""))")," ашина стирально отжимная типа    11   блицовки нержавеющая сталь   агрузка 11 кг  объем барабана 100л  габаритные размеры   х х   850х750х1125 мм  напряжение 380  ")</f>
        <v xml:space="preserve"> ашина стирально отжимная типа    11   блицовки нержавеющая сталь   агрузка 11 кг  объем барабана 100л  габаритные размеры   х х   850х750х1125 мм  напряжение 380  </v>
      </c>
    </row>
    <row r="483" spans="1:8" ht="51" x14ac:dyDescent="0.2">
      <c r="A483" s="31" t="s">
        <v>1042</v>
      </c>
      <c r="B483" s="27" t="s">
        <v>1043</v>
      </c>
      <c r="C483" s="27"/>
      <c r="D483" s="33" t="s">
        <v>14</v>
      </c>
      <c r="E483" s="34">
        <v>2</v>
      </c>
      <c r="F483" s="34">
        <v>452</v>
      </c>
      <c r="G483" s="10">
        <v>4649652</v>
      </c>
      <c r="H483" s="30" t="str">
        <f ca="1">IFERROR(__xludf.DUMMYFUNCTION("LOWER(REGEXREPLACE(B483&amp;"" ""&amp;C483,""[^а-яa-z0-9 ]"","" ""))")," ашина стирально отжимная типа    15   блицовки нержавеющая сталь   агрузка 15 кг  объем барабана 150л  габаритные размеры   х х   935х930х1330 мм  напряжение 380  ")</f>
        <v xml:space="preserve"> ашина стирально отжимная типа    15   блицовки нержавеющая сталь   агрузка 15 кг  объем барабана 150л  габаритные размеры   х х   935х930х1330 мм  напряжение 380  </v>
      </c>
    </row>
    <row r="484" spans="1:8" ht="51" x14ac:dyDescent="0.2">
      <c r="A484" s="31" t="s">
        <v>1044</v>
      </c>
      <c r="B484" s="27" t="s">
        <v>1045</v>
      </c>
      <c r="C484" s="27"/>
      <c r="D484" s="33" t="s">
        <v>14</v>
      </c>
      <c r="E484" s="34">
        <v>2</v>
      </c>
      <c r="F484" s="34">
        <v>510</v>
      </c>
      <c r="G484" s="10">
        <v>5603435</v>
      </c>
      <c r="H484" s="30" t="str">
        <f ca="1">IFERROR(__xludf.DUMMYFUNCTION("LOWER(REGEXREPLACE(B484&amp;"" ""&amp;C484,""[^а-яa-z0-9 ]"","" ""))")," ашина стирально отжимная типа    20   блицовки нержавеющая сталь   агрузка 20 кг  объем барабана 200л  габаритные размеры   х х   1020х1015х1440 мм  напряжение 380  ")</f>
        <v xml:space="preserve"> ашина стирально отжимная типа    20   блицовки нержавеющая сталь   агрузка 20 кг  объем барабана 200л  габаритные размеры   х х   1020х1015х1440 мм  напряжение 380  </v>
      </c>
    </row>
    <row r="485" spans="1:8" ht="51" x14ac:dyDescent="0.2">
      <c r="A485" s="31" t="s">
        <v>1046</v>
      </c>
      <c r="B485" s="27" t="s">
        <v>1047</v>
      </c>
      <c r="C485" s="27"/>
      <c r="D485" s="33" t="s">
        <v>14</v>
      </c>
      <c r="E485" s="34">
        <v>2</v>
      </c>
      <c r="F485" s="34">
        <v>733</v>
      </c>
      <c r="G485" s="10">
        <v>6958176</v>
      </c>
      <c r="H485" s="30" t="str">
        <f ca="1">IFERROR(__xludf.DUMMYFUNCTION("LOWER(REGEXREPLACE(B485&amp;"" ""&amp;C485,""[^а-яa-z0-9 ]"","" ""))")," ашина стирально отжимная типа    25   блицовки нержавеющая сталь   агрузка 25 кг  объем барабана 250л  габаритные размеры   х х   1080х1190х1585 мм  напряжение 380  ")</f>
        <v xml:space="preserve"> ашина стирально отжимная типа    25   блицовки нержавеющая сталь   агрузка 25 кг  объем барабана 250л  габаритные размеры   х х   1080х1190х1585 мм  напряжение 380  </v>
      </c>
    </row>
    <row r="486" spans="1:8" ht="51" x14ac:dyDescent="0.2">
      <c r="A486" s="31" t="s">
        <v>1048</v>
      </c>
      <c r="B486" s="27" t="s">
        <v>1049</v>
      </c>
      <c r="C486" s="27"/>
      <c r="D486" s="33" t="s">
        <v>14</v>
      </c>
      <c r="E486" s="34">
        <v>2</v>
      </c>
      <c r="F486" s="34">
        <v>755</v>
      </c>
      <c r="G486" s="10">
        <v>8465438</v>
      </c>
      <c r="H486" s="30" t="str">
        <f ca="1">IFERROR(__xludf.DUMMYFUNCTION("LOWER(REGEXREPLACE(B486&amp;"" ""&amp;C486,""[^а-яa-z0-9 ]"","" ""))")," ашина стирально отжимная типа    30   блицовки нержавеющая сталь   агрузка 30 кг  объем барабана 300л  габаритные размеры   х х   1180х1185х1550 мм  напряжение 380  ")</f>
        <v xml:space="preserve"> ашина стирально отжимная типа    30   блицовки нержавеющая сталь   агрузка 30 кг  объем барабана 300л  габаритные размеры   х х   1180х1185х1550 мм  напряжение 380  </v>
      </c>
    </row>
    <row r="487" spans="1:8" ht="51" x14ac:dyDescent="0.2">
      <c r="A487" s="31" t="s">
        <v>1050</v>
      </c>
      <c r="B487" s="27" t="s">
        <v>1051</v>
      </c>
      <c r="C487" s="27"/>
      <c r="D487" s="33" t="s">
        <v>14</v>
      </c>
      <c r="E487" s="34">
        <v>2</v>
      </c>
      <c r="F487" s="34">
        <v>955</v>
      </c>
      <c r="G487" s="10">
        <v>10227061</v>
      </c>
      <c r="H487" s="30" t="str">
        <f ca="1">IFERROR(__xludf.DUMMYFUNCTION("LOWER(REGEXREPLACE(B487&amp;"" ""&amp;C487,""[^а-яa-z0-9 ]"","" ""))")," ашина стирально отжимная типа    40   блицовки нержавеющая сталь   агрузка 40 кг  объем барабана 400л  габаритные размеры   х х   1290х1265х1700 мм  напряжение 380  ")</f>
        <v xml:space="preserve"> ашина стирально отжимная типа    40   блицовки нержавеющая сталь   агрузка 40 кг  объем барабана 400л  габаритные размеры   х х   1290х1265х1700 мм  напряжение 380  </v>
      </c>
    </row>
    <row r="488" spans="1:8" ht="51" x14ac:dyDescent="0.2">
      <c r="A488" s="31" t="s">
        <v>1052</v>
      </c>
      <c r="B488" s="27" t="s">
        <v>1053</v>
      </c>
      <c r="C488" s="27"/>
      <c r="D488" s="33" t="s">
        <v>14</v>
      </c>
      <c r="E488" s="34">
        <v>2</v>
      </c>
      <c r="F488" s="34">
        <v>1890</v>
      </c>
      <c r="G488" s="10">
        <v>12550578</v>
      </c>
      <c r="H488" s="30" t="str">
        <f ca="1">IFERROR(__xludf.DUMMYFUNCTION("LOWER(REGEXREPLACE(B488&amp;"" ""&amp;C488,""[^а-яa-z0-9 ]"","" ""))")," ашина стирально отжимная типа    50   блицовки нержавеющая сталь   агрузка 50 кг  объем барабана 500 л  габаритные размеры   х х   1450х1345х1905 мм  напряжение 380  ")</f>
        <v xml:space="preserve"> ашина стирально отжимная типа    50   блицовки нержавеющая сталь   агрузка 50 кг  объем барабана 500 л  габаритные размеры   х х   1450х1345х1905 мм  напряжение 380  </v>
      </c>
    </row>
    <row r="489" spans="1:8" ht="51" x14ac:dyDescent="0.2">
      <c r="A489" s="31" t="s">
        <v>1054</v>
      </c>
      <c r="B489" s="27" t="s">
        <v>1055</v>
      </c>
      <c r="C489" s="27"/>
      <c r="D489" s="33" t="s">
        <v>14</v>
      </c>
      <c r="E489" s="34">
        <v>2</v>
      </c>
      <c r="F489" s="34">
        <v>1860</v>
      </c>
      <c r="G489" s="10">
        <v>14407990</v>
      </c>
      <c r="H489" s="30" t="str">
        <f ca="1">IFERROR(__xludf.DUMMYFUNCTION("LOWER(REGEXREPLACE(B489&amp;"" ""&amp;C489,""[^а-яa-z0-9 ]"","" ""))")," ашина стирально отжимная типа    60   блицовки нержавеющая сталь   агрузка 60 кг  объем барабана 600 л  габаритные размеры   х х   1460х1494х1895 мм  напряжение 380  ")</f>
        <v xml:space="preserve"> ашина стирально отжимная типа    60   блицовки нержавеющая сталь   агрузка 60 кг  объем барабана 600 л  габаритные размеры   х х   1460х1494х1895 мм  напряжение 380  </v>
      </c>
    </row>
    <row r="490" spans="1:8" ht="51" x14ac:dyDescent="0.2">
      <c r="A490" s="31" t="s">
        <v>1056</v>
      </c>
      <c r="B490" s="27" t="s">
        <v>1057</v>
      </c>
      <c r="C490" s="27"/>
      <c r="D490" s="33" t="s">
        <v>14</v>
      </c>
      <c r="E490" s="34">
        <v>2</v>
      </c>
      <c r="F490" s="34">
        <v>2260</v>
      </c>
      <c r="G490" s="10">
        <v>20524989</v>
      </c>
      <c r="H490" s="30" t="str">
        <f ca="1">IFERROR(__xludf.DUMMYFUNCTION("LOWER(REGEXREPLACE(B490&amp;"" ""&amp;C490,""[^а-яa-z0-9 ]"","" ""))")," ашина стирально отжимная типа    80   блицовки нержавеющая сталь   агрузка 80 кг  объем барабана 800 л  габаритные размеры   х х   1570х1690х2215 мм  напряжение 380  ")</f>
        <v xml:space="preserve"> ашина стирально отжимная типа    80   блицовки нержавеющая сталь   агрузка 80 кг  объем барабана 800 л  габаритные размеры   х х   1570х1690х2215 мм  напряжение 380  </v>
      </c>
    </row>
    <row r="491" spans="1:8" ht="51" x14ac:dyDescent="0.2">
      <c r="A491" s="31" t="s">
        <v>1058</v>
      </c>
      <c r="B491" s="27" t="s">
        <v>1059</v>
      </c>
      <c r="C491" s="27"/>
      <c r="D491" s="33" t="s">
        <v>14</v>
      </c>
      <c r="E491" s="34">
        <v>2</v>
      </c>
      <c r="F491" s="34">
        <v>2975</v>
      </c>
      <c r="G491" s="10">
        <v>22444550</v>
      </c>
      <c r="H491" s="30" t="str">
        <f ca="1">IFERROR(__xludf.DUMMYFUNCTION("LOWER(REGEXREPLACE(B491&amp;"" ""&amp;C491,""[^а-яa-z0-9 ]"","" ""))")," ашина стирально отжимная типа    100   блицовки нержавеющая сталь   агрузка 100 кг  объем барабана 1000 л  габаритные размеры   х х   1730х1690х2215 мм  напряжение 380  ")</f>
        <v xml:space="preserve"> ашина стирально отжимная типа    100   блицовки нержавеющая сталь   агрузка 100 кг  объем барабана 1000 л  габаритные размеры   х х   1730х1690х2215 мм  напряжение 380  </v>
      </c>
    </row>
    <row r="492" spans="1:8" ht="51" x14ac:dyDescent="0.2">
      <c r="A492" s="31" t="s">
        <v>1060</v>
      </c>
      <c r="B492" s="27" t="s">
        <v>1061</v>
      </c>
      <c r="C492" s="27"/>
      <c r="D492" s="33" t="s">
        <v>14</v>
      </c>
      <c r="E492" s="34">
        <v>2</v>
      </c>
      <c r="F492" s="34">
        <v>818</v>
      </c>
      <c r="G492" s="10">
        <v>9987894</v>
      </c>
      <c r="H492" s="30" t="str">
        <f ca="1">IFERROR(__xludf.DUMMYFUNCTION("LOWER(REGEXREPLACE(B492&amp;"" ""&amp;C492,""[^а-яa-z0-9 ]"","" ""))")," ашина стирально отжимная барьерная типа    20   блицовки нержавеющая сталь   агрузка 20 кг  объем барабана 200 л  габаритные размеры   х х   1090х1080х1800 мм  напряжение 380  ")</f>
        <v xml:space="preserve"> ашина стирально отжимная барьерная типа    20   блицовки нержавеющая сталь   агрузка 20 кг  объем барабана 200 л  габаритные размеры   х х   1090х1080х1800 мм  напряжение 380  </v>
      </c>
    </row>
    <row r="493" spans="1:8" ht="51" x14ac:dyDescent="0.2">
      <c r="A493" s="31" t="s">
        <v>1062</v>
      </c>
      <c r="B493" s="27" t="s">
        <v>1063</v>
      </c>
      <c r="C493" s="27"/>
      <c r="D493" s="33" t="s">
        <v>14</v>
      </c>
      <c r="E493" s="34">
        <v>2</v>
      </c>
      <c r="F493" s="34">
        <v>895</v>
      </c>
      <c r="G493" s="10">
        <v>12754909</v>
      </c>
      <c r="H493" s="30" t="str">
        <f ca="1">IFERROR(__xludf.DUMMYFUNCTION("LOWER(REGEXREPLACE(B493&amp;"" ""&amp;C493,""[^а-яa-z0-9 ]"","" ""))")," ашина стирально отжимная барьерная типа    30   блицовки нержавеющая сталь   агрузка 30 кг  объем барабана 300 л  габаритные размеры   х х   1090х1340х1800 мм  напряжение 380  ")</f>
        <v xml:space="preserve"> ашина стирально отжимная барьерная типа    30   блицовки нержавеющая сталь   агрузка 30 кг  объем барабана 300 л  габаритные размеры   х х   1090х1340х1800 мм  напряжение 380  </v>
      </c>
    </row>
    <row r="494" spans="1:8" ht="51" x14ac:dyDescent="0.2">
      <c r="A494" s="31" t="s">
        <v>1064</v>
      </c>
      <c r="B494" s="27" t="s">
        <v>1065</v>
      </c>
      <c r="C494" s="27"/>
      <c r="D494" s="33" t="s">
        <v>14</v>
      </c>
      <c r="E494" s="34">
        <v>2</v>
      </c>
      <c r="F494" s="34">
        <v>980</v>
      </c>
      <c r="G494" s="10">
        <v>14774064</v>
      </c>
      <c r="H494" s="30" t="str">
        <f ca="1">IFERROR(__xludf.DUMMYFUNCTION("LOWER(REGEXREPLACE(B494&amp;"" ""&amp;C494,""[^а-яa-z0-9 ]"","" ""))")," ашина стирально отжимная барьерная типа    40   блицовки нержавеющая сталь   агрузка 40 кг  объем барабана 400 л  габаритные размеры   х х   1090х1600х1800 мм  напряжение 380  ")</f>
        <v xml:space="preserve"> ашина стирально отжимная барьерная типа    40   блицовки нержавеющая сталь   агрузка 40 кг  объем барабана 400 л  габаритные размеры   х х   1090х1600х1800 мм  напряжение 380  </v>
      </c>
    </row>
    <row r="495" spans="1:8" ht="63.75" x14ac:dyDescent="0.2">
      <c r="A495" s="31" t="s">
        <v>1066</v>
      </c>
      <c r="B495" s="27" t="s">
        <v>1067</v>
      </c>
      <c r="C495" s="27"/>
      <c r="D495" s="33" t="s">
        <v>14</v>
      </c>
      <c r="E495" s="34">
        <v>2</v>
      </c>
      <c r="F495" s="34">
        <v>1320</v>
      </c>
      <c r="G495" s="10">
        <v>18402861</v>
      </c>
      <c r="H495" s="30" t="str">
        <f ca="1">IFERROR(__xludf.DUMMYFUNCTION("LOWER(REGEXREPLACE(B495&amp;"" ""&amp;C495,""[^а-яa-z0-9 ]"","" ""))")," ашина стирально отжимная барьерная типа    60   блицовки нержавеющая сталь   агрузка 60  2х30  кг  объем барабана 600  2х300  л  габаритные размеры   х х   1090х2000х1780 мм  напряжение 380  ")</f>
        <v xml:space="preserve"> ашина стирально отжимная барьерная типа    60   блицовки нержавеющая сталь   агрузка 60  2х30  кг  объем барабана 600  2х300  л  габаритные размеры   х х   1090х2000х1780 мм  напряжение 380  </v>
      </c>
    </row>
    <row r="496" spans="1:8" ht="51" x14ac:dyDescent="0.2">
      <c r="A496" s="31" t="s">
        <v>1068</v>
      </c>
      <c r="B496" s="27" t="s">
        <v>1069</v>
      </c>
      <c r="C496" s="27"/>
      <c r="D496" s="33" t="s">
        <v>14</v>
      </c>
      <c r="E496" s="34">
        <v>2</v>
      </c>
      <c r="F496" s="34">
        <v>3180</v>
      </c>
      <c r="G496" s="10">
        <v>30149428</v>
      </c>
      <c r="H496" s="30" t="str">
        <f ca="1">IFERROR(__xludf.DUMMYFUNCTION("LOWER(REGEXREPLACE(B496&amp;"" ""&amp;C496,""[^а-яa-z0-9 ]"","" ""))")," ашина стирально отжимная барьерная типа    100   блицовки нержавеющая сталь   агрузка 100 кг  объем барабана 1000 л  габаритные размеры   х х   1650х2550х2120 мм  напряжение 380  ")</f>
        <v xml:space="preserve"> ашина стирально отжимная барьерная типа    100   блицовки нержавеющая сталь   агрузка 100 кг  объем барабана 1000 л  габаритные размеры   х х   1650х2550х2120 мм  напряжение 380  </v>
      </c>
    </row>
    <row r="497" spans="1:8" ht="51" x14ac:dyDescent="0.2">
      <c r="A497" s="31" t="s">
        <v>1070</v>
      </c>
      <c r="B497" s="27" t="s">
        <v>1071</v>
      </c>
      <c r="C497" s="27"/>
      <c r="D497" s="33" t="s">
        <v>14</v>
      </c>
      <c r="E497" s="34">
        <v>2</v>
      </c>
      <c r="F497" s="34">
        <v>231</v>
      </c>
      <c r="G497" s="10">
        <v>2662415</v>
      </c>
      <c r="H497" s="30" t="str">
        <f ca="1">IFERROR(__xludf.DUMMYFUNCTION("LOWER(REGEXREPLACE(B497&amp;"" ""&amp;C497,""[^а-яa-z0-9 ]"","" ""))")," ашина стирально отжимная типа   11   блицовки окрашенная сталь   агрузка 11 кг  объем барабана 100 л  габаритные размеры   х х   815х760х1230 мм  напряжение 380  ")</f>
        <v xml:space="preserve"> ашина стирально отжимная типа   11   блицовки окрашенная сталь   агрузка 11 кг  объем барабана 100 л  габаритные размеры   х х   815х760х1230 мм  напряжение 380  </v>
      </c>
    </row>
    <row r="498" spans="1:8" ht="51" x14ac:dyDescent="0.2">
      <c r="A498" s="31" t="s">
        <v>1072</v>
      </c>
      <c r="B498" s="27" t="s">
        <v>1073</v>
      </c>
      <c r="C498" s="27"/>
      <c r="D498" s="33" t="s">
        <v>14</v>
      </c>
      <c r="E498" s="34">
        <v>2</v>
      </c>
      <c r="F498" s="34">
        <v>287</v>
      </c>
      <c r="G498" s="10">
        <v>3363428</v>
      </c>
      <c r="H498" s="30" t="str">
        <f ca="1">IFERROR(__xludf.DUMMYFUNCTION("LOWER(REGEXREPLACE(B498&amp;"" ""&amp;C498,""[^а-яa-z0-9 ]"","" ""))")," ашина стирально отжимная типа   15   блицовки окрашенная сталь   агрузка 15 кг  объем барабана 150 л  габаритные размеры   х х   850х870х1380 мм  напряжение 380  ")</f>
        <v xml:space="preserve"> ашина стирально отжимная типа   15   блицовки окрашенная сталь   агрузка 15 кг  объем барабана 150 л  габаритные размеры   х х   850х870х1380 мм  напряжение 380  </v>
      </c>
    </row>
    <row r="499" spans="1:8" ht="51" x14ac:dyDescent="0.2">
      <c r="A499" s="31" t="s">
        <v>1074</v>
      </c>
      <c r="B499" s="27" t="s">
        <v>1075</v>
      </c>
      <c r="C499" s="27"/>
      <c r="D499" s="33" t="s">
        <v>14</v>
      </c>
      <c r="E499" s="34">
        <v>2</v>
      </c>
      <c r="F499" s="34">
        <v>301</v>
      </c>
      <c r="G499" s="10">
        <v>3661191</v>
      </c>
      <c r="H499" s="30" t="str">
        <f ca="1">IFERROR(__xludf.DUMMYFUNCTION("LOWER(REGEXREPLACE(B499&amp;"" ""&amp;C499,""[^а-яa-z0-9 ]"","" ""))")," ашина стирально отжимная типа   18   блицовки окрашенная сталь   агрузка 18 кг  объем барабана 180 л  габаритные размеры   х х   920х870х1380 мм  напряжение 380  ")</f>
        <v xml:space="preserve"> ашина стирально отжимная типа   18   блицовки окрашенная сталь   агрузка 18 кг  объем барабана 180 л  габаритные размеры   х х   920х870х1380 мм  напряжение 380  </v>
      </c>
    </row>
    <row r="500" spans="1:8" ht="51" x14ac:dyDescent="0.2">
      <c r="A500" s="31" t="s">
        <v>1076</v>
      </c>
      <c r="B500" s="27" t="s">
        <v>1077</v>
      </c>
      <c r="C500" s="27"/>
      <c r="D500" s="33" t="s">
        <v>14</v>
      </c>
      <c r="E500" s="34">
        <v>2</v>
      </c>
      <c r="F500" s="34">
        <v>340</v>
      </c>
      <c r="G500" s="10">
        <v>4143791</v>
      </c>
      <c r="H500" s="30" t="str">
        <f ca="1">IFERROR(__xludf.DUMMYFUNCTION("LOWER(REGEXREPLACE(B500&amp;"" ""&amp;C500,""[^а-яa-z0-9 ]"","" ""))")," ашина стирально отжимная типа   25   блицовки окрашенная сталь   агрузка 25 кг  объем барабана 250 л  габаритные размеры   х х   955х970х1445 мм  напряжение 380  ")</f>
        <v xml:space="preserve"> ашина стирально отжимная типа   25   блицовки окрашенная сталь   агрузка 25 кг  объем барабана 250 л  габаритные размеры   х х   955х970х1445 мм  напряжение 380  </v>
      </c>
    </row>
    <row r="501" spans="1:8" ht="51" x14ac:dyDescent="0.2">
      <c r="A501" s="31" t="s">
        <v>1078</v>
      </c>
      <c r="B501" s="27" t="s">
        <v>1079</v>
      </c>
      <c r="C501" s="27"/>
      <c r="D501" s="33" t="s">
        <v>14</v>
      </c>
      <c r="E501" s="34">
        <v>2</v>
      </c>
      <c r="F501" s="34">
        <v>506</v>
      </c>
      <c r="G501" s="10">
        <v>5338117</v>
      </c>
      <c r="H501" s="30" t="str">
        <f ca="1">IFERROR(__xludf.DUMMYFUNCTION("LOWER(REGEXREPLACE(B501&amp;"" ""&amp;C501,""[^а-яa-z0-9 ]"","" ""))")," ашина стирально отжимная типа   35   блицовки окрашенная сталь   агрузка 35 кг  объем барабана 350 л  габаритные размеры   х х   1050х1115х1550 мм  напряжение 380  ")</f>
        <v xml:space="preserve"> ашина стирально отжимная типа   35   блицовки окрашенная сталь   агрузка 35 кг  объем барабана 350 л  габаритные размеры   х х   1050х1115х1550 мм  напряжение 380  </v>
      </c>
    </row>
    <row r="502" spans="1:8" ht="51" x14ac:dyDescent="0.2">
      <c r="A502" s="31" t="s">
        <v>1080</v>
      </c>
      <c r="B502" s="27" t="s">
        <v>1081</v>
      </c>
      <c r="C502" s="27"/>
      <c r="D502" s="33" t="s">
        <v>14</v>
      </c>
      <c r="E502" s="34">
        <v>2</v>
      </c>
      <c r="F502" s="34">
        <v>630</v>
      </c>
      <c r="G502" s="10">
        <v>6578709</v>
      </c>
      <c r="H502" s="30" t="str">
        <f ca="1">IFERROR(__xludf.DUMMYFUNCTION("LOWER(REGEXREPLACE(B502&amp;"" ""&amp;C502,""[^а-яa-z0-9 ]"","" ""))")," ашина стирально отжимная типа   50   блицовки окрашенная сталь   агрузка 50 кг  объем барабана 500 л  габаритные размеры   х х   1350х1130х1660 мм  напряжение 380  ")</f>
        <v xml:space="preserve"> ашина стирально отжимная типа   50   блицовки окрашенная сталь   агрузка 50 кг  объем барабана 500 л  габаритные размеры   х х   1350х1130х1660 мм  напряжение 380  </v>
      </c>
    </row>
    <row r="503" spans="1:8" ht="127.5" x14ac:dyDescent="0.2">
      <c r="A503" s="31" t="s">
        <v>1082</v>
      </c>
      <c r="B503" s="8" t="s">
        <v>1083</v>
      </c>
      <c r="C503" s="27" t="s">
        <v>1084</v>
      </c>
      <c r="D503" s="33" t="s">
        <v>14</v>
      </c>
      <c r="E503" s="34">
        <v>2</v>
      </c>
      <c r="F503" s="34">
        <v>240</v>
      </c>
      <c r="G503" s="10">
        <v>4096650</v>
      </c>
      <c r="H503" s="30" t="str">
        <f ca="1">IFERROR(__xludf.DUMMYFUNCTION("LOWER(REGEXREPLACE(B503&amp;"" ""&amp;C503,""[^а-яa-z0-9 ]"","" ""))")," ашина стирально отжимная  загрузка 10 11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310 мм   абаритные размеры  736х824х1171 мм  "&amp;" ощность 6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специальн"&amp;"ую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"&amp;" 310 мм   вес 190 кг  обогрев электрический подготовленна к паровому обогреву ")</f>
        <v xml:space="preserve"> ашина стирально отжимная  загрузка 10 11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310 мм   абаритные размеры  736х824х1171 мм   ощность 6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310 мм   вес 190 кг  обогрев электрический подготовленна к паровому обогреву </v>
      </c>
    </row>
    <row r="504" spans="1:8" ht="127.5" x14ac:dyDescent="0.2">
      <c r="A504" s="31" t="s">
        <v>1085</v>
      </c>
      <c r="B504" s="8" t="s">
        <v>1086</v>
      </c>
      <c r="C504" s="27" t="s">
        <v>1087</v>
      </c>
      <c r="D504" s="33" t="s">
        <v>14</v>
      </c>
      <c r="E504" s="34">
        <v>2</v>
      </c>
      <c r="F504" s="34">
        <v>260</v>
      </c>
      <c r="G504" s="10">
        <v>5251179</v>
      </c>
      <c r="H504" s="30" t="str">
        <f ca="1">IFERROR(__xludf.DUMMYFUNCTION("LOWER(REGEXREPLACE(B504&amp;"" ""&amp;C504,""[^а-яa-z0-9 ]"","" ""))")," ашина стирально отжимная  загрузка 15 16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438 мм   абаритные размеры  736х946х1171 мм  "&amp;" ощность 9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специальн"&amp;"ую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"&amp;" обогрев электрический подготовленна к паровому обогреву ")</f>
        <v xml:space="preserve"> ашина стирально отжимная  загрузка 15 16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438 мм   абаритные размеры  736х946х1171 мм   ощность 9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электрический подготовленна к паровому обогреву </v>
      </c>
    </row>
    <row r="505" spans="1:8" ht="127.5" x14ac:dyDescent="0.2">
      <c r="A505" s="31" t="s">
        <v>1088</v>
      </c>
      <c r="B505" s="8" t="s">
        <v>1089</v>
      </c>
      <c r="C505" s="27" t="s">
        <v>1087</v>
      </c>
      <c r="D505" s="33" t="s">
        <v>14</v>
      </c>
      <c r="E505" s="34">
        <v>2</v>
      </c>
      <c r="F505" s="34">
        <v>330</v>
      </c>
      <c r="G505" s="10">
        <v>6303803</v>
      </c>
      <c r="H505" s="30" t="str">
        <f ca="1">IFERROR(__xludf.DUMMYFUNCTION("LOWER(REGEXREPLACE(B505&amp;"" ""&amp;C505,""[^а-яa-z0-9 ]"","" ""))")," ашина стирально отжимная  загрузка 18 20 кг  барабан и дверь из нержавеющей стали  скорость отжима 200 760 об мин  скорость стирки 40 50 об мин  сливной клапан 76 мм  диаметр барабана 683 мм  глубина барабана 504 мм   абаритные размеры  870х990х1400 мм  "&amp;"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специаль"&amp;"ную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200"&amp;"  обогрев электрический подготовленна к паровому обогреву ")</f>
        <v xml:space="preserve"> ашина стирально отжимная  загрузка 18 20 кг  барабан и дверь из нержавеющей стали  скорость отжима 200 760 об мин  скорость стирки 40 50 об мин  сливной клапан 76 мм  диаметр барабана 683 мм  глубина барабана 504 мм   абаритные размеры  870х990х1400 мм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электрический подготовленна к паровому обогреву </v>
      </c>
    </row>
    <row r="506" spans="1:8" ht="127.5" x14ac:dyDescent="0.2">
      <c r="A506" s="31" t="s">
        <v>1090</v>
      </c>
      <c r="B506" s="8" t="s">
        <v>1091</v>
      </c>
      <c r="C506" s="27" t="s">
        <v>1092</v>
      </c>
      <c r="D506" s="33" t="s">
        <v>14</v>
      </c>
      <c r="E506" s="34">
        <v>2</v>
      </c>
      <c r="F506" s="34">
        <v>610</v>
      </c>
      <c r="G506" s="10">
        <v>7610095</v>
      </c>
      <c r="H506" s="30" t="str">
        <f ca="1">IFERROR(__xludf.DUMMYFUNCTION("LOWER(REGEXREPLACE(B506&amp;"" ""&amp;C506,""[^а-яa-z0-9 ]"","" ""))")," ашина стирально отжимная  загрузка 28 30 кг  барабан и дверь из нержавеющей стали  скорость отжима 200 680 об мин  скорость стирки 40 50 об мин  сливной клапан 76 мм  диаметр барабана 774 мм  глубина барабана 600 мм   абаритные размеры  953х1180х1523 мм "&amp;"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специал"&amp;"ьную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2"&amp;"00  обогрев комбинированный электрический и паровой ")</f>
        <v xml:space="preserve"> ашина стирально отжимная  загрузка 28 30 кг  барабан и дверь из нержавеющей стали  скорость отжима 200 680 об мин  скорость стирки 40 50 об мин  сливной клапан 76 мм  диаметр барабана 774 мм  глубина барабана 600 мм   абаритные размеры  953х1180х1523 мм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комбинированный электрический и паровой </v>
      </c>
    </row>
    <row r="507" spans="1:8" ht="127.5" x14ac:dyDescent="0.2">
      <c r="A507" s="31" t="s">
        <v>1093</v>
      </c>
      <c r="B507" s="8" t="s">
        <v>1094</v>
      </c>
      <c r="C507" s="27" t="s">
        <v>1095</v>
      </c>
      <c r="D507" s="33" t="s">
        <v>14</v>
      </c>
      <c r="E507" s="34">
        <v>2</v>
      </c>
      <c r="F507" s="34">
        <v>290</v>
      </c>
      <c r="G507" s="10">
        <v>4990964</v>
      </c>
      <c r="H507" s="30" t="str">
        <f ca="1">IFERROR(__xludf.DUMMYFUNCTION("LOWER(REGEXREPLACE(B507&amp;"" ""&amp;C507,""[^а-яa-z0-9 ]"","" ""))")," ашина стирально отжимная  загрузка 10 11 кг  барабан и дверь из нержавеющей стали  скорость отжима 200 1200 об мин  скорость стирки 40 55 об мин  сливной клапан 51 мм  диаметр барабана 532 мм  глубина барабана 405 мм   абаритные размеры  710х807х1258 мм "&amp;"  ощность 6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специальну"&amp;"ю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f"&amp;"orce 400  обогрев электрический подготовленна к паровому обогреву ")</f>
        <v xml:space="preserve"> ашина стирально отжимная  загрузка 10 11 кг  барабан и дверь из нержавеющей стали  скорость отжима 200 1200 об мин  скорость стирки 40 55 об мин  сливной клапан 51 мм  диаметр барабана 532 мм  глубина барабана 405 мм   абаритные размеры  710х807х1258 мм   ощность 6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08" spans="1:8" ht="127.5" x14ac:dyDescent="0.2">
      <c r="A508" s="31" t="s">
        <v>1096</v>
      </c>
      <c r="B508" s="8" t="s">
        <v>1097</v>
      </c>
      <c r="C508" s="27" t="s">
        <v>1098</v>
      </c>
      <c r="D508" s="33" t="s">
        <v>14</v>
      </c>
      <c r="E508" s="34">
        <v>2</v>
      </c>
      <c r="F508" s="34">
        <v>340</v>
      </c>
      <c r="G508" s="10">
        <v>6509798</v>
      </c>
      <c r="H508" s="30" t="str">
        <f ca="1">IFERROR(__xludf.DUMMYFUNCTION("LOWER(REGEXREPLACE(B508&amp;"" ""&amp;C508,""[^а-яa-z0-9 ]"","" ""))")," ашина стирально отжимная  загрузка 15 16 кг  барабан и дверь из нержавеющей стали  скорость отжима 200 1100 об мин  скорость стирки 40 50 об мин  сливной клапан 51 мм  диаметр барабана 600 мм  глубина барабана 478 мм   абаритные размеры  800х975х1274 мм "&amp;"  ощность 9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специальну"&amp;"ю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"&amp;"force 400  обогрев электрический подготовленна к паровому обогреву ")</f>
        <v xml:space="preserve"> ашина стирально отжимная  загрузка 15 16 кг  барабан и дверь из нержавеющей стали  скорость отжима 200 1100 об мин  скорость стирки 40 50 об мин  сливной клапан 51 мм  диаметр барабана 600 мм  глубина барабана 478 мм   абаритные размеры  800х975х1274 мм   ощность 9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09" spans="1:8" ht="127.5" x14ac:dyDescent="0.2">
      <c r="A509" s="31" t="s">
        <v>1099</v>
      </c>
      <c r="B509" s="8" t="s">
        <v>1100</v>
      </c>
      <c r="C509" s="27" t="s">
        <v>1095</v>
      </c>
      <c r="D509" s="33" t="s">
        <v>14</v>
      </c>
      <c r="E509" s="34">
        <v>2</v>
      </c>
      <c r="F509" s="34">
        <v>450</v>
      </c>
      <c r="G509" s="10">
        <v>8274750</v>
      </c>
      <c r="H509" s="30" t="str">
        <f ca="1">IFERROR(__xludf.DUMMYFUNCTION("LOWER(REGEXREPLACE(B509&amp;"" ""&amp;C509,""[^а-яa-z0-9 ]"","" ""))")," ашина стирально отжимная  загрузка 18 20 кг  барабан и дверь из нержавеющей стали  скорость отжима 200 1040 об мин  скорость стирки 40 50 об мин  сливной клапан 51 мм  диаметр барабана 683 мм  глубина барабана 504 мм   абаритные размеры  900х1016х1305 мм"&amp;"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специаль"&amp;"ную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 force 400  обогрев электрический подготовленна к паровому обогреву ")</f>
        <v xml:space="preserve"> ашина стирально отжимная  загрузка 18 20 кг  барабан и дверь из нержавеющей стали  скорость отжима 200 1040 об мин  скорость стирки 40 50 об мин  сливной клапан 51 мм  диаметр барабана 683 мм  глубина барабана 504 мм   абаритные размеры  900х1016х1305 мм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10" spans="1:8" ht="127.5" x14ac:dyDescent="0.2">
      <c r="A510" s="31" t="s">
        <v>1101</v>
      </c>
      <c r="B510" s="8" t="s">
        <v>1102</v>
      </c>
      <c r="C510" s="27" t="s">
        <v>1095</v>
      </c>
      <c r="D510" s="33" t="s">
        <v>14</v>
      </c>
      <c r="E510" s="34">
        <v>2</v>
      </c>
      <c r="F510" s="34">
        <v>660</v>
      </c>
      <c r="G510" s="10">
        <v>10625865</v>
      </c>
      <c r="H510" s="30" t="str">
        <f ca="1">IFERROR(__xludf.DUMMYFUNCTION("LOWER(REGEXREPLACE(B510&amp;"" ""&amp;C510,""[^а-яa-z0-9 ]"","" ""))")," ашина стирально отжимная  загрузка 25 27 кг  барабан и дверь из нержавеющей стали  скорость отжима 200 1040 об мин  скорость стирки 40 50 об мин  сливной клапан 51 мм  диаметр барабана 774 мм  глубина барабана 489 мм   абаритные размеры  1012х1070х1485 м"&amp;"м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специал"&amp;"ьную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  force 400  обогрев электрический подготовленна к паровому обогреву ")</f>
        <v xml:space="preserve"> ашина стирально отжимная  загрузка 25 27 кг  барабан и дверь из нержавеющей стали  скорость отжима 200 1040 об мин  скорость стирки 40 50 об мин  сливной клапан 51 мм  диаметр барабана 774 мм  глубина барабана 489 мм   абаритные размеры  1012х1070х1485 мм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v>
      </c>
    </row>
    <row r="511" spans="1:8" ht="127.5" x14ac:dyDescent="0.2">
      <c r="A511" s="31" t="s">
        <v>1103</v>
      </c>
      <c r="B511" s="8" t="s">
        <v>1104</v>
      </c>
      <c r="C511" s="27" t="s">
        <v>1105</v>
      </c>
      <c r="D511" s="33" t="s">
        <v>14</v>
      </c>
      <c r="E511" s="34">
        <v>2</v>
      </c>
      <c r="F511" s="34">
        <v>1290</v>
      </c>
      <c r="G511" s="10">
        <v>18366210</v>
      </c>
      <c r="H511" s="30" t="str">
        <f ca="1">IFERROR(__xludf.DUMMYFUNCTION("LOWER(REGEXREPLACE(B511&amp;"" ""&amp;C511,""[^а-яa-z0-9 ]"","" ""))")," ашина стирально отжимная  загрузка 40 45 кг  барабан и дверь из нержавеющей стали  скорость отжима 200 830 об мин  скорость стирки 30 40 об мин  сливной клапан 76 мм  диаметр барабана 903 мм  глубина барабана 626 мм   абаритные размеры  1230х1433х1735 мм"&amp;"   ощность 34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специал"&amp;"ьную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"&amp;"  force 350  обогрев электрический подготовленна к паровому обогреву ")</f>
        <v xml:space="preserve"> ашина стирально отжимная  загрузка 40 45 кг  барабан и дверь из нержавеющей стали  скорость отжима 200 830 об мин  скорость стирки 30 40 об мин  сливной клапан 76 мм  диаметр барабана 903 мм  глубина барабана 626 мм   абаритные размеры  1230х1433х1735 мм   ощность 34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350  обогрев электрический подготовленна к паровому обогреву </v>
      </c>
    </row>
    <row r="512" spans="1:8" ht="127.5" x14ac:dyDescent="0.2">
      <c r="A512" s="31" t="s">
        <v>1106</v>
      </c>
      <c r="B512" s="8" t="s">
        <v>1107</v>
      </c>
      <c r="C512" s="27" t="s">
        <v>1108</v>
      </c>
      <c r="D512" s="33" t="s">
        <v>14</v>
      </c>
      <c r="E512" s="34">
        <v>2</v>
      </c>
      <c r="F512" s="34">
        <v>2210</v>
      </c>
      <c r="G512" s="10">
        <v>22745051</v>
      </c>
      <c r="H512" s="30" t="str">
        <f ca="1">IFERROR(__xludf.DUMMYFUNCTION("LOWER(REGEXREPLACE(B512&amp;"" ""&amp;C512,""[^а-яa-z0-9 ]"","" ""))")," ашина стирально отжимная  загрузка 56 60 кг  барабан и дверь из нержавеющей стали  скорость отжима 200 740 об мин  скорость стирки 30 40 об мин  сливной клапан 125 мм  диаметр барабана 1078 мм  глубина барабана 620 мм   абаритные размеры  1619х1492х1965 "&amp;"мм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спе"&amp;"циальную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време"&amp;"ни    force 330  обогрев комбинированный электрический и паровой ")</f>
        <v xml:space="preserve"> ашина стирально отжимная  загрузка 56 60 кг  барабан и дверь из нержавеющей стали  скорость отжима 200 740 об мин  скорость стирки 30 40 об мин  сливной клапан 125 мм  диаметр барабана 1078 мм  глубина барабана 620 мм   абаритные размеры  1619х1492х1965 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330  обогрев комбинированный электрический и паровой </v>
      </c>
    </row>
    <row r="513" spans="1:8" ht="127.5" x14ac:dyDescent="0.2">
      <c r="A513" s="31" t="s">
        <v>1109</v>
      </c>
      <c r="B513" s="8" t="s">
        <v>1110</v>
      </c>
      <c r="C513" s="27" t="s">
        <v>1111</v>
      </c>
      <c r="D513" s="33" t="s">
        <v>14</v>
      </c>
      <c r="E513" s="34">
        <v>2</v>
      </c>
      <c r="F513" s="34">
        <v>2400</v>
      </c>
      <c r="G513" s="10">
        <v>25949411</v>
      </c>
      <c r="H513" s="30" t="str">
        <f ca="1">IFERROR(__xludf.DUMMYFUNCTION("LOWER(REGEXREPLACE(B513&amp;"" ""&amp;C513,""[^а-яa-z0-9 ]"","" ""))")," ашина стирально отжимная  загрузка 80 85 кг  барабан и дверь из нержавеющей стали  скорость отжима 220 740 об мин  скорость стирки 30 40 об мин  сливной клапан 125 мм  диаметр барабана 1078 мм  глубина барабана 820 мм   абаритные размеры  1619х1492х1965 "&amp;"мм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спе"&amp;"циальную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време"&amp;"ни    force 330  обогрев электрический подготовленна к паровому обогреву ")</f>
        <v xml:space="preserve"> ашина стирально отжимная  загрузка 80 85 кг  барабан и дверь из нержавеющей стали  скорость отжима 220 740 об мин  скорость стирки 30 40 об мин  сливной клапан 125 мм  диаметр барабана 1078 мм  глубина барабана 820 мм   абаритные размеры  1619х1492х1965 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330  обогрев электрический подготовленна к паровому обогреву </v>
      </c>
    </row>
    <row r="514" spans="1:8" ht="127.5" x14ac:dyDescent="0.2">
      <c r="A514" s="31" t="s">
        <v>1112</v>
      </c>
      <c r="B514" s="8" t="s">
        <v>1113</v>
      </c>
      <c r="C514" s="27" t="s">
        <v>1114</v>
      </c>
      <c r="D514" s="33" t="s">
        <v>14</v>
      </c>
      <c r="E514" s="34">
        <v>2</v>
      </c>
      <c r="F514" s="34">
        <v>3370</v>
      </c>
      <c r="G514" s="10">
        <v>31326413</v>
      </c>
      <c r="H514" s="30" t="str">
        <f ca="1">IFERROR(__xludf.DUMMYFUNCTION("LOWER(REGEXREPLACE(B514&amp;"" ""&amp;C514,""[^а-яa-z0-9 ]"","" ""))"),"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1774х1761х2"&amp;"092 мм   ощность 71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с"&amp;"пециальную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вре"&amp;"мени    force 320  обогрев электрический подготовленна к паровому обогреву ")</f>
        <v xml:space="preserve">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1774х1761х2092 мм   ощность 71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5" spans="1:8" ht="140.25" x14ac:dyDescent="0.2">
      <c r="A515" s="31" t="s">
        <v>1115</v>
      </c>
      <c r="B515" s="8" t="s">
        <v>1116</v>
      </c>
      <c r="C515" s="27" t="s">
        <v>1117</v>
      </c>
      <c r="D515" s="33" t="s">
        <v>14</v>
      </c>
      <c r="E515" s="34">
        <v>2</v>
      </c>
      <c r="F515" s="34">
        <v>3420</v>
      </c>
      <c r="G515" s="10">
        <v>36027139</v>
      </c>
      <c r="H515" s="30" t="str">
        <f ca="1">IFERROR(__xludf.DUMMYFUNCTION("LOWER(REGEXREPLACE(B515&amp;"" ""&amp;C515,""[^а-яa-z0-9 ]"","" ""))"),"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1774х1828х2"&amp;"092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компоненто"&amp;"в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пор"&amp;"т  индикатор оставшегося времени    force 320  обогрев электрический подготовленна к паровому обогреву ")</f>
        <v xml:space="preserve">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1774х1828х2092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6" spans="1:8" ht="140.25" x14ac:dyDescent="0.2">
      <c r="A516" s="31" t="s">
        <v>1118</v>
      </c>
      <c r="B516" s="8" t="s">
        <v>1119</v>
      </c>
      <c r="C516" s="27" t="s">
        <v>1120</v>
      </c>
      <c r="D516" s="33" t="s">
        <v>14</v>
      </c>
      <c r="E516" s="34">
        <v>2</v>
      </c>
      <c r="F516" s="34">
        <v>3700</v>
      </c>
      <c r="G516" s="10">
        <v>35044783</v>
      </c>
      <c r="H516" s="30" t="str">
        <f ca="1">IFERROR(__xludf.DUMMYFUNCTION("LOWER(REGEXREPLACE(B516&amp;"" ""&amp;C516,""[^а-яa-z0-9 ]"","" ""))"),"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1850х1825х2"&amp;"285 мм   ощность 71 к т  ашина стирально 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"&amp;"компонентов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инверте"&amp;"р      порт  индикатор оставшегося времени    force 320  обогрев электрический подготовленна к паровому обогреву ")</f>
        <v xml:space="preserve">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1850х1825х2285 мм   ощность 71 к т  ашина стирально 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7" spans="1:8" ht="140.25" x14ac:dyDescent="0.2">
      <c r="A517" s="31" t="s">
        <v>1121</v>
      </c>
      <c r="B517" s="8" t="s">
        <v>1122</v>
      </c>
      <c r="C517" s="27" t="s">
        <v>1117</v>
      </c>
      <c r="D517" s="33" t="s">
        <v>14</v>
      </c>
      <c r="E517" s="34">
        <v>2</v>
      </c>
      <c r="F517" s="34">
        <v>3780</v>
      </c>
      <c r="G517" s="10">
        <v>39745631</v>
      </c>
      <c r="H517" s="30" t="str">
        <f ca="1">IFERROR(__xludf.DUMMYFUNCTION("LOWER(REGEXREPLACE(B517&amp;"" ""&amp;C517,""[^а-яa-z0-9 ]"","" ""))"),"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1850х1895х2"&amp;"290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компоненто"&amp;"в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пор"&amp;"т  индикатор оставшегося времени    force 320  обогрев электрический подготовленна к паровому обогреву ")</f>
        <v xml:space="preserve">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1850х1895х2290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v>
      </c>
    </row>
    <row r="518" spans="1:8" ht="127.5" x14ac:dyDescent="0.2">
      <c r="A518" s="31" t="s">
        <v>1123</v>
      </c>
      <c r="B518" s="8" t="s">
        <v>1124</v>
      </c>
      <c r="C518" s="27" t="s">
        <v>1125</v>
      </c>
      <c r="D518" s="33" t="s">
        <v>14</v>
      </c>
      <c r="E518" s="34">
        <v>2</v>
      </c>
      <c r="F518" s="34">
        <v>900</v>
      </c>
      <c r="G518" s="10">
        <v>26210882</v>
      </c>
      <c r="H518" s="30" t="str">
        <f ca="1">IFERROR(__xludf.DUMMYFUNCTION("LOWER(REGEXREPLACE(B518&amp;"" ""&amp;C518,""[^а-яa-z0-9 ]"","" ""))")," ашина стирально отжимная  загрузка 35 38 кг  барабан  панели и дверь из нержавеющей стали  скорость отжима 200 760 об мин  скорость стирки 35 40 об мин  сливной клапан 76 мм  диаметр барабана 774 мм  глубина барабана 726 мм   абаритные размеры  1290х1222"&amp;"х1496 мм   ощность 21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средств"&amp;"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времени"&amp;"    force 250  обогрев электрический подготовленна к паровому обогреву ")</f>
        <v xml:space="preserve"> ашина стирально отжимная  загрузка 35 38 кг  барабан  панели и дверь из нержавеющей стали  скорость отжима 200 760 об мин  скорость стирки 35 40 об мин  сливной клапан 76 мм  диаметр барабана 774 мм  глубина барабана 726 мм   абаритные размеры  1290х1222х1496 мм   ощность 21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v>
      </c>
    </row>
    <row r="519" spans="1:8" ht="127.5" x14ac:dyDescent="0.2">
      <c r="A519" s="31" t="s">
        <v>1126</v>
      </c>
      <c r="B519" s="8" t="s">
        <v>1127</v>
      </c>
      <c r="C519" s="27" t="s">
        <v>1125</v>
      </c>
      <c r="D519" s="33" t="s">
        <v>14</v>
      </c>
      <c r="E519" s="34">
        <v>2</v>
      </c>
      <c r="F519" s="34">
        <v>2320</v>
      </c>
      <c r="G519" s="10">
        <v>38365698</v>
      </c>
      <c r="H519" s="30" t="str">
        <f ca="1">IFERROR(__xludf.DUMMYFUNCTION("LOWER(REGEXREPLACE(B519&amp;"" ""&amp;C519,""[^а-яa-z0-9 ]"","" ""))")," ашина стирально отжимная  загрузка 60 65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760 мм   абаритные размеры  1592х14"&amp;"48х2035 мм   ощность 37 5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сре"&amp;"дств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вре"&amp;"мени    force 250  обогрев электрический подготовленна к паровому обогреву ")</f>
        <v xml:space="preserve"> ашина стирально отжимная  загрузка 60 65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760 мм   абаритные размеры  1592х1448х2035 мм   ощность 37 5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v>
      </c>
    </row>
    <row r="520" spans="1:8" ht="127.5" x14ac:dyDescent="0.2">
      <c r="A520" s="31" t="s">
        <v>1128</v>
      </c>
      <c r="B520" s="8" t="s">
        <v>1129</v>
      </c>
      <c r="C520" s="27" t="s">
        <v>1125</v>
      </c>
      <c r="D520" s="33" t="s">
        <v>14</v>
      </c>
      <c r="E520" s="34">
        <v>2</v>
      </c>
      <c r="F520" s="34">
        <v>2560</v>
      </c>
      <c r="G520" s="10">
        <v>51441359</v>
      </c>
      <c r="H520" s="30" t="str">
        <f ca="1">IFERROR(__xludf.DUMMYFUNCTION("LOWER(REGEXREPLACE(B520&amp;"" ""&amp;C520,""[^а-яa-z0-9 ]"","" ""))")," ашина стирально отжимная  загрузка 110 115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1268 мм   абаритные размеры  2100"&amp;"х1448х2035 мм   ощность 56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ср"&amp;"едств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вр"&amp;"емени    force 250  обогрев электрический подготовленна к паровому обогреву ")</f>
        <v xml:space="preserve"> ашина стирально отжимная  загрузка 110 115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1268 мм   абаритные размеры  2100х1448х2035 мм   ощность 56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v>
      </c>
    </row>
    <row r="521" spans="1:8" ht="12.75" x14ac:dyDescent="0.2">
      <c r="A521" s="31" t="s">
        <v>1130</v>
      </c>
      <c r="B521" s="27" t="s">
        <v>1131</v>
      </c>
      <c r="C521" s="27"/>
      <c r="D521" s="33" t="s">
        <v>14</v>
      </c>
      <c r="E521" s="9"/>
      <c r="F521" s="32"/>
      <c r="G521" s="10"/>
      <c r="H521" s="30" t="str">
        <f ca="1">IFERROR(__xludf.DUMMYFUNCTION("LOWER(REGEXREPLACE(B521&amp;"" ""&amp;C521,""[^а-яa-z0-9 ]"","" ""))")," ушильная машина ")</f>
        <v xml:space="preserve"> ушильная машина </v>
      </c>
    </row>
    <row r="522" spans="1:8" ht="51" x14ac:dyDescent="0.2">
      <c r="A522" s="31" t="s">
        <v>1132</v>
      </c>
      <c r="B522" s="8" t="s">
        <v>1133</v>
      </c>
      <c r="C522" s="27"/>
      <c r="D522" s="33" t="s">
        <v>14</v>
      </c>
      <c r="E522" s="9"/>
      <c r="F522" s="32"/>
      <c r="G522" s="10">
        <v>1926776</v>
      </c>
      <c r="H522" s="30" t="str">
        <f ca="1">IFERROR(__xludf.DUMMYFUNCTION("LOWER(REGEXREPLACE(B522&amp;"" ""&amp;C522,""[^а-яa-z0-9 ]"","" ""))")," ушильный барабан загрузочной массой 8 10 кг   роизводительность 20 25 кг час   правление  микропроцессор   сполнение  электронагрев ")</f>
        <v xml:space="preserve"> ушильный барабан загрузочной массой 8 10 кг   роизводительность 20 25 кг час   правление  микропроцессор   сполнение  электронагрев </v>
      </c>
    </row>
    <row r="523" spans="1:8" ht="51" x14ac:dyDescent="0.2">
      <c r="A523" s="31" t="s">
        <v>1134</v>
      </c>
      <c r="B523" s="8" t="s">
        <v>1135</v>
      </c>
      <c r="C523" s="27"/>
      <c r="D523" s="33" t="s">
        <v>14</v>
      </c>
      <c r="E523" s="9"/>
      <c r="F523" s="32"/>
      <c r="G523" s="10">
        <v>2123276</v>
      </c>
      <c r="H523" s="30" t="str">
        <f ca="1">IFERROR(__xludf.DUMMYFUNCTION("LOWER(REGEXREPLACE(B523&amp;"" ""&amp;C523,""[^а-яa-z0-9 ]"","" ""))")," ушильный барабан загрузочной массой 11   14 кг   роизводительность 28 35 кг час   правление  микропроцессор   сполнение  электронагрев ")</f>
        <v xml:space="preserve"> ушильный барабан загрузочной массой 11   14 кг   роизводительность 28 35 кг час   правление  микропроцессор   сполнение  электронагрев </v>
      </c>
    </row>
    <row r="524" spans="1:8" ht="51" x14ac:dyDescent="0.2">
      <c r="A524" s="31" t="s">
        <v>1136</v>
      </c>
      <c r="B524" s="8" t="s">
        <v>1137</v>
      </c>
      <c r="C524" s="27"/>
      <c r="D524" s="33" t="s">
        <v>14</v>
      </c>
      <c r="E524" s="9"/>
      <c r="F524" s="32"/>
      <c r="G524" s="10">
        <v>2238388</v>
      </c>
      <c r="H524" s="30" t="str">
        <f ca="1">IFERROR(__xludf.DUMMYFUNCTION("LOWER(REGEXREPLACE(B524&amp;"" ""&amp;C524,""[^а-яa-z0-9 ]"","" ""))")," ушильный барабан загрузочной массой 15   18 кг   роизводительность 36 45 кг час   правление микропроцессор   сполнение  электронагрев ")</f>
        <v xml:space="preserve"> ушильный барабан загрузочной массой 15   18 кг   роизводительность 36 45 кг час   правление микропроцессор   сполнение  электронагрев </v>
      </c>
    </row>
    <row r="525" spans="1:8" ht="51" x14ac:dyDescent="0.2">
      <c r="A525" s="31" t="s">
        <v>1138</v>
      </c>
      <c r="B525" s="8" t="s">
        <v>1139</v>
      </c>
      <c r="C525" s="27"/>
      <c r="D525" s="33" t="s">
        <v>14</v>
      </c>
      <c r="E525" s="9"/>
      <c r="F525" s="32"/>
      <c r="G525" s="10">
        <v>2610704</v>
      </c>
      <c r="H525" s="30" t="str">
        <f ca="1">IFERROR(__xludf.DUMMYFUNCTION("LOWER(REGEXREPLACE(B525&amp;"" ""&amp;C525,""[^а-яa-z0-9 ]"","" ""))")," ушильный барабан загрузочной массой 19   23 кг   роизводительность 46 58 кг час   правление  микропроцессор   сполнение  электронагрев ")</f>
        <v xml:space="preserve"> ушильный барабан загрузочной массой 19   23 кг   роизводительность 46 58 кг час   правление  микропроцессор   сполнение  электронагрев </v>
      </c>
    </row>
    <row r="526" spans="1:8" ht="51" x14ac:dyDescent="0.2">
      <c r="A526" s="31" t="s">
        <v>1140</v>
      </c>
      <c r="B526" s="8" t="s">
        <v>1141</v>
      </c>
      <c r="C526" s="27"/>
      <c r="D526" s="33" t="s">
        <v>14</v>
      </c>
      <c r="E526" s="9"/>
      <c r="F526" s="32"/>
      <c r="G526" s="10">
        <v>2793713</v>
      </c>
      <c r="H526" s="30" t="str">
        <f ca="1">IFERROR(__xludf.DUMMYFUNCTION("LOWER(REGEXREPLACE(B526&amp;"" ""&amp;C526,""[^а-яa-z0-9 ]"","" ""))")," ушильный барабан загрузочной массой 34 кг   роизводительность 68кг час   правление  микропроцессор   сполнение  электронагрев ")</f>
        <v xml:space="preserve"> ушильный барабан загрузочной массой 34 кг   роизводительность 68кг час   правление  микропроцессор   сполнение  электронагрев </v>
      </c>
    </row>
    <row r="527" spans="1:8" ht="51" x14ac:dyDescent="0.2">
      <c r="A527" s="31" t="s">
        <v>1142</v>
      </c>
      <c r="B527" s="27" t="s">
        <v>1143</v>
      </c>
      <c r="C527" s="27"/>
      <c r="D527" s="33" t="s">
        <v>14</v>
      </c>
      <c r="E527" s="34">
        <v>2</v>
      </c>
      <c r="F527" s="34">
        <v>207</v>
      </c>
      <c r="G527" s="10">
        <v>2219405</v>
      </c>
      <c r="H527" s="30" t="str">
        <f ca="1">IFERROR(__xludf.DUMMYFUNCTION("LOWER(REGEXREPLACE(B527&amp;"" ""&amp;C527,""[^а-яa-z0-9 ]"","" ""))")," ашина сушильная типа    11   блицовки окрашенная сталь   агрузка 11 кг  объем барабана 250 л  габаритные размеры   х х   860х805х1390 мм  напряжение 380  ")</f>
        <v xml:space="preserve"> ашина сушильная типа    11   блицовки окрашенная сталь   агрузка 11 кг  объем барабана 250 л  габаритные размеры   х х   860х805х1390 мм  напряжение 380  </v>
      </c>
    </row>
    <row r="528" spans="1:8" ht="51" x14ac:dyDescent="0.2">
      <c r="A528" s="31" t="s">
        <v>1144</v>
      </c>
      <c r="B528" s="27" t="s">
        <v>1145</v>
      </c>
      <c r="C528" s="27"/>
      <c r="D528" s="33" t="s">
        <v>14</v>
      </c>
      <c r="E528" s="34">
        <v>2</v>
      </c>
      <c r="F528" s="34">
        <v>228</v>
      </c>
      <c r="G528" s="10">
        <v>2328229</v>
      </c>
      <c r="H528" s="30" t="str">
        <f ca="1">IFERROR(__xludf.DUMMYFUNCTION("LOWER(REGEXREPLACE(B528&amp;"" ""&amp;C528,""[^а-яa-z0-9 ]"","" ""))")," ашина сушильная типа    15   блицовки окрашенная сталь   агрузка 15 кг  объем барабана 330 л  габаритные размеры   х х   1070х805х1390 мм  напряжение 380  ")</f>
        <v xml:space="preserve"> ашина сушильная типа    15   блицовки окрашенная сталь   агрузка 15 кг  объем барабана 330 л  габаритные размеры   х х   1070х805х1390 мм  напряжение 380  </v>
      </c>
    </row>
    <row r="529" spans="1:8" ht="51" x14ac:dyDescent="0.2">
      <c r="A529" s="31" t="s">
        <v>1146</v>
      </c>
      <c r="B529" s="27" t="s">
        <v>1147</v>
      </c>
      <c r="C529" s="27"/>
      <c r="D529" s="33" t="s">
        <v>14</v>
      </c>
      <c r="E529" s="34">
        <v>2</v>
      </c>
      <c r="F529" s="34">
        <v>325</v>
      </c>
      <c r="G529" s="10">
        <v>2715523</v>
      </c>
      <c r="H529" s="30" t="str">
        <f ca="1">IFERROR(__xludf.DUMMYFUNCTION("LOWER(REGEXREPLACE(B529&amp;"" ""&amp;C529,""[^а-яa-z0-9 ]"","" ""))")," ашина сушильная типа    20   блицовки окрашенная сталь   агрузка 20 кг  объем барабана 500 л  габаритные размеры   х х   1100х950х1735 мм  напряжение 380  ")</f>
        <v xml:space="preserve"> ашина сушильная типа    20   блицовки окрашенная сталь   агрузка 20 кг  объем барабана 500 л  габаритные размеры   х х   1100х950х1735 мм  напряжение 380  </v>
      </c>
    </row>
    <row r="530" spans="1:8" ht="51" x14ac:dyDescent="0.2">
      <c r="A530" s="31" t="s">
        <v>1148</v>
      </c>
      <c r="B530" s="27" t="s">
        <v>1149</v>
      </c>
      <c r="C530" s="27"/>
      <c r="D530" s="33" t="s">
        <v>14</v>
      </c>
      <c r="E530" s="34">
        <v>2</v>
      </c>
      <c r="F530" s="34">
        <v>342</v>
      </c>
      <c r="G530" s="10">
        <v>2997497</v>
      </c>
      <c r="H530" s="30" t="str">
        <f ca="1">IFERROR(__xludf.DUMMYFUNCTION("LOWER(REGEXREPLACE(B530&amp;"" ""&amp;C530,""[^а-яa-z0-9 ]"","" ""))")," ашина сушильная типа    25   блицовки окрашенная сталь   агрузка 25 кг  объем барабана 550 л  габаритные размеры   х х   1200х950х1735 мм  напряжение 380  ")</f>
        <v xml:space="preserve"> ашина сушильная типа    25   блицовки окрашенная сталь   агрузка 25 кг  объем барабана 550 л  габаритные размеры   х х   1200х950х1735 мм  напряжение 380  </v>
      </c>
    </row>
    <row r="531" spans="1:8" ht="51" x14ac:dyDescent="0.2">
      <c r="A531" s="31" t="s">
        <v>1150</v>
      </c>
      <c r="B531" s="27" t="s">
        <v>1151</v>
      </c>
      <c r="C531" s="27"/>
      <c r="D531" s="33" t="s">
        <v>14</v>
      </c>
      <c r="E531" s="34">
        <v>2</v>
      </c>
      <c r="F531" s="34">
        <v>376</v>
      </c>
      <c r="G531" s="10">
        <v>3384646</v>
      </c>
      <c r="H531" s="30" t="str">
        <f ca="1">IFERROR(__xludf.DUMMYFUNCTION("LOWER(REGEXREPLACE(B531&amp;"" ""&amp;C531,""[^а-яa-z0-9 ]"","" ""))")," ашина сушильная типа    30   блицовки окрашенная сталь   агрузка 30 кг  объем барабана 650 л  габаритные размеры   х х   1360х950х1735 мм  напряжение 380  ")</f>
        <v xml:space="preserve"> ашина сушильная типа    30   блицовки окрашенная сталь   агрузка 30 кг  объем барабана 650 л  габаритные размеры   х х   1360х950х1735 мм  напряжение 380  </v>
      </c>
    </row>
    <row r="532" spans="1:8" ht="51" x14ac:dyDescent="0.2">
      <c r="A532" s="31" t="s">
        <v>1152</v>
      </c>
      <c r="B532" s="27" t="s">
        <v>1153</v>
      </c>
      <c r="C532" s="27"/>
      <c r="D532" s="33" t="s">
        <v>14</v>
      </c>
      <c r="E532" s="34">
        <v>2</v>
      </c>
      <c r="F532" s="34">
        <v>546</v>
      </c>
      <c r="G532" s="10">
        <v>4507004</v>
      </c>
      <c r="H532" s="30" t="str">
        <f ca="1">IFERROR(__xludf.DUMMYFUNCTION("LOWER(REGEXREPLACE(B532&amp;"" ""&amp;C532,""[^а-яa-z0-9 ]"","" ""))")," ашина сушильная типа    40   блицовки окрашенная сталь   агрузка 40 кг  объем барабана 880 л  габаритные размеры   х х   1245х1220х2050 мм  напряжение 380  ")</f>
        <v xml:space="preserve"> ашина сушильная типа    40   блицовки окрашенная сталь   агрузка 40 кг  объем барабана 880 л  габаритные размеры   х х   1245х1220х2050 мм  напряжение 380  </v>
      </c>
    </row>
    <row r="533" spans="1:8" ht="51" x14ac:dyDescent="0.2">
      <c r="A533" s="31" t="s">
        <v>1154</v>
      </c>
      <c r="B533" s="27" t="s">
        <v>1155</v>
      </c>
      <c r="C533" s="27"/>
      <c r="D533" s="33" t="s">
        <v>14</v>
      </c>
      <c r="E533" s="34">
        <v>2</v>
      </c>
      <c r="F533" s="34">
        <v>715</v>
      </c>
      <c r="G533" s="10">
        <v>5525112</v>
      </c>
      <c r="H533" s="30" t="str">
        <f ca="1">IFERROR(__xludf.DUMMYFUNCTION("LOWER(REGEXREPLACE(B533&amp;"" ""&amp;C533,""[^а-яa-z0-9 ]"","" ""))")," ашина сушильная типа    50   блицовки окрашенная сталь   агрузка 50 кг  объем барабана 1100 л  габаритные размеры   х х   1445х1220х2050 мм  напряжение 380  ")</f>
        <v xml:space="preserve"> ашина сушильная типа    50   блицовки окрашенная сталь   агрузка 50 кг  объем барабана 1100 л  габаритные размеры   х х   1445х1220х2050 мм  напряжение 380  </v>
      </c>
    </row>
    <row r="534" spans="1:8" ht="51" x14ac:dyDescent="0.2">
      <c r="A534" s="31" t="s">
        <v>1156</v>
      </c>
      <c r="B534" s="27" t="s">
        <v>1157</v>
      </c>
      <c r="C534" s="27"/>
      <c r="D534" s="33" t="s">
        <v>14</v>
      </c>
      <c r="E534" s="34">
        <v>2</v>
      </c>
      <c r="F534" s="34">
        <v>950</v>
      </c>
      <c r="G534" s="10">
        <v>6825386</v>
      </c>
      <c r="H534" s="30" t="str">
        <f ca="1">IFERROR(__xludf.DUMMYFUNCTION("LOWER(REGEXREPLACE(B534&amp;"" ""&amp;C534,""[^а-яa-z0-9 ]"","" ""))")," ашина сушильная типа    75   блицовки окрашенная сталь  агрузка 75 кг  объем барабана 1500 л  габаритные размеры   х х   1590х1360х2370 мм  напряжение 380  ")</f>
        <v xml:space="preserve"> ашина сушильная типа    75   блицовки окрашенная сталь  агрузка 75 кг  объем барабана 1500 л  габаритные размеры   х х   1590х1360х2370 мм  напряжение 380  </v>
      </c>
    </row>
    <row r="535" spans="1:8" ht="114.75" x14ac:dyDescent="0.2">
      <c r="A535" s="31" t="s">
        <v>1158</v>
      </c>
      <c r="B535" s="8" t="s">
        <v>1159</v>
      </c>
      <c r="C535" s="27"/>
      <c r="D535" s="33" t="s">
        <v>14</v>
      </c>
      <c r="E535" s="34">
        <v>2</v>
      </c>
      <c r="F535" s="34">
        <v>420</v>
      </c>
      <c r="G535" s="10">
        <v>4800401</v>
      </c>
      <c r="H535" s="30" t="str">
        <f ca="1">IFERROR(__xludf.DUMMYFUNCTION("LOWER(REGEXREPLACE(B535&amp;"" ""&amp;C535,""[^а-яa-z0-9 ]"","" ""))")," омплект профессиональный стирально сушильный типа      11   лектрический обогрев   абаритные размеры   х х   850х750х2050 мм   апряжение 380  220    тиральная секция  загрузка 11 кг  объем барабана 100 л  мощность суммарная 10 1 к т   ушильная секция  за"&amp;"грузка 11 кг  объем барабана 200 л  мощность суммарная 75 3 к т ")</f>
        <v xml:space="preserve"> омплект профессиональный стирально сушильный типа      11   лектрический обогрев   абаритные размеры   х х   850х750х2050 мм   апряжение 380  220    тиральная секция  загрузка 11 кг  объем барабана 100 л  мощность суммарная 10 1 к т   ушильная секция  загрузка 11 кг  объем барабана 200 л  мощность суммарная 75 3 к т </v>
      </c>
    </row>
    <row r="536" spans="1:8" ht="76.5" x14ac:dyDescent="0.2">
      <c r="A536" s="31" t="s">
        <v>1160</v>
      </c>
      <c r="B536" s="27" t="s">
        <v>1161</v>
      </c>
      <c r="C536" s="27" t="s">
        <v>1162</v>
      </c>
      <c r="D536" s="33" t="s">
        <v>14</v>
      </c>
      <c r="E536" s="34">
        <v>2</v>
      </c>
      <c r="F536" s="34">
        <v>220</v>
      </c>
      <c r="G536" s="10">
        <v>4614638</v>
      </c>
      <c r="H536" s="30" t="str">
        <f ca="1">IFERROR(__xludf.DUMMYFUNCTION("LOWER(REGEXREPLACE(B536&amp;"" ""&amp;C536,""[^а-яa-z0-9 ]"","" ""))")," ашина сушильная  загрузка 15 17 кг  барабан из нержавеющей стали  диаметр барабана 774 мм  глубина барабана 665 мм  обогрев электрический   газовый или паровой   абаритные размеры  840х899х1647 мм   ощность 15 5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осев"&amp;"ой поток воздуха")</f>
        <v xml:space="preserve"> ашина сушильная  загрузка 15 17 кг  барабан из нержавеющей стали  диаметр барабана 774 мм  глубина барабана 665 мм  обогрев электрический   газовый или паровой   абаритные размеры  840х899х1647 мм   ощность 15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v>
      </c>
    </row>
    <row r="537" spans="1:8" ht="76.5" x14ac:dyDescent="0.2">
      <c r="A537" s="31" t="s">
        <v>1163</v>
      </c>
      <c r="B537" s="27" t="s">
        <v>1164</v>
      </c>
      <c r="C537" s="27" t="s">
        <v>1165</v>
      </c>
      <c r="D537" s="33" t="s">
        <v>14</v>
      </c>
      <c r="E537" s="34">
        <v>2</v>
      </c>
      <c r="F537" s="34">
        <v>255</v>
      </c>
      <c r="G537" s="10">
        <v>5158595</v>
      </c>
      <c r="H537" s="30" t="str">
        <f ca="1">IFERROR(__xludf.DUMMYFUNCTION("LOWER(REGEXREPLACE(B537&amp;"" ""&amp;C537,""[^а-яa-z0-9 ]"","" ""))")," ашина сушильная  загрузка 18 20 кг  барабан из нержавеющей стали  диаметр барабана 774 мм  глубина барабана 830 мм  обогрев электрический  газовый или паровой   абаритные размеры  840х1047х1647 мм   ощность 18 5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осев"&amp;"ой поток воздуха ")</f>
        <v xml:space="preserve"> ашина сушильная  загрузка 18 20 кг  барабан из нержавеющей стали  диаметр барабана 774 мм  глубина барабана 830 мм  обогрев электрический  газовый или паровой   абаритные размеры  840х1047х1647 мм   ощность 18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38" spans="1:8" ht="76.5" x14ac:dyDescent="0.2">
      <c r="A538" s="31" t="s">
        <v>1166</v>
      </c>
      <c r="B538" s="8" t="s">
        <v>1167</v>
      </c>
      <c r="C538" s="27" t="s">
        <v>1165</v>
      </c>
      <c r="D538" s="33" t="s">
        <v>14</v>
      </c>
      <c r="E538" s="34">
        <v>2</v>
      </c>
      <c r="F538" s="34">
        <v>280</v>
      </c>
      <c r="G538" s="10">
        <v>6350460</v>
      </c>
      <c r="H538" s="30" t="str">
        <f ca="1">IFERROR(__xludf.DUMMYFUNCTION("LOWER(REGEXREPLACE(B538&amp;"" ""&amp;C538,""[^а-яa-z0-9 ]"","" ""))")," ашина сушильная  загрузка 24 26 кг  барабан из нержавеющей стали  диаметр барабана 903 мм  глубина барабана 770 мм  обогрев электрический  газовый или паровой   абаритные размеры  978х1064х1816 мм   ощность 30 5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осев"&amp;"ой поток воздуха ")</f>
        <v xml:space="preserve"> ашина сушильная  загрузка 24 26 кг  барабан из нержавеющей стали  диаметр барабана 903 мм  глубина барабана 770 мм  обогрев электрический  газовый или паровой   абаритные размеры  978х1064х1816 мм   ощность 30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39" spans="1:8" ht="76.5" x14ac:dyDescent="0.2">
      <c r="A539" s="31" t="s">
        <v>1168</v>
      </c>
      <c r="B539" s="27" t="s">
        <v>1169</v>
      </c>
      <c r="C539" s="27" t="s">
        <v>1165</v>
      </c>
      <c r="D539" s="33" t="s">
        <v>14</v>
      </c>
      <c r="E539" s="34">
        <v>2</v>
      </c>
      <c r="F539" s="34">
        <v>340</v>
      </c>
      <c r="G539" s="10">
        <v>7507755</v>
      </c>
      <c r="H539" s="30" t="str">
        <f ca="1">IFERROR(__xludf.DUMMYFUNCTION("LOWER(REGEXREPLACE(B539&amp;"" ""&amp;C539,""[^а-яa-z0-9 ]"","" ""))")," ашина сушильная  загрузка 33 35 кг  барабан из нержавеющей стали  диаметр барабана 903 мм  глубина барабана 1024 мм  обогрев электрический  газовый или паровой   абаритные размеры  978х1318х1816 мм   ощность 36 5 к т  ашина сушильная  реверс барабана  ши"&amp;"рокое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осе"&amp;"вой поток воздуха ")</f>
        <v xml:space="preserve"> ашина сушильная  загрузка 33 35 кг  барабан из нержавеющей стали  диаметр барабана 903 мм  глубина барабана 1024 мм  обогрев электрический  газовый или паровой   абаритные размеры  978х1318х1816 мм   ощность 36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40" spans="1:8" ht="76.5" x14ac:dyDescent="0.2">
      <c r="A540" s="31" t="s">
        <v>1170</v>
      </c>
      <c r="B540" s="27" t="s">
        <v>1171</v>
      </c>
      <c r="C540" s="27" t="s">
        <v>1172</v>
      </c>
      <c r="D540" s="33" t="s">
        <v>14</v>
      </c>
      <c r="E540" s="34">
        <v>2</v>
      </c>
      <c r="F540" s="34">
        <v>900</v>
      </c>
      <c r="G540" s="10">
        <v>10411340</v>
      </c>
      <c r="H540" s="30" t="str">
        <f ca="1">IFERROR(__xludf.DUMMYFUNCTION("LOWER(REGEXREPLACE(B540&amp;"" ""&amp;C540,""[^а-яa-z0-9 ]"","" ""))")," ашина сушильная  загрузка 48 50 кг  барабан из нержавеющей стали  диаметр барабана 1136 мм  глубина барабана 934 мм  обогрев электрический  газовый или паровой   абаритные размеры  1335х1550х2090 мм   ощность 48 к т  ашина сушильная  реверс барабана  шир"&amp;"окое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осево"&amp;"й поток воздуха ")</f>
        <v xml:space="preserve"> ашина сушильная  загрузка 48 50 кг  барабан из нержавеющей стали  диаметр барабана 1136 мм  глубина барабана 934 мм  обогрев электрический  газовый или паровой   абаритные размеры  1335х1550х2090 мм   ощность 48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v>
      </c>
    </row>
    <row r="541" spans="1:8" ht="76.5" x14ac:dyDescent="0.2">
      <c r="A541" s="31" t="s">
        <v>1173</v>
      </c>
      <c r="B541" s="8" t="s">
        <v>1174</v>
      </c>
      <c r="C541" s="27" t="s">
        <v>1175</v>
      </c>
      <c r="D541" s="33" t="s">
        <v>14</v>
      </c>
      <c r="E541" s="34">
        <v>2</v>
      </c>
      <c r="F541" s="34">
        <v>1370</v>
      </c>
      <c r="G541" s="10">
        <v>13745559</v>
      </c>
      <c r="H541" s="30" t="str">
        <f ca="1">IFERROR(__xludf.DUMMYFUNCTION("LOWER(REGEXREPLACE(B541&amp;"" ""&amp;C541,""[^а-яa-z0-9 ]"","" ""))")," ашина сушильная  загрузка 100 105 кг  барабан из нержавеющей стали  диаметр барабана 1460 мм  глубина барабана 1180 мм  обогрев газовый или паровой   абаритные размеры  1647х1880х2434 мм   ощность 5 2 к т  ашина сушильная  реверс барабана  широкое открыв"&amp;"ание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воз"&amp;"духа ")</f>
        <v xml:space="preserve"> ашина сушильная  загрузка 100 105 кг  барабан из нержавеющей стали  диаметр барабана 1460 мм  глубина барабана 1180 мм  обогрев газовый или паровой   абаритные размеры  1647х1880х2434 мм   ощность 5 2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воздуха </v>
      </c>
    </row>
    <row r="542" spans="1:8" ht="76.5" x14ac:dyDescent="0.2">
      <c r="A542" s="31" t="s">
        <v>1176</v>
      </c>
      <c r="B542" s="8" t="s">
        <v>1177</v>
      </c>
      <c r="C542" s="27" t="s">
        <v>1175</v>
      </c>
      <c r="D542" s="33" t="s">
        <v>14</v>
      </c>
      <c r="E542" s="34">
        <v>2</v>
      </c>
      <c r="F542" s="34">
        <v>1510</v>
      </c>
      <c r="G542" s="10">
        <v>19872717</v>
      </c>
      <c r="H542" s="30" t="str">
        <f ca="1">IFERROR(__xludf.DUMMYFUNCTION("LOWER(REGEXREPLACE(B542&amp;"" ""&amp;C542,""[^а-яa-z0-9 ]"","" ""))")," ашина сушильная  загрузка 125 130 кг  барабан из нержавеющей стали  диаметр барабана 1642 мм  глубина барабана 1220 мм  обогрев газовый или паровой   абаритные размеры  1848х1886х2663 мм   ощность 7 4 к т  ашина сушильная  реверс барабана  широкое открыв"&amp;"ание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воз"&amp;"духа ")</f>
        <v xml:space="preserve"> ашина сушильная  загрузка 125 130 кг  барабан из нержавеющей стали  диаметр барабана 1642 мм  глубина барабана 1220 мм  обогрев газовый или паровой   абаритные размеры  1848х1886х2663 мм   ощность 7 4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воздуха </v>
      </c>
    </row>
    <row r="543" spans="1:8" ht="127.5" x14ac:dyDescent="0.2">
      <c r="A543" s="31" t="s">
        <v>1178</v>
      </c>
      <c r="B543" s="27" t="s">
        <v>1179</v>
      </c>
      <c r="C543" s="27" t="s">
        <v>1180</v>
      </c>
      <c r="D543" s="33" t="s">
        <v>14</v>
      </c>
      <c r="E543" s="34">
        <v>2</v>
      </c>
      <c r="F543" s="34">
        <v>310</v>
      </c>
      <c r="G543" s="10">
        <v>7251429</v>
      </c>
      <c r="H543" s="30" t="str">
        <f ca="1">IFERROR(__xludf.DUMMYFUNCTION("LOWER(REGEXREPLACE(B543&amp;"" ""&amp;C543,""[^а-яa-z0-9 ]"","" ""))")," истема сдвоенная прачечная  стиральная машина и сушильный барабан с загрузкой 10 кг  обогрев электрический   корость отжима 200 1050 об мин  скорость стирки 40 55 об мин  сливной клапан 51 мм  диаметр барабана машины 532 мм   абаритные размеры  710х859х1"&amp;"937 мм   ощность 13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для"&amp;"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330  глубина барабана 405 мм  сушка диаметр бара"&amp;"бана 658 мм  глубина барабана 500 мм ")</f>
        <v xml:space="preserve"> истема сдвоенная прачечная  стиральная машина и сушильный барабан с загрузкой 10 кг  обогрев электрический   корость отжима 200 1050 об мин  скорость стирки 40 55 об мин  сливной клапан 51 мм  диаметр барабана машины 532 мм   абаритные размеры  710х859х1937 мм   ощность 13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330  глубина барабана 405 мм  сушка диаметр барабана 658 мм  глубина барабана 500 мм </v>
      </c>
    </row>
    <row r="544" spans="1:8" ht="127.5" x14ac:dyDescent="0.2">
      <c r="A544" s="31" t="s">
        <v>1181</v>
      </c>
      <c r="B544" s="27" t="s">
        <v>1182</v>
      </c>
      <c r="C544" s="27" t="s">
        <v>1183</v>
      </c>
      <c r="D544" s="33" t="s">
        <v>14</v>
      </c>
      <c r="E544" s="34">
        <v>2</v>
      </c>
      <c r="F544" s="34">
        <v>410</v>
      </c>
      <c r="G544" s="10">
        <v>9693525</v>
      </c>
      <c r="H544" s="30" t="str">
        <f ca="1">IFERROR(__xludf.DUMMYFUNCTION("LOWER(REGEXREPLACE(B544&amp;"" ""&amp;C544,""[^а-яa-z0-9 ]"","" ""))")," истема сдвоенная прачечная  стиральная машина и сушильный барабан с загрузкой 15 кг  обогрев электрический   корость отжима 200 950 об мин  скорость стирки 40 50 об мин  сливной клапан 51 мм  диаметр барабана машины 600 мм   абаритные размеры  800х987х20"&amp;"55 мм   ощность 19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"&amp;"очистки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300  глубина барабана 478 мм  сушка диаметр бараб"&amp;"ана 720 мм  глубина барабана 635 мм ")</f>
        <v xml:space="preserve"> истема сдвоенная прачечная  стиральная машина и сушильный барабан с загрузкой 15 кг  обогрев электрический   корость отжима 200 950 об мин  скорость стирки 40 50 об мин  сливной клапан 51 мм  диаметр барабана машины 600 мм   абаритные размеры  800х987х2055 мм   ощность 19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300  глубина барабана 478 мм  сушка диаметр барабана 720 мм  глубина барабана 635 мм </v>
      </c>
    </row>
    <row r="545" spans="1:8" ht="12.75" x14ac:dyDescent="0.2">
      <c r="A545" s="31" t="s">
        <v>1184</v>
      </c>
      <c r="B545" s="27" t="s">
        <v>1185</v>
      </c>
      <c r="C545" s="27"/>
      <c r="D545" s="33" t="s">
        <v>14</v>
      </c>
      <c r="E545" s="9"/>
      <c r="F545" s="32"/>
      <c r="G545" s="10"/>
      <c r="H545" s="30" t="str">
        <f ca="1">IFERROR(__xludf.DUMMYFUNCTION("LOWER(REGEXREPLACE(B545&amp;"" ""&amp;C545,""[^а-яa-z0-9 ]"","" ""))")," теллаж для белья ")</f>
        <v xml:space="preserve"> теллаж для белья </v>
      </c>
    </row>
    <row r="546" spans="1:8" ht="12.75" x14ac:dyDescent="0.2">
      <c r="A546" s="31" t="s">
        <v>1186</v>
      </c>
      <c r="B546" s="27" t="s">
        <v>1187</v>
      </c>
      <c r="C546" s="27"/>
      <c r="D546" s="33" t="s">
        <v>14</v>
      </c>
      <c r="E546" s="9"/>
      <c r="F546" s="32"/>
      <c r="G546" s="10">
        <v>54250</v>
      </c>
      <c r="H546" s="30" t="str">
        <f ca="1">IFERROR(__xludf.DUMMYFUNCTION("LOWER(REGEXREPLACE(B546&amp;"" ""&amp;C546,""[^а-яa-z0-9 ]"","" ""))")," теллаж металлический 1800 1500 500 мм ")</f>
        <v xml:space="preserve"> теллаж металлический 1800 1500 500 мм </v>
      </c>
    </row>
    <row r="547" spans="1:8" ht="12.75" x14ac:dyDescent="0.2">
      <c r="A547" s="31" t="s">
        <v>1188</v>
      </c>
      <c r="B547" s="27" t="s">
        <v>1189</v>
      </c>
      <c r="C547" s="27"/>
      <c r="D547" s="33" t="s">
        <v>14</v>
      </c>
      <c r="E547" s="9"/>
      <c r="F547" s="32"/>
      <c r="G547" s="10">
        <v>45714</v>
      </c>
      <c r="H547" s="30" t="str">
        <f ca="1">IFERROR(__xludf.DUMMYFUNCTION("LOWER(REGEXREPLACE(B547&amp;"" ""&amp;C547,""[^а-яa-z0-9 ]"","" ""))")," теллаж металлический 1800 1200 500 мм ")</f>
        <v xml:space="preserve"> теллаж металлический 1800 1200 500 мм </v>
      </c>
    </row>
    <row r="548" spans="1:8" ht="12.75" x14ac:dyDescent="0.2">
      <c r="A548" s="31" t="s">
        <v>1190</v>
      </c>
      <c r="B548" s="27" t="s">
        <v>1191</v>
      </c>
      <c r="C548" s="27"/>
      <c r="D548" s="33" t="s">
        <v>14</v>
      </c>
      <c r="E548" s="9"/>
      <c r="F548" s="32"/>
      <c r="G548" s="10">
        <v>35429</v>
      </c>
      <c r="H548" s="30" t="str">
        <f ca="1">IFERROR(__xludf.DUMMYFUNCTION("LOWER(REGEXREPLACE(B548&amp;"" ""&amp;C548,""[^а-яa-z0-9 ]"","" ""))")," теллаж металлический 1800 1000 500 мм ")</f>
        <v xml:space="preserve"> теллаж металлический 1800 1000 500 мм </v>
      </c>
    </row>
    <row r="549" spans="1:8" ht="12.75" x14ac:dyDescent="0.2">
      <c r="A549" s="31" t="s">
        <v>1192</v>
      </c>
      <c r="B549" s="27" t="s">
        <v>1193</v>
      </c>
      <c r="C549" s="27"/>
      <c r="D549" s="33" t="s">
        <v>14</v>
      </c>
      <c r="E549" s="9"/>
      <c r="F549" s="32"/>
      <c r="G549" s="10">
        <v>39661</v>
      </c>
      <c r="H549" s="30" t="str">
        <f ca="1">IFERROR(__xludf.DUMMYFUNCTION("LOWER(REGEXREPLACE(B549&amp;"" ""&amp;C549,""[^а-яa-z0-9 ]"","" ""))")," теллаж металлический 1800 1000 600 мм ")</f>
        <v xml:space="preserve"> теллаж металлический 1800 1000 600 мм </v>
      </c>
    </row>
    <row r="550" spans="1:8" ht="12.75" x14ac:dyDescent="0.2">
      <c r="A550" s="31" t="s">
        <v>1194</v>
      </c>
      <c r="B550" s="27" t="s">
        <v>1195</v>
      </c>
      <c r="C550" s="27"/>
      <c r="D550" s="33" t="s">
        <v>14</v>
      </c>
      <c r="E550" s="9"/>
      <c r="F550" s="32"/>
      <c r="G550" s="10">
        <v>64464</v>
      </c>
      <c r="H550" s="30" t="str">
        <f ca="1">IFERROR(__xludf.DUMMYFUNCTION("LOWER(REGEXREPLACE(B550&amp;"" ""&amp;C550,""[^а-яa-z0-9 ]"","" ""))")," теллаж металлический 1800 1500 600 мм ")</f>
        <v xml:space="preserve"> теллаж металлический 1800 1500 600 мм </v>
      </c>
    </row>
    <row r="551" spans="1:8" ht="25.5" x14ac:dyDescent="0.2">
      <c r="A551" s="31" t="s">
        <v>1196</v>
      </c>
      <c r="B551" s="27" t="s">
        <v>1197</v>
      </c>
      <c r="C551" s="27"/>
      <c r="D551" s="33" t="s">
        <v>14</v>
      </c>
      <c r="E551" s="34">
        <v>2</v>
      </c>
      <c r="F551" s="35">
        <v>8.5</v>
      </c>
      <c r="G551" s="10">
        <v>149404</v>
      </c>
      <c r="H551" s="30" t="str">
        <f ca="1">IFERROR(__xludf.DUMMYFUNCTION("LOWER(REGEXREPLACE(B551&amp;"" ""&amp;C551,""[^а-яa-z0-9 ]"","" ""))")," тойка подвижная типа    15   абаритные размеры   х х   553х1573х1725 5 мм ")</f>
        <v xml:space="preserve"> тойка подвижная типа    15   абаритные размеры   х х   553х1573х1725 5 мм </v>
      </c>
    </row>
    <row r="552" spans="1:8" ht="12.75" x14ac:dyDescent="0.2">
      <c r="A552" s="31" t="s">
        <v>1198</v>
      </c>
      <c r="B552" s="27" t="s">
        <v>1199</v>
      </c>
      <c r="C552" s="27"/>
      <c r="D552" s="33" t="s">
        <v>14</v>
      </c>
      <c r="E552" s="9"/>
      <c r="F552" s="32"/>
      <c r="G552" s="10"/>
      <c r="H552" s="30" t="str">
        <f ca="1">IFERROR(__xludf.DUMMYFUNCTION("LOWER(REGEXREPLACE(B552&amp;"" ""&amp;C552,""[^а-яa-z0-9 ]"","" ""))")," тол гладильный профессиональный ")</f>
        <v xml:space="preserve"> тол гладильный профессиональный </v>
      </c>
    </row>
    <row r="553" spans="1:8" ht="89.25" x14ac:dyDescent="0.2">
      <c r="A553" s="31" t="s">
        <v>1200</v>
      </c>
      <c r="B553" s="8" t="s">
        <v>1201</v>
      </c>
      <c r="C553" s="27"/>
      <c r="D553" s="33" t="s">
        <v>14</v>
      </c>
      <c r="E553" s="34">
        <v>2</v>
      </c>
      <c r="F553" s="34">
        <v>47</v>
      </c>
      <c r="G553" s="10">
        <v>1115274</v>
      </c>
      <c r="H553" s="30" t="str">
        <f ca="1">IFERROR(__xludf.DUMMYFUNCTION("LOWER(REGEXREPLACE(B553&amp;"" ""&amp;C553,""[^а-яa-z0-9 ]"","" ""))")," тол гладильный типа     156 00   одогрев рабочей поверхности  вакуумный отвод пара  электрический обогрев   ладильная поверхность 1115х390х245 мм  электродвигатель вентилятора 0 125 к т  рабочая поверхность 0 6 к т  парогенератор 1 3 к т  утюг 0 9 к т ")</f>
        <v xml:space="preserve"> тол гладильный типа     156 00   одогрев рабочей поверхности  вакуумный отвод пара  электрический обогрев   ладильная поверхность 1115х390х245 мм  электродвигатель вентилятора 0 125 к т  рабочая поверхность 0 6 к т  парогенератор 1 3 к т  утюг 0 9 к т </v>
      </c>
    </row>
    <row r="554" spans="1:8" ht="89.25" x14ac:dyDescent="0.2">
      <c r="A554" s="31" t="s">
        <v>1202</v>
      </c>
      <c r="B554" s="27" t="s">
        <v>1203</v>
      </c>
      <c r="C554" s="27"/>
      <c r="D554" s="33" t="s">
        <v>14</v>
      </c>
      <c r="E554" s="34">
        <v>2</v>
      </c>
      <c r="F554" s="34">
        <v>62</v>
      </c>
      <c r="G554" s="10">
        <v>1675412</v>
      </c>
      <c r="H554" s="30" t="str">
        <f ca="1">IFERROR(__xludf.DUMMYFUNCTION("LOWER(REGEXREPLACE(B554&amp;"" ""&amp;C554,""[^а-яa-z0-9 ]"","" ""))")," тол гладильный типа     159 12   строенный парогенератор  подогрев рабочей поверхности и вакуумный отвод пара из зоны глажения  электрический обогрев   ладильная поверхность 1160х430х240 мм  электродвигатель вентилятора 0 125 к т  рабочая поверхность 0 6"&amp;" к т  парогенератор 1 3 к т  утюг 0 85 к т ")</f>
        <v xml:space="preserve"> тол гладильный типа     159 12   строенный парогенератор  подогрев рабочей поверхности и вакуумный отвод пара из зоны глажения  электрический обогрев   ладильная поверхность 1160х430х240 мм  электродвигатель вентилятора 0 125 к т  рабочая поверхность 0 6 к т  парогенератор 1 3 к т  утюг 0 85 к т </v>
      </c>
    </row>
    <row r="555" spans="1:8" ht="76.5" x14ac:dyDescent="0.2">
      <c r="A555" s="31" t="s">
        <v>1204</v>
      </c>
      <c r="B555" s="8" t="s">
        <v>1205</v>
      </c>
      <c r="C555" s="27"/>
      <c r="D555" s="33" t="s">
        <v>14</v>
      </c>
      <c r="E555" s="34">
        <v>2</v>
      </c>
      <c r="F555" s="34">
        <v>220</v>
      </c>
      <c r="G555" s="10">
        <v>3159758</v>
      </c>
      <c r="H555" s="30" t="str">
        <f ca="1">IFERROR(__xludf.DUMMYFUNCTION("LOWER(REGEXREPLACE(B555&amp;"" ""&amp;C555,""[^а-яa-z0-9 ]"","" ""))")," тол гладильный типа     103 34   ладильная поверхность 1410х440 мм  электродвигатель вентилятора 0 37 к т  стол 0 9 к т  поворотный стол 0 2 к т  парогенератор 3 5 к т  утюг 0 85 к т  освещение 0 02 к т  насос 0 37 к т ")</f>
        <v xml:space="preserve"> тол гладильный типа     103 34   ладильная поверхность 1410х440 мм  электродвигатель вентилятора 0 37 к т  стол 0 9 к т  поворотный стол 0 2 к т  парогенератор 3 5 к т  утюг 0 85 к т  освещение 0 02 к т  насос 0 37 к т </v>
      </c>
    </row>
    <row r="556" spans="1:8" ht="51" x14ac:dyDescent="0.2">
      <c r="A556" s="31" t="s">
        <v>1206</v>
      </c>
      <c r="B556" s="27" t="s">
        <v>1207</v>
      </c>
      <c r="C556" s="27" t="s">
        <v>1208</v>
      </c>
      <c r="D556" s="33" t="s">
        <v>14</v>
      </c>
      <c r="E556" s="34">
        <v>2</v>
      </c>
      <c r="F556" s="34">
        <v>18</v>
      </c>
      <c r="G556" s="10">
        <v>420875</v>
      </c>
      <c r="H556" s="30" t="str">
        <f ca="1">IFERROR(__xludf.DUMMYFUNCTION("LOWER(REGEXREPLACE(B556&amp;"" ""&amp;C556,""[^а-яa-z0-9 ]"","" ""))")," тол гладильный  напряжение 220    ункции вакуум и наддув  нагрев рабочей поверхности  регулируемая высота 725 945 мм   абаритные размеры  1420х480х945 мм   ощность 0 65 к т  азмер рабочей поверхности 1250х400 мм   остоит из  полка для белья  розетка  под"&amp;"ставка для парогенератора  педаль управления  для подключения вытяжки  ")</f>
        <v xml:space="preserve"> тол гладильный  напряжение 220    ункции вакуум и наддув  нагрев рабочей поверхности  регулируемая высота 725 945 мм   абаритные размеры  1420х480х945 мм   ощность 0 65 к т  азмер рабочей поверхности 1250х400 мм   остоит из  полка для белья  розетка  подставка для парогенератора  педаль управления  для подключения вытяжки  </v>
      </c>
    </row>
    <row r="557" spans="1:8" ht="63.75" x14ac:dyDescent="0.2">
      <c r="A557" s="31" t="s">
        <v>1209</v>
      </c>
      <c r="B557" s="27" t="s">
        <v>1210</v>
      </c>
      <c r="C557" s="27" t="s">
        <v>1211</v>
      </c>
      <c r="D557" s="33" t="s">
        <v>14</v>
      </c>
      <c r="E557" s="34">
        <v>2</v>
      </c>
      <c r="F557" s="34">
        <v>13</v>
      </c>
      <c r="G557" s="10">
        <v>252534</v>
      </c>
      <c r="H557" s="30" t="str">
        <f ca="1">IFERROR(__xludf.DUMMYFUNCTION("LOWER(REGEXREPLACE(B557&amp;"" ""&amp;C557,""[^а-яa-z0-9 ]"","" ""))")," тол гладильный  напряжение 220    ункции вакуум  нагрев рабочей поверхности  регулируемая высота от 690 до 910мм   абаритные размеры  1500х465х910 мм   ощность 0 22 к т  азмер рабочей поверхности 1230х380 мм   остоит из  полка для белья  розетка  подстав"&amp;"ка для парогенератора  педаль управления  для подключения вытяжки  ")</f>
        <v xml:space="preserve"> тол гладильный  напряжение 220    ункции вакуум  нагрев рабочей поверхности  регулируемая высота от 690 до 910мм   абаритные размеры  1500х465х910 мм   ощность 0 22 к т  азмер рабочей поверхности 1230х380 мм   остоит из  полка для белья  розетка  подставка для парогенератора  педаль управления  для подключения вытяжки  </v>
      </c>
    </row>
    <row r="558" spans="1:8" ht="63.75" x14ac:dyDescent="0.2">
      <c r="A558" s="31" t="s">
        <v>1212</v>
      </c>
      <c r="B558" s="27" t="s">
        <v>1213</v>
      </c>
      <c r="C558" s="27" t="s">
        <v>1214</v>
      </c>
      <c r="D558" s="33" t="s">
        <v>14</v>
      </c>
      <c r="E558" s="34">
        <v>2</v>
      </c>
      <c r="F558" s="34">
        <v>124</v>
      </c>
      <c r="G558" s="10">
        <v>5581950</v>
      </c>
      <c r="H558" s="30" t="str">
        <f ca="1">IFERROR(__xludf.DUMMYFUNCTION("LOWER(REGEXREPLACE(B558&amp;"" ""&amp;C558,""[^а-яa-z0-9 ]"","" ""))")," тол гладильный с бойлером  напряжение 380    объ м 5 литров  рабочее давление пара 3 бар   абаритные размеры  1900 670 930 мм   ощность 5 1 к т  ойлер с электронным контролем уровня воды  размер столешницы 1300 500 мм  сужение до 250 мм   регулируемая вы"&amp;"сота от 750 до 930 мм  предусмотрена возможность глажения с обеих сторон  оснащ н вакуумной аспирацией  поддувом и электрическим нагревом ")</f>
        <v xml:space="preserve"> тол гладильный с бойлером  напряжение 380    объ м 5 литров  рабочее давление пара 3 бар   абаритные размеры  1900 670 930 мм   ощность 5 1 к т  ойлер с электронным контролем уровня воды  размер столешницы 1300 500 мм  сужение до 250 мм   регулируемая высота от 750 до 930 мм  предусмотрена возможность глажения с обеих сторон  оснащ н вакуумной аспирацией  поддувом и электрическим нагревом </v>
      </c>
    </row>
    <row r="559" spans="1:8" ht="63.75" x14ac:dyDescent="0.2">
      <c r="A559" s="31" t="s">
        <v>1215</v>
      </c>
      <c r="B559" s="27" t="s">
        <v>1216</v>
      </c>
      <c r="C559" s="27" t="s">
        <v>1217</v>
      </c>
      <c r="D559" s="33" t="s">
        <v>14</v>
      </c>
      <c r="E559" s="34">
        <v>2</v>
      </c>
      <c r="F559" s="34">
        <v>122</v>
      </c>
      <c r="G559" s="10">
        <v>7136223</v>
      </c>
      <c r="H559" s="30" t="str">
        <f ca="1">IFERROR(__xludf.DUMMYFUNCTION("LOWER(REGEXREPLACE(B559&amp;"" ""&amp;C559,""[^а-яa-z0-9 ]"","" ""))")," тол гладильный с бойлером  напряжение 380    объ м 5 литров  рабочее давление пара 2 8 бар   абаритные размеры  1550 600 930 мм   ощность 5 6 к т  ойлер с электронным контролем уровня воды  размер рабочей поверхности 1100 380 мм  сужение до 230 мм   регу"&amp;"лируемая высот от 750 до 930  оснащ н вакуумной аспирацией  поддувом и электрическим нагревом  возможна установка формы для рукавов и подключение второго утюга ")</f>
        <v xml:space="preserve"> тол гладильный с бойлером  напряжение 380    объ м 5 литров  рабочее давление пара 2 8 бар   абаритные размеры  1550 600 930 мм   ощность 5 6 к т  ойлер с электронным контролем уровня воды  размер рабочей поверхности 1100 380 мм  сужение до 230 мм   регулируемая высот от 750 до 930  оснащ н вакуумной аспирацией  поддувом и электрическим нагревом  возможна установка формы для рукавов и подключение второго утюга </v>
      </c>
    </row>
    <row r="560" spans="1:8" ht="89.25" x14ac:dyDescent="0.2">
      <c r="A560" s="31" t="s">
        <v>1218</v>
      </c>
      <c r="B560" s="27" t="s">
        <v>1219</v>
      </c>
      <c r="C560" s="27" t="s">
        <v>1220</v>
      </c>
      <c r="D560" s="33" t="s">
        <v>14</v>
      </c>
      <c r="E560" s="34">
        <v>2</v>
      </c>
      <c r="F560" s="34">
        <v>205</v>
      </c>
      <c r="G560" s="10">
        <v>9162677</v>
      </c>
      <c r="H560" s="30" t="str">
        <f ca="1">IFERROR(__xludf.DUMMYFUNCTION("LOWER(REGEXREPLACE(B560&amp;"" ""&amp;C560,""[^а-яa-z0-9 ]"","" ""))")," тол гладильный с парогенератором  напряжение 380    объ м 5 литров  давление пара 4 8 бар   абаритные размеры  1823 653 970 мм   ощность 7 65 к т  ысота регулируется от 770 до 970 мм   абочая поверхность 1300 500 мм  сужение до 250 мм   снащ н вакуумной "&amp;"аспирацией  поддувом и электрическим нагревом столешницы   строенный парогенератор  бойлер  с электронным контролем уровня воды   отор насоса подачи воды  утюг  педали управления  вакуум поддув с возможностью переключения функций   озможна установка двух "&amp;"кронштейнов с формами  включая форму для рукавов ")</f>
        <v xml:space="preserve"> тол гладильный с парогенератором  напряжение 380    объ м 5 литров  давление пара 4 8 бар   абаритные размеры  1823 653 970 мм   ощность 7 65 к т  ысота регулируется от 770 до 970 мм   абочая поверхность 1300 500 мм  сужение до 250 мм   снащ н вакуумной аспирацией  поддувом и электрическим нагревом столешницы   строенный парогенератор  бойлер  с электронным контролем уровня воды   отор насоса подачи воды  утюг  педали управления  вакуум поддув с возможностью переключения функций   озможна установка двух кронштейнов с формами  включая форму для рукавов </v>
      </c>
    </row>
    <row r="561" spans="1:8" ht="76.5" x14ac:dyDescent="0.2">
      <c r="A561" s="31" t="s">
        <v>1221</v>
      </c>
      <c r="B561" s="27" t="s">
        <v>1222</v>
      </c>
      <c r="C561" s="27" t="s">
        <v>1223</v>
      </c>
      <c r="D561" s="33" t="s">
        <v>14</v>
      </c>
      <c r="E561" s="34">
        <v>2</v>
      </c>
      <c r="F561" s="34">
        <v>190</v>
      </c>
      <c r="G561" s="10">
        <v>11160978</v>
      </c>
      <c r="H561" s="30" t="str">
        <f ca="1">IFERROR(__xludf.DUMMYFUNCTION("LOWER(REGEXREPLACE(B561&amp;"" ""&amp;C561,""[^а-яa-z0-9 ]"","" ""))")," тол гладильный с парогенератором  напряжение 380    объ м 5 литров  рабочее давление пара 4 5 бар   абаритные размеры  1800 600 970 мм   ощность 9 1 к т  ысота регулируемая   абочая поверхность 1300 500 мм  сужение до 250 мм   снащ н вакуумной аспирацией"&amp;"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озможна установка формы для рукавов и других аксессуаров ")</f>
        <v xml:space="preserve"> тол гладильный с парогенератором  напряжение 380    объ м 5 литров  рабочее давление пара 4 5 бар   абаритные размеры  1800 600 970 мм   ощность 9 1 к т  ысота регулируемая   абочая поверхность 1300 500 мм  сужение до 250 мм   снащ 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озможна установка формы для рукавов и других аксессуаров </v>
      </c>
    </row>
    <row r="562" spans="1:8" ht="89.25" x14ac:dyDescent="0.2">
      <c r="A562" s="31" t="s">
        <v>1224</v>
      </c>
      <c r="B562" s="27" t="s">
        <v>1225</v>
      </c>
      <c r="C562" s="27" t="s">
        <v>1226</v>
      </c>
      <c r="D562" s="33" t="s">
        <v>14</v>
      </c>
      <c r="E562" s="34">
        <v>2</v>
      </c>
      <c r="F562" s="34">
        <v>220</v>
      </c>
      <c r="G562" s="10">
        <v>18121343</v>
      </c>
      <c r="H562" s="30" t="str">
        <f ca="1">IFERROR(__xludf.DUMMYFUNCTION("LOWER(REGEXREPLACE(B562&amp;"" ""&amp;C562,""[^а-яa-z0-9 ]"","" ""))")," тол гладильный со встроенным парогенератором  напряжение 380    объ м 5 литров  давление пара 4 5 бар   абаритные размеры  3300 700 980 мм   ощность 9 3 к т  ладильный стол со встроенным парогенератором для глажения штор и объ много текстиля  регулируема"&amp;"я высота   азмер гладильной столешницы 3000 700 мм   снащ н двумя независимо работающими аспираторами  электрическим подогревом столешницы и системой отпаривания   строенный парогенератор объ мом 5 литров  с электронным контролем уровня воды   остоит из  "&amp;"насос подачи воды  утюг  регулируемый педальный блок ")</f>
        <v xml:space="preserve"> тол гладильный со встроенным парогенератором  напряжение 380    объ м 5 литров  давление пара 4 5 бар   абаритные размеры  3300 700 980 мм   ощность 9 3 к т  ладильный стол со встроенным парогенератором для глажения штор и объ много текстиля  регулируемая высота   азмер гладильной столешницы 3000 700 мм   снащ н двумя независимо работающими аспираторами  электрическим подогревом столешницы и системой отпаривания   строенный парогенератор объ мом 5 литров  с электронным контролем уровня воды   остоит из  насос подачи воды  утюг  регулируемый педальный блок </v>
      </c>
    </row>
    <row r="563" spans="1:8" ht="63.75" x14ac:dyDescent="0.2">
      <c r="A563" s="31" t="s">
        <v>1227</v>
      </c>
      <c r="B563" s="8" t="s">
        <v>1228</v>
      </c>
      <c r="C563" s="27" t="s">
        <v>1229</v>
      </c>
      <c r="D563" s="33" t="s">
        <v>14</v>
      </c>
      <c r="E563" s="34">
        <v>2</v>
      </c>
      <c r="F563" s="34">
        <v>160</v>
      </c>
      <c r="G563" s="10">
        <v>9281572</v>
      </c>
      <c r="H563" s="30" t="str">
        <f ca="1">IFERROR(__xludf.DUMMYFUNCTION("LOWER(REGEXREPLACE(B563&amp;"" ""&amp;C563,""[^а-яa-z0-9 ]"","" ""))")," ароманекен с парогенератором  напряжение 380    объ м 9 литров  давление пара 4 8 бар  рабочее давление воздуха 7 бар   абаритные размеры  610х1300х1230 мм   ощность 13 25 к т  правление осуществляется с помощью микропроцессора с выбором до 10 программ  "&amp;"предусмотрен автоматический и ручной режим работы с управлением от педали  регулятор потока горячего воздуха ")</f>
        <v xml:space="preserve"> ароманекен с парогенератором  напряжение 380    объ м 9 литров  давление пара 4 8 бар  рабочее давление воздуха 7 бар   абаритные размеры  610х1300х1230 мм   ощность 13 25 к т  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 </v>
      </c>
    </row>
    <row r="564" spans="1:8" ht="76.5" x14ac:dyDescent="0.2">
      <c r="A564" s="31" t="s">
        <v>1230</v>
      </c>
      <c r="B564" s="27" t="s">
        <v>1231</v>
      </c>
      <c r="C564" s="27" t="s">
        <v>1232</v>
      </c>
      <c r="D564" s="33" t="s">
        <v>14</v>
      </c>
      <c r="E564" s="34">
        <v>2</v>
      </c>
      <c r="F564" s="34">
        <v>235</v>
      </c>
      <c r="G564" s="10">
        <v>13663589</v>
      </c>
      <c r="H564" s="30" t="str">
        <f ca="1">IFERROR(__xludf.DUMMYFUNCTION("LOWER(REGEXREPLACE(B564&amp;"" ""&amp;C564,""[^а-яa-z0-9 ]"","" ""))")," ароманекен с парогенератором  напряжение 380    объ м 9 литров  рабочее давление пара 4 бар  рабочее давление воздуха 7 бар   абаритные размеры  870х1150х1900 мм   ощность 13 6 к т  ароманекен для глажения брюк   снащ н встроенным бойлером объ мом 9 литр"&amp;"ов   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 ")</f>
        <v xml:space="preserve"> ароманекен с парогенератором  напряжение 380    объ м 9 литров  рабочее давление пара 4 бар  рабочее давление воздуха 7 бар   абаритные размеры  870х1150х1900 мм   ощность 13 6 к т  ароманекен для глажения брюк   снащ н встроенным бойлером объ мом 9 литров   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 </v>
      </c>
    </row>
    <row r="565" spans="1:8" ht="12.75" x14ac:dyDescent="0.2">
      <c r="A565" s="31" t="s">
        <v>1233</v>
      </c>
      <c r="B565" s="27" t="s">
        <v>1234</v>
      </c>
      <c r="C565" s="27"/>
      <c r="D565" s="33" t="s">
        <v>14</v>
      </c>
      <c r="E565" s="9"/>
      <c r="F565" s="32"/>
      <c r="G565" s="10"/>
      <c r="H565" s="30" t="str">
        <f ca="1">IFERROR(__xludf.DUMMYFUNCTION("LOWER(REGEXREPLACE(B565&amp;"" ""&amp;C565,""[^а-яa-z0-9 ]"","" ""))")," оска гладильная ")</f>
        <v xml:space="preserve"> оска гладильная </v>
      </c>
    </row>
    <row r="566" spans="1:8" ht="12.75" x14ac:dyDescent="0.2">
      <c r="A566" s="31" t="s">
        <v>1235</v>
      </c>
      <c r="B566" s="27" t="s">
        <v>1236</v>
      </c>
      <c r="C566" s="27"/>
      <c r="D566" s="33" t="s">
        <v>14</v>
      </c>
      <c r="E566" s="9"/>
      <c r="F566" s="32"/>
      <c r="G566" s="10">
        <v>25884</v>
      </c>
      <c r="H566" s="30" t="str">
        <f ca="1">IFERROR(__xludf.DUMMYFUNCTION("LOWER(REGEXREPLACE(B566&amp;"" ""&amp;C566,""[^а-яa-z0-9 ]"","" ""))")," ладильная доска  erilla  лона 214702 ")</f>
        <v xml:space="preserve"> ладильная доска  erilla  лона 214702 </v>
      </c>
    </row>
    <row r="567" spans="1:8" ht="12.75" x14ac:dyDescent="0.2">
      <c r="A567" s="31" t="s">
        <v>1237</v>
      </c>
      <c r="B567" s="27" t="s">
        <v>1238</v>
      </c>
      <c r="C567" s="27"/>
      <c r="D567" s="33" t="s">
        <v>14</v>
      </c>
      <c r="E567" s="9"/>
      <c r="F567" s="32"/>
      <c r="G567" s="10">
        <v>24991</v>
      </c>
      <c r="H567" s="30" t="str">
        <f ca="1">IFERROR(__xludf.DUMMYFUNCTION("LOWER(REGEXREPLACE(B567&amp;"" ""&amp;C567,""[^а-яa-z0-9 ]"","" ""))")," ладильная доска  aulshalt    ")</f>
        <v xml:space="preserve"> ладильная доска  aulshalt    </v>
      </c>
    </row>
    <row r="568" spans="1:8" ht="12.75" x14ac:dyDescent="0.2">
      <c r="A568" s="31" t="s">
        <v>1239</v>
      </c>
      <c r="B568" s="27" t="s">
        <v>1240</v>
      </c>
      <c r="C568" s="27"/>
      <c r="D568" s="33" t="s">
        <v>14</v>
      </c>
      <c r="E568" s="9"/>
      <c r="F568" s="32"/>
      <c r="G568" s="10">
        <v>19634</v>
      </c>
      <c r="H568" s="30" t="str">
        <f ca="1">IFERROR(__xludf.DUMMYFUNCTION("LOWER(REGEXREPLACE(B568&amp;"" ""&amp;C568,""[^а-яa-z0-9 ]"","" ""))")," ладильная доска  erilla  ити 223712 ")</f>
        <v xml:space="preserve"> ладильная доска  erilla  ити 223712 </v>
      </c>
    </row>
    <row r="569" spans="1:8" ht="12.75" x14ac:dyDescent="0.2">
      <c r="A569" s="31" t="s">
        <v>1241</v>
      </c>
      <c r="B569" s="27" t="s">
        <v>1242</v>
      </c>
      <c r="C569" s="27"/>
      <c r="D569" s="33" t="s">
        <v>14</v>
      </c>
      <c r="E569" s="9"/>
      <c r="F569" s="32"/>
      <c r="G569" s="10"/>
      <c r="H569" s="30" t="str">
        <f ca="1">IFERROR(__xludf.DUMMYFUNCTION("LOWER(REGEXREPLACE(B569&amp;"" ""&amp;C569,""[^а-яa-z0-9 ]"","" ""))")," ентрифуга ")</f>
        <v xml:space="preserve"> ентрифуга </v>
      </c>
    </row>
    <row r="570" spans="1:8" ht="51" x14ac:dyDescent="0.2">
      <c r="A570" s="31" t="s">
        <v>1243</v>
      </c>
      <c r="B570" s="27" t="s">
        <v>1244</v>
      </c>
      <c r="C570" s="27"/>
      <c r="D570" s="33" t="s">
        <v>14</v>
      </c>
      <c r="E570" s="34">
        <v>2</v>
      </c>
      <c r="F570" s="34">
        <v>133</v>
      </c>
      <c r="G570" s="10">
        <v>1320381</v>
      </c>
      <c r="H570" s="30" t="str">
        <f ca="1">IFERROR(__xludf.DUMMYFUNCTION("LOWER(REGEXREPLACE(B570&amp;"" ""&amp;C570,""[^а-яa-z0-9 ]"","" ""))")," ентрифуга типа    10   агрузка 10 кг  объем барабана 50 л  номинальная мощность 1 1 к т  габаритные размеры   х х   760х620х950 мм  напряжение 380  ")</f>
        <v xml:space="preserve"> ентрифуга типа    10   агрузка 10 кг  объем барабана 50 л  номинальная мощность 1 1 к т  габаритные размеры   х х   760х620х950 мм  напряжение 380  </v>
      </c>
    </row>
    <row r="571" spans="1:8" ht="38.25" x14ac:dyDescent="0.2">
      <c r="A571" s="31" t="s">
        <v>1245</v>
      </c>
      <c r="B571" s="27" t="s">
        <v>1246</v>
      </c>
      <c r="C571" s="27"/>
      <c r="D571" s="33" t="s">
        <v>14</v>
      </c>
      <c r="E571" s="34">
        <v>2</v>
      </c>
      <c r="F571" s="34">
        <v>343</v>
      </c>
      <c r="G571" s="10">
        <v>2523668</v>
      </c>
      <c r="H571" s="30" t="str">
        <f ca="1">IFERROR(__xludf.DUMMYFUNCTION("LOWER(REGEXREPLACE(B571&amp;"" ""&amp;C571,""[^а-яa-z0-9 ]"","" ""))")," ентрифуга типа    25   агрузка 25 кг  объем барабана 125 л  габаритные размеры   х х   1050х840х1030 мм  напряжение 220  ")</f>
        <v xml:space="preserve"> ентрифуга типа    25   агрузка 25 кг  объем барабана 125 л  габаритные размеры   х х   1050х840х1030 мм  напряжение 220  </v>
      </c>
    </row>
    <row r="572" spans="1:8" ht="51" x14ac:dyDescent="0.2">
      <c r="A572" s="31" t="s">
        <v>1247</v>
      </c>
      <c r="B572" s="27" t="s">
        <v>1248</v>
      </c>
      <c r="C572" s="27"/>
      <c r="D572" s="33" t="s">
        <v>14</v>
      </c>
      <c r="E572" s="34">
        <v>2</v>
      </c>
      <c r="F572" s="34">
        <v>1050</v>
      </c>
      <c r="G572" s="10">
        <v>5902082</v>
      </c>
      <c r="H572" s="30" t="str">
        <f ca="1">IFERROR(__xludf.DUMMYFUNCTION("LOWER(REGEXREPLACE(B572&amp;"" ""&amp;C572,""[^а-яa-z0-9 ]"","" ""))")," ентрифуга типа    223   агрузка 50 кг  объем барабана 320 л  номинальная мощность 4 к т  габаритные размеры   х х   1605х1150х1170 мм  напряжение 380  ")</f>
        <v xml:space="preserve"> ентрифуга типа    223   агрузка 50 кг  объем барабана 320 л  номинальная мощность 4 к т  габаритные размеры   х х   1605х1150х1170 мм  напряжение 380  </v>
      </c>
    </row>
    <row r="573" spans="1:8" ht="12.75" x14ac:dyDescent="0.2">
      <c r="A573" s="31" t="s">
        <v>1249</v>
      </c>
      <c r="B573" s="27" t="s">
        <v>1250</v>
      </c>
      <c r="C573" s="27"/>
      <c r="D573" s="33" t="s">
        <v>14</v>
      </c>
      <c r="E573" s="9"/>
      <c r="F573" s="32"/>
      <c r="G573" s="10"/>
      <c r="H573" s="30" t="str">
        <f ca="1">IFERROR(__xludf.DUMMYFUNCTION("LOWER(REGEXREPLACE(B573&amp;"" ""&amp;C573,""[^а-яa-z0-9 ]"","" ""))")," аток гладильный ")</f>
        <v xml:space="preserve"> аток гладильный </v>
      </c>
    </row>
    <row r="574" spans="1:8" ht="51" x14ac:dyDescent="0.2">
      <c r="A574" s="31" t="s">
        <v>1251</v>
      </c>
      <c r="B574" s="27" t="s">
        <v>1252</v>
      </c>
      <c r="C574" s="27"/>
      <c r="D574" s="33" t="s">
        <v>14</v>
      </c>
      <c r="E574" s="34">
        <v>2</v>
      </c>
      <c r="F574" s="34">
        <v>104</v>
      </c>
      <c r="G574" s="10">
        <v>1291536</v>
      </c>
      <c r="H574" s="30" t="str">
        <f ca="1">IFERROR(__xludf.DUMMYFUNCTION("LOWER(REGEXREPLACE(B574&amp;"" ""&amp;C574,""[^а-яa-z0-9 ]"","" ""))")," аток гладильный типа    1018   лектрический обогрев   ощность суммарная 2 772 к т  габаритные размеры   х х   450х1180х970 мм  напряжение 220  ")</f>
        <v xml:space="preserve"> аток гладильный типа    1018   лектрический обогрев   ощность суммарная 2 772 к т  габаритные размеры   х х   450х1180х970 мм  напряжение 220  </v>
      </c>
    </row>
    <row r="575" spans="1:8" ht="51" x14ac:dyDescent="0.2">
      <c r="A575" s="31" t="s">
        <v>1253</v>
      </c>
      <c r="B575" s="27" t="s">
        <v>1254</v>
      </c>
      <c r="C575" s="27"/>
      <c r="D575" s="33" t="s">
        <v>14</v>
      </c>
      <c r="E575" s="34">
        <v>2</v>
      </c>
      <c r="F575" s="34">
        <v>113</v>
      </c>
      <c r="G575" s="10">
        <v>1427687</v>
      </c>
      <c r="H575" s="30" t="str">
        <f ca="1">IFERROR(__xludf.DUMMYFUNCTION("LOWER(REGEXREPLACE(B575&amp;"" ""&amp;C575,""[^а-яa-z0-9 ]"","" ""))")," аток гладильный типа    1218   лектрический обогрев   ощность суммарная 3 272 к т  габаритные размеры   х х   450х1380х970 мм  напряжение 220  ")</f>
        <v xml:space="preserve"> аток гладильный типа    1218   лектрический обогрев   ощность суммарная 3 272 к т  габаритные размеры   х х   450х1380х970 мм  напряжение 220  </v>
      </c>
    </row>
    <row r="576" spans="1:8" ht="51" x14ac:dyDescent="0.2">
      <c r="A576" s="31" t="s">
        <v>1255</v>
      </c>
      <c r="B576" s="27" t="s">
        <v>1256</v>
      </c>
      <c r="C576" s="27"/>
      <c r="D576" s="33" t="s">
        <v>14</v>
      </c>
      <c r="E576" s="34">
        <v>2</v>
      </c>
      <c r="F576" s="34">
        <v>315</v>
      </c>
      <c r="G576" s="10">
        <v>3467881</v>
      </c>
      <c r="H576" s="30" t="str">
        <f ca="1">IFERROR(__xludf.DUMMYFUNCTION("LOWER(REGEXREPLACE(B576&amp;"" ""&amp;C576,""[^а-яa-z0-9 ]"","" ""))")," аток гладильный типа    1430   лектрический обогрев   ощность суммарная 10 63 к т  габаритные размеры   х х   740х1925х1085 мм  напряжение 380  ")</f>
        <v xml:space="preserve"> аток гладильный типа    1430   лектрический обогрев   ощность суммарная 10 63 к т  габаритные размеры   х х   740х1925х1085 мм  напряжение 380  </v>
      </c>
    </row>
    <row r="577" spans="1:8" ht="51" x14ac:dyDescent="0.2">
      <c r="A577" s="31" t="s">
        <v>1257</v>
      </c>
      <c r="B577" s="27" t="s">
        <v>1258</v>
      </c>
      <c r="C577" s="27"/>
      <c r="D577" s="33" t="s">
        <v>14</v>
      </c>
      <c r="E577" s="34">
        <v>2</v>
      </c>
      <c r="F577" s="34">
        <v>340</v>
      </c>
      <c r="G577" s="10">
        <v>3767498</v>
      </c>
      <c r="H577" s="30" t="str">
        <f ca="1">IFERROR(__xludf.DUMMYFUNCTION("LOWER(REGEXREPLACE(B577&amp;"" ""&amp;C577,""[^а-яa-z0-9 ]"","" ""))")," аток гладильный типа    1630   лектрический обогрев   ощность суммарная 10 93 к т  габаритные размеры   х х   740х2125х1085 мм  напряжение 380  ")</f>
        <v xml:space="preserve"> аток гладильный типа    1630   лектрический обогрев   ощность суммарная 10 93 к т  габаритные размеры   х х   740х2125х1085 мм  напряжение 380  </v>
      </c>
    </row>
    <row r="578" spans="1:8" ht="51" x14ac:dyDescent="0.2">
      <c r="A578" s="31" t="s">
        <v>1259</v>
      </c>
      <c r="B578" s="27" t="s">
        <v>1260</v>
      </c>
      <c r="C578" s="27"/>
      <c r="D578" s="33" t="s">
        <v>14</v>
      </c>
      <c r="E578" s="34">
        <v>2</v>
      </c>
      <c r="F578" s="34">
        <v>475</v>
      </c>
      <c r="G578" s="10">
        <v>4186627</v>
      </c>
      <c r="H578" s="30" t="str">
        <f ca="1">IFERROR(__xludf.DUMMYFUNCTION("LOWER(REGEXREPLACE(B578&amp;"" ""&amp;C578,""[^а-яa-z0-9 ]"","" ""))")," аток гладильный типа    2030   лектрический обогрев   ощность суммарная 15 73 к т   габаритные размеры   х х   740х2525х1085 мм  напряжение 380  ")</f>
        <v xml:space="preserve"> аток гладильный типа    2030   лектрический обогрев   ощность суммарная 15 73 к т   габаритные размеры   х х   740х2525х1085 мм  напряжение 380  </v>
      </c>
    </row>
    <row r="579" spans="1:8" ht="89.25" x14ac:dyDescent="0.2">
      <c r="A579" s="31" t="s">
        <v>1261</v>
      </c>
      <c r="B579" s="27" t="s">
        <v>1262</v>
      </c>
      <c r="C579" s="27" t="s">
        <v>1263</v>
      </c>
      <c r="D579" s="33" t="s">
        <v>14</v>
      </c>
      <c r="E579" s="34">
        <v>2</v>
      </c>
      <c r="F579" s="35">
        <v>85.5</v>
      </c>
      <c r="G579" s="10">
        <v>3828892</v>
      </c>
      <c r="H579" s="30" t="str">
        <f ca="1">IFERROR(__xludf.DUMMYFUNCTION("LOWER(REGEXREPLACE(B579&amp;"" ""&amp;C579,""[^а-яa-z0-9 ]"","" ""))")," аток гладильный  рабочая зона 1000 мм  диаметр вала 200 мм  скорость глажения 3 3 м мин  производительность 20 кг час  обогрев электрический   абаритные размеры  1305x420x933 мм   ощность 3 6 к т  окрытие вала металлическая вата   чехол из хлопка  управл"&amp;"ение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глажен"&amp;"ия с остаточной влажностью 10 15   ")</f>
        <v xml:space="preserve"> аток гладильный  рабочая зона 1000 мм  диаметр вала 200 мм  скорость глажения 3 3 м мин  производительность 20 кг час  обогрев электрический   абаритные размеры  1305x420x933 мм   ощность 3 6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v>
      </c>
    </row>
    <row r="580" spans="1:8" ht="89.25" x14ac:dyDescent="0.2">
      <c r="A580" s="31" t="s">
        <v>1264</v>
      </c>
      <c r="B580" s="27" t="s">
        <v>1265</v>
      </c>
      <c r="C580" s="27" t="s">
        <v>1263</v>
      </c>
      <c r="D580" s="33" t="s">
        <v>14</v>
      </c>
      <c r="E580" s="34">
        <v>2</v>
      </c>
      <c r="F580" s="34">
        <v>93</v>
      </c>
      <c r="G580" s="10">
        <v>3911520</v>
      </c>
      <c r="H580" s="30" t="str">
        <f ca="1">IFERROR(__xludf.DUMMYFUNCTION("LOWER(REGEXREPLACE(B580&amp;"" ""&amp;C580,""[^а-яa-z0-9 ]"","" ""))")," аток гладильный  рабочая зона 1200 мм  диаметр вала 200 мм  скорость глажения 3 3 м мин  производительность 25 кг час  обогрев электрический   абаритные размеры  1505x420x933 мм   ощность 4 к т  окрытие вала металлическая вата   чехол из хлопка  управлен"&amp;"ие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глажения"&amp;" с остаточной влажностью 10 15   ")</f>
        <v xml:space="preserve"> аток гладильный  рабочая зона 1200 мм  диаметр вала 200 мм  скорость глажения 3 3 м мин  производительность 25 кг час  обогрев электрический   абаритные размеры  1505x420x933 мм   ощность 4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v>
      </c>
    </row>
    <row r="581" spans="1:8" ht="89.25" x14ac:dyDescent="0.2">
      <c r="A581" s="31" t="s">
        <v>1266</v>
      </c>
      <c r="B581" s="27" t="s">
        <v>1267</v>
      </c>
      <c r="C581" s="27" t="s">
        <v>1263</v>
      </c>
      <c r="D581" s="33" t="s">
        <v>14</v>
      </c>
      <c r="E581" s="34">
        <v>2</v>
      </c>
      <c r="F581" s="34">
        <v>146</v>
      </c>
      <c r="G581" s="10">
        <v>4871662</v>
      </c>
      <c r="H581" s="30" t="str">
        <f ca="1">IFERROR(__xludf.DUMMYFUNCTION("LOWER(REGEXREPLACE(B581&amp;"" ""&amp;C581,""[^а-яa-z0-9 ]"","" ""))")," аток гладильный  рабочая зона 1400 мм  диаметр вала 250 мм  скорость глажения 3 8 м мин  производительность 35 кг час  обогрев электрический   абаритные размеры  1840x420x1003 мм   ощность 7 5 к т  окрытие вала металлическая вата   чехол из хлопка  управ"&amp;"ление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глаже"&amp;"ния с остаточной влажностью 10 15   ")</f>
        <v xml:space="preserve"> аток гладильный  рабочая зона 1400 мм  диаметр вала 250 мм  скорость глажения 3 8 м мин  производительность 35 кг час  обогрев электрический   абаритные размеры  1840x420x1003 мм   ощность 7 5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v>
      </c>
    </row>
    <row r="582" spans="1:8" ht="89.25" x14ac:dyDescent="0.2">
      <c r="A582" s="31" t="s">
        <v>1268</v>
      </c>
      <c r="B582" s="8" t="s">
        <v>1269</v>
      </c>
      <c r="C582" s="27" t="s">
        <v>1270</v>
      </c>
      <c r="D582" s="33" t="s">
        <v>14</v>
      </c>
      <c r="E582" s="34">
        <v>2</v>
      </c>
      <c r="F582" s="34">
        <v>268</v>
      </c>
      <c r="G582" s="10">
        <v>8001963</v>
      </c>
      <c r="H582" s="30" t="str">
        <f ca="1">IFERROR(__xludf.DUMMYFUNCTION("LOWER(REGEXREPLACE(B582&amp;"" ""&amp;C582,""[^а-яa-z0-9 ]"","" ""))")," аток гладильный  рабочая зона 1600 мм  диаметр вала 300 мм  скорость глажения 2 7 4 3 м мин  производительность 50 кг час  обогрев электрический   абаритные размеры  2090x552x1073 мм   ощность 11 4 к т  окрытие вала металлическая вата   чехол из хлопка  "&amp;"управление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"&amp;"глажения с остаточной влажностью 25   ")</f>
        <v xml:space="preserve"> аток гладильный  рабочая зона 1600 мм  диаметр вала 300 мм  скорость глажения 2 7 4 3 м мин  производительность 50 кг час  обогрев электрический   абаритные размеры  2090x552x1073 мм   ощность 11 4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v>
      </c>
    </row>
    <row r="583" spans="1:8" ht="89.25" x14ac:dyDescent="0.2">
      <c r="A583" s="31" t="s">
        <v>1271</v>
      </c>
      <c r="B583" s="8" t="s">
        <v>1272</v>
      </c>
      <c r="C583" s="27" t="s">
        <v>1270</v>
      </c>
      <c r="D583" s="33" t="s">
        <v>14</v>
      </c>
      <c r="E583" s="34">
        <v>2</v>
      </c>
      <c r="F583" s="34">
        <v>296</v>
      </c>
      <c r="G583" s="10">
        <v>8935215</v>
      </c>
      <c r="H583" s="30" t="str">
        <f ca="1">IFERROR(__xludf.DUMMYFUNCTION("LOWER(REGEXREPLACE(B583&amp;"" ""&amp;C583,""[^а-яa-z0-9 ]"","" ""))")," аток гладильный  рабочая зона 2000 мм  диаметр вала 300 мм  скорость глажения 2 7 4 3 м мин  производительность 60 кг час  обогрев электрический   абаритные размеры  2490x552x1073 мм   ощность 15 к т  окрытие вала металлическая вата   чехол из хлопка  уп"&amp;"равление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гл"&amp;"ажения с остаточной влажностью 25   ")</f>
        <v xml:space="preserve"> аток гладильный  рабочая зона 2000 мм  диаметр вала 300 мм  скорость глажения 2 7 4 3 м мин  производительность 60 кг час  обогрев электрический   абаритные размеры  2490x552x1073 мм   ощность 15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v>
      </c>
    </row>
    <row r="584" spans="1:8" ht="12.75" x14ac:dyDescent="0.2">
      <c r="A584" s="31" t="s">
        <v>1273</v>
      </c>
      <c r="B584" s="27" t="s">
        <v>1274</v>
      </c>
      <c r="C584" s="27"/>
      <c r="D584" s="33" t="s">
        <v>14</v>
      </c>
      <c r="E584" s="9"/>
      <c r="F584" s="32"/>
      <c r="G584" s="10"/>
      <c r="H584" s="30" t="str">
        <f ca="1">IFERROR(__xludf.DUMMYFUNCTION("LOWER(REGEXREPLACE(B584&amp;"" ""&amp;C584,""[^а-яa-z0-9 ]"","" ""))")," аландр гладильный ")</f>
        <v xml:space="preserve"> аландр гладильный </v>
      </c>
    </row>
    <row r="585" spans="1:8" ht="51" x14ac:dyDescent="0.2">
      <c r="A585" s="31" t="s">
        <v>1275</v>
      </c>
      <c r="B585" s="27" t="s">
        <v>1276</v>
      </c>
      <c r="C585" s="27"/>
      <c r="D585" s="33" t="s">
        <v>14</v>
      </c>
      <c r="E585" s="34">
        <v>2</v>
      </c>
      <c r="F585" s="34">
        <v>330</v>
      </c>
      <c r="G585" s="10">
        <v>4510760</v>
      </c>
      <c r="H585" s="30" t="str">
        <f ca="1">IFERROR(__xludf.DUMMYFUNCTION("LOWER(REGEXREPLACE(B585&amp;"" ""&amp;C585,""[^а-яa-z0-9 ]"","" ""))")," аландр гладильный типа    1424   лектрический обогрев   ощность суммарная 12 3 к т  габаритные размеры   х х   600х1880х1085 мм  напряжение 380  ")</f>
        <v xml:space="preserve"> аландр гладильный типа    1424   лектрический обогрев   ощность суммарная 12 3 к т  габаритные размеры   х х   600х1880х1085 мм  напряжение 380  </v>
      </c>
    </row>
    <row r="586" spans="1:8" ht="51" x14ac:dyDescent="0.2">
      <c r="A586" s="31" t="s">
        <v>1277</v>
      </c>
      <c r="B586" s="27" t="s">
        <v>1278</v>
      </c>
      <c r="C586" s="27"/>
      <c r="D586" s="33" t="s">
        <v>14</v>
      </c>
      <c r="E586" s="34">
        <v>2</v>
      </c>
      <c r="F586" s="34">
        <v>588</v>
      </c>
      <c r="G586" s="10">
        <v>6053017</v>
      </c>
      <c r="H586" s="30" t="str">
        <f ca="1">IFERROR(__xludf.DUMMYFUNCTION("LOWER(REGEXREPLACE(B586&amp;"" ""&amp;C586,""[^а-яa-z0-9 ]"","" ""))")," аландр гладильный типа    1640   лектрический обогрев   ощность суммарная 23 24 к т  габаритные размеры   х х   1025х2130х1225 мм  напряжение 380  ")</f>
        <v xml:space="preserve"> аландр гладильный типа    1640   лектрический обогрев   ощность суммарная 23 24 к т  габаритные размеры   х х   1025х2130х1225 мм  напряжение 380  </v>
      </c>
    </row>
    <row r="587" spans="1:8" ht="51" x14ac:dyDescent="0.2">
      <c r="A587" s="31" t="s">
        <v>1279</v>
      </c>
      <c r="B587" s="27" t="s">
        <v>1280</v>
      </c>
      <c r="C587" s="27"/>
      <c r="D587" s="33" t="s">
        <v>14</v>
      </c>
      <c r="E587" s="34">
        <v>2</v>
      </c>
      <c r="F587" s="34">
        <v>758</v>
      </c>
      <c r="G587" s="10">
        <v>6315963</v>
      </c>
      <c r="H587" s="30" t="str">
        <f ca="1">IFERROR(__xludf.DUMMYFUNCTION("LOWER(REGEXREPLACE(B587&amp;"" ""&amp;C587,""[^а-яa-z0-9 ]"","" ""))")," аландр гладильный типа    1840   лектрический обогрев   ощность суммарная 25 94 к т   габаритные размеры   х х   1025х2330х1225 мм  напряжение 380  ")</f>
        <v xml:space="preserve"> аландр гладильный типа    1840   лектрический обогрев   ощность суммарная 25 94 к т   габаритные размеры   х х   1025х2330х1225 мм  напряжение 380  </v>
      </c>
    </row>
    <row r="588" spans="1:8" ht="51" x14ac:dyDescent="0.2">
      <c r="A588" s="31" t="s">
        <v>1281</v>
      </c>
      <c r="B588" s="27" t="s">
        <v>1282</v>
      </c>
      <c r="C588" s="27"/>
      <c r="D588" s="33" t="s">
        <v>14</v>
      </c>
      <c r="E588" s="34">
        <v>2</v>
      </c>
      <c r="F588" s="34">
        <v>860</v>
      </c>
      <c r="G588" s="10">
        <v>7313996</v>
      </c>
      <c r="H588" s="30" t="str">
        <f ca="1">IFERROR(__xludf.DUMMYFUNCTION("LOWER(REGEXREPLACE(B588&amp;"" ""&amp;C588,""[^а-яa-z0-9 ]"","" ""))")," аландр гладильный типа    2050   лектрический обогрев   ощность суммарная 34 94 к т  габаритные размеры   х х   1060х2565х1215 мм  напряжение 380  ")</f>
        <v xml:space="preserve"> аландр гладильный типа    2050   лектрический обогрев   ощность суммарная 34 94 к т  габаритные размеры   х х   1060х2565х1215 мм  напряжение 380  </v>
      </c>
    </row>
    <row r="589" spans="1:8" ht="51" x14ac:dyDescent="0.2">
      <c r="A589" s="31" t="s">
        <v>1283</v>
      </c>
      <c r="B589" s="27" t="s">
        <v>1284</v>
      </c>
      <c r="C589" s="27"/>
      <c r="D589" s="33" t="s">
        <v>14</v>
      </c>
      <c r="E589" s="34">
        <v>2</v>
      </c>
      <c r="F589" s="34">
        <v>926</v>
      </c>
      <c r="G589" s="10">
        <v>7807232</v>
      </c>
      <c r="H589" s="30" t="str">
        <f ca="1">IFERROR(__xludf.DUMMYFUNCTION("LOWER(REGEXREPLACE(B589&amp;"" ""&amp;C589,""[^а-яa-z0-9 ]"","" ""))")," аландр гладильный типа    2250   лектрический обогрев   ощность суммарная 38 54 к т  габаритные размеры   х х   1060х2730х1215 мм  напряжение 380  ")</f>
        <v xml:space="preserve"> аландр гладильный типа    2250   лектрический обогрев   ощность суммарная 38 54 к т  габаритные размеры   х х   1060х2730х1215 мм  напряжение 380  </v>
      </c>
    </row>
    <row r="590" spans="1:8" ht="51" x14ac:dyDescent="0.2">
      <c r="A590" s="31" t="s">
        <v>1285</v>
      </c>
      <c r="B590" s="27" t="s">
        <v>1286</v>
      </c>
      <c r="C590" s="27"/>
      <c r="D590" s="33" t="s">
        <v>14</v>
      </c>
      <c r="E590" s="34">
        <v>2</v>
      </c>
      <c r="F590" s="34">
        <v>1002</v>
      </c>
      <c r="G590" s="10">
        <v>9131204</v>
      </c>
      <c r="H590" s="30" t="str">
        <f ca="1">IFERROR(__xludf.DUMMYFUNCTION("LOWER(REGEXREPLACE(B590&amp;"" ""&amp;C590,""[^а-яa-z0-9 ]"","" ""))")," аландр гладильный типа    2450   лектрический обогрев   ощность суммарная 42 14 к т  габаритные размеры   х х   1060х2970х1215 мм  напряжение 380  ")</f>
        <v xml:space="preserve"> аландр гладильный типа    2450   лектрический обогрев   ощность суммарная 42 14 к т  габаритные размеры   х х   1060х2970х1215 мм  напряжение 380  </v>
      </c>
    </row>
    <row r="591" spans="1:8" ht="51" x14ac:dyDescent="0.2">
      <c r="A591" s="31" t="s">
        <v>1287</v>
      </c>
      <c r="B591" s="27" t="s">
        <v>1288</v>
      </c>
      <c r="C591" s="27"/>
      <c r="D591" s="33" t="s">
        <v>14</v>
      </c>
      <c r="E591" s="34">
        <v>2</v>
      </c>
      <c r="F591" s="34">
        <v>2470</v>
      </c>
      <c r="G591" s="10">
        <v>16475233</v>
      </c>
      <c r="H591" s="30" t="str">
        <f ca="1">IFERROR(__xludf.DUMMYFUNCTION("LOWER(REGEXREPLACE(B591&amp;"" ""&amp;C591,""[^а-яa-z0-9 ]"","" ""))")," аландр гладильный типа    2880   лектрический обогрев   ощность суммарная 75 89 к т  габаритные размеры   х х   1550х3870х1635 мм  напряжение 380  ")</f>
        <v xml:space="preserve"> аландр гладильный типа    2880   лектрический обогрев   ощность суммарная 75 89 к т  габаритные размеры   х х   1550х3870х1635 мм  напряжение 380  </v>
      </c>
    </row>
    <row r="592" spans="1:8" ht="102" x14ac:dyDescent="0.2">
      <c r="A592" s="31" t="s">
        <v>1289</v>
      </c>
      <c r="B592" s="27" t="s">
        <v>1290</v>
      </c>
      <c r="C592" s="27" t="s">
        <v>1291</v>
      </c>
      <c r="D592" s="33" t="s">
        <v>14</v>
      </c>
      <c r="E592" s="34">
        <v>2</v>
      </c>
      <c r="F592" s="34">
        <v>1990</v>
      </c>
      <c r="G592" s="10">
        <v>16976460</v>
      </c>
      <c r="H592" s="30" t="str">
        <f ca="1">IFERROR(__xludf.DUMMYFUNCTION("LOWER(REGEXREPLACE(B592&amp;"" ""&amp;C592,""[^а-яa-z0-9 ]"","" ""))")," аландр сушильно гладильный  рабочая зона 3000 мм  диаметр вала 800 мм  скорость глажения 0 10 м мин  производительность 158 кг час  обогрев электрический газовый паровой   абаритные размеры  4248х1597х1380 мм   ощность 75 к т  аландр сушильно гладильный "&amp;"проходного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в"&amp;"лажности  автоматическая регулировка скорости и температуры глажки  предназначен для глажения с остаточной влажностью 50   ")</f>
        <v xml:space="preserve"> аландр сушильно гладильный  рабочая зона 3000 мм  диаметр вала 800 мм  скорость глажения 0 10 м мин  производительность 158 кг час  обогрев электрический газовый паровой   абаритные размеры  4248х1597х1380 мм   ощность 75 к т  аландр сушильно 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v>
      </c>
    </row>
    <row r="593" spans="1:8" ht="102" x14ac:dyDescent="0.2">
      <c r="A593" s="31" t="s">
        <v>1292</v>
      </c>
      <c r="B593" s="27" t="s">
        <v>1293</v>
      </c>
      <c r="C593" s="27" t="s">
        <v>1294</v>
      </c>
      <c r="D593" s="33" t="s">
        <v>14</v>
      </c>
      <c r="E593" s="34">
        <v>2</v>
      </c>
      <c r="F593" s="34">
        <v>2103</v>
      </c>
      <c r="G593" s="10">
        <v>17612265</v>
      </c>
      <c r="H593" s="30" t="str">
        <f ca="1">IFERROR(__xludf.DUMMYFUNCTION("LOWER(REGEXREPLACE(B593&amp;"" ""&amp;C593,""[^а-яa-z0-9 ]"","" ""))")," аландр сушильно гладильный  рабочая зона 3300 мм  диаметр вала 800 мм  скорость глажения 0 10 м мин  производительность 168 кг час  обогрев электрический газовый паровой   абаритные размеры  4548х1597х1380 мм   ощность 78 к т  аландр сушильно гладильный "&amp;"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"&amp;"влажности  автоматическая регулировка скорости и температуры глажки  предназначен для глажения с остаточной влажностью 50   ")</f>
        <v xml:space="preserve"> аландр сушильно гладильный  рабочая зона 3300 мм  диаметр вала 800 мм  скорость глажения 0 10 м мин  производительность 168 кг час  обогрев электрический газовый паровой   абаритные размеры  4548х1597х1380 мм   ощность 78 к т  аландр сушильно 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v>
      </c>
    </row>
    <row r="594" spans="1:8" ht="102" x14ac:dyDescent="0.2">
      <c r="A594" s="31" t="s">
        <v>1295</v>
      </c>
      <c r="B594" s="8" t="s">
        <v>1296</v>
      </c>
      <c r="C594" s="27" t="s">
        <v>1297</v>
      </c>
      <c r="D594" s="33" t="s">
        <v>14</v>
      </c>
      <c r="E594" s="34">
        <v>2</v>
      </c>
      <c r="F594" s="34">
        <v>360</v>
      </c>
      <c r="G594" s="10">
        <v>12324239</v>
      </c>
      <c r="H594" s="30" t="str">
        <f ca="1">IFERROR(__xludf.DUMMYFUNCTION("LOWER(REGEXREPLACE(B594&amp;"" ""&amp;C594,""[^а-яa-z0-9 ]"","" ""))")," аландр сушильно гладильный  рабочая зона 1400 мм  диаметр вала 270 мм  скорость глажения 0 8 3 м мин  производительность 25 кг час  обогрев электрический газовый   абаритные размеры  2010x510x1080 мм   ощность 13 8 к т  аландр сушильно гладильный  двойно"&amp;"й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у"&amp;"правляемый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1400 мм  диаметр вала 270 мм  скорость глажения 0 8 3 м мин  производительность 25 кг час  обогрев электрический газовый   абаритные размеры  2010x510x1080 мм   ощность 13 8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v>
      </c>
    </row>
    <row r="595" spans="1:8" ht="102" x14ac:dyDescent="0.2">
      <c r="A595" s="31" t="s">
        <v>1298</v>
      </c>
      <c r="B595" s="27" t="s">
        <v>1299</v>
      </c>
      <c r="C595" s="27" t="s">
        <v>1300</v>
      </c>
      <c r="D595" s="33" t="s">
        <v>14</v>
      </c>
      <c r="E595" s="34">
        <v>2</v>
      </c>
      <c r="F595" s="34">
        <v>540</v>
      </c>
      <c r="G595" s="10">
        <v>16867839</v>
      </c>
      <c r="H595" s="30" t="str">
        <f ca="1">IFERROR(__xludf.DUMMYFUNCTION("LOWER(REGEXREPLACE(B595&amp;"" ""&amp;C595,""[^а-яa-z0-9 ]"","" ""))")," аландр сушильно гладильный  рабочая зона 1800 мм  диаметр вала 320 мм  скорость глажения 1 6 5 м мин  производительность 50 кг час  обогрев электрический газовый паровой   абаритные размеры  2340x550x1100 мм   ощность 24 3 к т  аландр сушильно гладильный"&amp;"  двойной контроль температуры  автоматическое отключение нагрева в случае локального перегрева   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дв"&amp;"игатель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1800 мм  диаметр вала 320 мм  скорость глажения 1 6 5 м мин  производительность 50 кг час  обогрев электрический газовый паровой   абаритные размеры  2340x550x1100 мм   ощность 24 3 к т  аландр сушильно гладильный  двойной контроль температуры  автоматическое отключение нагрева в случае локального перегрева   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6" spans="1:8" ht="102" x14ac:dyDescent="0.2">
      <c r="A596" s="31" t="s">
        <v>1301</v>
      </c>
      <c r="B596" s="27" t="s">
        <v>1302</v>
      </c>
      <c r="C596" s="27" t="s">
        <v>1303</v>
      </c>
      <c r="D596" s="33" t="s">
        <v>14</v>
      </c>
      <c r="E596" s="34">
        <v>2</v>
      </c>
      <c r="F596" s="34">
        <v>602</v>
      </c>
      <c r="G596" s="10">
        <v>19870690</v>
      </c>
      <c r="H596" s="30" t="str">
        <f ca="1">IFERROR(__xludf.DUMMYFUNCTION("LOWER(REGEXREPLACE(B596&amp;"" ""&amp;C596,""[^а-яa-z0-9 ]"","" ""))")," аландр сушильно гладильный  рабочая зона 2100 мм  диаметр вала 320 мм  скорость глажения 1 6 5 м мин  производительность 56 кг час  обогрев электрический газовый паровой   абаритные размеры  2640x550x1100 мм   ощность 27 к т  аландр сушильно гладильный  "&amp;"двойной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двиг"&amp;"атель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2100 мм  диаметр вала 320 мм  скорость глажения 1 6 5 м мин  производительность 56 кг час  обогрев электрический газовый паровой   абаритные размеры  2640x550x1100 мм   ощность 27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7" spans="1:8" ht="102" x14ac:dyDescent="0.2">
      <c r="A597" s="31" t="s">
        <v>1304</v>
      </c>
      <c r="B597" s="8" t="s">
        <v>1305</v>
      </c>
      <c r="C597" s="27" t="s">
        <v>1303</v>
      </c>
      <c r="D597" s="33" t="s">
        <v>14</v>
      </c>
      <c r="E597" s="34">
        <v>2</v>
      </c>
      <c r="F597" s="34">
        <v>700</v>
      </c>
      <c r="G597" s="10">
        <v>23777766</v>
      </c>
      <c r="H597" s="30" t="str">
        <f ca="1">IFERROR(__xludf.DUMMYFUNCTION("LOWER(REGEXREPLACE(B597&amp;"" ""&amp;C597,""[^а-яa-z0-9 ]"","" ""))")," аландр сушильно гладильный  рабочая зона 2600 мм  диаметр вала 320 мм  скорость глажения 1 6 5 м мин  производительность 75 кг час  обогрев электрический   абаритные размеры  3140x580x1150 мм   ощность 34 2 к т  аландр сушильно гладильный  двойной контро"&amp;"ль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управляе"&amp;"мый инвертером и регулируемая скорость  предназначен для глажения с остаточной влажностью 50   ")</f>
        <v xml:space="preserve"> аландр сушильно гладильный  рабочая зона 2600 мм  диаметр вала 320 мм  скорость глажения 1 6 5 м мин  производительность 75 кг час  обогрев электрический   абаритные размеры  3140x580x1150 мм   ощность 34 2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8" spans="1:8" ht="102" x14ac:dyDescent="0.2">
      <c r="A598" s="31" t="s">
        <v>1306</v>
      </c>
      <c r="B598" s="8" t="s">
        <v>1307</v>
      </c>
      <c r="C598" s="27" t="s">
        <v>1303</v>
      </c>
      <c r="D598" s="33" t="s">
        <v>14</v>
      </c>
      <c r="E598" s="34">
        <v>2</v>
      </c>
      <c r="F598" s="34">
        <v>810</v>
      </c>
      <c r="G598" s="10">
        <v>26905787</v>
      </c>
      <c r="H598" s="30" t="str">
        <f ca="1">IFERROR(__xludf.DUMMYFUNCTION("LOWER(REGEXREPLACE(B598&amp;"" ""&amp;C598,""[^а-яa-z0-9 ]"","" ""))")," аландр сушильно гладильный  рабочая зона 3200 мм  диаметр вала 320 мм  скорость глажения 1 6 5 м мин  производительность 80 кг час  обогрев электрический газовый паровой   абаритные размеры  3740 x 585 x 1140 мм   ощность 39 6 к т  аландр сушильно гладил"&amp;"ьный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термостататом"&amp;"  двигатель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3200 мм  диаметр вала 320 мм  скорость глажения 1 6 5 м мин  производительность 80 кг час  обогрев электрический газовый паровой   абаритные размеры  3740 x 585 x 1140 мм   ощность 39 6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599" spans="1:8" ht="102" x14ac:dyDescent="0.2">
      <c r="A599" s="31" t="s">
        <v>1308</v>
      </c>
      <c r="B599" s="27" t="s">
        <v>1309</v>
      </c>
      <c r="C599" s="27" t="s">
        <v>1303</v>
      </c>
      <c r="D599" s="33" t="s">
        <v>14</v>
      </c>
      <c r="E599" s="34">
        <v>2</v>
      </c>
      <c r="F599" s="34">
        <v>1288</v>
      </c>
      <c r="G599" s="10">
        <v>35093898</v>
      </c>
      <c r="H599" s="30" t="str">
        <f ca="1">IFERROR(__xludf.DUMMYFUNCTION("LOWER(REGEXREPLACE(B599&amp;"" ""&amp;C599,""[^а-яa-z0-9 ]"","" ""))")," аландр сушильно гладильный  рабочая зона 2100 мм  диаметр вала 500 мм  скорость глажения 1 6 8 м мин  производительность 75 кг час  обогрев электрический газовый паровой   абаритные размеры  2880x750x1290 мм   ощность 45 к т  аландр сушильно гладильный  "&amp;"двойной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двиг"&amp;"атель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2100 мм  диаметр вала 500 мм  скорость глажения 1 6 8 м мин  производительность 75 кг час  обогрев электрический газовый паровой   абаритные размеры  2880x750x1290 мм   ощность 45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600" spans="1:8" ht="102" x14ac:dyDescent="0.2">
      <c r="A600" s="31" t="s">
        <v>1310</v>
      </c>
      <c r="B600" s="27" t="s">
        <v>1311</v>
      </c>
      <c r="C600" s="27" t="s">
        <v>1303</v>
      </c>
      <c r="D600" s="33" t="s">
        <v>14</v>
      </c>
      <c r="E600" s="34">
        <v>2</v>
      </c>
      <c r="F600" s="34">
        <v>1413</v>
      </c>
      <c r="G600" s="10">
        <v>37277674</v>
      </c>
      <c r="H600" s="30" t="str">
        <f ca="1">IFERROR(__xludf.DUMMYFUNCTION("LOWER(REGEXREPLACE(B600&amp;"" ""&amp;C600,""[^а-яa-z0-9 ]"","" ""))")," аландр сушильно гладильный  рабочая зона 2600 мм  диаметр вала 500 мм  скорость глажения 1 6 8 м мин  производительность 95 кг час  обогрев электрический газовый паровой   абаритные размеры  3280x750x1290 мм   ощность 57 к т  аландр сушильно гладильный  "&amp;"двойной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двиг"&amp;"атель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2600 мм  диаметр вала 500 мм  скорость глажения 1 6 8 м мин  производительность 95 кг час  обогрев электрический газовый паровой   абаритные размеры  3280x750x1290 мм   ощность 57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v>
      </c>
    </row>
    <row r="601" spans="1:8" ht="102" x14ac:dyDescent="0.2">
      <c r="A601" s="31" t="s">
        <v>1312</v>
      </c>
      <c r="B601" s="27" t="s">
        <v>1313</v>
      </c>
      <c r="C601" s="27" t="s">
        <v>1297</v>
      </c>
      <c r="D601" s="33" t="s">
        <v>14</v>
      </c>
      <c r="E601" s="34">
        <v>2</v>
      </c>
      <c r="F601" s="34">
        <v>1800</v>
      </c>
      <c r="G601" s="10">
        <v>41083235</v>
      </c>
      <c r="H601" s="30" t="str">
        <f ca="1">IFERROR(__xludf.DUMMYFUNCTION("LOWER(REGEXREPLACE(B601&amp;"" ""&amp;C601,""[^а-яa-z0-9 ]"","" ""))")," аландр сушильно гладильный  рабочая зона 3200 мм  диаметр вала 500 мм  скорость глажения 1 6 8 м мин  производительность 120 кг час  обогрев электрический газовый паровой   абаритные размеры  3880x750x1290 мм   ощность 66 к т  аландр сушильно гладильный "&amp;"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двиг"&amp;"атель управляемый инвертером и регулируемая скорость  предназначен для глажения с остаточной влажностью 50   ")</f>
        <v xml:space="preserve"> аландр сушильно гладильный  рабочая зона 3200 мм  диаметр вала 500 мм  скорость глажения 1 6 8 м мин  производительность 120 кг час  обогрев электрический газовый паровой   абаритные размеры  3880x750x1290 мм   ощность 66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v>
      </c>
    </row>
    <row r="602" spans="1:8" ht="12.75" x14ac:dyDescent="0.2">
      <c r="A602" s="31" t="s">
        <v>1314</v>
      </c>
      <c r="B602" s="27" t="s">
        <v>1315</v>
      </c>
      <c r="C602" s="27"/>
      <c r="D602" s="33" t="s">
        <v>14</v>
      </c>
      <c r="E602" s="9"/>
      <c r="F602" s="32"/>
      <c r="G602" s="10"/>
      <c r="H602" s="30" t="str">
        <f ca="1">IFERROR(__xludf.DUMMYFUNCTION("LOWER(REGEXREPLACE(B602&amp;"" ""&amp;C602,""[^а-яa-z0-9 ]"","" ""))")," ресс гладильный ")</f>
        <v xml:space="preserve"> ресс гладильный </v>
      </c>
    </row>
    <row r="603" spans="1:8" ht="51" x14ac:dyDescent="0.2">
      <c r="A603" s="31" t="s">
        <v>1316</v>
      </c>
      <c r="B603" s="27" t="s">
        <v>1317</v>
      </c>
      <c r="C603" s="27"/>
      <c r="D603" s="33" t="s">
        <v>14</v>
      </c>
      <c r="E603" s="34">
        <v>2</v>
      </c>
      <c r="F603" s="34">
        <v>795</v>
      </c>
      <c r="G603" s="10">
        <v>8032920</v>
      </c>
      <c r="H603" s="30" t="str">
        <f ca="1">IFERROR(__xludf.DUMMYFUNCTION("LOWER(REGEXREPLACE(B603&amp;"" ""&amp;C603,""[^а-яa-z0-9 ]"","" ""))")," ресс гладильный типа    150   абаритные размеры гладильного стола   х   1490х540 мм  мощность суммарная 11 17 к т  напряжение 380  ")</f>
        <v xml:space="preserve"> ресс гладильный типа    150   абаритные размеры гладильного стола   х   1490х540 мм  мощность суммарная 11 17 к т  напряжение 380  </v>
      </c>
    </row>
    <row r="604" spans="1:8" ht="51" x14ac:dyDescent="0.2">
      <c r="A604" s="31" t="s">
        <v>1318</v>
      </c>
      <c r="B604" s="8" t="s">
        <v>1319</v>
      </c>
      <c r="C604" s="27" t="s">
        <v>1320</v>
      </c>
      <c r="D604" s="33" t="s">
        <v>14</v>
      </c>
      <c r="E604" s="34">
        <v>2</v>
      </c>
      <c r="F604" s="34">
        <v>410</v>
      </c>
      <c r="G604" s="10">
        <v>14213134</v>
      </c>
      <c r="H604" s="30" t="str">
        <f ca="1">IFERROR(__xludf.DUMMYFUNCTION("LOWER(REGEXREPLACE(B604&amp;"" ""&amp;C604,""[^а-яa-z0-9 ]"","" ""))")," ресс гладильный с парогенератором  напряжение 380    объ м 9 литров   абаритные размеры  1380x1140x1440 мм   ощность 12 75 к т  ойлер объ мом 9 литров с электронным контролем уровня воды  рабочее давление пара 4 5 бар   ладильная поверхность 1300 500 мм "&amp;" отпаривающая верхняя поверхность  нижняя поверхность с отпариванием и аспирацией ")</f>
        <v xml:space="preserve"> ресс гладильный с парогенератором  напряжение 380    объ м 9 литров   абаритные размеры  1380x1140x1440 мм   ощность 12 75 к т  ойлер объ мом 9 литров с электронным контролем уровня воды  рабочее давление пара 4 5 бар   ладильная поверхность 1300 500 мм  отпаривающая верхняя поверхность  нижняя поверхность с отпариванием и аспирацией </v>
      </c>
    </row>
    <row r="605" spans="1:8" ht="63.75" x14ac:dyDescent="0.2">
      <c r="A605" s="31" t="s">
        <v>1321</v>
      </c>
      <c r="B605" s="27" t="s">
        <v>1322</v>
      </c>
      <c r="C605" s="27" t="s">
        <v>1323</v>
      </c>
      <c r="D605" s="33" t="s">
        <v>14</v>
      </c>
      <c r="E605" s="34">
        <v>2</v>
      </c>
      <c r="F605" s="34">
        <v>295</v>
      </c>
      <c r="G605" s="10">
        <v>14635258</v>
      </c>
      <c r="H605" s="30" t="str">
        <f ca="1">IFERROR(__xludf.DUMMYFUNCTION("LOWER(REGEXREPLACE(B605&amp;"" ""&amp;C605,""[^а-яa-z0-9 ]"","" ""))")," ресс гладильный пресс с паровым нагревом  напряжение 380    объ м 7 литров  давление 5 6 бар   абаритные размеры  1340 x 1060 мм   ощность 12 75к т  ерхняя глянцевая никелированная поверхность с паровым нагревом  нижняя поверхность с паровым нагревом без"&amp;" аспирации  регулируемое давление прижима  открытие верхней поверхности под углом 50 градусов  бойлер объ мом 7 литров  давление 5 6 бар ")</f>
        <v xml:space="preserve"> ресс гладильный пресс с паровым нагревом  напряжение 380    объ м 7 литров  давление 5 6 бар   абаритные размеры  1340 x 1060 мм   ощность 12 75к т  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 мом 7 литров  давление 5 6 бар </v>
      </c>
    </row>
    <row r="606" spans="1:8" ht="12.75" x14ac:dyDescent="0.2">
      <c r="A606" s="31" t="s">
        <v>1324</v>
      </c>
      <c r="B606" s="27" t="s">
        <v>1325</v>
      </c>
      <c r="C606" s="27"/>
      <c r="D606" s="33" t="s">
        <v>14</v>
      </c>
      <c r="E606" s="9"/>
      <c r="F606" s="32"/>
      <c r="G606" s="10"/>
      <c r="H606" s="30" t="str">
        <f ca="1">IFERROR(__xludf.DUMMYFUNCTION("LOWER(REGEXREPLACE(B606&amp;"" ""&amp;C606,""[^а-яa-z0-9 ]"","" ""))")," теллаж металлический ")</f>
        <v xml:space="preserve"> теллаж металлический </v>
      </c>
    </row>
    <row r="607" spans="1:8" ht="114.75" x14ac:dyDescent="0.2">
      <c r="A607" s="31" t="s">
        <v>1326</v>
      </c>
      <c r="B607" s="27" t="s">
        <v>1327</v>
      </c>
      <c r="C607" s="27" t="s">
        <v>1328</v>
      </c>
      <c r="D607" s="33" t="s">
        <v>14</v>
      </c>
      <c r="E607" s="34">
        <v>2</v>
      </c>
      <c r="F607" s="34">
        <v>28</v>
      </c>
      <c r="G607" s="10">
        <v>136585</v>
      </c>
      <c r="H607" s="30" t="str">
        <f ca="1">IFERROR(__xludf.DUMMYFUNCTION("LOWER(REGEXREPLACE(B607&amp;"" ""&amp;C607,""[^а-яa-z0-9 ]"","" ""))")," теллаж металлический типа        размеры 1500х325х2200 мм  7 полок  полка из листовой стали 0 5 мм  стойки из листовой стали 0 7 мм  нагрузка на полку не более 100 кг  теллаж металлический сборно разборной конструкции  четыре усиленные перфорированные  д"&amp;"ля вариации высоты размещения полок с шагом 25 мм  стойки  полки с упорами и ребром жесткости   з листовой стали  0 5мм   полка  0 7мм   стойки   крашен   варные швы выполнены современным методом контактной сварки  точной  незаметной  с высокими показател"&amp;"ями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100 кг ")</f>
        <v xml:space="preserve"> теллаж металлический типа        размеры 1500х325х2200 мм  7 полок  полка из листовой стали 0 5 мм  стойки из листовой стали 0 7 мм  нагрузка на полку не более 100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0 5мм   полка  0 7мм   стойки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100 кг </v>
      </c>
    </row>
    <row r="608" spans="1:8" ht="114.75" x14ac:dyDescent="0.2">
      <c r="A608" s="31" t="s">
        <v>1329</v>
      </c>
      <c r="B608" s="27" t="s">
        <v>1330</v>
      </c>
      <c r="C608" s="27" t="s">
        <v>1331</v>
      </c>
      <c r="D608" s="33" t="s">
        <v>14</v>
      </c>
      <c r="E608" s="34">
        <v>2</v>
      </c>
      <c r="F608" s="34">
        <v>30</v>
      </c>
      <c r="G608" s="10">
        <v>145643</v>
      </c>
      <c r="H608" s="30" t="str">
        <f ca="1">IFERROR(__xludf.DUMMYFUNCTION("LOWER(REGEXREPLACE(B608&amp;"" ""&amp;C608,""[^а-яa-z0-9 ]"","" ""))")," теллаж металлический типа        размеры 1500х325х2200 мм  7 полок  полка из листовой стали 0 7 мм  стойки из листовой стали 1 мм  нагрузка на полку не более 150 кг  теллаж металлический сборно разборной конструкции  четыре усиленные перфорированные  для"&amp;" вариации высоты размещения полок с шагом 25 мм  стойки  полки с упорами и ребром жесткости   з листовой стали  0 7 мм   полка  1 мм   стойки   крашен   варные швы выполнены современным методом контактной сварки  точной  незаметной  с высокими показателям"&amp;"и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150 кг ")</f>
        <v xml:space="preserve"> теллаж металлический типа        размеры 1500х325х2200 мм  7 полок  полка из листовой стали 0 7 мм  стойки из листовой стали 1 мм  нагрузка на полку не более 150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0 7 мм   полка  1 мм   стойки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150 кг </v>
      </c>
    </row>
    <row r="609" spans="1:8" ht="114.75" x14ac:dyDescent="0.2">
      <c r="A609" s="31" t="s">
        <v>1332</v>
      </c>
      <c r="B609" s="27" t="s">
        <v>1333</v>
      </c>
      <c r="C609" s="27" t="s">
        <v>1334</v>
      </c>
      <c r="D609" s="33" t="s">
        <v>14</v>
      </c>
      <c r="E609" s="34">
        <v>2</v>
      </c>
      <c r="F609" s="34">
        <v>32</v>
      </c>
      <c r="G609" s="10">
        <v>155524</v>
      </c>
      <c r="H609" s="30" t="str">
        <f ca="1">IFERROR(__xludf.DUMMYFUNCTION("LOWER(REGEXREPLACE(B609&amp;"" ""&amp;C609,""[^а-яa-z0-9 ]"","" ""))")," теллаж металлический типа        размеры 1500х325х2200 мм  7 полок  стойки  полки из листовой стали 1 мм  нагрузка на полку не более 200 кг  теллаж металлический сборно разборной конструкции  четыре усиленные перфорированные  для вариации высоты размещен"&amp;"ия полок с шагом 25 мм  стойки  полки с упорами и ребром жесткости   з листовой стали 1 мм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по"&amp;"лимерное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200 кг ")</f>
        <v xml:space="preserve"> теллаж металлический типа        размеры 1500х325х2200 мм  7 полок  стойки  полки из листовой стали 1 мм  нагрузка на полку не более 200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1 мм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200 кг </v>
      </c>
    </row>
    <row r="610" spans="1:8" ht="114.75" x14ac:dyDescent="0.2">
      <c r="A610" s="31" t="s">
        <v>1335</v>
      </c>
      <c r="B610" s="27" t="s">
        <v>1336</v>
      </c>
      <c r="C610" s="27" t="s">
        <v>1337</v>
      </c>
      <c r="D610" s="33" t="s">
        <v>14</v>
      </c>
      <c r="E610" s="34">
        <v>2</v>
      </c>
      <c r="F610" s="34">
        <v>24</v>
      </c>
      <c r="G610" s="10">
        <v>205282</v>
      </c>
      <c r="H610" s="30" t="str">
        <f ca="1">IFERROR(__xludf.DUMMYFUNCTION("LOWER(REGEXREPLACE(B610&amp;"" ""&amp;C610,""[^а-яa-z0-9 ]"","" ""))")," теллаж металлический типа       для посуды  размеры 1200х400х1550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олич"&amp;"ество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про"&amp;"странство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авномерно распределенная нагрузка на полку не более 100 кг ")</f>
        <v xml:space="preserve"> теллаж металлический типа       для посуды  размеры 1200х400х1550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авномерно распределенная нагрузка на полку не более 100 кг </v>
      </c>
    </row>
    <row r="611" spans="1:8" ht="114.75" x14ac:dyDescent="0.2">
      <c r="A611" s="31" t="s">
        <v>1338</v>
      </c>
      <c r="B611" s="27" t="s">
        <v>1339</v>
      </c>
      <c r="C611" s="27" t="s">
        <v>1340</v>
      </c>
      <c r="D611" s="33" t="s">
        <v>14</v>
      </c>
      <c r="E611" s="34">
        <v>2</v>
      </c>
      <c r="F611" s="34">
        <v>24</v>
      </c>
      <c r="G611" s="10">
        <v>234867</v>
      </c>
      <c r="H611" s="30" t="str">
        <f ca="1">IFERROR(__xludf.DUMMYFUNCTION("LOWER(REGEXREPLACE(B611&amp;"" ""&amp;C611,""[^а-яa-z0-9 ]"","" ""))")," теллаж металлический типа       для посуды  размеры 1500х400х1800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олич"&amp;"ество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про"&amp;"странство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f>
        <v xml:space="preserve"> теллаж металлический типа       для посуды  размеры 1500х400х1800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2" spans="1:8" ht="89.25" x14ac:dyDescent="0.2">
      <c r="A612" s="31" t="s">
        <v>1341</v>
      </c>
      <c r="B612" s="27" t="s">
        <v>1342</v>
      </c>
      <c r="C612" s="27" t="s">
        <v>1343</v>
      </c>
      <c r="D612" s="33" t="s">
        <v>14</v>
      </c>
      <c r="E612" s="34">
        <v>2</v>
      </c>
      <c r="F612" s="34">
        <v>21</v>
      </c>
      <c r="G612" s="10">
        <v>101246</v>
      </c>
      <c r="H612" s="30" t="str">
        <f ca="1">IFERROR(__xludf.DUMMYFUNCTION("LOWER(REGEXREPLACE(B612&amp;"" ""&amp;C612,""[^а-яa-z0-9 ]"","" ""))")," теллаж металлический типа        размеры 1200х400х1850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показателям"&amp;"и качества  прочности и долговечности   ластиковые подпятники ")</f>
        <v xml:space="preserve"> теллаж металлический типа        размеры 1200х400х1850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3" spans="1:8" ht="89.25" x14ac:dyDescent="0.2">
      <c r="A613" s="31" t="s">
        <v>1344</v>
      </c>
      <c r="B613" s="27" t="s">
        <v>1345</v>
      </c>
      <c r="C613" s="27" t="s">
        <v>1343</v>
      </c>
      <c r="D613" s="33" t="s">
        <v>14</v>
      </c>
      <c r="E613" s="34">
        <v>2</v>
      </c>
      <c r="F613" s="34">
        <v>24</v>
      </c>
      <c r="G613" s="10">
        <v>126071</v>
      </c>
      <c r="H613" s="30" t="str">
        <f ca="1">IFERROR(__xludf.DUMMYFUNCTION("LOWER(REGEXREPLACE(B613&amp;"" ""&amp;C613,""[^а-яa-z0-9 ]"","" ""))")," теллаж металлический типа        размеры 1200х500х1850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показателям"&amp;"и качества  прочности и долговечности   ластиковые подпятники ")</f>
        <v xml:space="preserve"> теллаж металлический типа        размеры 1200х500х1850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4" spans="1:8" ht="89.25" x14ac:dyDescent="0.2">
      <c r="A614" s="31" t="s">
        <v>1346</v>
      </c>
      <c r="B614" s="27" t="s">
        <v>1347</v>
      </c>
      <c r="C614" s="27" t="s">
        <v>1343</v>
      </c>
      <c r="D614" s="33" t="s">
        <v>14</v>
      </c>
      <c r="E614" s="34">
        <v>2</v>
      </c>
      <c r="F614" s="34">
        <v>24</v>
      </c>
      <c r="G614" s="10">
        <v>157565</v>
      </c>
      <c r="H614" s="30" t="str">
        <f ca="1">IFERROR(__xludf.DUMMYFUNCTION("LOWER(REGEXREPLACE(B614&amp;"" ""&amp;C614,""[^а-яa-z0-9 ]"","" ""))")," теллаж металлический типа        размеры 1500х500х1500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показателям"&amp;"и качества  прочности и долговечности   ластиковые подпятники ")</f>
        <v xml:space="preserve"> теллаж металлический типа        размеры 1500х500х1500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5" spans="1:8" ht="89.25" x14ac:dyDescent="0.2">
      <c r="A615" s="31" t="s">
        <v>1348</v>
      </c>
      <c r="B615" s="27" t="s">
        <v>1349</v>
      </c>
      <c r="C615" s="27" t="s">
        <v>1350</v>
      </c>
      <c r="D615" s="33" t="s">
        <v>14</v>
      </c>
      <c r="E615" s="34">
        <v>2</v>
      </c>
      <c r="F615" s="34">
        <v>26</v>
      </c>
      <c r="G615" s="10">
        <v>195746</v>
      </c>
      <c r="H615" s="30" t="str">
        <f ca="1">IFERROR(__xludf.DUMMYFUNCTION("LOWER(REGEXREPLACE(B615&amp;"" ""&amp;C615,""[^а-яa-z0-9 ]"","" ""))")," теллаж металлический типа        размеры 1000х400х1700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показателя"&amp;"ми качества  прочности и долговечности   ластиковые подпятники ")</f>
        <v xml:space="preserve"> теллаж металлический типа        размеры 1000х400х1700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6" spans="1:8" ht="89.25" x14ac:dyDescent="0.2">
      <c r="A616" s="31" t="s">
        <v>1351</v>
      </c>
      <c r="B616" s="27" t="s">
        <v>1352</v>
      </c>
      <c r="C616" s="27" t="s">
        <v>1350</v>
      </c>
      <c r="D616" s="33" t="s">
        <v>14</v>
      </c>
      <c r="E616" s="34">
        <v>2</v>
      </c>
      <c r="F616" s="34">
        <v>28</v>
      </c>
      <c r="G616" s="10">
        <v>214842</v>
      </c>
      <c r="H616" s="30" t="str">
        <f ca="1">IFERROR(__xludf.DUMMYFUNCTION("LOWER(REGEXREPLACE(B616&amp;"" ""&amp;C616,""[^а-яa-z0-9 ]"","" ""))")," теллаж металлический типа        размеры 1200х500х1200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п"&amp;"олки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показателя"&amp;"ми качества  прочности и долговечности   ластиковые подпятники ")</f>
        <v xml:space="preserve"> теллаж металлический типа        размеры 1200х500х1200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v>
      </c>
    </row>
    <row r="617" spans="1:8" ht="114.75" x14ac:dyDescent="0.2">
      <c r="A617" s="31" t="s">
        <v>1353</v>
      </c>
      <c r="B617" s="27" t="s">
        <v>1354</v>
      </c>
      <c r="C617" s="27" t="s">
        <v>1355</v>
      </c>
      <c r="D617" s="33" t="s">
        <v>14</v>
      </c>
      <c r="E617" s="34">
        <v>2</v>
      </c>
      <c r="F617" s="34">
        <v>13</v>
      </c>
      <c r="G617" s="10">
        <v>71629</v>
      </c>
      <c r="H617" s="30" t="str">
        <f ca="1">IFERROR(__xludf.DUMMYFUNCTION("LOWER(REGEXREPLACE(B617&amp;"" ""&amp;C617,""[^а-яa-z0-9 ]"","" ""))")," теллаж металлический типа        размеры 800х300х1800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разм"&amp;"ещения полок с шагом 25 мм  стойки  полки с ребром жесткости   з листовой стали полка 0 5  стойка  0 7мм   крашен   ебель для открытого хранения документов  предметов  различных грузов   варные швы выполнены современным методом контактной сварки  точной  "&amp;"незаметной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б"&amp;"олее 100 кг ")</f>
        <v xml:space="preserve"> теллаж металлический типа        размеры 800х300х1800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полка 0 5  стойка  0 7мм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18" spans="1:8" ht="127.5" x14ac:dyDescent="0.2">
      <c r="A618" s="31" t="s">
        <v>1356</v>
      </c>
      <c r="B618" s="27" t="s">
        <v>1357</v>
      </c>
      <c r="C618" s="27" t="s">
        <v>1358</v>
      </c>
      <c r="D618" s="33" t="s">
        <v>14</v>
      </c>
      <c r="E618" s="34">
        <v>2</v>
      </c>
      <c r="F618" s="34">
        <v>16</v>
      </c>
      <c r="G618" s="10">
        <v>75755</v>
      </c>
      <c r="H618" s="30" t="str">
        <f ca="1">IFERROR(__xludf.DUMMYFUNCTION("LOWER(REGEXREPLACE(B618&amp;"" ""&amp;C618,""[^а-яa-z0-9 ]"","" ""))")," теллаж металлический типа        размеры 800х300х1800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размещ"&amp;"ения полок с шагом 25 мм  стойки  полки с ребром жесткости   з  листовой стали полка 0 7мм  стойка   1 0мм   крашен   ебель для открытого хранения документов  предметов  различных грузов   варные швы выполнены современным методом контактной сварки  точной"&amp;"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не"&amp;" более 150 кг ")</f>
        <v xml:space="preserve"> теллаж металлический типа        размеры 800х300х1800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полка 0 7мм  стойка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19" spans="1:8" ht="127.5" x14ac:dyDescent="0.2">
      <c r="A619" s="31" t="s">
        <v>1359</v>
      </c>
      <c r="B619" s="27" t="s">
        <v>1360</v>
      </c>
      <c r="C619" s="27" t="s">
        <v>1361</v>
      </c>
      <c r="D619" s="33" t="s">
        <v>14</v>
      </c>
      <c r="E619" s="34">
        <v>2</v>
      </c>
      <c r="F619" s="34">
        <v>19</v>
      </c>
      <c r="G619" s="10">
        <v>84274</v>
      </c>
      <c r="H619" s="30" t="str">
        <f ca="1">IFERROR(__xludf.DUMMYFUNCTION("LOWER(REGEXREPLACE(B619&amp;"" ""&amp;C619,""[^а-яa-z0-9 ]"","" ""))")," теллаж металлический типа        размеры 800х300х1800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размещ"&amp;"ения полок с шагом 25 мм  стойки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высоки"&amp;"ми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xml:space="preserve"> теллаж металлический типа        размеры 800х300х1800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размещения полок с шагом 25 мм  стойки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20" spans="1:8" ht="127.5" x14ac:dyDescent="0.2">
      <c r="A620" s="31" t="s">
        <v>1362</v>
      </c>
      <c r="B620" s="27" t="s">
        <v>1363</v>
      </c>
      <c r="C620" s="27" t="s">
        <v>1364</v>
      </c>
      <c r="D620" s="33" t="s">
        <v>14</v>
      </c>
      <c r="E620" s="34">
        <v>2</v>
      </c>
      <c r="F620" s="34">
        <v>19</v>
      </c>
      <c r="G620" s="10">
        <v>134179</v>
      </c>
      <c r="H620" s="30" t="str">
        <f ca="1">IFERROR(__xludf.DUMMYFUNCTION("LOWER(REGEXREPLACE(B620&amp;"" ""&amp;C620,""[^а-яa-z0-9 ]"","" ""))")," теллаж металлический типа        размеры 1200х600х2000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раз"&amp;"мещения полок с шагом 25 мм  стойки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точ"&amp;"ной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полку"&amp;" не более 100 кг ")</f>
        <v xml:space="preserve"> теллаж металлический типа        размеры 1200х600х2000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21" spans="1:8" ht="127.5" x14ac:dyDescent="0.2">
      <c r="A621" s="31" t="s">
        <v>1365</v>
      </c>
      <c r="B621" s="27" t="s">
        <v>1366</v>
      </c>
      <c r="C621" s="27" t="s">
        <v>1367</v>
      </c>
      <c r="D621" s="33" t="s">
        <v>14</v>
      </c>
      <c r="E621" s="34">
        <v>2</v>
      </c>
      <c r="F621" s="34">
        <v>21</v>
      </c>
      <c r="G621" s="10">
        <v>145788</v>
      </c>
      <c r="H621" s="30" t="str">
        <f ca="1">IFERROR(__xludf.DUMMYFUNCTION("LOWER(REGEXREPLACE(B621&amp;"" ""&amp;C621,""[^а-яa-z0-9 ]"","" ""))")," теллаж металлический типа        размеры 1200х600х2000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разме"&amp;"щения полок с шагом 25 мм  стойки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то"&amp;"чной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полк"&amp;"у не более 150 кг ")</f>
        <v xml:space="preserve"> теллаж металлический типа        размеры 1200х600х2000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22" spans="1:8" ht="127.5" x14ac:dyDescent="0.2">
      <c r="A622" s="31" t="s">
        <v>1368</v>
      </c>
      <c r="B622" s="27" t="s">
        <v>1369</v>
      </c>
      <c r="C622" s="27" t="s">
        <v>1370</v>
      </c>
      <c r="D622" s="33" t="s">
        <v>14</v>
      </c>
      <c r="E622" s="34">
        <v>2</v>
      </c>
      <c r="F622" s="34">
        <v>23</v>
      </c>
      <c r="G622" s="10">
        <v>144644</v>
      </c>
      <c r="H622" s="30" t="str">
        <f ca="1">IFERROR(__xludf.DUMMYFUNCTION("LOWER(REGEXREPLACE(B622&amp;"" ""&amp;C622,""[^а-яa-z0-9 ]"","" ""))")," теллаж металлический типа        размеры 1200х500х2000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разм"&amp;"ещения полок с шагом 25 мм  стойки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высок"&amp;"ими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xml:space="preserve"> теллаж металлический типа        размеры 1200х500х2000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размещения полок с шагом 25 мм  стойки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23" spans="1:8" ht="127.5" x14ac:dyDescent="0.2">
      <c r="A623" s="31" t="s">
        <v>1371</v>
      </c>
      <c r="B623" s="27" t="s">
        <v>1372</v>
      </c>
      <c r="C623" s="27" t="s">
        <v>1373</v>
      </c>
      <c r="D623" s="33" t="s">
        <v>14</v>
      </c>
      <c r="E623" s="34">
        <v>2</v>
      </c>
      <c r="F623" s="34">
        <v>19</v>
      </c>
      <c r="G623" s="10">
        <v>98375</v>
      </c>
      <c r="H623" s="30" t="str">
        <f ca="1">IFERROR(__xludf.DUMMYFUNCTION("LOWER(REGEXREPLACE(B623&amp;"" ""&amp;C623,""[^а-яa-z0-9 ]"","" ""))")," теллаж металлический типа        размеры 1000х300х2450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выс"&amp;"оты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сварк"&amp;"и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на"&amp;" полку не более 100 кг ")</f>
        <v xml:space="preserve"> теллаж металлический типа        размеры 1000х300х2450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100 кг </v>
      </c>
    </row>
    <row r="624" spans="1:8" ht="114.75" x14ac:dyDescent="0.2">
      <c r="A624" s="31" t="s">
        <v>1374</v>
      </c>
      <c r="B624" s="27" t="s">
        <v>1375</v>
      </c>
      <c r="C624" s="27" t="s">
        <v>1376</v>
      </c>
      <c r="D624" s="33" t="s">
        <v>14</v>
      </c>
      <c r="E624" s="34">
        <v>2</v>
      </c>
      <c r="F624" s="34">
        <v>21</v>
      </c>
      <c r="G624" s="10">
        <v>101711</v>
      </c>
      <c r="H624" s="30" t="str">
        <f ca="1">IFERROR(__xludf.DUMMYFUNCTION("LOWER(REGEXREPLACE(B624&amp;"" ""&amp;C624,""[^а-яa-z0-9 ]"","" ""))")," теллаж металлический типа        размеры 1000х300х2450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высот"&amp;"ы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то"&amp;"чной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полк"&amp;"у не более 150 кг ")</f>
        <v xml:space="preserve"> теллаж металлический типа        размеры 1000х300х2450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150 кг </v>
      </c>
    </row>
    <row r="625" spans="1:8" ht="127.5" x14ac:dyDescent="0.2">
      <c r="A625" s="31" t="s">
        <v>1377</v>
      </c>
      <c r="B625" s="27" t="s">
        <v>1378</v>
      </c>
      <c r="C625" s="27" t="s">
        <v>1379</v>
      </c>
      <c r="D625" s="33" t="s">
        <v>14</v>
      </c>
      <c r="E625" s="34">
        <v>2</v>
      </c>
      <c r="F625" s="34">
        <v>23</v>
      </c>
      <c r="G625" s="10">
        <v>114714</v>
      </c>
      <c r="H625" s="30" t="str">
        <f ca="1">IFERROR(__xludf.DUMMYFUNCTION("LOWER(REGEXREPLACE(B625&amp;"" ""&amp;C625,""[^а-яa-z0-9 ]"","" ""))")," теллаж металлический типа        размеры 1000х300х2450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шаго"&amp;"м 25 мм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кач"&amp;"ества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200 кг ")</f>
        <v xml:space="preserve"> теллаж металлический типа        размеры 1000х300х2450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200 кг </v>
      </c>
    </row>
    <row r="626" spans="1:8" ht="127.5" x14ac:dyDescent="0.2">
      <c r="A626" s="31" t="s">
        <v>1380</v>
      </c>
      <c r="B626" s="27" t="s">
        <v>1381</v>
      </c>
      <c r="C626" s="27" t="s">
        <v>1382</v>
      </c>
      <c r="D626" s="33" t="s">
        <v>14</v>
      </c>
      <c r="E626" s="34">
        <v>2</v>
      </c>
      <c r="F626" s="34">
        <v>24</v>
      </c>
      <c r="G626" s="10">
        <v>115573</v>
      </c>
      <c r="H626" s="30" t="str">
        <f ca="1">IFERROR(__xludf.DUMMYFUNCTION("LOWER(REGEXREPLACE(B626&amp;"" ""&amp;C626,""[^а-яa-z0-9 ]"","" ""))")," теллаж металлический типа        размеры 1500х300х1800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выс"&amp;"оты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точн"&amp;"ой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"&amp;"не более 100 кг ")</f>
        <v xml:space="preserve"> теллаж металлический типа        размеры 1500х300х1800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27" spans="1:8" ht="127.5" x14ac:dyDescent="0.2">
      <c r="A627" s="31" t="s">
        <v>1383</v>
      </c>
      <c r="B627" s="27" t="s">
        <v>1384</v>
      </c>
      <c r="C627" s="27" t="s">
        <v>1382</v>
      </c>
      <c r="D627" s="33" t="s">
        <v>14</v>
      </c>
      <c r="E627" s="34">
        <v>2</v>
      </c>
      <c r="F627" s="34">
        <v>24</v>
      </c>
      <c r="G627" s="10">
        <v>122254</v>
      </c>
      <c r="H627" s="30" t="str">
        <f ca="1">IFERROR(__xludf.DUMMYFUNCTION("LOWER(REGEXREPLACE(B627&amp;"" ""&amp;C627,""[^а-яa-z0-9 ]"","" ""))")," теллаж металлический типа        размеры 1200х400х2200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выс"&amp;"оты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точн"&amp;"ой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"&amp;"не более 100 кг ")</f>
        <v xml:space="preserve"> теллаж металлический типа        размеры 1200х400х2200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v>
      </c>
    </row>
    <row r="628" spans="1:8" ht="127.5" x14ac:dyDescent="0.2">
      <c r="A628" s="31" t="s">
        <v>1385</v>
      </c>
      <c r="B628" s="27" t="s">
        <v>1386</v>
      </c>
      <c r="C628" s="27" t="s">
        <v>1387</v>
      </c>
      <c r="D628" s="33" t="s">
        <v>14</v>
      </c>
      <c r="E628" s="34">
        <v>2</v>
      </c>
      <c r="F628" s="34">
        <v>26</v>
      </c>
      <c r="G628" s="10">
        <v>126474</v>
      </c>
      <c r="H628" s="30" t="str">
        <f ca="1">IFERROR(__xludf.DUMMYFUNCTION("LOWER(REGEXREPLACE(B628&amp;"" ""&amp;C628,""[^а-яa-z0-9 ]"","" ""))")," теллаж металлический типа        размеры 1500х300х1800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высот"&amp;"ы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точ"&amp;"ной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полку"&amp;" не более 150 кг ")</f>
        <v xml:space="preserve"> теллаж металлический типа        размеры 1500х300х1800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29" spans="1:8" ht="127.5" x14ac:dyDescent="0.2">
      <c r="A629" s="31" t="s">
        <v>1388</v>
      </c>
      <c r="B629" s="27" t="s">
        <v>1389</v>
      </c>
      <c r="C629" s="27" t="s">
        <v>1387</v>
      </c>
      <c r="D629" s="33" t="s">
        <v>14</v>
      </c>
      <c r="E629" s="34">
        <v>2</v>
      </c>
      <c r="F629" s="34">
        <v>26</v>
      </c>
      <c r="G629" s="10">
        <v>126474</v>
      </c>
      <c r="H629" s="30" t="str">
        <f ca="1">IFERROR(__xludf.DUMMYFUNCTION("LOWER(REGEXREPLACE(B629&amp;"" ""&amp;C629,""[^а-яa-z0-9 ]"","" ""))")," теллаж металлический типа        размеры 1200х400х2200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высот"&amp;"ы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точ"&amp;"ной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полку"&amp;" не более 150 кг ")</f>
        <v xml:space="preserve"> теллаж металлический типа        размеры 1200х400х2200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v>
      </c>
    </row>
    <row r="630" spans="1:8" ht="127.5" x14ac:dyDescent="0.2">
      <c r="A630" s="31" t="s">
        <v>1390</v>
      </c>
      <c r="B630" s="27" t="s">
        <v>1391</v>
      </c>
      <c r="C630" s="27" t="s">
        <v>1392</v>
      </c>
      <c r="D630" s="33" t="s">
        <v>14</v>
      </c>
      <c r="E630" s="34">
        <v>2</v>
      </c>
      <c r="F630" s="34">
        <v>28</v>
      </c>
      <c r="G630" s="10">
        <v>121571</v>
      </c>
      <c r="H630" s="30" t="str">
        <f ca="1">IFERROR(__xludf.DUMMYFUNCTION("LOWER(REGEXREPLACE(B630&amp;"" ""&amp;C630,""[^а-яa-z0-9 ]"","" ""))")," теллаж металлический типа        размеры 1200х300х1800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шаго"&amp;"м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качеств"&amp;"а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xml:space="preserve"> теллаж металлический типа        размеры 1200х300х1800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31" spans="1:8" ht="127.5" x14ac:dyDescent="0.2">
      <c r="A631" s="31" t="s">
        <v>1393</v>
      </c>
      <c r="B631" s="27" t="s">
        <v>1394</v>
      </c>
      <c r="C631" s="27" t="s">
        <v>1392</v>
      </c>
      <c r="D631" s="33" t="s">
        <v>14</v>
      </c>
      <c r="E631" s="34">
        <v>2</v>
      </c>
      <c r="F631" s="34">
        <v>28</v>
      </c>
      <c r="G631" s="10">
        <v>121571</v>
      </c>
      <c r="H631" s="30" t="str">
        <f ca="1">IFERROR(__xludf.DUMMYFUNCTION("LOWER(REGEXREPLACE(B631&amp;"" ""&amp;C631,""[^а-яa-z0-9 ]"","" ""))")," теллаж металлический типа        размеры 1200х400х2200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шаго"&amp;"м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качеств"&amp;"а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f>
        <v xml:space="preserve"> теллаж металлический типа        размеры 1200х400х2200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v>
      </c>
    </row>
    <row r="632" spans="1:8" ht="12.75" x14ac:dyDescent="0.2">
      <c r="A632" s="31" t="s">
        <v>1395</v>
      </c>
      <c r="B632" s="27" t="s">
        <v>1396</v>
      </c>
      <c r="C632" s="27"/>
      <c r="D632" s="33" t="s">
        <v>14</v>
      </c>
      <c r="E632" s="9"/>
      <c r="F632" s="32"/>
      <c r="G632" s="10"/>
      <c r="H632" s="30" t="str">
        <f ca="1">IFERROR(__xludf.DUMMYFUNCTION("LOWER(REGEXREPLACE(B632&amp;"" ""&amp;C632,""[^а-яa-z0-9 ]"","" ""))")," паковщик ")</f>
        <v xml:space="preserve"> паковщик </v>
      </c>
    </row>
    <row r="633" spans="1:8" ht="76.5" x14ac:dyDescent="0.2">
      <c r="A633" s="31" t="s">
        <v>1397</v>
      </c>
      <c r="B633" s="8" t="s">
        <v>1398</v>
      </c>
      <c r="C633" s="27" t="s">
        <v>1399</v>
      </c>
      <c r="D633" s="33" t="s">
        <v>14</v>
      </c>
      <c r="E633" s="34">
        <v>2</v>
      </c>
      <c r="F633" s="34">
        <v>45</v>
      </c>
      <c r="G633" s="10">
        <v>1664673</v>
      </c>
      <c r="H633" s="30" t="str">
        <f ca="1">IFERROR(__xludf.DUMMYFUNCTION("LOWER(REGEXREPLACE(B633&amp;"" ""&amp;C633,""[^а-яa-z0-9 ]"","" ""))")," паковщик настенный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810х300х500 мм   ощность 0 166 к т  паковщик может быть закреплен на стен"&amp;"е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f>
        <v xml:space="preserve"> паковщик настенный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810х300х500 мм   ощность 0 166 к т  паковщик может быть закреплен на стене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v>
      </c>
    </row>
    <row r="634" spans="1:8" ht="76.5" x14ac:dyDescent="0.2">
      <c r="A634" s="31" t="s">
        <v>1400</v>
      </c>
      <c r="B634" s="27" t="s">
        <v>1401</v>
      </c>
      <c r="C634" s="27" t="s">
        <v>1399</v>
      </c>
      <c r="D634" s="33" t="s">
        <v>14</v>
      </c>
      <c r="E634" s="34">
        <v>2</v>
      </c>
      <c r="F634" s="34">
        <v>66</v>
      </c>
      <c r="G634" s="10">
        <v>2116144</v>
      </c>
      <c r="H634" s="30" t="str">
        <f ca="1">IFERROR(__xludf.DUMMYFUNCTION("LOWER(REGEXREPLACE(B634&amp;"" ""&amp;C634,""[^а-яa-z0-9 ]"","" ""))")," паковщик напольный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810х300х2000 мм   ощность 0 166 к т  паковщик может быть закреплен на сте"&amp;"не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f>
        <v xml:space="preserve"> паковщик напольный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810х300х2000 мм   ощность 0 166 к т  паковщик может быть закреплен на стене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v>
      </c>
    </row>
    <row r="635" spans="1:8" ht="63.75" x14ac:dyDescent="0.2">
      <c r="A635" s="31" t="s">
        <v>1402</v>
      </c>
      <c r="B635" s="27" t="s">
        <v>1403</v>
      </c>
      <c r="C635" s="27" t="s">
        <v>1404</v>
      </c>
      <c r="D635" s="33" t="s">
        <v>14</v>
      </c>
      <c r="E635" s="34">
        <v>2</v>
      </c>
      <c r="F635" s="34">
        <v>88</v>
      </c>
      <c r="G635" s="10">
        <v>3089537</v>
      </c>
      <c r="H635" s="30" t="str">
        <f ca="1">IFERROR(__xludf.DUMMYFUNCTION("LOWER(REGEXREPLACE(B635&amp;"" ""&amp;C635,""[^а-яa-z0-9 ]"","" ""))")," паковщик для белья  пневматическое управление   орпус выполнен из окрашенной стали   аксимальный размер упаковки  700х700х500 мм   абаритные размеры  1500х1400х900 мм   ощность 0 332 к т  спользуется в химчистках и прачечных для упаковки прямого белья  о"&amp;"деял и покрывал   одель оснащена пневматическим управлением и 4 колесами для удобства перемещения   аксимальный размер катушки  750 мм ")</f>
        <v xml:space="preserve"> паковщик для белья  пневматическое управление   орпус выполнен из окрашенной стали   аксимальный размер упаковки  700х700х500 мм   абаритные размеры  1500х1400х900 мм   ощность 0 332 к т  спользуется в химчистках и прачечных для упаковки прямого белья  одеял и покрывал   одель оснащена пневматическим управлением и 4 колесами для удобства перемещения   аксимальный размер катушки  750 мм </v>
      </c>
    </row>
    <row r="636" spans="1:8" ht="12.75" x14ac:dyDescent="0.2">
      <c r="A636" s="31" t="s">
        <v>1405</v>
      </c>
      <c r="B636" s="27" t="s">
        <v>1406</v>
      </c>
      <c r="C636" s="27"/>
      <c r="D636" s="33" t="s">
        <v>14</v>
      </c>
      <c r="E636" s="9"/>
      <c r="F636" s="32"/>
      <c r="G636" s="10"/>
      <c r="H636" s="30" t="str">
        <f ca="1">IFERROR(__xludf.DUMMYFUNCTION("LOWER(REGEXREPLACE(B636&amp;"" ""&amp;C636,""[^а-яa-z0-9 ]"","" ""))")," тол пятновыводной ")</f>
        <v xml:space="preserve"> тол пятновыводной </v>
      </c>
    </row>
    <row r="637" spans="1:8" ht="63.75" x14ac:dyDescent="0.2">
      <c r="A637" s="31" t="s">
        <v>1407</v>
      </c>
      <c r="B637" s="27" t="s">
        <v>1408</v>
      </c>
      <c r="C637" s="27" t="s">
        <v>1409</v>
      </c>
      <c r="D637" s="33" t="s">
        <v>14</v>
      </c>
      <c r="E637" s="34">
        <v>2</v>
      </c>
      <c r="F637" s="34">
        <v>12</v>
      </c>
      <c r="G637" s="10">
        <v>2151511</v>
      </c>
      <c r="H637" s="30" t="str">
        <f ca="1">IFERROR(__xludf.DUMMYFUNCTION("LOWER(REGEXREPLACE(B637&amp;"" ""&amp;C637,""[^а-яa-z0-9 ]"","" ""))")," тол пятновыводной  напряжение 220    рабочая поверхность из нержавеющей стали размером 750 270 мм   абаритные размеры  820х290х720 мм   ощность 0 1 к т  снащ н холодным пятновыводным пистолетом с бачком для химических продуктов  воздушным пистолетом для "&amp;"сушки  встроенным аспиратором  работающим от педали  баком для отделения жидкостей и воздушным фильтром ")</f>
        <v xml:space="preserve"> тол пятновыводной  напряжение 220    рабочая поверхность из нержавеющей стали размером 750 270 мм   абаритные размеры  820х290х720 мм   ощность 0 1 к т  снащ 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 </v>
      </c>
    </row>
    <row r="638" spans="1:8" ht="89.25" x14ac:dyDescent="0.2">
      <c r="A638" s="31" t="s">
        <v>1410</v>
      </c>
      <c r="B638" s="8" t="s">
        <v>1411</v>
      </c>
      <c r="C638" s="27" t="s">
        <v>1412</v>
      </c>
      <c r="D638" s="33" t="s">
        <v>14</v>
      </c>
      <c r="E638" s="34">
        <v>2</v>
      </c>
      <c r="F638" s="34">
        <v>70</v>
      </c>
      <c r="G638" s="10">
        <v>5005142</v>
      </c>
      <c r="H638" s="30" t="str">
        <f ca="1">IFERROR(__xludf.DUMMYFUNCTION("LOWER(REGEXREPLACE(B638&amp;"" ""&amp;C638,""[^а-яa-z0-9 ]"","" ""))")," тол холодный пятновыводной  напряжение 220    рабочая поверхность из нержавеющей стали размером 1440x700х900 мм   абаритные размеры  1440x700х900 мм   ощность 2 45 к т  снащен формой для выведения пятен на рукавах из нержавеющей стали  рамой для опоры из"&amp;"делий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управлением"&amp;"  баком для сбора остатков жидкости и воздушным фильтром ")</f>
        <v xml:space="preserve"> тол холодный пятновыводной  напряжение 220    рабочая поверхность из нержавеющей стали размером 1440x700х900 мм   абаритные размеры  1440x700х900 мм   ощность 2 45 к т  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 </v>
      </c>
    </row>
    <row r="639" spans="1:8" x14ac:dyDescent="0.2">
      <c r="A639" s="7" t="s">
        <v>1413</v>
      </c>
      <c r="B639" s="26"/>
      <c r="C639" s="27"/>
      <c r="D639" s="26"/>
      <c r="E639" s="28"/>
      <c r="F639" s="26"/>
      <c r="G639" s="29"/>
      <c r="H639" s="30" t="str">
        <f ca="1">IFERROR(__xludf.DUMMYFUNCTION("LOWER(REGEXREPLACE(B639&amp;"" ""&amp;C639,""[^а-яa-z0-9 ]"","" ""))")," ")</f>
        <v xml:space="preserve"> </v>
      </c>
    </row>
    <row r="640" spans="1:8" ht="12.75" x14ac:dyDescent="0.2">
      <c r="A640" s="31" t="s">
        <v>1414</v>
      </c>
      <c r="B640" s="27" t="s">
        <v>1415</v>
      </c>
      <c r="C640" s="27"/>
      <c r="D640" s="32"/>
      <c r="E640" s="9"/>
      <c r="F640" s="32"/>
      <c r="G640" s="10"/>
      <c r="H640" s="30" t="str">
        <f ca="1">IFERROR(__xludf.DUMMYFUNCTION("LOWER(REGEXREPLACE(B640&amp;"" ""&amp;C640,""[^а-яa-z0-9 ]"","" ""))")," редмет   узыка  ")</f>
        <v xml:space="preserve"> редмет   узыка  </v>
      </c>
    </row>
    <row r="641" spans="1:8" ht="12.75" x14ac:dyDescent="0.2">
      <c r="A641" s="31" t="s">
        <v>1416</v>
      </c>
      <c r="B641" s="27" t="s">
        <v>1417</v>
      </c>
      <c r="C641" s="27" t="s">
        <v>1418</v>
      </c>
      <c r="D641" s="33" t="s">
        <v>14</v>
      </c>
      <c r="E641" s="9"/>
      <c r="F641" s="32"/>
      <c r="G641" s="10">
        <v>1338393</v>
      </c>
      <c r="H641" s="30" t="str">
        <f ca="1">IFERROR(__xludf.DUMMYFUNCTION("LOWER(REGEXREPLACE(B641&amp;"" ""&amp;C641,""[^а-яa-z0-9 ]"","" ""))")," ианино  ианино акустическое в комплекте со стулом ")</f>
        <v xml:space="preserve"> ианино  ианино акустическое в комплекте со стулом </v>
      </c>
    </row>
    <row r="642" spans="1:8" ht="12.75" x14ac:dyDescent="0.2">
      <c r="A642" s="31" t="s">
        <v>1419</v>
      </c>
      <c r="B642" s="27" t="s">
        <v>1420</v>
      </c>
      <c r="C642" s="27"/>
      <c r="D642" s="32"/>
      <c r="E642" s="9"/>
      <c r="F642" s="32"/>
      <c r="G642" s="10"/>
      <c r="H642" s="30" t="str">
        <f ca="1">IFERROR(__xludf.DUMMYFUNCTION("LOWER(REGEXREPLACE(B642&amp;"" ""&amp;C642,""[^а-яa-z0-9 ]"","" ""))")," узыкальные инструменты ")</f>
        <v xml:space="preserve"> узыкальные инструменты </v>
      </c>
    </row>
    <row r="643" spans="1:8" ht="12.75" x14ac:dyDescent="0.2">
      <c r="A643" s="31" t="s">
        <v>1421</v>
      </c>
      <c r="B643" s="27" t="s">
        <v>1422</v>
      </c>
      <c r="C643" s="27"/>
      <c r="D643" s="33" t="s">
        <v>14</v>
      </c>
      <c r="E643" s="9"/>
      <c r="F643" s="32"/>
      <c r="G643" s="10">
        <v>79286</v>
      </c>
      <c r="H643" s="30" t="str">
        <f ca="1">IFERROR(__xludf.DUMMYFUNCTION("LOWER(REGEXREPLACE(B643&amp;"" ""&amp;C643,""[^а-яa-z0-9 ]"","" ""))")," крипичный комплект  ewa  iolin  utfit    1 2 ")</f>
        <v xml:space="preserve"> крипичный комплект  ewa  iolin  utfit    1 2 </v>
      </c>
    </row>
    <row r="644" spans="1:8" ht="12.75" x14ac:dyDescent="0.2">
      <c r="A644" s="31" t="s">
        <v>1423</v>
      </c>
      <c r="B644" s="27" t="s">
        <v>1424</v>
      </c>
      <c r="C644" s="27"/>
      <c r="D644" s="33" t="s">
        <v>14</v>
      </c>
      <c r="E644" s="9"/>
      <c r="F644" s="32"/>
      <c r="G644" s="10">
        <v>102768</v>
      </c>
      <c r="H644" s="30" t="str">
        <f ca="1">IFERROR(__xludf.DUMMYFUNCTION("LOWER(REGEXREPLACE(B644&amp;"" ""&amp;C644,""[^а-яa-z0-9 ]"","" ""))")," кустическая гитара  nya     1 ")</f>
        <v xml:space="preserve"> кустическая гитара  nya     1 </v>
      </c>
    </row>
    <row r="645" spans="1:8" ht="12.75" x14ac:dyDescent="0.2">
      <c r="A645" s="31" t="s">
        <v>1425</v>
      </c>
      <c r="B645" s="27" t="s">
        <v>1426</v>
      </c>
      <c r="C645" s="27"/>
      <c r="D645" s="33" t="s">
        <v>14</v>
      </c>
      <c r="E645" s="9"/>
      <c r="F645" s="32"/>
      <c r="G645" s="10">
        <v>85625</v>
      </c>
      <c r="H645" s="30" t="str">
        <f ca="1">IFERROR(__xludf.DUMMYFUNCTION("LOWER(REGEXREPLACE(B645&amp;"" ""&amp;C645,""[^а-яa-z0-9 ]"","" ""))")," лассическая гитара  alden  350 ")</f>
        <v xml:space="preserve"> лассическая гитара  alden  350 </v>
      </c>
    </row>
    <row r="646" spans="1:8" ht="12.75" x14ac:dyDescent="0.2">
      <c r="A646" s="31" t="s">
        <v>1427</v>
      </c>
      <c r="B646" s="27" t="s">
        <v>1428</v>
      </c>
      <c r="C646" s="27"/>
      <c r="D646" s="33" t="s">
        <v>14</v>
      </c>
      <c r="E646" s="9"/>
      <c r="F646" s="32"/>
      <c r="G646" s="10">
        <v>26607</v>
      </c>
      <c r="H646" s="30" t="str">
        <f ca="1">IFERROR(__xludf.DUMMYFUNCTION("LOWER(REGEXREPLACE(B646&amp;"" ""&amp;C646,""[^а-яa-z0-9 ]"","" ""))")," кулеле сопрано  nya     20 ")</f>
        <v xml:space="preserve"> кулеле сопрано  nya     20 </v>
      </c>
    </row>
    <row r="647" spans="1:8" ht="25.5" x14ac:dyDescent="0.2">
      <c r="A647" s="31" t="s">
        <v>1429</v>
      </c>
      <c r="B647" s="27" t="s">
        <v>1430</v>
      </c>
      <c r="C647" s="27"/>
      <c r="D647" s="33" t="s">
        <v>68</v>
      </c>
      <c r="E647" s="9"/>
      <c r="F647" s="32"/>
      <c r="G647" s="10">
        <v>199821</v>
      </c>
      <c r="H647" s="30" t="str">
        <f ca="1">IFERROR(__xludf.DUMMYFUNCTION("LOWER(REGEXREPLACE(B647&amp;"" ""&amp;C647,""[^а-яa-z0-9 ]"","" ""))")," абор электрогитара  quier  ffinity  eries  tratocaster      ake  lacid  lue ")</f>
        <v xml:space="preserve"> абор электрогитара  quier  ffinity  eries  tratocaster      ake  lacid  lue </v>
      </c>
    </row>
    <row r="648" spans="1:8" ht="25.5" x14ac:dyDescent="0.2">
      <c r="A648" s="31" t="s">
        <v>1431</v>
      </c>
      <c r="B648" s="27" t="s">
        <v>1432</v>
      </c>
      <c r="C648" s="27"/>
      <c r="D648" s="33" t="s">
        <v>68</v>
      </c>
      <c r="E648" s="9"/>
      <c r="F648" s="32"/>
      <c r="G648" s="10">
        <v>204911</v>
      </c>
      <c r="H648" s="30" t="str">
        <f ca="1">IFERROR(__xludf.DUMMYFUNCTION("LOWER(REGEXREPLACE(B648&amp;"" ""&amp;C648,""[^а-яa-z0-9 ]"","" ""))")," ас гитара  quier  ffinity  eries   recision  ass      ack  aurel  ingerboard  rown ")</f>
        <v xml:space="preserve"> ас гитара  quier  ffinity  eries   recision  ass      ack  aurel  ingerboard  rown </v>
      </c>
    </row>
    <row r="649" spans="1:8" ht="12.75" x14ac:dyDescent="0.2">
      <c r="A649" s="31" t="s">
        <v>1433</v>
      </c>
      <c r="B649" s="27" t="s">
        <v>1434</v>
      </c>
      <c r="C649" s="27"/>
      <c r="D649" s="33" t="s">
        <v>68</v>
      </c>
      <c r="E649" s="9"/>
      <c r="F649" s="32"/>
      <c r="G649" s="10">
        <v>487612</v>
      </c>
      <c r="H649" s="30" t="str">
        <f ca="1">IFERROR(__xludf.DUMMYFUNCTION("LOWER(REGEXREPLACE(B649&amp;"" ""&amp;C649,""[^а-яa-z0-9 ]"","" ""))")," дарная установка  retsch  rum set  nergy ")</f>
        <v xml:space="preserve"> дарная установка  retsch  rum set  nergy </v>
      </c>
    </row>
    <row r="650" spans="1:8" ht="12.75" x14ac:dyDescent="0.2">
      <c r="A650" s="31" t="s">
        <v>1435</v>
      </c>
      <c r="B650" s="27" t="s">
        <v>1436</v>
      </c>
      <c r="C650" s="27"/>
      <c r="D650" s="33" t="s">
        <v>14</v>
      </c>
      <c r="E650" s="9"/>
      <c r="F650" s="32"/>
      <c r="G650" s="10">
        <v>150188</v>
      </c>
      <c r="H650" s="30" t="str">
        <f ca="1">IFERROR(__xludf.DUMMYFUNCTION("LOWER(REGEXREPLACE(B650&amp;"" ""&amp;C650,""[^а-яa-z0-9 ]"","" ""))")," руба  oy  enson    202   b ")</f>
        <v xml:space="preserve"> руба  oy  enson    202   b </v>
      </c>
    </row>
    <row r="651" spans="1:8" ht="12.75" x14ac:dyDescent="0.2">
      <c r="A651" s="31" t="s">
        <v>1437</v>
      </c>
      <c r="B651" s="27" t="s">
        <v>1438</v>
      </c>
      <c r="C651" s="27"/>
      <c r="D651" s="33" t="s">
        <v>14</v>
      </c>
      <c r="E651" s="9"/>
      <c r="F651" s="32"/>
      <c r="G651" s="10">
        <v>189362</v>
      </c>
      <c r="H651" s="30" t="str">
        <f ca="1">IFERROR(__xludf.DUMMYFUNCTION("LOWER(REGEXREPLACE(B651&amp;"" ""&amp;C651,""[^а-яa-z0-9 ]"","" ""))")," ромбон тенор  oy  enson    227 ")</f>
        <v xml:space="preserve"> ромбон тенор  oy  enson    227 </v>
      </c>
    </row>
    <row r="652" spans="1:8" ht="12.75" x14ac:dyDescent="0.2">
      <c r="A652" s="31" t="s">
        <v>1439</v>
      </c>
      <c r="B652" s="27" t="s">
        <v>1440</v>
      </c>
      <c r="C652" s="27"/>
      <c r="D652" s="33" t="s">
        <v>14</v>
      </c>
      <c r="E652" s="9"/>
      <c r="F652" s="32"/>
      <c r="G652" s="10">
        <v>132589</v>
      </c>
      <c r="H652" s="30" t="str">
        <f ca="1">IFERROR(__xludf.DUMMYFUNCTION("LOWER(REGEXREPLACE(B652&amp;"" ""&amp;C652,""[^а-яa-z0-9 ]"","" ""))")," лейта  oy  enson    402  ")</f>
        <v xml:space="preserve"> лейта  oy  enson    402  </v>
      </c>
    </row>
    <row r="653" spans="1:8" ht="12.75" x14ac:dyDescent="0.2">
      <c r="A653" s="31" t="s">
        <v>1441</v>
      </c>
      <c r="B653" s="27" t="s">
        <v>1442</v>
      </c>
      <c r="C653" s="27"/>
      <c r="D653" s="33" t="s">
        <v>14</v>
      </c>
      <c r="E653" s="9"/>
      <c r="F653" s="32"/>
      <c r="G653" s="10">
        <v>1125804</v>
      </c>
      <c r="H653" s="30" t="str">
        <f ca="1">IFERROR(__xludf.DUMMYFUNCTION("LOWER(REGEXREPLACE(B653&amp;"" ""&amp;C653,""[^а-яa-z0-9 ]"","" ""))")," уба  oy  enson    301  b ")</f>
        <v xml:space="preserve"> уба  oy  enson    301  b </v>
      </c>
    </row>
    <row r="654" spans="1:8" ht="12.75" x14ac:dyDescent="0.2">
      <c r="A654" s="31" t="s">
        <v>1443</v>
      </c>
      <c r="B654" s="27" t="s">
        <v>1444</v>
      </c>
      <c r="C654" s="27"/>
      <c r="D654" s="33" t="s">
        <v>14</v>
      </c>
      <c r="E654" s="9"/>
      <c r="F654" s="32"/>
      <c r="G654" s="10">
        <v>334004</v>
      </c>
      <c r="H654" s="30" t="str">
        <f ca="1">IFERROR(__xludf.DUMMYFUNCTION("LOWER(REGEXREPLACE(B654&amp;"" ""&amp;C654,""[^а-яa-z0-9 ]"","" ""))")," аритон  oy  enson    301  b ")</f>
        <v xml:space="preserve"> аритон  oy  enson    301  b </v>
      </c>
    </row>
    <row r="655" spans="1:8" ht="12.75" x14ac:dyDescent="0.2">
      <c r="A655" s="31" t="s">
        <v>1445</v>
      </c>
      <c r="B655" s="27" t="s">
        <v>1446</v>
      </c>
      <c r="C655" s="27"/>
      <c r="D655" s="33" t="s">
        <v>14</v>
      </c>
      <c r="E655" s="9"/>
      <c r="F655" s="32"/>
      <c r="G655" s="10">
        <v>377638</v>
      </c>
      <c r="H655" s="30" t="str">
        <f ca="1">IFERROR(__xludf.DUMMYFUNCTION("LOWER(REGEXREPLACE(B655&amp;"" ""&amp;C655,""[^а-яa-z0-9 ]"","" ""))")," енор  oy  enson    202 ")</f>
        <v xml:space="preserve"> енор  oy  enson    202 </v>
      </c>
    </row>
    <row r="656" spans="1:8" ht="12.75" x14ac:dyDescent="0.2">
      <c r="A656" s="31" t="s">
        <v>1447</v>
      </c>
      <c r="B656" s="27" t="s">
        <v>1448</v>
      </c>
      <c r="C656" s="27"/>
      <c r="D656" s="33" t="s">
        <v>14</v>
      </c>
      <c r="E656" s="9"/>
      <c r="F656" s="32"/>
      <c r="G656" s="10">
        <v>273978</v>
      </c>
      <c r="H656" s="30" t="str">
        <f ca="1">IFERROR(__xludf.DUMMYFUNCTION("LOWER(REGEXREPLACE(B656&amp;"" ""&amp;C656,""[^а-яa-z0-9 ]"","" ""))")," енор  oy  enson    301  b ")</f>
        <v xml:space="preserve"> енор  oy  enson    301  b </v>
      </c>
    </row>
    <row r="657" spans="1:8" ht="12.75" x14ac:dyDescent="0.2">
      <c r="A657" s="31" t="s">
        <v>1449</v>
      </c>
      <c r="B657" s="27" t="s">
        <v>1450</v>
      </c>
      <c r="C657" s="27"/>
      <c r="D657" s="33" t="s">
        <v>14</v>
      </c>
      <c r="E657" s="9"/>
      <c r="F657" s="32"/>
      <c r="G657" s="10">
        <v>368839</v>
      </c>
      <c r="H657" s="30" t="str">
        <f ca="1">IFERROR(__xludf.DUMMYFUNCTION("LOWER(REGEXREPLACE(B657&amp;"" ""&amp;C657,""[^а-яa-z0-9 ]"","" ""))")," аксофон альт    201 ")</f>
        <v xml:space="preserve"> аксофон альт    201 </v>
      </c>
    </row>
    <row r="658" spans="1:8" ht="12.75" x14ac:dyDescent="0.2">
      <c r="A658" s="31" t="s">
        <v>1451</v>
      </c>
      <c r="B658" s="27" t="s">
        <v>1452</v>
      </c>
      <c r="C658" s="27"/>
      <c r="D658" s="33" t="s">
        <v>14</v>
      </c>
      <c r="E658" s="9"/>
      <c r="F658" s="32"/>
      <c r="G658" s="10">
        <v>479009</v>
      </c>
      <c r="H658" s="30" t="str">
        <f ca="1">IFERROR(__xludf.DUMMYFUNCTION("LOWER(REGEXREPLACE(B658&amp;"" ""&amp;C658,""[^а-яa-z0-9 ]"","" ""))")," енор саксофон  oy  enson    202 ")</f>
        <v xml:space="preserve"> енор саксофон  oy  enson    202 </v>
      </c>
    </row>
    <row r="659" spans="1:8" ht="12.75" x14ac:dyDescent="0.2">
      <c r="A659" s="31" t="s">
        <v>1453</v>
      </c>
      <c r="B659" s="27" t="s">
        <v>1454</v>
      </c>
      <c r="C659" s="27"/>
      <c r="D659" s="33" t="s">
        <v>14</v>
      </c>
      <c r="E659" s="9"/>
      <c r="F659" s="32"/>
      <c r="G659" s="10">
        <v>244085</v>
      </c>
      <c r="H659" s="30" t="str">
        <f ca="1">IFERROR(__xludf.DUMMYFUNCTION("LOWER(REGEXREPLACE(B659&amp;"" ""&amp;C659,""[^а-яa-z0-9 ]"","" ""))")," лейта пикколо  oy  enson    502 ")</f>
        <v xml:space="preserve"> лейта пикколо  oy  enson    502 </v>
      </c>
    </row>
    <row r="660" spans="1:8" ht="12.75" x14ac:dyDescent="0.2">
      <c r="A660" s="31" t="s">
        <v>1455</v>
      </c>
      <c r="B660" s="27" t="s">
        <v>1456</v>
      </c>
      <c r="C660" s="27"/>
      <c r="D660" s="33" t="s">
        <v>14</v>
      </c>
      <c r="E660" s="9"/>
      <c r="F660" s="32"/>
      <c r="G660" s="10">
        <v>168268</v>
      </c>
      <c r="H660" s="30" t="str">
        <f ca="1">IFERROR(__xludf.DUMMYFUNCTION("LOWER(REGEXREPLACE(B660&amp;"" ""&amp;C660,""[^а-яa-z0-9 ]"","" ""))")," орнет помповый  oy  enson    202  b ")</f>
        <v xml:space="preserve"> орнет помповый  oy  enson    202  b </v>
      </c>
    </row>
    <row r="661" spans="1:8" ht="12.75" x14ac:dyDescent="0.2">
      <c r="A661" s="31" t="s">
        <v>1457</v>
      </c>
      <c r="B661" s="27" t="s">
        <v>1458</v>
      </c>
      <c r="C661" s="27"/>
      <c r="D661" s="33" t="s">
        <v>14</v>
      </c>
      <c r="E661" s="9"/>
      <c r="F661" s="32"/>
      <c r="G661" s="10">
        <v>122344</v>
      </c>
      <c r="H661" s="30" t="str">
        <f ca="1">IFERROR(__xludf.DUMMYFUNCTION("LOWER(REGEXREPLACE(B661&amp;"" ""&amp;C661,""[^а-яa-z0-9 ]"","" ""))")," ларнет  oy  enson    217 ")</f>
        <v xml:space="preserve"> ларнет  oy  enson    217 </v>
      </c>
    </row>
    <row r="662" spans="1:8" ht="12.75" x14ac:dyDescent="0.2">
      <c r="A662" s="31" t="s">
        <v>1459</v>
      </c>
      <c r="B662" s="27" t="s">
        <v>1460</v>
      </c>
      <c r="C662" s="27"/>
      <c r="D662" s="33" t="s">
        <v>14</v>
      </c>
      <c r="E662" s="9"/>
      <c r="F662" s="32"/>
      <c r="G662" s="10">
        <v>255000</v>
      </c>
      <c r="H662" s="30" t="str">
        <f ca="1">IFERROR(__xludf.DUMMYFUNCTION("LOWER(REGEXREPLACE(B662&amp;"" ""&amp;C662,""[^а-яa-z0-9 ]"","" ""))")," интезатор  urzweil   300     ")</f>
        <v xml:space="preserve"> интезатор  urzweil   300     </v>
      </c>
    </row>
    <row r="663" spans="1:8" ht="25.5" x14ac:dyDescent="0.2">
      <c r="A663" s="31" t="s">
        <v>1461</v>
      </c>
      <c r="B663" s="27" t="s">
        <v>1462</v>
      </c>
      <c r="C663" s="27" t="s">
        <v>1463</v>
      </c>
      <c r="D663" s="33" t="s">
        <v>14</v>
      </c>
      <c r="E663" s="9"/>
      <c r="F663" s="32"/>
      <c r="G663" s="10">
        <v>44821</v>
      </c>
      <c r="H663" s="30" t="str">
        <f ca="1">IFERROR(__xludf.DUMMYFUNCTION("LOWER(REGEXREPLACE(B663&amp;"" ""&amp;C663,""[^а-яa-z0-9 ]"","" ""))")," арабан маршевый  арабан детский маршевый выполнен из натурального дерева  материал обода металлический   аплечный ремень и 2 палочки в комплекте ")</f>
        <v xml:space="preserve"> арабан маршевый  арабан детский маршевый выполнен из натурального дерева  материал обода металлический   аплечный ремень и 2 палочки в комплекте </v>
      </c>
    </row>
    <row r="664" spans="1:8" ht="12.75" x14ac:dyDescent="0.2">
      <c r="A664" s="31" t="s">
        <v>1464</v>
      </c>
      <c r="B664" s="27" t="s">
        <v>1465</v>
      </c>
      <c r="C664" s="27"/>
      <c r="D664" s="33" t="s">
        <v>14</v>
      </c>
      <c r="E664" s="9"/>
      <c r="F664" s="32"/>
      <c r="G664" s="10">
        <v>52946</v>
      </c>
      <c r="H664" s="30" t="str">
        <f ca="1">IFERROR(__xludf.DUMMYFUNCTION("LOWER(REGEXREPLACE(B664&amp;"" ""&amp;C664,""[^а-яa-z0-9 ]"","" ""))")," ахон с чехлом  ewa  ajon  lub  alsa ")</f>
        <v xml:space="preserve"> ахон с чехлом  ewa  ajon  lub  alsa </v>
      </c>
    </row>
    <row r="665" spans="1:8" ht="12.75" x14ac:dyDescent="0.2">
      <c r="A665" s="31" t="s">
        <v>1466</v>
      </c>
      <c r="B665" s="27" t="s">
        <v>1467</v>
      </c>
      <c r="C665" s="27"/>
      <c r="D665" s="33" t="s">
        <v>14</v>
      </c>
      <c r="E665" s="9"/>
      <c r="F665" s="32"/>
      <c r="G665" s="10">
        <v>81241</v>
      </c>
      <c r="H665" s="30" t="str">
        <f ca="1">IFERROR(__xludf.DUMMYFUNCTION("LOWER(REGEXREPLACE(B665&amp;"" ""&amp;C665,""[^а-яa-z0-9 ]"","" ""))")," тнический барабан  oca   809 250 ")</f>
        <v xml:space="preserve"> тнический барабан  oca   809 250 </v>
      </c>
    </row>
    <row r="666" spans="1:8" ht="12.75" x14ac:dyDescent="0.2">
      <c r="A666" s="31" t="s">
        <v>1468</v>
      </c>
      <c r="B666" s="27" t="s">
        <v>1469</v>
      </c>
      <c r="C666" s="27"/>
      <c r="D666" s="33" t="s">
        <v>14</v>
      </c>
      <c r="E666" s="9"/>
      <c r="F666" s="32"/>
      <c r="G666" s="10">
        <v>6871</v>
      </c>
      <c r="H666" s="30" t="str">
        <f ca="1">IFERROR(__xludf.DUMMYFUNCTION("LOWER(REGEXREPLACE(B666&amp;"" ""&amp;C666,""[^а-яa-z0-9 ]"","" ""))")," реугольник  ewa 827 520 ")</f>
        <v xml:space="preserve"> реугольник  ewa 827 520 </v>
      </c>
    </row>
    <row r="667" spans="1:8" ht="12.75" x14ac:dyDescent="0.2">
      <c r="A667" s="31" t="s">
        <v>1470</v>
      </c>
      <c r="B667" s="27" t="s">
        <v>1471</v>
      </c>
      <c r="C667" s="27"/>
      <c r="D667" s="33" t="s">
        <v>14</v>
      </c>
      <c r="E667" s="9"/>
      <c r="F667" s="32"/>
      <c r="G667" s="10">
        <v>7857</v>
      </c>
      <c r="H667" s="30" t="str">
        <f ca="1">IFERROR(__xludf.DUMMYFUNCTION("LOWER(REGEXREPLACE(B667&amp;"" ""&amp;C667,""[^а-яa-z0-9 ]"","" ""))")," ейкер     wist  haker  oft   441    ")</f>
        <v xml:space="preserve"> ейкер     wist  haker  oft   441    </v>
      </c>
    </row>
    <row r="668" spans="1:8" ht="12.75" x14ac:dyDescent="0.2">
      <c r="A668" s="31" t="s">
        <v>1472</v>
      </c>
      <c r="B668" s="27" t="s">
        <v>1473</v>
      </c>
      <c r="C668" s="27"/>
      <c r="D668" s="33" t="s">
        <v>14</v>
      </c>
      <c r="E668" s="9"/>
      <c r="F668" s="32"/>
      <c r="G668" s="10">
        <v>6509</v>
      </c>
      <c r="H668" s="30" t="str">
        <f ca="1">IFERROR(__xludf.DUMMYFUNCTION("LOWER(REGEXREPLACE(B668&amp;"" ""&amp;C668,""[^а-яa-z0-9 ]"","" ""))")," ластиковый ручной тамбурин      861 402 ")</f>
        <v xml:space="preserve"> ластиковый ручной тамбурин      861 402 </v>
      </c>
    </row>
    <row r="669" spans="1:8" ht="38.25" x14ac:dyDescent="0.2">
      <c r="A669" s="31" t="s">
        <v>1474</v>
      </c>
      <c r="B669" s="27" t="s">
        <v>1475</v>
      </c>
      <c r="C669" s="27" t="s">
        <v>1476</v>
      </c>
      <c r="D669" s="33" t="s">
        <v>1477</v>
      </c>
      <c r="E669" s="9"/>
      <c r="F669" s="32"/>
      <c r="G669" s="10">
        <v>18321</v>
      </c>
      <c r="H669" s="30" t="str">
        <f ca="1">IFERROR(__xludf.DUMMYFUNCTION("LOWER(REGEXREPLACE(B669&amp;"" ""&amp;C669,""[^а-яa-z0-9 ]"","" ""))")," аракасы на длинной ручке  ара маракасов  внутри которых находятся стальные шарики  воспроизводящие четкий и громкий звук   руглая  пластиковая конструкция корпуса для воспроизведения звука  деревянные ручки ")</f>
        <v xml:space="preserve"> аракасы на длинной ручке  ара маракасов  внутри которых находятся стальные шарики  воспроизводящие четкий и громкий звук   руглая  пластиковая конструкция корпуса для воспроизведения звука  деревянные ручки </v>
      </c>
    </row>
    <row r="670" spans="1:8" ht="12.75" x14ac:dyDescent="0.2">
      <c r="A670" s="31" t="s">
        <v>1478</v>
      </c>
      <c r="B670" s="27" t="s">
        <v>1479</v>
      </c>
      <c r="C670" s="27"/>
      <c r="D670" s="32"/>
      <c r="E670" s="9"/>
      <c r="F670" s="32"/>
      <c r="G670" s="10"/>
      <c r="H670" s="30" t="str">
        <f ca="1">IFERROR(__xludf.DUMMYFUNCTION("LOWER(REGEXREPLACE(B670&amp;"" ""&amp;C670,""[^а-яa-z0-9 ]"","" ""))")," редмет   рудовое обучение  ")</f>
        <v xml:space="preserve"> редмет   рудовое обучение  </v>
      </c>
    </row>
    <row r="671" spans="1:8" ht="12.75" x14ac:dyDescent="0.2">
      <c r="A671" s="31" t="s">
        <v>1480</v>
      </c>
      <c r="B671" s="27" t="s">
        <v>1481</v>
      </c>
      <c r="C671" s="27"/>
      <c r="D671" s="33" t="s">
        <v>14</v>
      </c>
      <c r="E671" s="9"/>
      <c r="F671" s="32"/>
      <c r="G671" s="10"/>
      <c r="H671" s="30" t="str">
        <f ca="1">IFERROR(__xludf.DUMMYFUNCTION("LOWER(REGEXREPLACE(B671&amp;"" ""&amp;C671,""[^а-яa-z0-9 ]"","" ""))")," оска маркерно магнитная детская ")</f>
        <v xml:space="preserve"> оска маркерно магнитная детская </v>
      </c>
    </row>
    <row r="672" spans="1:8" ht="25.5" x14ac:dyDescent="0.2">
      <c r="A672" s="31" t="s">
        <v>1482</v>
      </c>
      <c r="B672" s="27" t="s">
        <v>1483</v>
      </c>
      <c r="C672" s="27"/>
      <c r="D672" s="33" t="s">
        <v>14</v>
      </c>
      <c r="E672" s="9"/>
      <c r="F672" s="32"/>
      <c r="G672" s="10">
        <v>27030</v>
      </c>
      <c r="H672" s="30" t="str">
        <f ca="1">IFERROR(__xludf.DUMMYFUNCTION("LOWER(REGEXREPLACE(B672&amp;"" ""&amp;C672,""[^а-яa-z0-9 ]"","" ""))")," оска магнитно маркерная  omix   1218  120х180 см   hite ")</f>
        <v xml:space="preserve"> оска магнитно маркерная  omix   1218  120х180 см   hite </v>
      </c>
    </row>
    <row r="673" spans="1:8" ht="25.5" x14ac:dyDescent="0.2">
      <c r="A673" s="31" t="s">
        <v>1484</v>
      </c>
      <c r="B673" s="27" t="s">
        <v>1485</v>
      </c>
      <c r="C673" s="27"/>
      <c r="D673" s="33" t="s">
        <v>14</v>
      </c>
      <c r="E673" s="9"/>
      <c r="F673" s="32"/>
      <c r="G673" s="10">
        <v>3607</v>
      </c>
      <c r="H673" s="30" t="str">
        <f ca="1">IFERROR(__xludf.DUMMYFUNCTION("LOWER(REGEXREPLACE(B673&amp;"" ""&amp;C673,""[^а-яa-z0-9 ]"","" ""))")," оска магнитно маркерная  omix   3045  30х45см   hite ")</f>
        <v xml:space="preserve"> оска магнитно маркерная  omix   3045  30х45см   hite </v>
      </c>
    </row>
    <row r="674" spans="1:8" ht="25.5" x14ac:dyDescent="0.2">
      <c r="A674" s="31" t="s">
        <v>1486</v>
      </c>
      <c r="B674" s="27" t="s">
        <v>1487</v>
      </c>
      <c r="C674" s="27"/>
      <c r="D674" s="33" t="s">
        <v>14</v>
      </c>
      <c r="E674" s="9"/>
      <c r="F674" s="32"/>
      <c r="G674" s="10">
        <v>24318</v>
      </c>
      <c r="H674" s="30" t="str">
        <f ca="1">IFERROR(__xludf.DUMMYFUNCTION("LOWER(REGEXREPLACE(B674&amp;"" ""&amp;C674,""[^а-яa-z0-9 ]"","" ""))")," оска магнитно маркерная  omix   9018  176х86 см   hite ")</f>
        <v xml:space="preserve"> оска магнитно маркерная  omix   9018  176х86 см   hite </v>
      </c>
    </row>
    <row r="675" spans="1:8" x14ac:dyDescent="0.2">
      <c r="A675" s="12" t="s">
        <v>1488</v>
      </c>
      <c r="B675" s="26"/>
      <c r="C675" s="27"/>
      <c r="D675" s="26"/>
      <c r="E675" s="28"/>
      <c r="F675" s="26"/>
      <c r="G675" s="29"/>
      <c r="H675" s="30" t="str">
        <f ca="1">IFERROR(__xludf.DUMMYFUNCTION("LOWER(REGEXREPLACE(B675&amp;"" ""&amp;C675,""[^а-яa-z0-9 ]"","" ""))")," ")</f>
        <v xml:space="preserve"> </v>
      </c>
    </row>
    <row r="676" spans="1:8" ht="12.75" x14ac:dyDescent="0.2">
      <c r="A676" s="31" t="s">
        <v>1489</v>
      </c>
      <c r="B676" s="27" t="s">
        <v>1490</v>
      </c>
      <c r="C676" s="27"/>
      <c r="D676" s="32"/>
      <c r="E676" s="9"/>
      <c r="F676" s="32"/>
      <c r="G676" s="10"/>
      <c r="H676" s="30" t="str">
        <f ca="1">IFERROR(__xludf.DUMMYFUNCTION("LOWER(REGEXREPLACE(B676&amp;"" ""&amp;C676,""[^а-яa-z0-9 ]"","" ""))")," редмет   стествознание  ")</f>
        <v xml:space="preserve"> редмет   стествознание  </v>
      </c>
    </row>
    <row r="677" spans="1:8" ht="25.5" x14ac:dyDescent="0.2">
      <c r="A677" s="31" t="s">
        <v>1491</v>
      </c>
      <c r="B677" s="27" t="s">
        <v>1492</v>
      </c>
      <c r="C677" s="27"/>
      <c r="D677" s="32"/>
      <c r="E677" s="9"/>
      <c r="F677" s="32"/>
      <c r="G677" s="10"/>
      <c r="H677" s="30" t="str">
        <f ca="1">IFERROR(__xludf.DUMMYFUNCTION("LOWER(REGEXREPLACE(B677&amp;"" ""&amp;C677,""[^а-яa-z0-9 ]"","" ""))")," аборатория цифровая по естественным наукам для начальной школы ")</f>
        <v xml:space="preserve"> аборатория цифровая по естественным наукам для начальной школы </v>
      </c>
    </row>
    <row r="678" spans="1:8" ht="102" x14ac:dyDescent="0.2">
      <c r="A678" s="31" t="s">
        <v>1493</v>
      </c>
      <c r="B678" s="8" t="s">
        <v>1494</v>
      </c>
      <c r="C678" s="27" t="s">
        <v>1495</v>
      </c>
      <c r="D678" s="33" t="s">
        <v>68</v>
      </c>
      <c r="E678" s="34">
        <v>2</v>
      </c>
      <c r="F678" s="36">
        <v>2.41</v>
      </c>
      <c r="G678" s="10">
        <v>628340</v>
      </c>
      <c r="H678" s="30" t="str">
        <f ca="1">IFERROR(__xludf.DUMMYFUNCTION("LOWER(REGEXREPLACE(B678&amp;"" ""&amp;C678,""[^а-яa-z0-9 ]"","" ""))")," аборатория цифровая по естественным наукам для начальной школы типа  xperia    14 с встроенными датчиками  акселерометр  3 оси        термометр окружающей среды  барометр и съемными измерительными датчиками  растворенный кислород  кислотно щелочной балан"&amp;"с  относительная влажность  звук     излучение  свет  температура  омплектация    аза цифровой лаборатории с дисплеем 1шт   нешний источник питания 100 240      5     1   1шт   умка ддля переноски  1 шт")</f>
        <v xml:space="preserve"> аборатория цифровая по естественным наукам для начальной школы типа  xperia    14 с встроенными датчиками  акселерометр  3 оси        термометр окружающей среды  барометр и съемными измерительными датчиками  растворенный кислород  кислотно щелочной баланс  относительная влажность  звук     излучение  свет  температура  омплектация    аза цифровой лаборатории с дисплеем 1шт   нешний источник питания 100 240      5     1   1шт   умка ддля переноски  1 шт</v>
      </c>
    </row>
    <row r="679" spans="1:8" ht="76.5" x14ac:dyDescent="0.2">
      <c r="A679" s="31" t="s">
        <v>1496</v>
      </c>
      <c r="B679" s="8" t="s">
        <v>1497</v>
      </c>
      <c r="C679" s="27"/>
      <c r="D679" s="33" t="s">
        <v>14</v>
      </c>
      <c r="E679" s="34">
        <v>2</v>
      </c>
      <c r="F679" s="36">
        <v>0.18</v>
      </c>
      <c r="G679" s="10">
        <v>248653</v>
      </c>
      <c r="H679" s="30" t="str">
        <f ca="1">IFERROR(__xludf.DUMMYFUNCTION("LOWER(REGEXREPLACE(B679&amp;"" ""&amp;C679,""[^а-яa-z0-9 ]"","" ""))")," аборатория цифровая по естествознанию для начальной школы типа   cience ub      280  с 9 встроенными датчиками  температура  влажность  барометр  освещенность  пульс          излучение  трехосевое ускорение и магнитное поле ")</f>
        <v xml:space="preserve"> аборатория цифровая по естествознанию для начальной школы типа   cience ub      280  с 9 встроенными датчиками  температура  влажность  барометр  освещенность  пульс          излучение  трехосевое ускорение и магнитное поле </v>
      </c>
    </row>
    <row r="680" spans="1:8" ht="12.75" x14ac:dyDescent="0.2">
      <c r="A680" s="31" t="s">
        <v>1498</v>
      </c>
      <c r="B680" s="27" t="s">
        <v>1499</v>
      </c>
      <c r="C680" s="27"/>
      <c r="D680" s="32"/>
      <c r="E680" s="9"/>
      <c r="F680" s="32"/>
      <c r="G680" s="10"/>
      <c r="H680" s="30" t="str">
        <f ca="1">IFERROR(__xludf.DUMMYFUNCTION("LOWER(REGEXREPLACE(B680&amp;"" ""&amp;C680,""[^а-яa-z0-9 ]"","" ""))")," борудование и принадлежности по биологии ")</f>
        <v xml:space="preserve"> борудование и принадлежности по биологии </v>
      </c>
    </row>
    <row r="681" spans="1:8" ht="25.5" x14ac:dyDescent="0.2">
      <c r="A681" s="31" t="s">
        <v>1500</v>
      </c>
      <c r="B681" s="27" t="s">
        <v>1501</v>
      </c>
      <c r="C681" s="27"/>
      <c r="D681" s="32"/>
      <c r="E681" s="9"/>
      <c r="F681" s="32"/>
      <c r="G681" s="10"/>
      <c r="H681" s="30" t="str">
        <f ca="1">IFERROR(__xludf.DUMMYFUNCTION("LOWER(REGEXREPLACE(B681&amp;"" ""&amp;C681,""[^а-яa-z0-9 ]"","" ""))")," ини лаборатория для начальной школы   ода и воздух  ")</f>
        <v xml:space="preserve"> ини лаборатория для начальной школы   ода и воздух  </v>
      </c>
    </row>
    <row r="682" spans="1:8" ht="25.5" x14ac:dyDescent="0.2">
      <c r="A682" s="31" t="s">
        <v>1502</v>
      </c>
      <c r="B682" s="27" t="s">
        <v>1503</v>
      </c>
      <c r="C682" s="27"/>
      <c r="D682" s="33" t="s">
        <v>68</v>
      </c>
      <c r="E682" s="34">
        <v>2</v>
      </c>
      <c r="F682" s="36">
        <v>0.85</v>
      </c>
      <c r="G682" s="10">
        <v>84986</v>
      </c>
      <c r="H682" s="30" t="str">
        <f ca="1">IFERROR(__xludf.DUMMYFUNCTION("LOWER(REGEXREPLACE(B682&amp;"" ""&amp;C682,""[^а-яa-z0-9 ]"","" ""))")," ини лаборатория для начальной школы   ода и воздух  типа  xperia     019 ")</f>
        <v xml:space="preserve"> ини лаборатория для начальной школы   ода и воздух  типа  xperia     019 </v>
      </c>
    </row>
    <row r="683" spans="1:8" ht="25.5" x14ac:dyDescent="0.2">
      <c r="A683" s="31" t="s">
        <v>1504</v>
      </c>
      <c r="B683" s="27" t="s">
        <v>1505</v>
      </c>
      <c r="C683" s="27"/>
      <c r="D683" s="33" t="s">
        <v>1506</v>
      </c>
      <c r="E683" s="34">
        <v>2</v>
      </c>
      <c r="F683" s="36">
        <v>0.94</v>
      </c>
      <c r="G683" s="10">
        <v>121833</v>
      </c>
      <c r="H683" s="30" t="str">
        <f ca="1">IFERROR(__xludf.DUMMYFUNCTION("LOWER(REGEXREPLACE(B683&amp;"" ""&amp;C683,""[^а-яa-z0-9 ]"","" ""))")," ини лаборатория для начальной школы   ода и воздух  типа  ornelsen  xperimenta 16102 ")</f>
        <v xml:space="preserve"> ини лаборатория для начальной школы   ода и воздух  типа  ornelsen  xperimenta 16102 </v>
      </c>
    </row>
    <row r="684" spans="1:8" ht="63.75" x14ac:dyDescent="0.2">
      <c r="A684" s="31" t="s">
        <v>1507</v>
      </c>
      <c r="B684" s="27" t="s">
        <v>1508</v>
      </c>
      <c r="C684" s="27" t="s">
        <v>1509</v>
      </c>
      <c r="D684" s="33" t="s">
        <v>1506</v>
      </c>
      <c r="E684" s="34">
        <v>2</v>
      </c>
      <c r="F684" s="35">
        <v>1.8</v>
      </c>
      <c r="G684" s="10">
        <v>269582</v>
      </c>
      <c r="H684" s="30" t="str">
        <f ca="1">IFERROR(__xludf.DUMMYFUNCTION("LOWER(REGEXREPLACE(B684&amp;"" ""&amp;C684,""[^а-яa-z0-9 ]"","" ""))")," абор   невматика  типа  ischertechnik   набор входит   етали для сборки   есивер   братный клапан   анометр   омпрессор  4 пневматических цилиндра  2 одностороннего и 2 двустороннего действия    лектромагнитный пневматический клапан  2 ручных распределит"&amp;"ельных клапана 4 3   онтейнер для батарейки типа   рона  9   ")</f>
        <v xml:space="preserve"> абор   невматика  типа  ischertechnik   набор входит   етали для сборки   есивер   братный клапан   анометр   омпрессор  4 пневматических цилиндра  2 одностороннего и 2 двустороннего действия    лектромагнитный пневматический клапан  2 ручных распределительных клапана 4 3   онтейнер для батарейки типа   рона  9   </v>
      </c>
    </row>
    <row r="685" spans="1:8" ht="25.5" x14ac:dyDescent="0.2">
      <c r="A685" s="31" t="s">
        <v>1510</v>
      </c>
      <c r="B685" s="27" t="s">
        <v>1511</v>
      </c>
      <c r="C685" s="27"/>
      <c r="D685" s="32"/>
      <c r="E685" s="9"/>
      <c r="F685" s="32"/>
      <c r="G685" s="10"/>
      <c r="H685" s="30" t="str">
        <f ca="1">IFERROR(__xludf.DUMMYFUNCTION("LOWER(REGEXREPLACE(B685&amp;"" ""&amp;C685,""[^а-яa-z0-9 ]"","" ""))")," ини лаборатория для начальной школы   иология  ")</f>
        <v xml:space="preserve"> ини лаборатория для начальной школы   иология  </v>
      </c>
    </row>
    <row r="686" spans="1:8" ht="25.5" x14ac:dyDescent="0.2">
      <c r="A686" s="31" t="s">
        <v>1512</v>
      </c>
      <c r="B686" s="27" t="s">
        <v>1513</v>
      </c>
      <c r="C686" s="27"/>
      <c r="D686" s="33" t="s">
        <v>68</v>
      </c>
      <c r="E686" s="34">
        <v>2</v>
      </c>
      <c r="F686" s="36">
        <v>0.79</v>
      </c>
      <c r="G686" s="10">
        <v>88763</v>
      </c>
      <c r="H686" s="30" t="str">
        <f ca="1">IFERROR(__xludf.DUMMYFUNCTION("LOWER(REGEXREPLACE(B686&amp;"" ""&amp;C686,""[^а-яa-z0-9 ]"","" ""))")," ини лаборатория для начальной школы   иология  типа  xperia     018 ")</f>
        <v xml:space="preserve"> ини лаборатория для начальной школы   иология  типа  xperia     018 </v>
      </c>
    </row>
    <row r="687" spans="1:8" ht="25.5" x14ac:dyDescent="0.2">
      <c r="A687" s="31" t="s">
        <v>1514</v>
      </c>
      <c r="B687" s="27" t="s">
        <v>1515</v>
      </c>
      <c r="C687" s="27"/>
      <c r="D687" s="33" t="s">
        <v>68</v>
      </c>
      <c r="E687" s="34">
        <v>2</v>
      </c>
      <c r="F687" s="36">
        <v>0.94</v>
      </c>
      <c r="G687" s="10">
        <v>103298</v>
      </c>
      <c r="H687" s="30" t="str">
        <f ca="1">IFERROR(__xludf.DUMMYFUNCTION("LOWER(REGEXREPLACE(B687&amp;"" ""&amp;C687,""[^а-яa-z0-9 ]"","" ""))")," ини лаборатория для начальной школы   иология  типа  ornelsen  xperimenta 16180 ")</f>
        <v xml:space="preserve"> ини лаборатория для начальной школы   иология  типа  ornelsen  xperimenta 16180 </v>
      </c>
    </row>
    <row r="688" spans="1:8" ht="409.5" x14ac:dyDescent="0.2">
      <c r="A688" s="31" t="s">
        <v>1516</v>
      </c>
      <c r="B688" s="27" t="s">
        <v>1517</v>
      </c>
      <c r="C688" s="27" t="s">
        <v>1518</v>
      </c>
      <c r="D688" s="33" t="s">
        <v>1506</v>
      </c>
      <c r="E688" s="34">
        <v>2</v>
      </c>
      <c r="F688" s="35">
        <v>2.2999999999999998</v>
      </c>
      <c r="G688" s="10">
        <v>220424</v>
      </c>
      <c r="H688" s="30" t="str">
        <f ca="1">IFERROR(__xludf.DUMMYFUNCTION("LOWER(REGEXREPLACE(B688&amp;"" ""&amp;C688,""[^а-яa-z0-9 ]"","" ""))")," абор демонстрационный для интегрированных научных экспериментов по всем темам начальной школы  омплектация    ейс с крышкой   1 шт     оток со вставкой   1шт   омплектация набора   агнитный стержень    1 шт   робирка  пластиковая  100 мм   1 шт   атушка "&amp;"нитки   1 шт   ермометр студенческого типа  5 до  100      1 шт   ермометр студенческого типа  без делений   1 шт   радуированная пластиковая колба  100 мл   1 шт   веча в металлическом контейнере   1 шт   одставка для ночных светильников   1 шт   езинова"&amp;"я пробка с отверстием диаметром 6 мм   1 шт   апельница  пластиковая   1 шт   раситель синий  пищевой краски    1 шт   томайзер   1 шт   ермометр студенческого типа  25 до  50      1 шт   обиратель дождя с делениями  80x35 мм   1 шт   омпас карманный   1 "&amp;"шт   ажимы для фильтрованных трубок  красные   2 шт   ильтрованные трубки с соединительным шлангом   2 шт   елкая сетка  медная проволока    2 шт   рупная сетка   1 шт   айная ложка   1 шт   оединительный шланг   1 шт   ухая батарейная ячейка   1 шт   амп"&amp;"а 3 5     0 2     1 шт   одставка для лампы с подставкой   4 шт   ажимы для проводов  7 мм   2 шт   твертка   1 шт   ыключатель ножевой  однополюсный  однократной коммутации   1 шт   едная проволока с изоляцией   1 шт   едная проволока  лакированная  диам"&amp;"етр 0 25 мм   1 шт   агревательная проволока  изолированная  диаметр 0 20 мм   1 шт   атериалы для проверки проводимости в пластиковых коробках   1 шт   аклонное зеркало  90 90 мм   1 шт   рестовидная основа   1 шт   олупрозрачный экран  пластик   1 шт   "&amp;"елый экран  пластик   1 шт   естеренчатая палка   1 шт   ини темная комната   1 шт   еркало  полированное алюминием   1 шт   ар магниты  без отметок  диаметр 23 мм   1 шт   одставки для весов  пластик   1 шт   есовая палка  желтая   1 шт   ланшет для весо"&amp;"в  желтый  с луками   2 шт   одвес для качелей   1 шт   ачели   1 шт   абор грузов для весов с планшетом   1 шт   ройное лупное увеличительное стекло   1 шт   азделительная игла  прямая   1 шт   инцеты с тупыми кончиками   1 шт   ож   1 шт   робирки  плас"&amp;"тиковые  152 мм   2 шт   етри  пластик   1 шт   реугольные мосты   1 шт   руба для прослушивания   2 шт   абор звуковых пластин   1 шт   алочка для барабана   1 шт   атушки ниток с костяной частью   1 шт   инамометр двойного диапазона    и г   1 шт   абор"&amp;" мелких предметов   1 шт   лавающие платформы для компаса   1 шт   лавающая платформа   1 шт   акуумная колба   1 шт   одвижной блок   1 шт   иск на воздушной подушке   1 шт   оздушная подушка   1 шт   оздушный диск   1 шт   ухие батарейные ячейки  набор "&amp;"из 4 шт    385")</f>
        <v xml:space="preserve"> абор демонстрационный для интегрированных научных экспериментов по всем темам начальной школы  омплектация    ейс с крышкой   1 шт     оток со вставкой   1шт   омплектация набора   агнитный стержень    1 шт   робирка  пластиковая  100 мм   1 шт   атушка нитки   1 шт   ермометр студенческого типа  5 до  100      1 шт   ермометр студенческого типа  без делений   1 шт   радуированная пластиковая колба  100 мл   1 шт   веча в металлическом контейнере   1 шт   одставка для ночных светильников   1 шт   езиновая пробка с отверстием диаметром 6 мм   1 шт   апельница  пластиковая   1 шт   раситель синий  пищевой краски    1 шт   томайзер   1 шт   ермометр студенческого типа  25 до  50      1 шт   обиратель дождя с делениями  80x35 мм   1 шт   омпас карманный   1 шт   ажимы для фильтрованных трубок  красные   2 шт   ильтрованные трубки с соединительным шлангом   2 шт   елкая сетка  медная проволока    2 шт   рупная сетка   1 шт   айная ложка   1 шт   оединительный шланг   1 шт   ухая батарейная ячейка   1 шт   ампа 3 5     0 2     1 шт   одставка для лампы с подставкой   4 шт   ажимы для проводов  7 мм   2 шт   твертка   1 шт   ыключатель ножевой  однополюсный  однократной коммутации   1 шт   едная проволока с изоляцией   1 шт   едная проволока  лакированная  диаметр 0 25 мм   1 шт   агревательная проволока  изолированная  диаметр 0 20 мм   1 шт   атериалы для проверки проводимости в пластиковых коробках   1 шт   аклонное зеркало  90 90 мм   1 шт   рестовидная основа   1 шт   олупрозрачный экран  пластик   1 шт   елый экран  пластик   1 шт   естеренчатая палка   1 шт   ини темная комната   1 шт   еркало  полированное алюминием   1 шт   ар магниты  без отметок  диаметр 23 мм   1 шт   одставки для весов  пластик   1 шт   есовая палка  желтая   1 шт   ланшет для весов  желтый  с луками   2 шт   одвес для качелей   1 шт   ачели   1 шт   абор грузов для весов с планшетом   1 шт   ройное лупное увеличительное стекло   1 шт   азделительная игла  прямая   1 шт   инцеты с тупыми кончиками   1 шт   ож   1 шт   робирки  пластиковые  152 мм   2 шт   етри  пластик   1 шт   реугольные мосты   1 шт   руба для прослушивания   2 шт   абор звуковых пластин   1 шт   алочка для барабана   1 шт   атушки ниток с костяной частью   1 шт   инамометр двойного диапазона    и г   1 шт   абор мелких предметов   1 шт   лавающие платформы для компаса   1 шт   лавающая платформа   1 шт   акуумная колба   1 шт   одвижной блок   1 шт   иск на воздушной подушке   1 шт   оздушная подушка   1 шт   оздушный диск   1 шт   ухие батарейные ячейки  набор из 4 шт    385</v>
      </c>
    </row>
    <row r="689" spans="1:8" ht="12.75" x14ac:dyDescent="0.2">
      <c r="A689" s="31" t="s">
        <v>1519</v>
      </c>
      <c r="B689" s="27" t="s">
        <v>1520</v>
      </c>
      <c r="C689" s="27"/>
      <c r="D689" s="32"/>
      <c r="E689" s="9"/>
      <c r="F689" s="32"/>
      <c r="G689" s="10"/>
      <c r="H689" s="30" t="str">
        <f ca="1">IFERROR(__xludf.DUMMYFUNCTION("LOWER(REGEXREPLACE(B689&amp;"" ""&amp;C689,""[^а-яa-z0-9 ]"","" ""))")," абор для юных биологов ")</f>
        <v xml:space="preserve"> абор для юных биологов </v>
      </c>
    </row>
    <row r="690" spans="1:8" ht="267.75" x14ac:dyDescent="0.2">
      <c r="A690" s="31" t="s">
        <v>1521</v>
      </c>
      <c r="B690" s="8" t="s">
        <v>1522</v>
      </c>
      <c r="C690" s="27" t="s">
        <v>1523</v>
      </c>
      <c r="D690" s="33" t="s">
        <v>1506</v>
      </c>
      <c r="E690" s="34">
        <v>2</v>
      </c>
      <c r="F690" s="35">
        <v>2.1</v>
      </c>
      <c r="G690" s="10">
        <v>190567</v>
      </c>
      <c r="H690" s="30" t="str">
        <f ca="1">IFERROR(__xludf.DUMMYFUNCTION("LOWER(REGEXREPLACE(B690&amp;"" ""&amp;C690,""[^а-яa-z0-9 ]"","" ""))")," абор для юных биологов типа  xperia     017  омплектация   ейс с крышкой   1 шт   оток со вставкой   1шт   робирка лабораторная пластиковая  нетермостойкая     30 шт    ини пресс для сушки растений    5 шт    пулька с веревкой для стягивания пресса   1 ш"&amp;"т    окровное стеклышко    300 шт    учной микротом  прибор для изготовления тонких срезов для микроскопических исследований     15 шт    ашки  етри  пластиковые 80 мм     8 шт    лакон с растительным маслом   1 шт    икропинцет из нержавеющей стали    15"&amp;" шт    репаровальная игла  длина  130 мм   15 шт    текло увеличительное трехлинзовое  увеличение 3х  6х  10х    25 шт    абораторный нож из нержавеющей стали    15 шт    ипетка   15 шт    ожницы из нержавеющей стали  длина  125 мм    10 шт    татив на 4 "&amp;"пробирки    15 шт    ршик для чистки лабораторных пробирок   1 шт    редметное стекло    100 шт    ысокочувствительные весы   1 шт    борник для семян и мелких насекомых    5 шт   борудование укомплектовано в чемодане из качественной плотной пластмассы   "&amp;"азмер чемодана  530 х 450 х 150 мм    чемодане имеется листовой наполнитель  из  пористого  материала   в  которомсделаны фигурные вырезы для укладки оборудования и приспособлений ")</f>
        <v xml:space="preserve"> абор для юных биологов типа  xperia     017  омплектация   ейс с крышкой   1 шт   оток со вставкой   1шт   робирка лабораторная пластиковая  нетермостойкая     30 шт    ини пресс для сушки растений    5 шт    пулька с веревкой для стягивания пресса   1 шт    окровное стеклышко    300 шт    учной микротом  прибор для изготовления тонких срезов для микроскопических исследований     15 шт    ашки  етри  пластиковые 80 мм     8 шт    лакон с растительным маслом   1 шт    икропинцет из нержавеющей стали    15 шт    репаровальная игла  длина  130 мм   15 шт    текло увеличительное трехлинзовое  увеличение 3х  6х  10х    25 шт    абораторный нож из нержавеющей стали    15 шт    ипетка   15 шт    ожницы из нержавеющей стали  длина  125 мм    10 шт    татив на 4 пробирки    15 шт    ршик для чистки лабораторных пробирок   1 шт    редметное стекло    100 шт    ысокочувствительные весы   1 шт    борник для семян и мелких насекомых    5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которомсделаны фигурные вырезы для укладки оборудования и приспособлений </v>
      </c>
    </row>
    <row r="691" spans="1:8" ht="12.75" x14ac:dyDescent="0.2">
      <c r="A691" s="31" t="s">
        <v>1524</v>
      </c>
      <c r="B691" s="27" t="s">
        <v>1525</v>
      </c>
      <c r="C691" s="27"/>
      <c r="D691" s="32"/>
      <c r="E691" s="9"/>
      <c r="F691" s="32"/>
      <c r="G691" s="10"/>
      <c r="H691" s="30" t="str">
        <f ca="1">IFERROR(__xludf.DUMMYFUNCTION("LOWER(REGEXREPLACE(B691&amp;"" ""&amp;C691,""[^а-яa-z0-9 ]"","" ""))")," борудование и принадлежности по физике ")</f>
        <v xml:space="preserve"> борудование и принадлежности по физике </v>
      </c>
    </row>
    <row r="692" spans="1:8" ht="12.75" x14ac:dyDescent="0.2">
      <c r="A692" s="31" t="s">
        <v>1526</v>
      </c>
      <c r="B692" s="27" t="s">
        <v>1527</v>
      </c>
      <c r="C692" s="27"/>
      <c r="D692" s="32"/>
      <c r="E692" s="9"/>
      <c r="F692" s="32"/>
      <c r="G692" s="10"/>
      <c r="H692" s="30" t="str">
        <f ca="1">IFERROR(__xludf.DUMMYFUNCTION("LOWER(REGEXREPLACE(B692&amp;"" ""&amp;C692,""[^а-яa-z0-9 ]"","" ""))")," абор для юных физиков ")</f>
        <v xml:space="preserve"> абор для юных физиков </v>
      </c>
    </row>
    <row r="693" spans="1:8" ht="255" x14ac:dyDescent="0.2">
      <c r="A693" s="31" t="s">
        <v>1528</v>
      </c>
      <c r="B693" s="27" t="s">
        <v>1529</v>
      </c>
      <c r="C693" s="27" t="s">
        <v>1530</v>
      </c>
      <c r="D693" s="33" t="s">
        <v>1506</v>
      </c>
      <c r="E693" s="34">
        <v>2</v>
      </c>
      <c r="F693" s="35">
        <v>6.8</v>
      </c>
      <c r="G693" s="10">
        <v>205963</v>
      </c>
      <c r="H693" s="30" t="str">
        <f ca="1">IFERROR(__xludf.DUMMYFUNCTION("LOWER(REGEXREPLACE(B693&amp;"" ""&amp;C693,""[^а-яa-z0-9 ]"","" ""))")," абор для юных физиков типа   xperia     016  абор для юных физиков  абор   ный физик    игра набор для детей от 7 до 14 лет   абор рассчитан на 15 рабочик групп   омплектация   омплектация   ейс с крышкой   4 шт    оток со вставкой   4шт   арики из пеноп"&amp;"ласта  50 гр   ибкая соломинка  15 шт   оронка  15 шт   орма      15 штука   ластиковый лист  15 шт   артонная трубка  15 штук   енопластовые шарики  15 штук   ластиковая трубка  15 штук   еон  15 штук   ольшие скрепки  15 штук   ластиковый стаканчик  15 "&amp;"штук   руглая бумажная карта  15 штук   люминиевая фольга  15 штук   агниты  15 штук   еревянный держатель магнита  15 штук   онкие нити  15 штук   еревянная палка  15 штук   аленькие скрепки  15 штук   арточка поезда на магнитной подвеске  15 штук   арто"&amp;"чка железнодорожной магистрали на магнитной подвеске  15 штук   еревянная подставка  15 штук   сь  15 штук   езиновое кольцо  15 штук   трелка компаса  15 штук   арточка с полосками  15 штук   арточка со скатертью  15 штук   елезное кольцо  15 штук   расн"&amp;"о синяя гоночная карточка  15 штук   арточка с гоночной трассой  15 штук   елезная цепь  15 штук   уководство  15 штук                                         387")</f>
        <v xml:space="preserve"> абор для юных физиков типа   xperia     016  абор для юных физиков  абор   ный физик    игра набор для детей от 7 до 14 лет   абор рассчитан на 15 рабочик групп   омплектация   омплектация   ейс с крышкой   4 шт    оток со вставкой   4шт   арики из пенопласта  50 гр   ибкая соломинка  15 шт   оронка  15 шт   орма      15 штука   ластиковый лист  15 шт   артонная трубка  15 штук   енопластовые шарики  15 штук   ластиковая трубка  15 штук   еон  15 штук   ольшие скрепки  15 штук   ластиковый стаканчик  15 штук   руглая бумажная карта  15 штук   люминиевая фольга  15 штук   агниты  15 штук   еревянный держатель магнита  15 штук   онкие нити  15 штук   еревянная палка  15 штук   аленькие скрепки  15 штук   арточка поезда на магнитной подвеске  15 штук   арточка железнодорожной магистрали на магнитной подвеске  15 штук   еревянная подставка  15 штук   сь  15 штук   езиновое кольцо  15 штук   трелка компаса  15 штук   арточка с полосками  15 штук   арточка со скатертью  15 штук   елезное кольцо  15 штук   расно синяя гоночная карточка  15 штук   арточка с гоночной трассой  15 штук   елезная цепь  15 штук   уководство  15 штук                                         387</v>
      </c>
    </row>
    <row r="694" spans="1:8" ht="12.75" x14ac:dyDescent="0.2">
      <c r="A694" s="31" t="s">
        <v>1531</v>
      </c>
      <c r="B694" s="27" t="s">
        <v>1532</v>
      </c>
      <c r="C694" s="27"/>
      <c r="D694" s="32"/>
      <c r="E694" s="9"/>
      <c r="F694" s="32"/>
      <c r="G694" s="10"/>
      <c r="H694" s="30" t="str">
        <f ca="1">IFERROR(__xludf.DUMMYFUNCTION("LOWER(REGEXREPLACE(B694&amp;"" ""&amp;C694,""[^а-яa-z0-9 ]"","" ""))")," ини лаборатория для начальной школы   вук  ")</f>
        <v xml:space="preserve"> ини лаборатория для начальной школы   вук  </v>
      </c>
    </row>
    <row r="695" spans="1:8" ht="25.5" x14ac:dyDescent="0.2">
      <c r="A695" s="31" t="s">
        <v>1533</v>
      </c>
      <c r="B695" s="27" t="s">
        <v>1534</v>
      </c>
      <c r="C695" s="27"/>
      <c r="D695" s="33" t="s">
        <v>68</v>
      </c>
      <c r="E695" s="34">
        <v>2</v>
      </c>
      <c r="F695" s="36">
        <v>0.89</v>
      </c>
      <c r="G695" s="10">
        <v>83008</v>
      </c>
      <c r="H695" s="30" t="str">
        <f ca="1">IFERROR(__xludf.DUMMYFUNCTION("LOWER(REGEXREPLACE(B695&amp;"" ""&amp;C695,""[^а-яa-z0-9 ]"","" ""))")," ини лаборатория для начальной школы   вук  типа  xperia     020 ")</f>
        <v xml:space="preserve"> ини лаборатория для начальной школы   вук  типа  xperia     020 </v>
      </c>
    </row>
    <row r="696" spans="1:8" ht="25.5" x14ac:dyDescent="0.2">
      <c r="A696" s="31" t="s">
        <v>1535</v>
      </c>
      <c r="B696" s="27" t="s">
        <v>1536</v>
      </c>
      <c r="C696" s="27"/>
      <c r="D696" s="33" t="s">
        <v>1506</v>
      </c>
      <c r="E696" s="34">
        <v>2</v>
      </c>
      <c r="F696" s="36">
        <v>0.99</v>
      </c>
      <c r="G696" s="10">
        <v>91888</v>
      </c>
      <c r="H696" s="30" t="str">
        <f ca="1">IFERROR(__xludf.DUMMYFUNCTION("LOWER(REGEXREPLACE(B696&amp;"" ""&amp;C696,""[^а-яa-z0-9 ]"","" ""))")," ини лаборатория для начальной школы   вук  типа  ornelsen 16104 44207  xperimenta ")</f>
        <v xml:space="preserve"> ини лаборатория для начальной школы   вук  типа  ornelsen 16104 44207  xperimenta </v>
      </c>
    </row>
    <row r="697" spans="1:8" ht="178.5" x14ac:dyDescent="0.2">
      <c r="A697" s="31" t="s">
        <v>1537</v>
      </c>
      <c r="B697" s="27" t="s">
        <v>1538</v>
      </c>
      <c r="C697" s="27" t="s">
        <v>1539</v>
      </c>
      <c r="D697" s="33" t="s">
        <v>1506</v>
      </c>
      <c r="E697" s="34">
        <v>2</v>
      </c>
      <c r="F697" s="36">
        <v>2.89</v>
      </c>
      <c r="G697" s="10">
        <v>358556</v>
      </c>
      <c r="H697" s="30" t="str">
        <f ca="1">IFERROR(__xludf.DUMMYFUNCTION("LOWER(REGEXREPLACE(B697&amp;"" ""&amp;C697,""[^а-яa-z0-9 ]"","" ""))")," абор для изучения звуковых явлений в начальной школе  на 13 учебных групп   типа  xperia     027  омплектация   кейс с крышкой   1 шт   лоток со вставкой   1шт  камертон 256  ц   1 шт   камертон 440  ц   1 шт   резонаторный ящик    2 шт   шарманка   1 шт"&amp;"   набор пластинок для металлофона   5 тонов    1 шт   набор резинок   12 шт     1 шт   набор воздушных шариков   1 шт   нить капроновая   1 шт   сосуд пластмассовый   1 шт   подставка для натяжения струн    2 шт   резонаторная пластинка   1 шт   пробирка"&amp;" размером  16х100 мм     3 шт   пробирка размером  16х150 мм     3 шт   барабан диаметром 19 см    1 шт   молоточек   1 шт  прибор для демонстрации действия барабанной перепонки   1 шт   тарелка звуковая    2 шт   гонг   1 шт   борудование укомплектовано "&amp;"в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 обеспечен руководство"&amp;"м для ученика  содержащим подробноеописание экспериментов ")</f>
        <v xml:space="preserve"> абор для изучения звуковых явлений в начальной школе  на 13 учебных групп   типа  xperia     027  омплектация   кейс с крышкой   1 шт   лоток со вставкой   1шт  камертон 256  ц   1 шт   камертон 440  ц   1 шт   резонаторный ящик    2 шт   шарманка   1 шт   набор пластинок для металлофона   5 тонов    1 шт   набор резинок   12 шт     1 шт   набор воздушных шариков   1 шт   нить капроновая   1 шт   сосуд пластмассовый   1 шт   подставка для натяжения струн    2 шт   резонаторная пластинка   1 шт   пробирка размером  16х100 мм     3 шт   пробирка размером  16х150 мм     3 шт   барабан диаметром 19 см    1 шт   молоточек   1 шт  прибор для демонстрации действия барабанной перепонки   1 шт   тарелка звуковая    2 шт   гонг   1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 обеспечен руководством для ученика  содержащим подробноеописание экспериментов </v>
      </c>
    </row>
    <row r="698" spans="1:8" ht="178.5" x14ac:dyDescent="0.2">
      <c r="A698" s="31" t="s">
        <v>1540</v>
      </c>
      <c r="B698" s="27" t="s">
        <v>1541</v>
      </c>
      <c r="C698" s="27" t="s">
        <v>1542</v>
      </c>
      <c r="D698" s="33" t="s">
        <v>1506</v>
      </c>
      <c r="E698" s="34">
        <v>2</v>
      </c>
      <c r="F698" s="36">
        <v>8.15</v>
      </c>
      <c r="G698" s="10">
        <v>1024747</v>
      </c>
      <c r="H698" s="30" t="str">
        <f ca="1">IFERROR(__xludf.DUMMYFUNCTION("LOWER(REGEXREPLACE(B698&amp;"" ""&amp;C698,""[^а-яa-z0-9 ]"","" ""))")," абор для изучения звуковых явлений в начальной школе  на 13 учебных групп  типа  ornelsen  xperimenta 31720   составе   ластиковый чемодан для хранения и переноски оборудования  спицы стальные 15шт   гибкие стальные полоски с вибрирующими головками 15шт "&amp;"  набор запасных частей в пластмассовой коробке  звукопоглощающие прокладки 2шт   акустическая головка стетоскопа 2шт   камертоны различной частоты  105 мм  15 шт   катушка ниток  струны с наконечниками ограничителями на катушках 8шт   колки для натягиван"&amp;"ия струн  36шт   комплект узких резинок  комплект широких резинок     4шт   молоточки пластиковые 15шт   музыкальная шкатулка с заводной ручкой 2шт   набор пластинок для металлофона 15шт   наушники 125шт   парные струны для монохорда  в упаковках  3шт   п"&amp;"ластиковый стакан с отверстием в дне 4 шт   пластмассовые пробирки  100 мм  15шт   пластмассовые пробирки  152 мм  30шт   резонаторы с пластмассовыми крышками  донышками и сдвижной мембраной 15шт   слуховые трубки  630 мм  30шт   пластмассовые стаканчики "&amp;"для воды 15шт   треугольные порожки для струн 15шт   флейта  ана  многоствольная свирель  пластиковая 1шт   уководство объемом 54 страницы формата  4 ")</f>
        <v xml:space="preserve"> абор для изучения звуковых явлений в начальной школе  на 13 учебных групп  типа  ornelsen  xperimenta 31720   составе   ластиковый чемодан для хранения и переноски оборудования  спицы стальные 15шт   гибкие стальные полоски с вибрирующими головками 15шт   набор запасных частей в пластмассовой коробке  звукопоглощающие прокладки 2шт   акустическая головка стетоскопа 2шт   камертоны различной частоты  105 мм  15 шт   катушка ниток  струны с наконечниками ограничителями на катушках 8шт   колки для натягивания струн  36шт   комплект узких резинок  комплект широких резинок     4шт   молоточки пластиковые 15шт   музыкальная шкатулка с заводной ручкой 2шт   набор пластинок для металлофона 15шт   наушники 125шт   парные струны для монохорда  в упаковках  3шт   пластиковый стакан с отверстием в дне 4 шт   пластмассовые пробирки  100 мм  15шт   пластмассовые пробирки  152 мм  30шт   резонаторы с пластмассовыми крышками  донышками и сдвижной мембраной 15шт   слуховые трубки  630 мм  30шт   пластмассовые стаканчики для воды 15шт   треугольные порожки для струн 15шт   флейта  ана  многоствольная свирель  пластиковая 1шт   уководство объемом 54 страницы формата  4 </v>
      </c>
    </row>
    <row r="699" spans="1:8" ht="25.5" x14ac:dyDescent="0.2">
      <c r="A699" s="31" t="s">
        <v>1543</v>
      </c>
      <c r="B699" s="27" t="s">
        <v>1544</v>
      </c>
      <c r="C699" s="27"/>
      <c r="D699" s="32"/>
      <c r="E699" s="9"/>
      <c r="F699" s="32"/>
      <c r="G699" s="10"/>
      <c r="H699" s="30" t="str">
        <f ca="1">IFERROR(__xludf.DUMMYFUNCTION("LOWER(REGEXREPLACE(B699&amp;"" ""&amp;C699,""[^а-яa-z0-9 ]"","" ""))")," ини лаборатория для начальной школы   агнетизм  ")</f>
        <v xml:space="preserve"> ини лаборатория для начальной школы   агнетизм  </v>
      </c>
    </row>
    <row r="700" spans="1:8" ht="25.5" x14ac:dyDescent="0.2">
      <c r="A700" s="31" t="s">
        <v>1545</v>
      </c>
      <c r="B700" s="27" t="s">
        <v>1546</v>
      </c>
      <c r="C700" s="27"/>
      <c r="D700" s="33" t="s">
        <v>68</v>
      </c>
      <c r="E700" s="34">
        <v>2</v>
      </c>
      <c r="F700" s="36">
        <v>1.1200000000000001</v>
      </c>
      <c r="G700" s="10">
        <v>120958</v>
      </c>
      <c r="H700" s="30" t="str">
        <f ca="1">IFERROR(__xludf.DUMMYFUNCTION("LOWER(REGEXREPLACE(B700&amp;"" ""&amp;C700,""[^а-яa-z0-9 ]"","" ""))")," ини лаборатория для начальной школы   агнетизм    xperia  типа     021 ")</f>
        <v xml:space="preserve"> ини лаборатория для начальной школы   агнетизм    xperia  типа     021 </v>
      </c>
    </row>
    <row r="701" spans="1:8" ht="25.5" x14ac:dyDescent="0.2">
      <c r="A701" s="31" t="s">
        <v>1547</v>
      </c>
      <c r="B701" s="27" t="s">
        <v>1548</v>
      </c>
      <c r="C701" s="27"/>
      <c r="D701" s="33" t="s">
        <v>1506</v>
      </c>
      <c r="E701" s="34">
        <v>2</v>
      </c>
      <c r="F701" s="36">
        <v>1.0900000000000001</v>
      </c>
      <c r="G701" s="10">
        <v>126268</v>
      </c>
      <c r="H701" s="30" t="str">
        <f ca="1">IFERROR(__xludf.DUMMYFUNCTION("LOWER(REGEXREPLACE(B701&amp;"" ""&amp;C701,""[^а-яa-z0-9 ]"","" ""))")," ини лаборатория для начальной школы   агнетизм  типа  ornelsen  xperimenta 16115 ")</f>
        <v xml:space="preserve"> ини лаборатория для начальной школы   агнетизм  типа  ornelsen  xperimenta 16115 </v>
      </c>
    </row>
    <row r="702" spans="1:8" ht="25.5" x14ac:dyDescent="0.2">
      <c r="A702" s="31" t="s">
        <v>1549</v>
      </c>
      <c r="B702" s="27" t="s">
        <v>1550</v>
      </c>
      <c r="C702" s="27"/>
      <c r="D702" s="32"/>
      <c r="E702" s="9"/>
      <c r="F702" s="32"/>
      <c r="G702" s="10"/>
      <c r="H702" s="30" t="str">
        <f ca="1">IFERROR(__xludf.DUMMYFUNCTION("LOWER(REGEXREPLACE(B702&amp;"" ""&amp;C702,""[^а-яa-z0-9 ]"","" ""))")," ини лаборатория для начальной школы   еханика  ")</f>
        <v xml:space="preserve"> ини лаборатория для начальной школы   еханика  </v>
      </c>
    </row>
    <row r="703" spans="1:8" ht="25.5" x14ac:dyDescent="0.2">
      <c r="A703" s="31" t="s">
        <v>1551</v>
      </c>
      <c r="B703" s="27" t="s">
        <v>1552</v>
      </c>
      <c r="C703" s="27"/>
      <c r="D703" s="33" t="s">
        <v>68</v>
      </c>
      <c r="E703" s="34">
        <v>2</v>
      </c>
      <c r="F703" s="36">
        <v>1.1399999999999999</v>
      </c>
      <c r="G703" s="10">
        <v>131210</v>
      </c>
      <c r="H703" s="30" t="str">
        <f ca="1">IFERROR(__xludf.DUMMYFUNCTION("LOWER(REGEXREPLACE(B703&amp;"" ""&amp;C703,""[^а-яa-z0-9 ]"","" ""))")," ини лаборатория для начальной школы   еханика  типа  xperia     022 ")</f>
        <v xml:space="preserve"> ини лаборатория для начальной школы   еханика  типа  xperia     022 </v>
      </c>
    </row>
    <row r="704" spans="1:8" ht="25.5" x14ac:dyDescent="0.2">
      <c r="A704" s="31" t="s">
        <v>1553</v>
      </c>
      <c r="B704" s="27" t="s">
        <v>1554</v>
      </c>
      <c r="C704" s="27"/>
      <c r="D704" s="33" t="s">
        <v>1506</v>
      </c>
      <c r="E704" s="34">
        <v>2</v>
      </c>
      <c r="F704" s="36">
        <v>1.29</v>
      </c>
      <c r="G704" s="10">
        <v>195455</v>
      </c>
      <c r="H704" s="30" t="str">
        <f ca="1">IFERROR(__xludf.DUMMYFUNCTION("LOWER(REGEXREPLACE(B704&amp;"" ""&amp;C704,""[^а-яa-z0-9 ]"","" ""))")," ини лаборатория для начальной школы   еханика  типа  ornelsen  xperimenta 16100  ")</f>
        <v xml:space="preserve"> ини лаборатория для начальной школы   еханика  типа  ornelsen  xperimenta 16100  </v>
      </c>
    </row>
    <row r="705" spans="1:8" ht="267.75" x14ac:dyDescent="0.2">
      <c r="A705" s="31" t="s">
        <v>1555</v>
      </c>
      <c r="B705" s="27" t="s">
        <v>1556</v>
      </c>
      <c r="C705" s="27" t="s">
        <v>1557</v>
      </c>
      <c r="D705" s="33" t="s">
        <v>1506</v>
      </c>
      <c r="E705" s="34">
        <v>2</v>
      </c>
      <c r="F705" s="36">
        <v>1.98</v>
      </c>
      <c r="G705" s="10">
        <v>311071</v>
      </c>
      <c r="H705" s="30" t="str">
        <f ca="1">IFERROR(__xludf.DUMMYFUNCTION("LOWER(REGEXREPLACE(B705&amp;"" ""&amp;C705,""[^а-яa-z0-9 ]"","" ""))")," абор демонстрационный для изучения механики в начальной школе типа  xperia     024  омплектация  кейс с крышкой   1 шт   лоток со вставкой   1шт  шкивы   3 штуки  рычаг линейка со шкалой   1 штука  шкала с градуировкой   1 штука  указатель стрелка для ры"&amp;"чага   1 штука  опора скользящая для рычага   1 штука  чаша весов с креплением   2 штуки  тележка динамическая   1 штука  набор грузов от 1 грамма до 50 грамм   1 набор  груз с прорезью 10 грамм   4 штуки  груз цилиндрический с прорезью 50 грамм   4 штуки"&amp;"  держатель с крючком для грузов   2 штуки  блок прямоугольный из железа с крючком 50х20х20мм   1 штука  блок прямоугольный из алюминия с крючком 50х20х20мм   1 штука  блок пустотелый   1 штука блок железный с крючком малый   1 штука  динамометр 2    2 шт"&amp;"уки  пружина 3   м   1 штука  пружина плоская 160 х 0 4 мм  пружина 20   м   1 штука  дробь свинцовая 50 грамм   1 упаковка  комплект погружных зондов   1 комплект  трубка акриловая 200мм   2 штуки  трубка капиллярная   3 штуки  трубка акриловая   2 штуки"&amp;"  пробирка 12мм   1 штука  пробка силиконовая с отверстием   1 штука  шланг 100 см   1 штука  шприц пластиковый   1 штука  цилиндр мерный пластиковый   1 штука   ")</f>
        <v xml:space="preserve"> абор демонстрационный для изучения механики в начальной школе типа  xperia     024  омплектация  кейс с крышкой   1 шт   лоток со вставкой   1шт  шкивы   3 штуки  рычаг линейка со шкалой   1 штука  шкала с градуировкой   1 штука  указатель стрелка для рычага   1 штука  опора скользящая для рычага   1 штука  чаша весов с креплением   2 штуки  тележка динамическая   1 штука  набор грузов от 1 грамма до 50 грамм   1 набор  груз с прорезью 10 грамм   4 штуки  груз цилиндрический с прорезью 50 грамм   4 штуки  держатель с крючком для грузов   2 штуки  блок прямоугольный из железа с крючком 50х20х20мм   1 штука  блок прямоугольный из алюминия с крючком 50х20х20мм   1 штука  блок пустотелый   1 штука блок железный с крючком малый   1 штука  динамометр 2    2 штуки  пружина 3   м   1 штука  пружина плоская 160 х 0 4 мм  пружина 20   м   1 штука  дробь свинцовая 50 грамм   1 упаковка  комплект погружных зондов   1 комплект  трубка акриловая 200мм   2 штуки  трубка капиллярная   3 штуки  трубка акриловая   2 штуки  пробирка 12мм   1 штука  пробка силиконовая с отверстием   1 штука  шланг 100 см   1 штука  шприц пластиковый   1 штука  цилиндр мерный пластиковый   1 штука   </v>
      </c>
    </row>
    <row r="706" spans="1:8" ht="25.5" x14ac:dyDescent="0.2">
      <c r="A706" s="31" t="s">
        <v>1558</v>
      </c>
      <c r="B706" s="27" t="s">
        <v>1559</v>
      </c>
      <c r="C706" s="27"/>
      <c r="D706" s="32"/>
      <c r="E706" s="9"/>
      <c r="F706" s="32"/>
      <c r="G706" s="10"/>
      <c r="H706" s="30" t="str">
        <f ca="1">IFERROR(__xludf.DUMMYFUNCTION("LOWER(REGEXREPLACE(B706&amp;"" ""&amp;C706,""[^а-яa-z0-9 ]"","" ""))")," ини лаборатория для начальной школы   птика  ")</f>
        <v xml:space="preserve"> ини лаборатория для начальной школы   птика  </v>
      </c>
    </row>
    <row r="707" spans="1:8" ht="25.5" x14ac:dyDescent="0.2">
      <c r="A707" s="31" t="s">
        <v>1560</v>
      </c>
      <c r="B707" s="27" t="s">
        <v>1561</v>
      </c>
      <c r="C707" s="27"/>
      <c r="D707" s="33" t="s">
        <v>68</v>
      </c>
      <c r="E707" s="34">
        <v>2</v>
      </c>
      <c r="F707" s="36">
        <v>1.46</v>
      </c>
      <c r="G707" s="10">
        <v>160888</v>
      </c>
      <c r="H707" s="30" t="str">
        <f ca="1">IFERROR(__xludf.DUMMYFUNCTION("LOWER(REGEXREPLACE(B707&amp;"" ""&amp;C707,""[^а-яa-z0-9 ]"","" ""))")," ини лаборатория для начальной школы   птика  типа  xperia     023 ")</f>
        <v xml:space="preserve"> ини лаборатория для начальной школы   птика  типа  xperia     023 </v>
      </c>
    </row>
    <row r="708" spans="1:8" ht="25.5" x14ac:dyDescent="0.2">
      <c r="A708" s="31" t="s">
        <v>1562</v>
      </c>
      <c r="B708" s="27" t="s">
        <v>1563</v>
      </c>
      <c r="C708" s="27"/>
      <c r="D708" s="33" t="s">
        <v>1506</v>
      </c>
      <c r="E708" s="34">
        <v>2</v>
      </c>
      <c r="F708" s="36">
        <v>1.24</v>
      </c>
      <c r="G708" s="10">
        <v>171000</v>
      </c>
      <c r="H708" s="30" t="str">
        <f ca="1">IFERROR(__xludf.DUMMYFUNCTION("LOWER(REGEXREPLACE(B708&amp;"" ""&amp;C708,""[^а-яa-z0-9 ]"","" ""))")," ини лаборатория для начальной школы   птика  типа  ornelsen  xperimenta 16110 ")</f>
        <v xml:space="preserve"> ини лаборатория для начальной школы   птика  типа  ornelsen  xperimenta 16110 </v>
      </c>
    </row>
    <row r="709" spans="1:8" ht="153" x14ac:dyDescent="0.2">
      <c r="A709" s="31" t="s">
        <v>1564</v>
      </c>
      <c r="B709" s="27" t="s">
        <v>1565</v>
      </c>
      <c r="C709" s="27" t="s">
        <v>1566</v>
      </c>
      <c r="D709" s="33" t="s">
        <v>1506</v>
      </c>
      <c r="E709" s="34">
        <v>2</v>
      </c>
      <c r="F709" s="34">
        <v>2</v>
      </c>
      <c r="G709" s="10">
        <v>221142</v>
      </c>
      <c r="H709" s="30" t="str">
        <f ca="1">IFERROR(__xludf.DUMMYFUNCTION("LOWER(REGEXREPLACE(B709&amp;"" ""&amp;C709,""[^а-яa-z0-9 ]"","" ""))")," абор демонстрационный для изучения оптики в начальной школе типа  xperia     025  омплектация   ехнические характеристики   атериал оптических элементов  оргстекло  ощность осветительной лампы  минимум 21  т  апряжение питания осветителей  12    омплекта"&amp;"ция   ейс с крышкой   1 шт    оток со вставкой   1шт   светитель с галогеновой лампой  2 шт   азерный излучатель  1 шт   лоскопараллельная пластина  1 шт   олуцилиндрическая пластина  1 шт   рехгранная прямоугольная призма  1 шт   обирающие линзы  3 шт   "&amp;"ассеивающая линза  1 шт   ветофильтры  2 шт   лоское зеркало  1 шт   иафрагма 1x3 5  1 шт   одель глаза  1 шт   емонстрационный световод  1 шт   ювета  1 шт ")</f>
        <v xml:space="preserve"> абор демонстрационный для изучения оптики в начальной школе типа  xperia     025  омплектация   ехнические характеристики   атериал оптических элементов  оргстекло  ощность осветительной лампы  минимум 21  т  апряжение питания осветителей  12    омплектация   ейс с крышкой   1 шт    оток со вставкой   1шт   светитель с галогеновой лампой  2 шт   азерный излучатель  1 шт   лоскопараллельная пластина  1 шт   олуцилиндрическая пластина  1 шт   рехгранная прямоугольная призма  1 шт   обирающие линзы  3 шт   ассеивающая линза  1 шт   ветофильтры  2 шт   лоское зеркало  1 шт   иафрагма 1x3 5  1 шт   одель глаза  1 шт   емонстрационный световод  1 шт   ювета  1 шт </v>
      </c>
    </row>
    <row r="710" spans="1:8" ht="25.5" x14ac:dyDescent="0.2">
      <c r="A710" s="31" t="s">
        <v>1567</v>
      </c>
      <c r="B710" s="27" t="s">
        <v>1568</v>
      </c>
      <c r="C710" s="27"/>
      <c r="D710" s="32"/>
      <c r="E710" s="9"/>
      <c r="F710" s="32"/>
      <c r="G710" s="10"/>
      <c r="H710" s="30" t="str">
        <f ca="1">IFERROR(__xludf.DUMMYFUNCTION("LOWER(REGEXREPLACE(B710&amp;"" ""&amp;C710,""[^а-яa-z0-9 ]"","" ""))")," ини лаборатория для начальной школы   лектричество  ")</f>
        <v xml:space="preserve"> ини лаборатория для начальной школы   лектричество  </v>
      </c>
    </row>
    <row r="711" spans="1:8" ht="153" x14ac:dyDescent="0.2">
      <c r="A711" s="31" t="s">
        <v>1569</v>
      </c>
      <c r="B711" s="27" t="s">
        <v>1570</v>
      </c>
      <c r="C711" s="27" t="s">
        <v>1571</v>
      </c>
      <c r="D711" s="33" t="s">
        <v>1506</v>
      </c>
      <c r="E711" s="34">
        <v>2</v>
      </c>
      <c r="F711" s="36">
        <v>3.12</v>
      </c>
      <c r="G711" s="10">
        <v>348575</v>
      </c>
      <c r="H711" s="30" t="str">
        <f ca="1">IFERROR(__xludf.DUMMYFUNCTION("LOWER(REGEXREPLACE(B711&amp;"" ""&amp;C711,""[^а-яa-z0-9 ]"","" ""))")," абор для изучения электричества в начальной школе  на 13 учебных групп  типа  xperia     028  омплектация   кейс с крышкой   1 шт   лоток со вставкой   1шт  звонок электрический   1 шт   генератор ручной   1 шт   эбонитовая и стеклянная палочки   1 компл"&amp;"   прибор для получения электрического тока из фруктов и овощей   1 шт   патрон для лампочки   1 шт   лампочка    10 шт   выключатель кнопочный   1 шт   соединитель 4 х контактный   1 шт   выключатель однополюсной    3 шт   блок для батареек типа      1 ш"&amp;"т   батарейка    типа    4 шт   набор пластин  алюминий  сталь  пластик  дерево  резина    1 шт   зажим    2 шт   набор резисторов  4  м  2  м  6  м    1 шт   набор соединительных проводов   8 шт     1 шт   борудование укомплектовано в чемодане из качеств"&amp;"енной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омплектобеспечен руководством для ученика  содержа"&amp;"щим")</f>
        <v xml:space="preserve"> абор для изучения электричества в начальной школе  на 13 учебных групп  типа  xperia     028  омплектация   кейс с крышкой   1 шт   лоток со вставкой   1шт  звонок электрический   1 шт   генератор ручной   1 шт   эбонитовая и стеклянная палочки   1 компл   прибор для получения электрического тока из фруктов и овощей   1 шт   патрон для лампочки   1 шт   лампочка    10 шт   выключатель кнопочный   1 шт   соединитель 4 х контактный   1 шт   выключатель однополюсной    3 шт   блок для батареек типа      1 шт   батарейка    типа    4 шт   набор пластин  алюминий  сталь  пластик  дерево  резина    1 шт   зажим    2 шт   набор резисторов  4  м  2  м  6  м    1 шт   набор соединительных проводов   8 шт     1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омплектобеспечен руководством для ученика  содержащим</v>
      </c>
    </row>
    <row r="712" spans="1:8" ht="25.5" x14ac:dyDescent="0.2">
      <c r="A712" s="31" t="s">
        <v>1572</v>
      </c>
      <c r="B712" s="27" t="s">
        <v>1573</v>
      </c>
      <c r="C712" s="27"/>
      <c r="D712" s="33" t="s">
        <v>1506</v>
      </c>
      <c r="E712" s="34">
        <v>2</v>
      </c>
      <c r="F712" s="36">
        <v>0.94</v>
      </c>
      <c r="G712" s="10">
        <v>229992</v>
      </c>
      <c r="H712" s="30" t="str">
        <f ca="1">IFERROR(__xludf.DUMMYFUNCTION("LOWER(REGEXREPLACE(B712&amp;"" ""&amp;C712,""[^а-яa-z0-9 ]"","" ""))")," ини лаборатория для начальной школы   лектричество   ornelsen  xperimenta 16120 ")</f>
        <v xml:space="preserve"> ини лаборатория для начальной школы   лектричество   ornelsen  xperimenta 16120 </v>
      </c>
    </row>
    <row r="713" spans="1:8" ht="178.5" x14ac:dyDescent="0.2">
      <c r="A713" s="31" t="s">
        <v>1574</v>
      </c>
      <c r="B713" s="27" t="s">
        <v>1575</v>
      </c>
      <c r="C713" s="27" t="s">
        <v>1576</v>
      </c>
      <c r="D713" s="33" t="s">
        <v>1506</v>
      </c>
      <c r="E713" s="34">
        <v>2</v>
      </c>
      <c r="F713" s="36">
        <v>1.89</v>
      </c>
      <c r="G713" s="10">
        <v>193713</v>
      </c>
      <c r="H713" s="30" t="str">
        <f ca="1">IFERROR(__xludf.DUMMYFUNCTION("LOWER(REGEXREPLACE(B713&amp;"" ""&amp;C713,""[^а-яa-z0-9 ]"","" ""))")," абор для изучения весов и равновесия в начальной школе  на 13 учебных  в кейсе   омплектация     ейс с крышкой   1 шт    лоток со вставкой   1шт  рычажные весы в составе  до 40г  точность 0 1г   коромысло  рейдер  регулировочная планка  стойка чашка для "&amp;"груза и разновесов     ачели в составе перекладина опора пружинные весы  до 25г  пружинные весы  до 75г  пружинные весы со стрелкой  до 100г  динамометр до 12 5кг с двумя шкалами  кг        абор разновесов в пластмассовой коробке в составе     2   10г  ла"&amp;"тунная гирька 10   0 1г  алюминиевая пластинка 10   1г  пластиковый кубик    ластиковая коробка содержащая  воздь  50 мм  еревянный диск  теклянный шарик  амешек  усочек картона  едная пластинка  крепка  инта  16 мм  усочек резины  рищепки  красные  абор "&amp;"запасных частей    наборе регулировочный груз  2 шт   стеклянный шарик  4 шт   прищепка  2 шт   винт  10 шт   гвоздь  5 шт   кусочек резины  2 шт   деревянный диск  2 шт   кубик 1г  10 шт   грузик 0 1г  10 шт  камешек  2 шт   кусочек картона  2 шт   рилож"&amp;"енные печатные материалы  етодические указания для учителя   есы и  авновесие  ")</f>
        <v xml:space="preserve"> абор для изучения весов и равновесия в начальной школе  на 13 учебных  в кейсе   омплектация     ейс с крышкой   1 шт    лоток со вставкой   1шт  рычажные весы в составе  до 40г  точность 0 1г   коромысло  рейдер  регулировочная планка  стойка чашка для груза и разновесов     ачели в составе перекладина опора пружинные весы  до 25г  пружинные весы  до 75г  пружинные весы со стрелкой  до 100г  динамометр до 12 5кг с двумя шкалами  кг        абор разновесов в пластмассовой коробке в составе     2   10г  латунная гирька 10   0 1г  алюминиевая пластинка 10   1г  пластиковый кубик    ластиковая коробка содержащая  воздь  50 мм  еревянный диск  теклянный шарик  амешек  усочек картона  едная пластинка  крепка  инта  16 мм  усочек резины  рищепки  красные  абор запасных частей    наборе регулировочный груз  2 шт   стеклянный шарик  4 шт   прищепка  2 шт   винт  10 шт   гвоздь  5 шт   кусочек резины  2 шт   деревянный диск  2 шт   кубик 1г  10 шт   грузик 0 1г  10 шт  камешек  2 шт   кусочек картона  2 шт   риложенные печатные материалы  етодические указания для учителя   есы и  авновесие  </v>
      </c>
    </row>
    <row r="714" spans="1:8" ht="76.5" x14ac:dyDescent="0.2">
      <c r="A714" s="31" t="s">
        <v>1577</v>
      </c>
      <c r="B714" s="27" t="s">
        <v>1578</v>
      </c>
      <c r="C714" s="27" t="s">
        <v>1579</v>
      </c>
      <c r="D714" s="33" t="s">
        <v>1506</v>
      </c>
      <c r="E714" s="34">
        <v>2</v>
      </c>
      <c r="F714" s="35">
        <v>1.6</v>
      </c>
      <c r="G714" s="10">
        <v>260529</v>
      </c>
      <c r="H714" s="30" t="str">
        <f ca="1">IFERROR(__xludf.DUMMYFUNCTION("LOWER(REGEXREPLACE(B714&amp;"" ""&amp;C714,""[^а-яa-z0-9 ]"","" ""))")," абор для исследования возобновляемой энергии в кейсе  омплектация     ейс с крышкой   1 шт     оток со вставкой   1шт   ини ветряная турбина  генератор ветровой энергии    1 шт   омплект для изучения энергии ветровой энергии   1 шт   ценка угла наклона л"&amp;"опастей  профиля лопастей и количества лопастей возможна  ертикальное выравнивание осуществляется пластиной  пециальный трехфазный генератор для повышенной выходной мощности   1 шт   ветодиод для демонстрации выходной мощности   1 шт ")</f>
        <v xml:space="preserve"> абор для исследования возобновляемой энергии в кейсе  омплектация     ейс с крышкой   1 шт     оток со вставкой   1шт   ини ветряная турбина  генератор ветровой энергии    1 шт   омплект для изучения энергии ветровой энергии   1 шт   ценка угла наклона лопастей  профиля лопастей и количества лопастей возможна  ертикальное выравнивание осуществляется пластиной  пециальный трехфазный генератор для повышенной выходной мощности   1 шт   ветодиод для демонстрации выходной мощности   1 шт </v>
      </c>
    </row>
    <row r="715" spans="1:8" ht="25.5" x14ac:dyDescent="0.2">
      <c r="A715" s="31" t="s">
        <v>1580</v>
      </c>
      <c r="B715" s="27" t="s">
        <v>1581</v>
      </c>
      <c r="C715" s="27"/>
      <c r="D715" s="33" t="s">
        <v>1506</v>
      </c>
      <c r="E715" s="9"/>
      <c r="F715" s="32"/>
      <c r="G715" s="10"/>
      <c r="H715" s="30" t="str">
        <f ca="1">IFERROR(__xludf.DUMMYFUNCTION("LOWER(REGEXREPLACE(B715&amp;"" ""&amp;C715,""[^а-яa-z0-9 ]"","" ""))")," ини лаборатория для начальной школы   епло  ")</f>
        <v xml:space="preserve"> ини лаборатория для начальной школы   епло  </v>
      </c>
    </row>
    <row r="716" spans="1:8" ht="25.5" x14ac:dyDescent="0.2">
      <c r="A716" s="31" t="s">
        <v>1582</v>
      </c>
      <c r="B716" s="27" t="s">
        <v>1583</v>
      </c>
      <c r="C716" s="27"/>
      <c r="D716" s="33" t="s">
        <v>1506</v>
      </c>
      <c r="E716" s="34">
        <v>2</v>
      </c>
      <c r="F716" s="36">
        <v>1.0900000000000001</v>
      </c>
      <c r="G716" s="10">
        <v>160533</v>
      </c>
      <c r="H716" s="30" t="str">
        <f ca="1">IFERROR(__xludf.DUMMYFUNCTION("LOWER(REGEXREPLACE(B716&amp;"" ""&amp;C716,""[^а-яa-z0-9 ]"","" ""))")," ини лаборатория для начальной школы   епло  типа  ornelsen  xperimenta 16106 ")</f>
        <v xml:space="preserve"> ини лаборатория для начальной школы   епло  типа  ornelsen  xperimenta 16106 </v>
      </c>
    </row>
    <row r="717" spans="1:8" x14ac:dyDescent="0.2">
      <c r="A717" s="12" t="s">
        <v>1584</v>
      </c>
      <c r="B717" s="26"/>
      <c r="C717" s="27"/>
      <c r="D717" s="26"/>
      <c r="E717" s="28"/>
      <c r="F717" s="26"/>
      <c r="G717" s="29"/>
      <c r="H717" s="30" t="str">
        <f ca="1">IFERROR(__xludf.DUMMYFUNCTION("LOWER(REGEXREPLACE(B717&amp;"" ""&amp;C717,""[^а-яa-z0-9 ]"","" ""))")," ")</f>
        <v xml:space="preserve"> </v>
      </c>
    </row>
    <row r="718" spans="1:8" ht="25.5" x14ac:dyDescent="0.2">
      <c r="A718" s="31" t="s">
        <v>1585</v>
      </c>
      <c r="B718" s="27" t="s">
        <v>1586</v>
      </c>
      <c r="C718" s="27"/>
      <c r="D718" s="32"/>
      <c r="E718" s="9"/>
      <c r="F718" s="32"/>
      <c r="G718" s="10"/>
      <c r="H718" s="30" t="str">
        <f ca="1">IFERROR(__xludf.DUMMYFUNCTION("LOWER(REGEXREPLACE(B718&amp;"" ""&amp;C718,""[^а-яa-z0-9 ]"","" ""))")," ебель и технические средства обучения для учебных кабинетов ")</f>
        <v xml:space="preserve"> ебель и технические средства обучения для учебных кабинетов </v>
      </c>
    </row>
    <row r="719" spans="1:8" ht="12.75" x14ac:dyDescent="0.2">
      <c r="A719" s="31" t="s">
        <v>1587</v>
      </c>
      <c r="B719" s="27" t="s">
        <v>1588</v>
      </c>
      <c r="C719" s="27"/>
      <c r="D719" s="33" t="s">
        <v>14</v>
      </c>
      <c r="E719" s="9"/>
      <c r="F719" s="32"/>
      <c r="G719" s="10"/>
      <c r="H719" s="30" t="str">
        <f ca="1">IFERROR(__xludf.DUMMYFUNCTION("LOWER(REGEXREPLACE(B719&amp;"" ""&amp;C719,""[^а-яa-z0-9 ]"","" ""))")," каф полуоткрытый для плакатов ")</f>
        <v xml:space="preserve"> каф полуоткрытый для плакатов </v>
      </c>
    </row>
    <row r="720" spans="1:8" ht="38.25" x14ac:dyDescent="0.2">
      <c r="A720" s="31" t="s">
        <v>1589</v>
      </c>
      <c r="B720" s="27" t="s">
        <v>1590</v>
      </c>
      <c r="C720" s="27" t="s">
        <v>1590</v>
      </c>
      <c r="D720" s="33" t="s">
        <v>14</v>
      </c>
      <c r="E720" s="9"/>
      <c r="F720" s="32"/>
      <c r="G720" s="10">
        <v>63209</v>
      </c>
      <c r="H720" s="30" t="str">
        <f ca="1">IFERROR(__xludf.DUMMYFUNCTION("LOWER(REGEXREPLACE(B720&amp;"" ""&amp;C720,""[^а-яa-z0-9 ]"","" ""))")," каф книжный полуоткрытый с открытыми верхними полками и закрытой нижней частью   азмеры 800х420х1930мм       16мм   каф книжный полуоткрытый с открытыми верхними полками и закрытой нижней частью   азмеры 800х420х1930мм       16мм ")</f>
        <v xml:space="preserve"> каф книжный полуоткрытый с открытыми верхними полками и закрытой нижней частью   азмеры 800х420х1930мм       16мм   каф книжный полуоткрытый с открытыми верхними полками и закрытой нижней частью   азмеры 800х420х1930мм       16мм </v>
      </c>
    </row>
    <row r="721" spans="1:8" x14ac:dyDescent="0.2">
      <c r="A721" s="12" t="s">
        <v>1591</v>
      </c>
      <c r="B721" s="26"/>
      <c r="C721" s="27"/>
      <c r="D721" s="26"/>
      <c r="E721" s="28"/>
      <c r="F721" s="26"/>
      <c r="G721" s="29"/>
      <c r="H721" s="30" t="str">
        <f ca="1">IFERROR(__xludf.DUMMYFUNCTION("LOWER(REGEXREPLACE(B721&amp;"" ""&amp;C721,""[^а-яa-z0-9 ]"","" ""))")," ")</f>
        <v xml:space="preserve"> </v>
      </c>
    </row>
    <row r="722" spans="1:8" ht="25.5" x14ac:dyDescent="0.2">
      <c r="A722" s="31" t="s">
        <v>1592</v>
      </c>
      <c r="B722" s="8" t="s">
        <v>1593</v>
      </c>
      <c r="C722" s="27"/>
      <c r="D722" s="33" t="s">
        <v>68</v>
      </c>
      <c r="E722" s="9"/>
      <c r="F722" s="32"/>
      <c r="G722" s="10"/>
      <c r="H722" s="30" t="str">
        <f ca="1">IFERROR(__xludf.DUMMYFUNCTION("LOWER(REGEXREPLACE(B722&amp;"" ""&amp;C722,""[^а-яa-z0-9 ]"","" ""))")," елескопическая трибуна с электрическим приводом ")</f>
        <v xml:space="preserve"> елескопическая трибуна с электрическим приводом </v>
      </c>
    </row>
    <row r="723" spans="1:8" ht="25.5" x14ac:dyDescent="0.2">
      <c r="A723" s="31" t="s">
        <v>1594</v>
      </c>
      <c r="B723" s="8" t="s">
        <v>1595</v>
      </c>
      <c r="C723" s="27"/>
      <c r="D723" s="33" t="s">
        <v>68</v>
      </c>
      <c r="E723" s="34">
        <v>2</v>
      </c>
      <c r="F723" s="34">
        <v>8400</v>
      </c>
      <c r="G723" s="10"/>
      <c r="H723" s="30" t="str">
        <f ca="1">IFERROR(__xludf.DUMMYFUNCTION("LOWER(REGEXREPLACE(B723&amp;"" ""&amp;C723,""[^а-яa-z0-9 ]"","" ""))")," елескопическая трибуна с электрическим приводом на 52 места ")</f>
        <v xml:space="preserve"> елескопическая трибуна с электрическим приводом на 52 места </v>
      </c>
    </row>
    <row r="724" spans="1:8" ht="25.5" x14ac:dyDescent="0.2">
      <c r="A724" s="31" t="s">
        <v>1596</v>
      </c>
      <c r="B724" s="8" t="s">
        <v>1597</v>
      </c>
      <c r="C724" s="27"/>
      <c r="D724" s="33" t="s">
        <v>68</v>
      </c>
      <c r="E724" s="34">
        <v>2</v>
      </c>
      <c r="F724" s="34">
        <v>8400</v>
      </c>
      <c r="G724" s="10">
        <v>10788103</v>
      </c>
      <c r="H724" s="30" t="str">
        <f ca="1">IFERROR(__xludf.DUMMYFUNCTION("LOWER(REGEXREPLACE(B724&amp;"" ""&amp;C724,""[^а-яa-z0-9 ]"","" ""))")," елескопическая трибуна с электрическим приводом  в комплекте 52 места ")</f>
        <v xml:space="preserve"> елескопическая трибуна с электрическим приводом  в комплекте 52 места </v>
      </c>
    </row>
    <row r="725" spans="1:8" ht="38.25" x14ac:dyDescent="0.2">
      <c r="A725" s="31" t="s">
        <v>1598</v>
      </c>
      <c r="B725" s="27" t="s">
        <v>1599</v>
      </c>
      <c r="C725" s="27"/>
      <c r="D725" s="33" t="s">
        <v>68</v>
      </c>
      <c r="E725" s="34">
        <v>2</v>
      </c>
      <c r="F725" s="34">
        <v>8400</v>
      </c>
      <c r="G725" s="10">
        <v>9304608</v>
      </c>
      <c r="H725" s="30" t="str">
        <f ca="1">IFERROR(__xludf.DUMMYFUNCTION("LOWER(REGEXREPLACE(B725&amp;"" ""&amp;C725,""[^а-яa-z0-9 ]"","" ""))")," елескопическая трибуна с электрическим приводом на 52 мест  размер сидения 400х300х450мм ")</f>
        <v xml:space="preserve"> елескопическая трибуна с электрическим приводом на 52 мест  размер сидения 400х300х450мм </v>
      </c>
    </row>
    <row r="726" spans="1:8" ht="25.5" x14ac:dyDescent="0.2">
      <c r="A726" s="31" t="s">
        <v>1600</v>
      </c>
      <c r="B726" s="8" t="s">
        <v>1601</v>
      </c>
      <c r="C726" s="27"/>
      <c r="D726" s="33" t="s">
        <v>68</v>
      </c>
      <c r="E726" s="34">
        <v>2</v>
      </c>
      <c r="F726" s="34">
        <v>38000</v>
      </c>
      <c r="G726" s="10"/>
      <c r="H726" s="30" t="str">
        <f ca="1">IFERROR(__xludf.DUMMYFUNCTION("LOWER(REGEXREPLACE(B726&amp;"" ""&amp;C726,""[^а-яa-z0-9 ]"","" ""))")," елескопическая трибуна с электрическим приводом на 253  места ")</f>
        <v xml:space="preserve"> елескопическая трибуна с электрическим приводом на 253  места </v>
      </c>
    </row>
    <row r="727" spans="1:8" ht="25.5" x14ac:dyDescent="0.2">
      <c r="A727" s="31" t="s">
        <v>1602</v>
      </c>
      <c r="B727" s="8" t="s">
        <v>1603</v>
      </c>
      <c r="C727" s="27"/>
      <c r="D727" s="33" t="s">
        <v>68</v>
      </c>
      <c r="E727" s="34">
        <v>2</v>
      </c>
      <c r="F727" s="34">
        <v>38000</v>
      </c>
      <c r="G727" s="10">
        <v>57207361</v>
      </c>
      <c r="H727" s="30" t="str">
        <f ca="1">IFERROR(__xludf.DUMMYFUNCTION("LOWER(REGEXREPLACE(B727&amp;"" ""&amp;C727,""[^а-яa-z0-9 ]"","" ""))")," елескопическая трибуна с электрическим приводом  в комплекте 253  места ")</f>
        <v xml:space="preserve"> елескопическая трибуна с электрическим приводом  в комплекте 253  места </v>
      </c>
    </row>
    <row r="728" spans="1:8" ht="38.25" x14ac:dyDescent="0.2">
      <c r="A728" s="31" t="s">
        <v>1604</v>
      </c>
      <c r="B728" s="27" t="s">
        <v>1605</v>
      </c>
      <c r="C728" s="27"/>
      <c r="D728" s="33" t="s">
        <v>68</v>
      </c>
      <c r="E728" s="34">
        <v>2</v>
      </c>
      <c r="F728" s="34">
        <v>38000</v>
      </c>
      <c r="G728" s="10">
        <v>47410273</v>
      </c>
      <c r="H728" s="30" t="str">
        <f ca="1">IFERROR(__xludf.DUMMYFUNCTION("LOWER(REGEXREPLACE(B728&amp;"" ""&amp;C728,""[^а-яa-z0-9 ]"","" ""))")," елескопическая трибуна с электрическим приводом на 253 мест  размер сидения 400х300х450мм ")</f>
        <v xml:space="preserve"> елескопическая трибуна с электрическим приводом на 253 мест  размер сидения 400х300х450мм </v>
      </c>
    </row>
    <row r="729" spans="1:8" ht="25.5" x14ac:dyDescent="0.2">
      <c r="A729" s="31" t="s">
        <v>1606</v>
      </c>
      <c r="B729" s="8" t="s">
        <v>1607</v>
      </c>
      <c r="C729" s="27"/>
      <c r="D729" s="33" t="s">
        <v>68</v>
      </c>
      <c r="E729" s="34">
        <v>2</v>
      </c>
      <c r="F729" s="34">
        <v>11800</v>
      </c>
      <c r="G729" s="10"/>
      <c r="H729" s="30" t="str">
        <f ca="1">IFERROR(__xludf.DUMMYFUNCTION("LOWER(REGEXREPLACE(B729&amp;"" ""&amp;C729,""[^а-яa-z0-9 ]"","" ""))")," елескопическая трибуна с электрическим приводом на 72 места ")</f>
        <v xml:space="preserve"> елескопическая трибуна с электрическим приводом на 72 места </v>
      </c>
    </row>
    <row r="730" spans="1:8" ht="25.5" x14ac:dyDescent="0.2">
      <c r="A730" s="31" t="s">
        <v>1608</v>
      </c>
      <c r="B730" s="8" t="s">
        <v>1609</v>
      </c>
      <c r="C730" s="27"/>
      <c r="D730" s="33" t="s">
        <v>68</v>
      </c>
      <c r="E730" s="34">
        <v>2</v>
      </c>
      <c r="F730" s="34">
        <v>11800</v>
      </c>
      <c r="G730" s="10">
        <v>16637681</v>
      </c>
      <c r="H730" s="30" t="str">
        <f ca="1">IFERROR(__xludf.DUMMYFUNCTION("LOWER(REGEXREPLACE(B730&amp;"" ""&amp;C730,""[^а-яa-z0-9 ]"","" ""))")," елескопическая трибуна с электрическим приводом на  в комплекте 72 места ")</f>
        <v xml:space="preserve"> елескопическая трибуна с электрическим приводом на  в комплекте 72 места </v>
      </c>
    </row>
    <row r="731" spans="1:8" ht="38.25" x14ac:dyDescent="0.2">
      <c r="A731" s="31" t="s">
        <v>1610</v>
      </c>
      <c r="B731" s="27" t="s">
        <v>1611</v>
      </c>
      <c r="C731" s="27"/>
      <c r="D731" s="33" t="s">
        <v>68</v>
      </c>
      <c r="E731" s="34">
        <v>2</v>
      </c>
      <c r="F731" s="34">
        <v>11800</v>
      </c>
      <c r="G731" s="10">
        <v>13658977</v>
      </c>
      <c r="H731" s="30" t="str">
        <f ca="1">IFERROR(__xludf.DUMMYFUNCTION("LOWER(REGEXREPLACE(B731&amp;"" ""&amp;C731,""[^а-яa-z0-9 ]"","" ""))")," елескопическая трибуна с электрическим приводом на 72 мест  размер сидения 400х300х450мм ")</f>
        <v xml:space="preserve"> елескопическая трибуна с электрическим приводом на 72 мест  размер сидения 400х300х450мм </v>
      </c>
    </row>
    <row r="732" spans="1:8" ht="25.5" x14ac:dyDescent="0.2">
      <c r="A732" s="31" t="s">
        <v>1612</v>
      </c>
      <c r="B732" s="8" t="s">
        <v>1613</v>
      </c>
      <c r="C732" s="27"/>
      <c r="D732" s="33" t="s">
        <v>68</v>
      </c>
      <c r="E732" s="34">
        <v>2</v>
      </c>
      <c r="F732" s="34">
        <v>14200</v>
      </c>
      <c r="G732" s="10"/>
      <c r="H732" s="30" t="str">
        <f ca="1">IFERROR(__xludf.DUMMYFUNCTION("LOWER(REGEXREPLACE(B732&amp;"" ""&amp;C732,""[^а-яa-z0-9 ]"","" ""))")," елескопическая трибуна с электрическим приводом на 86 мест ")</f>
        <v xml:space="preserve"> елескопическая трибуна с электрическим приводом на 86 мест </v>
      </c>
    </row>
    <row r="733" spans="1:8" ht="25.5" x14ac:dyDescent="0.2">
      <c r="A733" s="31" t="s">
        <v>1614</v>
      </c>
      <c r="B733" s="8" t="s">
        <v>1615</v>
      </c>
      <c r="C733" s="27"/>
      <c r="D733" s="33" t="s">
        <v>68</v>
      </c>
      <c r="E733" s="34">
        <v>2</v>
      </c>
      <c r="F733" s="34">
        <v>14200</v>
      </c>
      <c r="G733" s="10">
        <v>20158719</v>
      </c>
      <c r="H733" s="30" t="str">
        <f ca="1">IFERROR(__xludf.DUMMYFUNCTION("LOWER(REGEXREPLACE(B733&amp;"" ""&amp;C733,""[^а-яa-z0-9 ]"","" ""))")," елескопическая трибуна с электрическим приводом  в комплекте 86 мест ")</f>
        <v xml:space="preserve"> елескопическая трибуна с электрическим приводом  в комплекте 86 мест </v>
      </c>
    </row>
    <row r="734" spans="1:8" ht="38.25" x14ac:dyDescent="0.2">
      <c r="A734" s="31" t="s">
        <v>1616</v>
      </c>
      <c r="B734" s="27" t="s">
        <v>1617</v>
      </c>
      <c r="C734" s="27"/>
      <c r="D734" s="33" t="s">
        <v>68</v>
      </c>
      <c r="E734" s="34">
        <v>2</v>
      </c>
      <c r="F734" s="34">
        <v>14200</v>
      </c>
      <c r="G734" s="10">
        <v>16834779</v>
      </c>
      <c r="H734" s="30" t="str">
        <f ca="1">IFERROR(__xludf.DUMMYFUNCTION("LOWER(REGEXREPLACE(B734&amp;"" ""&amp;C734,""[^а-яa-z0-9 ]"","" ""))")," елескопическая трибуна с электрическим приводом на 86 мест  размер сидения 400х300х450мм ")</f>
        <v xml:space="preserve"> елескопическая трибуна с электрическим приводом на 86 мест  размер сидения 400х300х450мм </v>
      </c>
    </row>
    <row r="735" spans="1:8" x14ac:dyDescent="0.2">
      <c r="A735" s="12" t="s">
        <v>1618</v>
      </c>
      <c r="B735" s="26"/>
      <c r="C735" s="27"/>
      <c r="D735" s="26"/>
      <c r="E735" s="28"/>
      <c r="F735" s="26"/>
      <c r="G735" s="29"/>
      <c r="H735" s="30" t="str">
        <f ca="1">IFERROR(__xludf.DUMMYFUNCTION("LOWER(REGEXREPLACE(B735&amp;"" ""&amp;C735,""[^а-яa-z0-9 ]"","" ""))")," ")</f>
        <v xml:space="preserve"> </v>
      </c>
    </row>
    <row r="736" spans="1:8" ht="38.25" x14ac:dyDescent="0.2">
      <c r="A736" s="31" t="s">
        <v>1619</v>
      </c>
      <c r="B736" s="27" t="s">
        <v>1620</v>
      </c>
      <c r="C736" s="27"/>
      <c r="D736" s="32"/>
      <c r="E736" s="9"/>
      <c r="F736" s="32"/>
      <c r="G736" s="10"/>
      <c r="H736" s="30" t="str">
        <f ca="1">IFERROR(__xludf.DUMMYFUNCTION("LOWER(REGEXREPLACE(B736&amp;"" ""&amp;C736,""[^а-яa-z0-9 ]"","" ""))")," нновационное и высокотехнологичное оборудование для занятий робототехникой  исследовательской и проектной деятельностью ")</f>
        <v xml:space="preserve"> нновационное и высокотехнологичное оборудование для занятий робототехникой  исследовательской и проектной деятельностью </v>
      </c>
    </row>
    <row r="737" spans="1:8" ht="12.75" x14ac:dyDescent="0.2">
      <c r="A737" s="31" t="s">
        <v>1621</v>
      </c>
      <c r="B737" s="27" t="s">
        <v>1622</v>
      </c>
      <c r="C737" s="27"/>
      <c r="D737" s="33" t="s">
        <v>1506</v>
      </c>
      <c r="E737" s="9"/>
      <c r="F737" s="32"/>
      <c r="G737" s="10"/>
      <c r="H737" s="30" t="str">
        <f ca="1">IFERROR(__xludf.DUMMYFUNCTION("LOWER(REGEXREPLACE(B737&amp;"" ""&amp;C737,""[^а-яa-z0-9 ]"","" ""))")," абор роботехнический ")</f>
        <v xml:space="preserve"> абор роботехнический </v>
      </c>
    </row>
    <row r="738" spans="1:8" ht="25.5" x14ac:dyDescent="0.2">
      <c r="A738" s="31" t="s">
        <v>1623</v>
      </c>
      <c r="B738" s="27" t="s">
        <v>1624</v>
      </c>
      <c r="C738" s="27" t="s">
        <v>1625</v>
      </c>
      <c r="D738" s="33" t="s">
        <v>1506</v>
      </c>
      <c r="E738" s="34">
        <v>2</v>
      </c>
      <c r="F738" s="36">
        <v>0.63</v>
      </c>
      <c r="G738" s="10">
        <v>240659</v>
      </c>
      <c r="H738" s="30" t="str">
        <f ca="1">IFERROR(__xludf.DUMMYFUNCTION("LOWER(REGEXREPLACE(B738&amp;"" ""&amp;C738,""[^а-яa-z0-9 ]"","" ""))")," абор роботехнический базовый для начальных классов типа  obowunderkind 1 x  нопка")</f>
        <v xml:space="preserve"> абор роботехнический базовый для начальных классов типа  obowunderkind 1 x  нопка</v>
      </c>
    </row>
    <row r="739" spans="1:8" ht="25.5" x14ac:dyDescent="0.2">
      <c r="A739" s="31" t="s">
        <v>1626</v>
      </c>
      <c r="B739" s="27" t="s">
        <v>1627</v>
      </c>
      <c r="C739" s="27" t="s">
        <v>1628</v>
      </c>
      <c r="D739" s="33" t="s">
        <v>1506</v>
      </c>
      <c r="E739" s="34">
        <v>2</v>
      </c>
      <c r="F739" s="37">
        <v>0.35499999999999998</v>
      </c>
      <c r="G739" s="10">
        <v>160897</v>
      </c>
      <c r="H739" s="30" t="str">
        <f ca="1">IFERROR(__xludf.DUMMYFUNCTION("LOWER(REGEXREPLACE(B739&amp;"" ""&amp;C739,""[^а-яa-z0-9 ]"","" ""))")," абор ресурсный для начальных классов типа  obowunderkind 1 x светодиодный дисплей  1 x кнопка  1 x     подсветка  1 x блок разъемов ")</f>
        <v xml:space="preserve"> абор ресурсный для начальных классов типа  obowunderkind 1 x светодиодный дисплей  1 x кнопка  1 x     подсветка  1 x блок разъемов </v>
      </c>
    </row>
    <row r="740" spans="1:8" ht="127.5" x14ac:dyDescent="0.2">
      <c r="A740" s="31" t="s">
        <v>1629</v>
      </c>
      <c r="B740" s="27" t="s">
        <v>1630</v>
      </c>
      <c r="C740" s="27" t="s">
        <v>1631</v>
      </c>
      <c r="D740" s="33" t="s">
        <v>1506</v>
      </c>
      <c r="E740" s="34">
        <v>2</v>
      </c>
      <c r="F740" s="36">
        <v>1.1200000000000001</v>
      </c>
      <c r="G740" s="10">
        <v>299685</v>
      </c>
      <c r="H740" s="30" t="str">
        <f ca="1">IFERROR(__xludf.DUMMYFUNCTION("LOWER(REGEXREPLACE(B740&amp;"" ""&amp;C740,""[^а-яa-z0-9 ]"","" ""))")," абор сервоприводов типа  rafttronics  ab  абор сервомоторов включает следующие элементы   ронштейн поворотно наклонный для  ervo   90    90  с вращением 360 градусов   pring        4306  6    обот с непрерывным вращением   ронштейн крепления сервопривода"&amp;" для   90  icro 9g  ervo      одуль драйвера сервопривода  hield 16 канальный 12 битный      2  интерфейс    9685  6 канальный 12 битный     драйвер сервопривода интерфейс  2     9685 для щита сервопривода модуля arduino или  aspberry pi   ронштейны крепл"&amp;"ения сервопривода для   995   996 ")</f>
        <v xml:space="preserve"> абор сервоприводов типа  rafttronics  ab  абор сервомоторов включает следующие элементы   ронштейн поворотно наклонный для  ervo   90    90  с вращением 360 градусов   pring        4306  6    обот с непрерывным вращением   ронштейн крепления сервопривода для   90  icro 9g  ervo      одуль драйвера сервопривода  hield 16 канальный 12 битный      2  интерфейс    9685  6 канальный 12 битный     драйвер сервопривода интерфейс  2     9685 для щита сервопривода модуля arduino или  aspberry pi   ронштейны крепления сервопривода для   995   996 </v>
      </c>
    </row>
    <row r="741" spans="1:8" ht="76.5" x14ac:dyDescent="0.2">
      <c r="A741" s="31" t="s">
        <v>1632</v>
      </c>
      <c r="B741" s="27" t="s">
        <v>1633</v>
      </c>
      <c r="C741" s="27" t="s">
        <v>1634</v>
      </c>
      <c r="D741" s="33" t="s">
        <v>1506</v>
      </c>
      <c r="E741" s="34">
        <v>2</v>
      </c>
      <c r="F741" s="36">
        <v>0.64</v>
      </c>
      <c r="G741" s="10">
        <v>225004</v>
      </c>
      <c r="H741" s="30" t="str">
        <f ca="1">IFERROR(__xludf.DUMMYFUNCTION("LOWER(REGEXREPLACE(B741&amp;"" ""&amp;C741,""[^а-яa-z0-9 ]"","" ""))")," абор         типа  rafttronics  ab  абор для создания проектов интернета вещей включает следующие элементы                      uletooth    868   лата расширения для разработки raspberry pi  совместимая с  rduino    1278    32 0 96 дюймовый синий       д"&amp;"исплей   luetooth       it 32 модуля       evelopment для  rduino с антенной ")</f>
        <v xml:space="preserve"> абор         типа  rafttronics  ab  абор для создания проектов интернета вещей включает следующие элементы                      uletooth    868   лата расширения для разработки raspberry pi  совместимая с  rduino    1278    32 0 96 дюймовый синий       дисплей   luetooth       it 32 модуля       evelopment для  rduino с антенной </v>
      </c>
    </row>
    <row r="742" spans="1:8" ht="165.75" x14ac:dyDescent="0.2">
      <c r="A742" s="31" t="s">
        <v>1635</v>
      </c>
      <c r="B742" s="27" t="s">
        <v>1636</v>
      </c>
      <c r="C742" s="27" t="s">
        <v>1637</v>
      </c>
      <c r="D742" s="33" t="s">
        <v>1506</v>
      </c>
      <c r="E742" s="34">
        <v>2</v>
      </c>
      <c r="F742" s="36">
        <v>1.42</v>
      </c>
      <c r="G742" s="10">
        <v>448023</v>
      </c>
      <c r="H742" s="30" t="str">
        <f ca="1">IFERROR(__xludf.DUMMYFUNCTION("LOWER(REGEXREPLACE(B742&amp;"" ""&amp;C742,""[^а-яa-z0-9 ]"","" ""))")," абор двигателей постоянного тока типа  rafttronics  ab  абор двигателей постоянного тока включает следующие элементы  5   войной модуль привода двигателя постоянного тока напряжение дистанционного управления 3  14     втомобильный комплект 3   mini    ол"&amp;"есная шина   12 миллиметровый микромотор  20   кронштейн для крепления двигателя   ксессуары для игрушечных автомобилей  датчик скорости двигателя   12  20 с проводом   олесо для большого робота  85 мм  ширина поверхности 38 мм  1 шт    серебристый   олес"&amp;"о для больших роботов  85 мм  ширина поверхности 38 мм  1 шт    синий   олесо для больших роботов  85 мм  ширина поверхности 38 мм  1 шт    красный   амобалансирующиеся комплекты для умных автомобилей   олесо 65 мм   двигатель 281 об   мин 3 9     кронште"&amp;"йн   муфта 5 мм ")</f>
        <v xml:space="preserve"> абор двигателей постоянного тока типа  rafttronics  ab  абор двигателей постоянного тока включает следующие элементы  5   войной модуль привода двигателя постоянного тока напряжение дистанционного управления 3  14     втомобильный комплект 3   mini    олесная шина   12 миллиметровый микромотор  20   кронштейн для крепления двигателя   ксессуары для игрушечных автомобилей  датчик скорости двигателя   12  20 с проводом   олесо для большого робота  85 мм  ширина поверхности 38 мм  1 шт    серебристый   олесо для больших роботов  85 мм  ширина поверхности 38 мм  1 шт    синий   олесо для больших роботов  85 мм  ширина поверхности 38 мм  1 шт    красный   амобалансирующиеся комплекты для умных автомобилей   олесо 65 мм   двигатель 281 об   мин 3 9     кронштейн   муфта 5 мм </v>
      </c>
    </row>
    <row r="743" spans="1:8" ht="255" x14ac:dyDescent="0.2">
      <c r="A743" s="31" t="s">
        <v>1638</v>
      </c>
      <c r="B743" s="27" t="s">
        <v>1639</v>
      </c>
      <c r="C743" s="27" t="s">
        <v>1640</v>
      </c>
      <c r="D743" s="33" t="s">
        <v>1506</v>
      </c>
      <c r="E743" s="34">
        <v>2</v>
      </c>
      <c r="F743" s="36">
        <v>0.82</v>
      </c>
      <c r="G743" s="10">
        <v>273848</v>
      </c>
      <c r="H743" s="30" t="str">
        <f ca="1">IFERROR(__xludf.DUMMYFUNCTION("LOWER(REGEXREPLACE(B743&amp;"" ""&amp;C743,""[^а-яa-z0-9 ]"","" ""))")," абор печатных плат типа  rafttronics  ab  абор печатных плат включает следующие элементы   дносторонняя плата 20   30 см  толщина 1 5 мм    4  текловолокно  пустая медная печатная плата  универсальная прототипная печатная плата  прототип бумажной медной "&amp;"печатной платы  универсальная экспериментальная матричная печатная плата 5x7 см  2   8 см универсальная двухсторонняя плата для прототипа печатной платы  3   7 см универсальная двухсторонняя плата для прототипа печатной платы  6   8 см универсальная двухс"&amp;"торонняя плата для прототипа печатной платы   ниверсальная двухсторонняя плата для прототипа печатной платы 8   12 см   вусторонняя универсальная плата прототипа печатной платы 12   18 см  20   30 см универсальная двухсторонняя плата прототипа печатной пл"&amp;"аты   веточувствительная сухая пленка шириной 30 5 см вместо термопереносной фоточувствительной пленки для печатных плат   ини     203 6 контактные переключатели                6  125      оковый выключатель датчика вибрации    18020    актильный кнопочны"&amp;"й переключатель  omentary  act 12x12x7 3 мм   желтая круглая крышка   отенциометр 15 мм  ал  2x40pin гнездовой разъем 2  54мм  2x40 контактный загнутый штифт 2 54 мм  ломаемый  прямой разъем 1x40pin 2 54 мм 1x40pin  мама разъем 2 54 мм ")</f>
        <v xml:space="preserve"> абор печатных плат типа  rafttronics  ab  абор печатных плат включает следующие элементы   дносторонняя плата 20   30 см  толщина 1 5 мм    4  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8 см универсальная двухсторонняя плата для прототипа печатной платы  3   7 см универсальная двухсторонняя плата для прототипа печатной платы  6   8 см универсальная двухсторонняя плата для прототипа печатной платы   ниверсальная двухсторонняя плата для прототипа печатной платы 8   12 см   вусторонняя универсальная плата прототипа печатной платы 12   18 см  20   30 см универсальная двухсторонняя плата прототипа печатной платы   веточувствительная сухая пленка шириной 30 5 см вместо термопереносной фоточувствительной пленки для печатных плат   ини     203 6 контактные переключатели                6  125      оковый выключатель датчика вибрации    18020    актильный кнопочный переключатель  omentary  act 12x12x7 3 мм   желтая круглая крышка   отенциометр 15 мм  ал  2x40pin гнездовой разъем 2  54мм  2x40 контактный загнутый штифт 2 54 мм  ломаемый  прямой разъем 1x40pin 2 54 мм 1x40pin  мама разъем 2 54 мм </v>
      </c>
    </row>
    <row r="744" spans="1:8" ht="280.5" x14ac:dyDescent="0.2">
      <c r="A744" s="31" t="s">
        <v>1641</v>
      </c>
      <c r="B744" s="27" t="s">
        <v>1642</v>
      </c>
      <c r="C744" s="27" t="s">
        <v>1643</v>
      </c>
      <c r="D744" s="33" t="s">
        <v>1506</v>
      </c>
      <c r="E744" s="34">
        <v>2</v>
      </c>
      <c r="F744" s="36">
        <v>0.92</v>
      </c>
      <c r="G744" s="10">
        <v>165335</v>
      </c>
      <c r="H744" s="30" t="str">
        <f ca="1">IFERROR(__xludf.DUMMYFUNCTION("LOWER(REGEXREPLACE(B744&amp;"" ""&amp;C744,""[^а-яa-z0-9 ]"","" ""))")," абор электронных компонентов типа  rafttronics  ab  абор электронных компонентов включает следующие элементы   upont  ine 40  in 10см 24    мама мама   upont  ine 40  in 10см 24    папа мама   upont  ine 40  in 10см 24    папа папа  оценка 400 вложений б"&amp;"ез кисти  круглый тактильный кнопочный переключатель 5 мм со светозависимым резистором 5528       omentary  act  актильный кнопочный переключатель 12x12x7 5 мм   желтая круглая крышка  актильный кнопочный переключатель 12x12x7 3 мм   желтый круглый колпач"&amp;"ок  светодиодный диод  5 мм          it  ассортимент ламп   елый  елтый  еленый  иний  расный  елый  елтый   сего 600 штук   езисторы из металлической пленки  аборы для сборки электронных устройств 120 шт  12  ринципов 0 22 мк  470 мк    аборы для электро"&amp;"литических конденсаторов из алюминия  12 различных значений 1       470      абор электролитических конденсаторов 1     2 2     3 3     4 7     10     22     33     47     100     220     220     220     220     220     220     220     220     220     220"&amp;"     220     2   онденсатор электролитический 1 мк  470 мк  мк  мк  мк  мк    онденсатор керамический 2   0 1   30 шт    10 шт  конденсатор керамический 2   0 1   300 шт  конденсатор керамический 2   0 1   300 шт  конденсатор керамический 2   0 1   300 шт"&amp;"  конденсатор керамический 2   0 1 ")</f>
        <v xml:space="preserve"> абор электронных компонентов типа  rafttronics  ab  абор электронных компонентов включает следующие элементы   upont  ine 40  in 10см 24    мама мама   upont  ine 40  in 10см 24    папа мама   upont  ine 40  in 10см 24    папа папа  оценка 400 вложений без кисти  круглый тактильный кнопочный переключатель 5 мм со светозависимым резистором 5528       omentary  act  актильный кнопочный переключатель 12x12x7 5 мм   желтая круглая крышка  актильный кнопочный переключатель 12x12x7 3 мм   желтый круглый колпачок  светодиодный диод  5 мм          it  ассортимент ламп   елый  елтый  еленый  иний  расный  елый  елтый   сего 600 штук   езисторы из металлической пленки  аборы для сборки электронных устройств 120 шт  12  ринципов 0 22 мк  470 мк    аборы для электролитических конденсаторов из алюминия  12 различных значений 1       470      абор электролитических конденсаторов 1     2 2     3 3     4 7     10     22     33     47     100     220     220     220     220     220     220     220     220     220     220     220     2   онденсатор электролитический 1 мк  470 мк  мк  мк  мк  мк    онденсатор керамический 2   0 1   30 шт    10 шт  конденсатор керамический 2   0 1   300 шт  конденсатор керамический 2   0 1   300 шт  конденсатор керамический 2   0 1   300 шт  конденсатор керамический 2   0 1 </v>
      </c>
    </row>
    <row r="745" spans="1:8" ht="51" x14ac:dyDescent="0.2">
      <c r="A745" s="31" t="s">
        <v>1644</v>
      </c>
      <c r="B745" s="27" t="s">
        <v>1645</v>
      </c>
      <c r="C745" s="27" t="s">
        <v>1646</v>
      </c>
      <c r="D745" s="33" t="s">
        <v>1506</v>
      </c>
      <c r="E745" s="34">
        <v>2</v>
      </c>
      <c r="F745" s="36">
        <v>0.35</v>
      </c>
      <c r="G745" s="10">
        <v>255850</v>
      </c>
      <c r="H745" s="30" t="str">
        <f ca="1">IFERROR(__xludf.DUMMYFUNCTION("LOWER(REGEXREPLACE(B745&amp;"" ""&amp;C745,""[^а-яa-z0-9 ]"","" ""))")," абор модулей беспроводной связи типа  rafttronics  ab  абор включает следующие элементы  последовательный модуль платы расширения  i i  тестовая плата для платы разработки  i i   модуль  luetooth  последовательный порт    32 с камерой")</f>
        <v xml:space="preserve"> абор модулей беспроводной связи типа  rafttronics  ab  абор включает следующие элементы  последовательный модуль платы расширения  i i  тестовая плата для платы разработки  i i   модуль  luetooth  последовательный порт    32 с камерой</v>
      </c>
    </row>
    <row r="746" spans="1:8" ht="12.75" x14ac:dyDescent="0.2">
      <c r="A746" s="31" t="s">
        <v>1647</v>
      </c>
      <c r="B746" s="27" t="s">
        <v>1648</v>
      </c>
      <c r="C746" s="27" t="s">
        <v>1649</v>
      </c>
      <c r="D746" s="33" t="s">
        <v>1506</v>
      </c>
      <c r="E746" s="34">
        <v>2</v>
      </c>
      <c r="F746" s="36">
        <v>0.42</v>
      </c>
      <c r="G746" s="10">
        <v>297011</v>
      </c>
      <c r="H746" s="30" t="str">
        <f ca="1">IFERROR(__xludf.DUMMYFUNCTION("LOWER(REGEXREPLACE(B746&amp;"" ""&amp;C746,""[^а-яa-z0-9 ]"","" ""))")," абор микроконтроллеров типа  rafttronics  ab  абор включает в себя основные платы  rduino")</f>
        <v xml:space="preserve"> абор микроконтроллеров типа  rafttronics  ab  абор включает в себя основные платы  rduino</v>
      </c>
    </row>
    <row r="747" spans="1:8" ht="76.5" x14ac:dyDescent="0.2">
      <c r="A747" s="31" t="s">
        <v>1650</v>
      </c>
      <c r="B747" s="27" t="s">
        <v>1651</v>
      </c>
      <c r="C747" s="27" t="s">
        <v>1652</v>
      </c>
      <c r="D747" s="33" t="s">
        <v>1506</v>
      </c>
      <c r="E747" s="34">
        <v>2</v>
      </c>
      <c r="F747" s="36">
        <v>1.53</v>
      </c>
      <c r="G747" s="10">
        <v>214886</v>
      </c>
      <c r="H747" s="30" t="str">
        <f ca="1">IFERROR(__xludf.DUMMYFUNCTION("LOWER(REGEXREPLACE(B747&amp;"" ""&amp;C747,""[^а-яa-z0-9 ]"","" ""))")," абор шаговых двигателей типа  rafttronics  ab  абор шаговых моторов плат включает следующие элементы  4 фазный шаговый двигатель 5     плата драйвера  драйвер шагового двигателя  onster  oto  hield    3   30 с высоким током 30     6600 0  2 5   онтроллер"&amp;"       райвер шагового двигателя  ema 17 23   дноосный   6600  вухфазный гибридный шаговый двигател   омплект для 3  принтера ")</f>
        <v xml:space="preserve"> абор шаговых двигателей типа  rafttronics  ab  абор шаговых моторов плат включает следующие элементы  4 фазный шаговый двигатель 5     плата драйвера  драйвер шагового двигателя  onster  oto  hield    3   30 с высоким током 30     6600 0  2 5   онтроллер       райвер шагового двигателя  ema 17 23   дноосный   6600  вухфазный гибридный шаговый двигател   омплект для 3  принтера </v>
      </c>
    </row>
    <row r="748" spans="1:8" ht="140.25" x14ac:dyDescent="0.2">
      <c r="A748" s="31" t="s">
        <v>1653</v>
      </c>
      <c r="B748" s="27" t="s">
        <v>1654</v>
      </c>
      <c r="C748" s="27" t="s">
        <v>1655</v>
      </c>
      <c r="D748" s="33" t="s">
        <v>1506</v>
      </c>
      <c r="E748" s="34">
        <v>2</v>
      </c>
      <c r="F748" s="36">
        <v>0.45</v>
      </c>
      <c r="G748" s="10">
        <v>228092</v>
      </c>
      <c r="H748" s="30" t="str">
        <f ca="1">IFERROR(__xludf.DUMMYFUNCTION("LOWER(REGEXREPLACE(B748&amp;"" ""&amp;C748,""[^а-яa-z0-9 ]"","" ""))")," бучающий набор электронных схем типа  rafttronics  ab  бучающий набор электронных схем состоит из   ифровые 4 битные электронные часы          89 2051   то электронные часы с 4 битным сегментным дисплеем  которые позволяют отображать время   ни основаны "&amp;"на микроконтроллере   89 2051   еспроводной стерео радиоприемник     модуль     76   ц 108   ц     1 8 в 3 6     тот модуль предоставляет возможность создания беспроводного стерео радиоприемника      н работает в диапазоне частот от 76   ц до 108   ц и тр"&amp;"ебует питания от 1 8   до 3 6     тжим 95 светодиодов  ветровой колокольчик 5 в 9     н включает отжим с 95 светодиодами  который может создавать разнообразные эффекты освещения  а также ветровой колокольчик  работающий от 5   до 9   ")</f>
        <v xml:space="preserve"> бучающий набор электронных схем типа  rafttronics  ab  бучающий набор электронных схем состоит из   ифровые 4 битные электронные часы          89 2051   то электронные часы с 4 битным сегментным дисплеем  которые позволяют отображать время   ни основаны на микроконтроллере   89 2051   еспроводной стерео радиоприемник     модуль     76   ц 108   ц     1 8 в 3 6     тот модуль предоставляет возможность создания беспроводного стерео радиоприемника      н работает в диапазоне частот от 76   ц до 108   ц и требует питания от 1 8   до 3 6     тжим 95 светодиодов  ветровой колокольчик 5 в 9     н включает отжим с 95 светодиодами  который может создавать разнообразные эффекты освещения  а также ветровой колокольчик  работающий от 5   до 9   </v>
      </c>
    </row>
    <row r="749" spans="1:8" ht="12.75" x14ac:dyDescent="0.2">
      <c r="A749" s="31" t="s">
        <v>1656</v>
      </c>
      <c r="B749" s="27" t="s">
        <v>1657</v>
      </c>
      <c r="C749" s="27"/>
      <c r="D749" s="33" t="s">
        <v>1506</v>
      </c>
      <c r="E749" s="9"/>
      <c r="F749" s="32"/>
      <c r="G749" s="10"/>
      <c r="H749" s="30" t="str">
        <f ca="1">IFERROR(__xludf.DUMMYFUNCTION("LOWER(REGEXREPLACE(B749&amp;"" ""&amp;C749,""[^а-яa-z0-9 ]"","" ""))")," абор для сборки квадрокоптера ")</f>
        <v xml:space="preserve"> абор для сборки квадрокоптера </v>
      </c>
    </row>
    <row r="750" spans="1:8" ht="38.25" x14ac:dyDescent="0.2">
      <c r="A750" s="31" t="s">
        <v>1658</v>
      </c>
      <c r="B750" s="8" t="s">
        <v>1659</v>
      </c>
      <c r="C750" s="27" t="s">
        <v>1660</v>
      </c>
      <c r="D750" s="33" t="s">
        <v>1506</v>
      </c>
      <c r="E750" s="34">
        <v>2</v>
      </c>
      <c r="F750" s="36">
        <v>2.31</v>
      </c>
      <c r="G750" s="10">
        <v>415364</v>
      </c>
      <c r="H750" s="30" t="str">
        <f ca="1">IFERROR(__xludf.DUMMYFUNCTION("LOWER(REGEXREPLACE(B750&amp;"" ""&amp;C750,""[^а-яa-z0-9 ]"","" ""))")," абор для сборки квадрокоптера типа  rafttronics  ab  омплектация        рон 5 дюймовый  лем для     режима 2 4  ц  ульт управления  ккумулятор  нтенны 2 4  ц  вадрокоптер малых размеров")</f>
        <v xml:space="preserve"> абор для сборки квадрокоптера типа  rafttronics  ab  омплектация        рон 5 дюймовый  лем для     режима 2 4  ц  ульт управления  ккумулятор  нтенны 2 4  ц  вадрокоптер малых размеров</v>
      </c>
    </row>
    <row r="751" spans="1:8" ht="63.75" x14ac:dyDescent="0.2">
      <c r="A751" s="31" t="s">
        <v>1661</v>
      </c>
      <c r="B751" s="27" t="s">
        <v>1662</v>
      </c>
      <c r="C751" s="27" t="s">
        <v>1663</v>
      </c>
      <c r="D751" s="33" t="s">
        <v>1506</v>
      </c>
      <c r="E751" s="34">
        <v>2</v>
      </c>
      <c r="F751" s="35">
        <v>1.4</v>
      </c>
      <c r="G751" s="10">
        <v>351599</v>
      </c>
      <c r="H751" s="30" t="str">
        <f ca="1">IFERROR(__xludf.DUMMYFUNCTION("LOWER(REGEXREPLACE(B751&amp;"" ""&amp;C751,""[^а-яa-z0-9 ]"","" ""))")," абор микрокомпьютеров  абор включает следующие элементы    дноплатный микрокомпьютер   ульт дистанционного управления беспроводной клавиатурой    енсорная панель без батареи для сухих одноразовых элементов        еспроводная клавиатура с комплектом мыши "&amp;"   лата модуля  модуль инфракрасной    камеры ночного видения  еб камера с мощностью не менее 540  т")</f>
        <v xml:space="preserve"> абор микрокомпьютеров  абор включает следующие элементы    дноплатный микрокомпьютер   ульт дистанционного управления беспроводной клавиатурой    енсорная панель без батареи для сухих одноразовых элементов        еспроводная клавиатура с комплектом мыши    лата модуля  модуль инфракрасной    камеры ночного видения  еб камера с мощностью не менее 540  т</v>
      </c>
    </row>
    <row r="752" spans="1:8" ht="102" x14ac:dyDescent="0.2">
      <c r="A752" s="31" t="s">
        <v>1664</v>
      </c>
      <c r="B752" s="27" t="s">
        <v>1665</v>
      </c>
      <c r="C752" s="27" t="s">
        <v>1666</v>
      </c>
      <c r="D752" s="33" t="s">
        <v>14</v>
      </c>
      <c r="E752" s="34">
        <v>2</v>
      </c>
      <c r="F752" s="35">
        <v>0.9</v>
      </c>
      <c r="G752" s="10">
        <v>134154</v>
      </c>
      <c r="H752" s="30" t="str">
        <f ca="1">IFERROR(__xludf.DUMMYFUNCTION("LOWER(REGEXREPLACE(B752&amp;"" ""&amp;C752,""[^а-яa-z0-9 ]"","" ""))")," аяльная станция  ип устройства  паяльная станция с регулируемой температурой   егулируемая температура  позволяет пользователю точно настраивать температуру нагрева паяльного жала   емпературный диапазон  разнообразные диапазоны температур для различных "&amp;"типов работ   оддержка различных паяльных жал  совместима с различными типами и размерами паяльных жал   строенный дисплей  дисплей с информацией о текущей температуре и настройках работы   ощность не более 80  т   емпературный диапазон  100     450     л"&amp;"ина кабеля  не более 1 5 м ")</f>
        <v xml:space="preserve"> аяльная станция  ип устройства  паяльная станция с регулируемой температурой   егулируемая температура  позволяет пользователю точно настраивать температуру нагрева паяльного жала   емпературный диапазон  разнообразные диапазоны температур для различных типов работ   оддержка различных паяльных жал  совместима с различными типами и размерами паяльных жал   строенный дисплей  дисплей с информацией о текущей температуре и настройках работы   ощность не более 80  т   емпературный диапазон  100     450     лина кабеля  не более 1 5 м </v>
      </c>
    </row>
    <row r="753" spans="1:8" ht="12.75" x14ac:dyDescent="0.2">
      <c r="A753" s="31" t="s">
        <v>1667</v>
      </c>
      <c r="B753" s="27" t="s">
        <v>1668</v>
      </c>
      <c r="C753" s="27"/>
      <c r="D753" s="33" t="s">
        <v>14</v>
      </c>
      <c r="E753" s="9"/>
      <c r="F753" s="32"/>
      <c r="G753" s="10"/>
      <c r="H753" s="30" t="str">
        <f ca="1">IFERROR(__xludf.DUMMYFUNCTION("LOWER(REGEXREPLACE(B753&amp;"" ""&amp;C753,""[^а-яa-z0-9 ]"","" ""))")," ебель для кабинета робототехники ")</f>
        <v xml:space="preserve"> ебель для кабинета робототехники </v>
      </c>
    </row>
    <row r="754" spans="1:8" ht="38.25" x14ac:dyDescent="0.2">
      <c r="A754" s="31" t="s">
        <v>1669</v>
      </c>
      <c r="B754" s="27" t="s">
        <v>1670</v>
      </c>
      <c r="C754" s="27" t="s">
        <v>1671</v>
      </c>
      <c r="D754" s="33" t="s">
        <v>14</v>
      </c>
      <c r="E754" s="34">
        <v>2</v>
      </c>
      <c r="F754" s="35">
        <v>58.3</v>
      </c>
      <c r="G754" s="10">
        <v>250452</v>
      </c>
      <c r="H754" s="30" t="str">
        <f ca="1">IFERROR(__xludf.DUMMYFUNCTION("LOWER(REGEXREPLACE(B754&amp;"" ""&amp;C754,""[^а-яa-z0-9 ]"","" ""))")," теллаж для наборов по робототехнике типа  raft ab  теллаж изготовлен из       толщиной 32 мм  кромка       абариты  1500 х 450 х 900 мм   пециалированный для наборов лего  16 ячеек с пластиковыми лотками")</f>
        <v xml:space="preserve"> теллаж для наборов по робототехнике типа  raft ab  теллаж изготовлен из       толщиной 32 мм  кромка       абариты  1500 х 450 х 900 мм   пециалированный для наборов лего  16 ячеек с пластиковыми лотками</v>
      </c>
    </row>
    <row r="755" spans="1:8" ht="191.25" x14ac:dyDescent="0.2">
      <c r="A755" s="31" t="s">
        <v>1672</v>
      </c>
      <c r="B755" s="27" t="s">
        <v>1673</v>
      </c>
      <c r="C755" s="27" t="s">
        <v>1674</v>
      </c>
      <c r="D755" s="33" t="s">
        <v>14</v>
      </c>
      <c r="E755" s="34">
        <v>2</v>
      </c>
      <c r="F755" s="35">
        <v>117.6</v>
      </c>
      <c r="G755" s="10">
        <v>2418073</v>
      </c>
      <c r="H755" s="30" t="str">
        <f ca="1">IFERROR(__xludf.DUMMYFUNCTION("LOWER(REGEXREPLACE(B755&amp;"" ""&amp;C755,""[^а-яa-z0-9 ]"","" ""))")," каф инструментальный по ручным универсальным инструментам типа  raft ab  азмеры шкафа 1900х550х1000мм   х х    корпус выполнен из        нутренняя часть состоит из деревянных лотков под каждый инструмент   одержимое   обзик ручной 12шт   орцевые кусачки "&amp;"12шт   гольник 12шт   твертка  1 12шт   твертка  2 12шт   твертка  3 12шт   твертка  4 12шт   твертка  5 12шт   твертка  6 12шт   твертка  7 12шт   твертка  8 12шт   ожницы хозяйственные 12шт   ож канцелярский 12шт   инейка мал 12шт   инейка средняя 12шт "&amp;"  инейка большая 12шт   патель унииверсальный 12шт   ило квадратное 12шт   ило круглое 12шт   трубцина уголвая 6шт   трубцина клещееобразная 50   6шт   трубцина клещееобразная 75   6шт   трубцина клещееобразная 100   6шт   убка 100   6шт   убка 40   6шт  "&amp;" убка 120   6шт   ихтовочный молоток 12шт ")</f>
        <v xml:space="preserve"> каф инструментальный по ручным универсальным инструментам типа  raft ab  азмеры шкафа 1900х550х1000мм   х х    корпус выполнен из        нутренняя часть состоит из деревянных лотков под каждый инструмент   одержимое   обзик ручной 12шт   орцевые кусачки 12шт   гольник 12шт   твертка  1 12шт   твертка  2 12шт   твертка  3 12шт   твертка  4 12шт   твертка  5 12шт   твертка  6 12шт   твертка  7 12шт   твертка  8 12шт   ожницы хозяйственные 12шт   ож канцелярский 12шт   инейка мал 12шт   инейка средняя 12шт   инейка большая 12шт   патель унииверсальный 12шт   ило квадратное 12шт   ило круглое 12шт   трубцина уголвая 6шт   трубцина клещееобразная 50   6шт   трубцина клещееобразная 75   6шт   трубцина клещееобразная 100   6шт   убка 100   6шт   убка 40   6шт   убка 120   6шт   ихтовочный молоток 12шт </v>
      </c>
    </row>
    <row r="756" spans="1:8" ht="178.5" x14ac:dyDescent="0.2">
      <c r="A756" s="31" t="s">
        <v>1675</v>
      </c>
      <c r="B756" s="27" t="s">
        <v>1676</v>
      </c>
      <c r="C756" s="27" t="s">
        <v>1677</v>
      </c>
      <c r="D756" s="33" t="s">
        <v>14</v>
      </c>
      <c r="E756" s="34">
        <v>2</v>
      </c>
      <c r="F756" s="36">
        <v>79.55</v>
      </c>
      <c r="G756" s="10">
        <v>3078856</v>
      </c>
      <c r="H756" s="30" t="str">
        <f ca="1">IFERROR(__xludf.DUMMYFUNCTION("LOWER(REGEXREPLACE(B756&amp;"" ""&amp;C756,""[^а-яa-z0-9 ]"","" ""))")," каф инструментальный по электронике типа  raft ab  нструментальный шкаф по электронике расчитан для 12 учеников  размер 1900х550х1000мм   х х     орпус выполнен из       внутренняя часть состоит из деревянных лотков под каждый инструмент   одержимое     "&amp;" 011     012  окорезы  130 мм  линногубцы  130 мм  линногубцы изогнутые  130 мм  строгубцы  ini  130 мм     108  60      0    00    2 0    000  лещи для снятия изоляции  nsulated   01 stay   830    800   750ll   801    01")</f>
        <v xml:space="preserve"> каф инструментальный по электронике типа  raft ab  нструментальный шкаф по электронике расчитан для 12 учеников  размер 1900х550х1000мм   х х     орпус выполнен из       внутренняя часть состоит из деревянных лотков под каждый инструмент   одержимое      011     012  окорезы  130 мм  линногубцы  130 мм  линногубцы изогнутые  130 мм  строгубцы  ini  130 мм     108  60      0    00    2 0    000  лещи для снятия изоляции  nsulated   01 stay   830    800   750ll   801    01</v>
      </c>
    </row>
    <row r="757" spans="1:8" ht="25.5" x14ac:dyDescent="0.2">
      <c r="A757" s="31" t="s">
        <v>1678</v>
      </c>
      <c r="B757" s="27" t="s">
        <v>1679</v>
      </c>
      <c r="C757" s="27"/>
      <c r="D757" s="33" t="s">
        <v>14</v>
      </c>
      <c r="E757" s="34">
        <v>2</v>
      </c>
      <c r="F757" s="35">
        <v>71.400000000000006</v>
      </c>
      <c r="G757" s="10">
        <v>214514</v>
      </c>
      <c r="H757" s="30" t="str">
        <f ca="1">IFERROR(__xludf.DUMMYFUNCTION("LOWER(REGEXREPLACE(B757&amp;"" ""&amp;C757,""[^а-яa-z0-9 ]"","" ""))")," пециализированный стол для паяльного дела типа  raft ab ")</f>
        <v xml:space="preserve"> пециализированный стол для паяльного дела типа  raft ab </v>
      </c>
    </row>
    <row r="758" spans="1:8" x14ac:dyDescent="0.2">
      <c r="A758" s="12" t="s">
        <v>1680</v>
      </c>
      <c r="B758" s="26"/>
      <c r="C758" s="27"/>
      <c r="D758" s="26"/>
      <c r="E758" s="28"/>
      <c r="F758" s="26"/>
      <c r="G758" s="29"/>
      <c r="H758" s="30" t="str">
        <f ca="1">IFERROR(__xludf.DUMMYFUNCTION("LOWER(REGEXREPLACE(B758&amp;"" ""&amp;C758,""[^а-яa-z0-9 ]"","" ""))")," ")</f>
        <v xml:space="preserve"> </v>
      </c>
    </row>
    <row r="759" spans="1:8" ht="12.75" x14ac:dyDescent="0.2">
      <c r="A759" s="31" t="s">
        <v>1681</v>
      </c>
      <c r="B759" s="27" t="s">
        <v>1682</v>
      </c>
      <c r="C759" s="27"/>
      <c r="D759" s="32"/>
      <c r="E759" s="9"/>
      <c r="F759" s="32"/>
      <c r="G759" s="10"/>
      <c r="H759" s="30" t="str">
        <f ca="1">IFERROR(__xludf.DUMMYFUNCTION("LOWER(REGEXREPLACE(B759&amp;"" ""&amp;C759,""[^а-яa-z0-9 ]"","" ""))")," ебель ")</f>
        <v xml:space="preserve"> ебель </v>
      </c>
    </row>
    <row r="760" spans="1:8" ht="12.75" x14ac:dyDescent="0.2">
      <c r="A760" s="31" t="s">
        <v>1683</v>
      </c>
      <c r="B760" s="27" t="s">
        <v>1684</v>
      </c>
      <c r="C760" s="27"/>
      <c r="D760" s="33" t="s">
        <v>14</v>
      </c>
      <c r="E760" s="9"/>
      <c r="F760" s="32"/>
      <c r="G760" s="10"/>
      <c r="H760" s="30" t="str">
        <f ca="1">IFERROR(__xludf.DUMMYFUNCTION("LOWER(REGEXREPLACE(B760&amp;"" ""&amp;C760,""[^а-яa-z0-9 ]"","" ""))")," тул крутящийся без спинки ")</f>
        <v xml:space="preserve"> тул крутящийся без спинки </v>
      </c>
    </row>
    <row r="761" spans="1:8" ht="51" x14ac:dyDescent="0.2">
      <c r="A761" s="31" t="s">
        <v>1685</v>
      </c>
      <c r="B761" s="27" t="s">
        <v>1686</v>
      </c>
      <c r="C761" s="27" t="s">
        <v>1687</v>
      </c>
      <c r="D761" s="33" t="s">
        <v>14</v>
      </c>
      <c r="E761" s="34">
        <v>2</v>
      </c>
      <c r="F761" s="34">
        <v>7</v>
      </c>
      <c r="G761" s="10">
        <v>27353</v>
      </c>
      <c r="H761" s="30" t="str">
        <f ca="1">IFERROR(__xludf.DUMMYFUNCTION("LOWER(REGEXREPLACE(B761&amp;"" ""&amp;C761,""[^а-яa-z0-9 ]"","" ""))")," абурет винтовой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о"&amp;"бито винилискожей   азмеры  320х460 600мм")</f>
        <v xml:space="preserve"> абурет винтовой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обито винилискожей   азмеры  320х460 600мм</v>
      </c>
    </row>
    <row r="762" spans="1:8" ht="51" x14ac:dyDescent="0.2">
      <c r="A762" s="31" t="s">
        <v>1688</v>
      </c>
      <c r="B762" s="27" t="s">
        <v>1689</v>
      </c>
      <c r="C762" s="27" t="s">
        <v>1687</v>
      </c>
      <c r="D762" s="33" t="s">
        <v>14</v>
      </c>
      <c r="E762" s="9"/>
      <c r="F762" s="32"/>
      <c r="G762" s="10">
        <v>19171</v>
      </c>
      <c r="H762" s="30" t="str">
        <f ca="1">IFERROR(__xludf.DUMMYFUNCTION("LOWER(REGEXREPLACE(B762&amp;"" ""&amp;C762,""[^а-яa-z0-9 ]"","" ""))")," абурет винтовой    2021 2 320 460 600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име"&amp;"ет настил из поролона  обито винилискожей   азмеры  320х460 600мм")</f>
        <v xml:space="preserve"> абурет винтовой    2021 2 320 460 600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обито винилискожей   азмеры  320х460 600мм</v>
      </c>
    </row>
    <row r="763" spans="1:8" ht="38.25" x14ac:dyDescent="0.2">
      <c r="A763" s="31" t="s">
        <v>1690</v>
      </c>
      <c r="B763" s="27" t="s">
        <v>1691</v>
      </c>
      <c r="C763" s="27" t="s">
        <v>1692</v>
      </c>
      <c r="D763" s="33" t="s">
        <v>14</v>
      </c>
      <c r="E763" s="34">
        <v>2</v>
      </c>
      <c r="F763" s="34">
        <v>8</v>
      </c>
      <c r="G763" s="10">
        <v>23840</v>
      </c>
      <c r="H763" s="30" t="str">
        <f ca="1">IFERROR(__xludf.DUMMYFUNCTION("LOWER(REGEXREPLACE(B763&amp;"" ""&amp;C763,""[^а-яa-z0-9 ]"","" ""))")," тул табурет c колесами регулируемый без верхней спинки типа  uno  абурет лабораторный полиуретановый на газ лифте   аркас стальной с хромированным покрытием   егулировка подъ ма сиденья   азмеры сиденья  360 340 мм ")</f>
        <v xml:space="preserve"> тул табурет c колесами регулируемый без верхней спинки типа  uno  абурет лабораторный полиуретановый на газ лифте   аркас стальной с хромированным покрытием   егулировка подъ ма сиденья   азмеры сиденья  360 340 мм </v>
      </c>
    </row>
    <row r="764" spans="1:8" ht="38.25" x14ac:dyDescent="0.2">
      <c r="A764" s="31" t="s">
        <v>1693</v>
      </c>
      <c r="B764" s="27" t="s">
        <v>1694</v>
      </c>
      <c r="C764" s="27" t="s">
        <v>1695</v>
      </c>
      <c r="D764" s="33" t="s">
        <v>14</v>
      </c>
      <c r="E764" s="34">
        <v>2</v>
      </c>
      <c r="F764" s="34">
        <v>7</v>
      </c>
      <c r="G764" s="10">
        <v>35072</v>
      </c>
      <c r="H764" s="30" t="str">
        <f ca="1">IFERROR(__xludf.DUMMYFUNCTION("LOWER(REGEXREPLACE(B764&amp;"" ""&amp;C764,""[^а-яa-z0-9 ]"","" ""))")," тул табурет с колесами регулируемый   иденье эко кожа   азмер  550х550х525мм  тул табурет с колесами регулируемый   азмер  550х550х525мм   ысокий  с сиденьем   360 мм  пластиковой базой   иденье эко кожа ")</f>
        <v xml:space="preserve"> тул табурет с колесами регулируемый   иденье эко кожа   азмер  550х550х525мм  тул табурет с колесами регулируемый   азмер  550х550х525мм   ысокий  с сиденьем   360 мм  пластиковой базой   иденье эко кожа </v>
      </c>
    </row>
    <row r="765" spans="1:8" ht="38.25" x14ac:dyDescent="0.2">
      <c r="A765" s="31" t="s">
        <v>1696</v>
      </c>
      <c r="B765" s="27" t="s">
        <v>1697</v>
      </c>
      <c r="C765" s="27" t="s">
        <v>1698</v>
      </c>
      <c r="D765" s="33" t="s">
        <v>14</v>
      </c>
      <c r="E765" s="34">
        <v>2</v>
      </c>
      <c r="F765" s="35">
        <v>6.5</v>
      </c>
      <c r="G765" s="10">
        <v>21081</v>
      </c>
      <c r="H765" s="30" t="str">
        <f ca="1">IFERROR(__xludf.DUMMYFUNCTION("LOWER(REGEXREPLACE(B765&amp;"" ""&amp;C765,""[^а-яa-z0-9 ]"","" ""))")," абурет подъемно поворотный с регулировкой высоты 420 480 мм  абурет подъемно поворотный на колесиках   иаметр сиденья 360 мм   егулировка высоты посадки 420 480мм   атериал  крестовина   хром  обивка   эко кожа")</f>
        <v xml:space="preserve"> абурет подъемно поворотный с регулировкой высоты 420 480 мм  абурет подъемно поворотный на колесиках   иаметр сиденья 360 мм   егулировка высоты посадки 420 480мм   атериал  крестовина   хром  обивка   эко кожа</v>
      </c>
    </row>
    <row r="766" spans="1:8" ht="51" x14ac:dyDescent="0.2">
      <c r="A766" s="31" t="s">
        <v>1699</v>
      </c>
      <c r="B766" s="27" t="s">
        <v>1700</v>
      </c>
      <c r="C766" s="27" t="s">
        <v>1701</v>
      </c>
      <c r="D766" s="33" t="s">
        <v>14</v>
      </c>
      <c r="E766" s="34">
        <v>2</v>
      </c>
      <c r="F766" s="34">
        <v>8</v>
      </c>
      <c r="G766" s="10">
        <v>56138</v>
      </c>
      <c r="H766" s="30" t="str">
        <f ca="1">IFERROR(__xludf.DUMMYFUNCTION("LOWER(REGEXREPLACE(B766&amp;"" ""&amp;C766,""[^а-яa-z0-9 ]"","" ""))")," абурет подъемно поворотный с регулировкой высоты  диаметр сиденья 380мм  материал искусственная кожа  рестовина пластик  сиденье из искусственной кожи   асть сиденья выполнена из литой губки и не проваливается   иаметр сиденья 380мм   егулировка высоты с"&amp;" помощью однорычажного механизма    ластиковые колеса   ысота табурета 310 580мм ")</f>
        <v xml:space="preserve"> абурет подъемно поворотный с регулировкой высоты  диаметр сиденья 380мм  материал искусственная кожа  рестовина пластик  сиденье из искусственной кожи   асть сиденья выполнена из литой губки и не проваливается   иаметр сиденья 380мм   егулировка высоты с помощью однорычажного механизма    ластиковые колеса   ысота табурета 310 580мм </v>
      </c>
    </row>
    <row r="767" spans="1:8" ht="38.25" x14ac:dyDescent="0.2">
      <c r="A767" s="31" t="s">
        <v>1702</v>
      </c>
      <c r="B767" s="27" t="s">
        <v>1703</v>
      </c>
      <c r="C767" s="27" t="s">
        <v>1704</v>
      </c>
      <c r="D767" s="33" t="s">
        <v>14</v>
      </c>
      <c r="E767" s="34">
        <v>2</v>
      </c>
      <c r="F767" s="34">
        <v>5</v>
      </c>
      <c r="G767" s="10">
        <v>61805</v>
      </c>
      <c r="H767" s="30" t="str">
        <f ca="1">IFERROR(__xludf.DUMMYFUNCTION("LOWER(REGEXREPLACE(B767&amp;"" ""&amp;C767,""[^а-яa-z0-9 ]"","" ""))")," абурет подъемно поворотный  регулируемое по высоте  сиденье из фанеры  поролон  обтянутое кож зам  аркас изготовлен из трубы  поворот   360    ысота 420 480 мм")</f>
        <v xml:space="preserve"> абурет подъемно поворотный  регулируемое по высоте  сиденье из фанеры  поролон  обтянутое кож зам  аркас изготовлен из трубы  поворот   360    ысота 420 480 мм</v>
      </c>
    </row>
    <row r="768" spans="1:8" x14ac:dyDescent="0.2">
      <c r="A768" s="12" t="s">
        <v>1705</v>
      </c>
      <c r="B768" s="26"/>
      <c r="C768" s="27"/>
      <c r="D768" s="26"/>
      <c r="E768" s="28"/>
      <c r="F768" s="26"/>
      <c r="G768" s="29"/>
      <c r="H768" s="30" t="str">
        <f ca="1">IFERROR(__xludf.DUMMYFUNCTION("LOWER(REGEXREPLACE(B768&amp;"" ""&amp;C768,""[^а-яa-z0-9 ]"","" ""))")," ")</f>
        <v xml:space="preserve"> </v>
      </c>
    </row>
    <row r="769" spans="1:8" ht="12.75" x14ac:dyDescent="0.2">
      <c r="A769" s="31" t="s">
        <v>1706</v>
      </c>
      <c r="B769" s="27" t="s">
        <v>1707</v>
      </c>
      <c r="C769" s="27"/>
      <c r="D769" s="32"/>
      <c r="E769" s="9"/>
      <c r="F769" s="32"/>
      <c r="G769" s="10"/>
      <c r="H769" s="30" t="str">
        <f ca="1">IFERROR(__xludf.DUMMYFUNCTION("LOWER(REGEXREPLACE(B769&amp;"" ""&amp;C769,""[^а-яa-z0-9 ]"","" ""))")," ыжные гонки и конькобежная подготовка ")</f>
        <v xml:space="preserve"> ыжные гонки и конькобежная подготовка </v>
      </c>
    </row>
    <row r="770" spans="1:8" ht="12.75" x14ac:dyDescent="0.2">
      <c r="A770" s="31" t="s">
        <v>1708</v>
      </c>
      <c r="B770" s="27" t="s">
        <v>1709</v>
      </c>
      <c r="C770" s="27"/>
      <c r="D770" s="33" t="s">
        <v>68</v>
      </c>
      <c r="E770" s="9"/>
      <c r="F770" s="32"/>
      <c r="G770" s="10"/>
      <c r="H770" s="30" t="str">
        <f ca="1">IFERROR(__xludf.DUMMYFUNCTION("LOWER(REGEXREPLACE(B770&amp;"" ""&amp;C770,""[^а-яa-z0-9 ]"","" ""))")," омплект лыж  лыжи  ботинки  крепления  ")</f>
        <v xml:space="preserve"> омплект лыж  лыжи  ботинки  крепления  </v>
      </c>
    </row>
    <row r="771" spans="1:8" ht="63.75" x14ac:dyDescent="0.2">
      <c r="A771" s="31" t="s">
        <v>1710</v>
      </c>
      <c r="B771" s="27" t="s">
        <v>1711</v>
      </c>
      <c r="C771" s="27" t="s">
        <v>1712</v>
      </c>
      <c r="D771" s="33" t="s">
        <v>68</v>
      </c>
      <c r="E771" s="34">
        <v>1</v>
      </c>
      <c r="F771" s="34">
        <v>7</v>
      </c>
      <c r="G771" s="10">
        <v>87164</v>
      </c>
      <c r="H771" s="30" t="str">
        <f ca="1">IFERROR(__xludf.DUMMYFUNCTION("LOWER(REGEXREPLACE(B771&amp;"" ""&amp;C771,""[^а-яa-z0-9 ]"","" ""))")," ыжи беговые     100 в комплекте с ботинками  лыжными палками  креплениями  ыжи беговые     100 в комплекте ботинки  палки лыжные  крепления   ерх выполнен из синтетического морозостойкого материала с полиуретановым покрытием   зготовлены с использованием"&amp;" карбонового волокна для максимальной прочности и торсионной жесткости   собенности   отовый сердечник для минимального веса")</f>
        <v xml:space="preserve"> ыжи беговые     100 в комплекте с ботинками  лыжными палками  креплениями  ыжи беговые     100 в комплекте ботинки  палки лыжные  крепления   ерх выполнен из синтетического морозостойкого материала с полиуретановым покрытием   зготовлены с использованием карбонового волокна для максимальной прочности и торсионной жесткости   собенности   отовый сердечник для минимального веса</v>
      </c>
    </row>
    <row r="772" spans="1:8" ht="12.75" x14ac:dyDescent="0.2">
      <c r="A772" s="7" t="s">
        <v>1713</v>
      </c>
      <c r="B772" s="8"/>
      <c r="C772" s="27"/>
      <c r="D772" s="8"/>
      <c r="E772" s="9"/>
      <c r="F772" s="8"/>
      <c r="G772" s="10"/>
      <c r="H772" s="30" t="str">
        <f ca="1">IFERROR(__xludf.DUMMYFUNCTION("LOWER(REGEXREPLACE(B772&amp;"" ""&amp;C772,""[^а-яa-z0-9 ]"","" ""))")," ")</f>
        <v xml:space="preserve"> </v>
      </c>
    </row>
    <row r="773" spans="1:8" x14ac:dyDescent="0.2">
      <c r="A773" s="12" t="s">
        <v>1714</v>
      </c>
      <c r="B773" s="8"/>
      <c r="C773" s="27"/>
      <c r="D773" s="8"/>
      <c r="E773" s="9"/>
      <c r="F773" s="8"/>
      <c r="G773" s="10"/>
      <c r="H773" s="30"/>
    </row>
    <row r="774" spans="1:8" ht="12.75" x14ac:dyDescent="0.2">
      <c r="A774" s="31" t="s">
        <v>1715</v>
      </c>
      <c r="B774" s="27" t="s">
        <v>1716</v>
      </c>
      <c r="C774" s="27"/>
      <c r="D774" s="32"/>
      <c r="E774" s="9"/>
      <c r="F774" s="32"/>
      <c r="G774" s="10"/>
      <c r="H774" s="30" t="str">
        <f ca="1">IFERROR(__xludf.DUMMYFUNCTION("LOWER(REGEXREPLACE(B774&amp;"" ""&amp;C774,""[^а-яa-z0-9 ]"","" ""))")," абинет математики ")</f>
        <v xml:space="preserve"> абинет математики </v>
      </c>
    </row>
    <row r="775" spans="1:8" ht="38.25" x14ac:dyDescent="0.2">
      <c r="A775" s="31" t="s">
        <v>1717</v>
      </c>
      <c r="B775" s="27" t="s">
        <v>1718</v>
      </c>
      <c r="C775" s="27" t="s">
        <v>1719</v>
      </c>
      <c r="D775" s="33" t="s">
        <v>14</v>
      </c>
      <c r="E775" s="34">
        <v>2</v>
      </c>
      <c r="F775" s="36">
        <v>0.05</v>
      </c>
      <c r="G775" s="10">
        <v>8400</v>
      </c>
      <c r="H775" s="30" t="str">
        <f ca="1">IFERROR(__xludf.DUMMYFUNCTION("LOWER(REGEXREPLACE(B775&amp;"" ""&amp;C775,""[^а-яa-z0-9 ]"","" ""))")," ластиковая модель штангенциркуля  ластиковая модель штангенциркуля  размер не менее 42х19 5 см  позволяет измерять внешний и внутренний диаметры по сантиметровой шкале  предел 30 см    ожно использовать в практических занятиях по расчету площадей и объем"&amp;"ов ")</f>
        <v xml:space="preserve"> ластиковая модель штангенциркуля  ластиковая модель штангенциркуля  размер не менее 42х19 5 см  позволяет измерять внешний и внутренний диаметры по сантиметровой шкале  предел 30 см    ожно использовать в практических занятиях по расчету площадей и объемов </v>
      </c>
    </row>
    <row r="776" spans="1:8" ht="38.25" x14ac:dyDescent="0.2">
      <c r="A776" s="31" t="s">
        <v>1720</v>
      </c>
      <c r="B776" s="27" t="s">
        <v>1721</v>
      </c>
      <c r="C776" s="27" t="s">
        <v>1722</v>
      </c>
      <c r="D776" s="33" t="s">
        <v>1506</v>
      </c>
      <c r="E776" s="34">
        <v>2</v>
      </c>
      <c r="F776" s="35">
        <v>0.5</v>
      </c>
      <c r="G776" s="10">
        <v>69427</v>
      </c>
      <c r="H776" s="30" t="str">
        <f ca="1">IFERROR(__xludf.DUMMYFUNCTION("LOWER(REGEXREPLACE(B776&amp;"" ""&amp;C776,""[^а-яa-z0-9 ]"","" ""))")," абор для изучения вероятности  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 ")</f>
        <v xml:space="preserve"> абор для изучения вероятности  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 </v>
      </c>
    </row>
    <row r="777" spans="1:8" ht="12.75" x14ac:dyDescent="0.2">
      <c r="A777" s="31" t="s">
        <v>1723</v>
      </c>
      <c r="B777" s="27" t="s">
        <v>1724</v>
      </c>
      <c r="C777" s="27"/>
      <c r="D777" s="33" t="s">
        <v>1506</v>
      </c>
      <c r="E777" s="9"/>
      <c r="F777" s="32"/>
      <c r="G777" s="10"/>
      <c r="H777" s="30" t="str">
        <f ca="1">IFERROR(__xludf.DUMMYFUNCTION("LOWER(REGEXREPLACE(B777&amp;"" ""&amp;C777,""[^а-яa-z0-9 ]"","" ""))")," абор для демонстрации куба и сферы ")</f>
        <v xml:space="preserve"> абор для демонстрации куба и сферы </v>
      </c>
    </row>
    <row r="778" spans="1:8" ht="165.75" x14ac:dyDescent="0.2">
      <c r="A778" s="31" t="s">
        <v>1725</v>
      </c>
      <c r="B778" s="27" t="s">
        <v>1726</v>
      </c>
      <c r="C778" s="27" t="s">
        <v>1727</v>
      </c>
      <c r="D778" s="33" t="s">
        <v>1506</v>
      </c>
      <c r="E778" s="34">
        <v>2</v>
      </c>
      <c r="F778" s="35">
        <v>0.9</v>
      </c>
      <c r="G778" s="10">
        <v>32549</v>
      </c>
      <c r="H778" s="30" t="str">
        <f ca="1">IFERROR(__xludf.DUMMYFUNCTION("LOWER(REGEXREPLACE(B778&amp;"" ""&amp;C778,""[^а-яa-z0-9 ]"","" ""))")," абор для демонстрации куба и сферы типа  nvicta  остав набора   уб  1  араллелепипед 80х80х40 мм красный   2 шт    уб  2  араллелепипед 80х40х40 мм синий   2 шт    араллелепипед 80х80х20 мм синий   2 шт    уб  3  араллелепипед 40х40х40 мм желтый   4 шт  "&amp;"  араллелепипед 80х80х10 мм желтый   4 шт    ар  1  олушарие   80 мм и высотой 40 мм красного цвета   2 шт    ар  2  аровой сектор   80 мм и высотой 40 мм синего цвета   2 шт    егмент   65 мм и высотой 18 мм желтого цвета   1 шт    ферический слой  с осн"&amp;"ованиями   65 и   75 высотой 8 мм желтого цвета   1 шт    ферический слой  с основаниями   75 и   78 высотой 7 мм желтого цвета  1 шт    ферический слой  с основаниями   78 и   80 высотой 7 мм желтого цвета  1 шт    ар  3  ектор радиусами 40 мм высотой и "&amp;"высотой 40 мм желтого цвета   4 шт    егмент   74 мм и высотой 26 мм синего цвета  1 шт    ферический слой с основаниями   74 и   80 высотой 14 мм синего цвета   1 шт    одставка под составные шары высотой 47 мм и внешним диаметром 100 мм   2 шт ")</f>
        <v xml:space="preserve"> абор для демонстрации куба и сферы типа  nvicta  остав набора   уб  1  араллелепипед 80х80х40 мм красный   2 шт    уб  2  араллелепипед 80х40х40 мм синий   2 шт    араллелепипед 80х80х20 мм синий   2 шт    уб  3  араллелепипед 40х40х40 мм желтый   4 шт    араллелепипед 80х80х10 мм желтый   4 шт    ар  1  олушарие   80 мм и высотой 40 мм красного цвета   2 шт    ар  2  аровой сектор   80 мм и высотой 40 мм синего цвета   2 шт    егмент   65 мм и высотой 18 мм желтого цвета   1 шт    ферический слой  с основаниями   65 и   75 высотой 8 мм желтого цвета   1 шт    ферический слой  с основаниями   75 и   78 высотой 7 мм желтого цвета  1 шт    ферический слой  с основаниями   78 и   80 высотой 7 мм желтого цвета  1 шт    ар  3  ектор радиусами 40 мм высотой и высотой 40 мм желтого цвета   4 шт    егмент   74 мм и высотой 26 мм синего цвета  1 шт    ферический слой с основаниями   74 и   80 высотой 14 мм синего цвета   1 шт    одставка под составные шары высотой 47 мм и внешним диаметром 100 мм   2 шт </v>
      </c>
    </row>
    <row r="779" spans="1:8" ht="12.75" x14ac:dyDescent="0.2">
      <c r="A779" s="31" t="s">
        <v>1728</v>
      </c>
      <c r="B779" s="27" t="s">
        <v>1729</v>
      </c>
      <c r="C779" s="27"/>
      <c r="D779" s="33" t="s">
        <v>1506</v>
      </c>
      <c r="E779" s="9"/>
      <c r="F779" s="32"/>
      <c r="G779" s="10"/>
      <c r="H779" s="30" t="str">
        <f ca="1">IFERROR(__xludf.DUMMYFUNCTION("LOWER(REGEXREPLACE(B779&amp;"" ""&amp;C779,""[^а-яa-z0-9 ]"","" ""))")," абор для исследования законов вероятности ")</f>
        <v xml:space="preserve"> абор для исследования законов вероятности </v>
      </c>
    </row>
    <row r="780" spans="1:8" ht="63.75" x14ac:dyDescent="0.2">
      <c r="A780" s="31" t="s">
        <v>1730</v>
      </c>
      <c r="B780" s="27" t="s">
        <v>1731</v>
      </c>
      <c r="C780" s="27" t="s">
        <v>1732</v>
      </c>
      <c r="D780" s="33" t="s">
        <v>1506</v>
      </c>
      <c r="E780" s="34">
        <v>2</v>
      </c>
      <c r="F780" s="35">
        <v>2.2999999999999998</v>
      </c>
      <c r="G780" s="10">
        <v>69620</v>
      </c>
      <c r="H780" s="30" t="str">
        <f ca="1">IFERROR(__xludf.DUMMYFUNCTION("LOWER(REGEXREPLACE(B780&amp;"" ""&amp;C780,""[^а-яa-z0-9 ]"","" ""))")," абор для исследования законов вероятности типа  nvicta 113159 42432   набор входит четыре комплекта для экспериментального исследования законов вероятности и статистики   1   омплект игральных костей  2   омплект игральных карт  54 карты    3   абор плас"&amp;"тиковых бутылок   6 шт    4   одель нормального распределения   азмер модели  30 30 30 см   атериал пластик   арики одного цвета 150 штук ")</f>
        <v xml:space="preserve"> абор для исследования законов вероятности типа  nvicta 113159 42432   набор входит четыре комплекта для экспериментального исследования законов вероятности и статистики   1   омплект игральных костей  2   омплект игральных карт  54 карты    3   абор пластиковых бутылок   6 шт    4   одель нормального распределения   азмер модели  30 30 30 см   атериал пластик   арики одного цвета 150 штук </v>
      </c>
    </row>
    <row r="781" spans="1:8" ht="12.75" x14ac:dyDescent="0.2">
      <c r="A781" s="31" t="s">
        <v>1733</v>
      </c>
      <c r="B781" s="27" t="s">
        <v>1734</v>
      </c>
      <c r="C781" s="27"/>
      <c r="D781" s="33" t="s">
        <v>1506</v>
      </c>
      <c r="E781" s="9"/>
      <c r="F781" s="32"/>
      <c r="G781" s="10"/>
      <c r="H781" s="30" t="str">
        <f ca="1">IFERROR(__xludf.DUMMYFUNCTION("LOWER(REGEXREPLACE(B781&amp;"" ""&amp;C781,""[^а-яa-z0-9 ]"","" ""))")," абор геометрических фигур раздаточный ")</f>
        <v xml:space="preserve"> абор геометрических фигур раздаточный </v>
      </c>
    </row>
    <row r="782" spans="1:8" ht="12.75" x14ac:dyDescent="0.2">
      <c r="A782" s="31" t="s">
        <v>1735</v>
      </c>
      <c r="B782" s="27" t="s">
        <v>1736</v>
      </c>
      <c r="C782" s="27"/>
      <c r="D782" s="33" t="s">
        <v>1506</v>
      </c>
      <c r="E782" s="9"/>
      <c r="F782" s="32"/>
      <c r="G782" s="10">
        <v>2338</v>
      </c>
      <c r="H782" s="30" t="str">
        <f ca="1">IFERROR(__xludf.DUMMYFUNCTION("LOWER(REGEXREPLACE(B782&amp;"" ""&amp;C782,""[^а-яa-z0-9 ]"","" ""))")," абор геометрических фигур с развертками ")</f>
        <v xml:space="preserve"> абор геометрических фигур с развертками </v>
      </c>
    </row>
    <row r="783" spans="1:8" ht="25.5" x14ac:dyDescent="0.2">
      <c r="A783" s="31" t="s">
        <v>1737</v>
      </c>
      <c r="B783" s="27" t="s">
        <v>1738</v>
      </c>
      <c r="C783" s="27"/>
      <c r="D783" s="33" t="s">
        <v>1506</v>
      </c>
      <c r="E783" s="9"/>
      <c r="F783" s="34">
        <v>1</v>
      </c>
      <c r="G783" s="10">
        <v>42493</v>
      </c>
      <c r="H783" s="30" t="str">
        <f ca="1">IFERROR(__xludf.DUMMYFUNCTION("LOWER(REGEXREPLACE(B783&amp;"" ""&amp;C783,""[^а-яa-z0-9 ]"","" ""))")," абор геометрических фигур раздаточный типа  nvicta 091859 42401 ")</f>
        <v xml:space="preserve"> абор геометрических фигур раздаточный типа  nvicta 091859 42401 </v>
      </c>
    </row>
    <row r="784" spans="1:8" ht="12.75" x14ac:dyDescent="0.2">
      <c r="A784" s="31" t="s">
        <v>1739</v>
      </c>
      <c r="B784" s="27" t="s">
        <v>1740</v>
      </c>
      <c r="C784" s="27"/>
      <c r="D784" s="33" t="s">
        <v>1506</v>
      </c>
      <c r="E784" s="9"/>
      <c r="F784" s="35">
        <v>0.6</v>
      </c>
      <c r="G784" s="10"/>
      <c r="H784" s="30" t="str">
        <f ca="1">IFERROR(__xludf.DUMMYFUNCTION("LOWER(REGEXREPLACE(B784&amp;"" ""&amp;C784,""[^а-яa-z0-9 ]"","" ""))")," абор  робные части квадрата и круга ")</f>
        <v xml:space="preserve"> абор  робные части квадрата и круга </v>
      </c>
    </row>
    <row r="785" spans="1:8" ht="89.25" x14ac:dyDescent="0.2">
      <c r="A785" s="31" t="s">
        <v>1741</v>
      </c>
      <c r="B785" s="27" t="s">
        <v>1742</v>
      </c>
      <c r="C785" s="27" t="s">
        <v>1743</v>
      </c>
      <c r="D785" s="33" t="s">
        <v>1506</v>
      </c>
      <c r="E785" s="34">
        <v>2</v>
      </c>
      <c r="F785" s="35">
        <v>1.5</v>
      </c>
      <c r="G785" s="10">
        <v>66000</v>
      </c>
      <c r="H785" s="30" t="str">
        <f ca="1">IFERROR(__xludf.DUMMYFUNCTION("LOWER(REGEXREPLACE(B785&amp;"" ""&amp;C785,""[^а-яa-z0-9 ]"","" ""))")," абор  робные части квадрата и круга типа  nvicta 1   абор для объемного представления дробей в виде кубов и шаров    набор входит подставка под составные шары высотой 47 мм и внешним диаметром 100 мм   2 шт  2  абор плоских пластиковых пластин квадратной"&amp;" формы  которые могут разделяться на 2  3  4 и 6 частей и одна неделимая пластина  3  особие состоит из  8 кругов  диаметр 100мм  материал прочный пластик  разного цвета  целые и разбиты на разное количество секторов    пластиковом контейнере цилиндрическ"&amp;"ой формы ")</f>
        <v xml:space="preserve"> абор  робные части квадрата и круга типа  nvicta 1   абор для объемного представления дробей в виде кубов и шаров    набор входит подставка под составные шары высотой 47 мм и внешним диаметром 100 мм   2 шт  2  абор плоских пластиковых пластин квадратной формы  которые могут разделяться на 2  3  4 и 6 частей и одна неделимая пластина  3  особие состоит из  8 кругов  диаметр 100мм  материал прочный пластик  разного цвета  целые и разбиты на разное количество секторов    пластиковом контейнере цилиндрической формы </v>
      </c>
    </row>
    <row r="786" spans="1:8" ht="51" x14ac:dyDescent="0.2">
      <c r="A786" s="31" t="s">
        <v>1744</v>
      </c>
      <c r="B786" s="27" t="s">
        <v>1745</v>
      </c>
      <c r="C786" s="27" t="s">
        <v>1746</v>
      </c>
      <c r="D786" s="33" t="s">
        <v>1506</v>
      </c>
      <c r="E786" s="34">
        <v>2</v>
      </c>
      <c r="F786" s="35">
        <v>0.2</v>
      </c>
      <c r="G786" s="10">
        <v>6955</v>
      </c>
      <c r="H786" s="30" t="str">
        <f ca="1">IFERROR(__xludf.DUMMYFUNCTION("LOWER(REGEXREPLACE(B786&amp;"" ""&amp;C786,""[^а-яa-z0-9 ]"","" ""))")," абор   асти целого на круге   ростые дроби   редназначен для демонстрации понятия дроби и представляет собой набор секторов круга  маркированных по его долям    состав набора входят круг и секторы его   1 2  1 3  1 4  1 5 и 1 6   руг и его секторы имеют "&amp;"магниты  что позволяет проводить демонстрацию на стальной классной доске ")</f>
        <v xml:space="preserve"> абор   асти целого на круге   ростые дроби   редназначен для демонстрации понятия дроби и представляет собой набор секторов круга  маркированных по его долям    состав набора входят круг и секторы его   1 2  1 3  1 4  1 5 и 1 6   руг и его секторы имеют магниты  что позволяет проводить демонстрацию на стальной классной доске </v>
      </c>
    </row>
    <row r="787" spans="1:8" ht="12.75" x14ac:dyDescent="0.2">
      <c r="A787" s="31" t="s">
        <v>1747</v>
      </c>
      <c r="B787" s="27" t="s">
        <v>1748</v>
      </c>
      <c r="C787" s="27"/>
      <c r="D787" s="33" t="s">
        <v>14</v>
      </c>
      <c r="E787" s="9"/>
      <c r="F787" s="32"/>
      <c r="G787" s="10"/>
      <c r="H787" s="30" t="str">
        <f ca="1">IFERROR(__xludf.DUMMYFUNCTION("LOWER(REGEXREPLACE(B787&amp;"" ""&amp;C787,""[^а-яa-z0-9 ]"","" ""))")," алькулятор графический ")</f>
        <v xml:space="preserve"> алькулятор графический </v>
      </c>
    </row>
    <row r="788" spans="1:8" ht="89.25" x14ac:dyDescent="0.2">
      <c r="A788" s="31" t="s">
        <v>1749</v>
      </c>
      <c r="B788" s="8" t="s">
        <v>1750</v>
      </c>
      <c r="C788" s="27" t="s">
        <v>1751</v>
      </c>
      <c r="D788" s="33" t="s">
        <v>14</v>
      </c>
      <c r="E788" s="34">
        <v>2</v>
      </c>
      <c r="F788" s="35">
        <v>0.2</v>
      </c>
      <c r="G788" s="10">
        <v>176444</v>
      </c>
      <c r="H788" s="30" t="str">
        <f ca="1">IFERROR(__xludf.DUMMYFUNCTION("LOWER(REGEXREPLACE(B788&amp;"" ""&amp;C788,""[^а-яa-z0-9 ]"","" ""))")," алькулятор графический типа  exas  nstruments    84  lus       нструмент для школьников и студентов по решению математических задач и научной работы  в том числе статистических и финансовых вычислений   ерезаряжаемая батарея     echargeable  attery  в ко"&amp;"мплекте   обновляемая операционная система  встроенные приложения  возможность использования изображений   амять для хранения результатов расчетов и приложений  lash      3 0 б  оперативная память      154 б   ветной дисплей  разрешение экрана  140      1"&amp;"6 битная цветовая схема  размер дисплея  320 x 240 пикселей  2 8  диагональ  ")</f>
        <v xml:space="preserve"> алькулятор графический типа  exas  nstruments    84  lus       нструмент для школьников и студентов по решению математических задач и научной работы  в том числе статистических и финансовых вычислений   ерезаряжаемая батарея     echargeable  attery  в комплекте   обновляемая операционная система  встроенные приложения  возможность использования изображений   амять для хранения результатов расчетов и приложений  lash      3 0 б  оперативная память      154 б   ветной дисплей  разрешение экрана  140      16 битная цветовая схема  размер дисплея  320 x 240 пикселей  2 8  диагональ  </v>
      </c>
    </row>
    <row r="789" spans="1:8" ht="25.5" x14ac:dyDescent="0.2">
      <c r="A789" s="31" t="s">
        <v>1752</v>
      </c>
      <c r="B789" s="8" t="s">
        <v>1753</v>
      </c>
      <c r="C789" s="27"/>
      <c r="D789" s="32"/>
      <c r="E789" s="9"/>
      <c r="F789" s="32"/>
      <c r="G789" s="10"/>
      <c r="H789" s="30" t="str">
        <f ca="1">IFERROR(__xludf.DUMMYFUNCTION("LOWER(REGEXREPLACE(B789&amp;"" ""&amp;C789,""[^а-яa-z0-9 ]"","" ""))")," ифровая интерактивная лаборатория для экспериментов по физике ")</f>
        <v xml:space="preserve"> ифровая интерактивная лаборатория для экспериментов по физике </v>
      </c>
    </row>
    <row r="790" spans="1:8" ht="12.75" x14ac:dyDescent="0.2">
      <c r="A790" s="31" t="s">
        <v>1754</v>
      </c>
      <c r="B790" s="27" t="s">
        <v>1755</v>
      </c>
      <c r="C790" s="27"/>
      <c r="D790" s="33" t="s">
        <v>14</v>
      </c>
      <c r="E790" s="9"/>
      <c r="F790" s="32"/>
      <c r="G790" s="10"/>
      <c r="H790" s="30" t="str">
        <f ca="1">IFERROR(__xludf.DUMMYFUNCTION("LOWER(REGEXREPLACE(B790&amp;"" ""&amp;C790,""[^а-яa-z0-9 ]"","" ""))")," атчик гальванометрический ")</f>
        <v xml:space="preserve"> атчик гальванометрический </v>
      </c>
    </row>
    <row r="791" spans="1:8" ht="63.75" x14ac:dyDescent="0.2">
      <c r="A791" s="31" t="s">
        <v>1756</v>
      </c>
      <c r="B791" s="8" t="s">
        <v>1757</v>
      </c>
      <c r="C791" s="27"/>
      <c r="D791" s="33" t="s">
        <v>14</v>
      </c>
      <c r="E791" s="9"/>
      <c r="F791" s="32"/>
      <c r="G791" s="10">
        <v>88724</v>
      </c>
      <c r="H791" s="30" t="str">
        <f ca="1">IFERROR(__xludf.DUMMYFUNCTION("LOWER(REGEXREPLACE(B791&amp;"" ""&amp;C791,""[^а-яa-z0-9 ]"","" ""))")," атчик гальванометрический беспроводной  ток   o  irect           иапазон     1  и    0 1    аксимальный ток без повреждения  1 5  и 0 5    иповой шаг измерений  0 031м  и 0 003м  ")</f>
        <v xml:space="preserve"> атчик гальванометрический беспроводной  ток   o  irect           иапазон     1  и    0 1    аксимальный ток без повреждения  1 5  и 0 5    иповой шаг измерений  0 031м  и 0 003м  </v>
      </c>
    </row>
    <row r="792" spans="1:8" ht="76.5" x14ac:dyDescent="0.2">
      <c r="A792" s="31" t="s">
        <v>1758</v>
      </c>
      <c r="B792" s="8" t="s">
        <v>1759</v>
      </c>
      <c r="C792" s="27"/>
      <c r="D792" s="33" t="s">
        <v>14</v>
      </c>
      <c r="E792" s="9"/>
      <c r="F792" s="37">
        <v>8.2000000000000003E-2</v>
      </c>
      <c r="G792" s="10">
        <v>187010</v>
      </c>
      <c r="H792" s="30" t="str">
        <f ca="1">IFERROR(__xludf.DUMMYFUNCTION("LOWER(REGEXREPLACE(B792&amp;"" ""&amp;C792,""[^а-яa-z0-9 ]"","" ""))")," атчик гальванометрический беспроводной  напряжение и ток   ata arvest 1131    иапазоны измерения  100 м    5        соединительный провод     сбора и обработки данных  asysense2 на трех языках  каз   рус   англ  языке  ")</f>
        <v xml:space="preserve"> атчик гальванометрический беспроводной  напряжение и ток   ata arvest 1131    иапазоны измерения  100 м    5        соединительный провод     сбора и обработки данных  asysense2 на трех языках  каз   рус   англ  языке  </v>
      </c>
    </row>
    <row r="793" spans="1:8" ht="63.75" x14ac:dyDescent="0.2">
      <c r="A793" s="31" t="s">
        <v>1760</v>
      </c>
      <c r="B793" s="8" t="s">
        <v>1761</v>
      </c>
      <c r="C793" s="27"/>
      <c r="D793" s="33" t="s">
        <v>14</v>
      </c>
      <c r="E793" s="34">
        <v>2</v>
      </c>
      <c r="F793" s="36">
        <v>0.06</v>
      </c>
      <c r="G793" s="10">
        <v>116939</v>
      </c>
      <c r="H793" s="30" t="str">
        <f ca="1">IFERROR(__xludf.DUMMYFUNCTION("LOWER(REGEXREPLACE(B793&amp;"" ""&amp;C793,""[^а-яa-z0-9 ]"","" ""))")," instein   атчик тока     2 5         005   иапазон     2 5     ходной ток  переменный или постоянный ток   очность     3   по всему диапазону   азрешение  12 бит   1 25 м  ")</f>
        <v xml:space="preserve"> instein   атчик тока     2 5         005   иапазон     2 5     ходной ток  переменный или постоянный ток   очность     3   по всему диапазону   азрешение  12 бит   1 25 м  </v>
      </c>
    </row>
    <row r="794" spans="1:8" ht="63.75" x14ac:dyDescent="0.2">
      <c r="A794" s="31" t="s">
        <v>1762</v>
      </c>
      <c r="B794" s="8" t="s">
        <v>1763</v>
      </c>
      <c r="C794" s="27"/>
      <c r="D794" s="33" t="s">
        <v>14</v>
      </c>
      <c r="E794" s="34">
        <v>2</v>
      </c>
      <c r="F794" s="36">
        <v>0.06</v>
      </c>
      <c r="G794" s="10">
        <v>124281</v>
      </c>
      <c r="H794" s="30" t="str">
        <f ca="1">IFERROR(__xludf.DUMMYFUNCTION("LOWER(REGEXREPLACE(B794&amp;"" ""&amp;C794,""[^а-яa-z0-9 ]"","" ""))")," instein   атчик тока     250 м        006   иапазон     250 м    ходной ток  переменный или постоянный ток   очность     3   по всему диапазону   азрешение  12 бит      125 мк  ")</f>
        <v xml:space="preserve"> instein   атчик тока     250 м        006   иапазон     250 м    ходной ток  переменный или постоянный ток   очность     3   по всему диапазону   азрешение  12 бит      125 мк  </v>
      </c>
    </row>
    <row r="795" spans="1:8" ht="25.5" x14ac:dyDescent="0.2">
      <c r="A795" s="31" t="s">
        <v>1764</v>
      </c>
      <c r="B795" s="27" t="s">
        <v>1765</v>
      </c>
      <c r="C795" s="27"/>
      <c r="D795" s="33" t="s">
        <v>14</v>
      </c>
      <c r="E795" s="34">
        <v>2</v>
      </c>
      <c r="F795" s="35">
        <v>0.1</v>
      </c>
      <c r="G795" s="10">
        <v>67995</v>
      </c>
      <c r="H795" s="30" t="str">
        <f ca="1">IFERROR(__xludf.DUMMYFUNCTION("LOWER(REGEXREPLACE(B795&amp;"" ""&amp;C795,""[^а-яa-z0-9 ]"","" ""))")," нешний датчик тока  lobisense   иапазон    250 м    очность     4  ")</f>
        <v xml:space="preserve"> нешний датчик тока  lobisense   иапазон    250 м    очность     4  </v>
      </c>
    </row>
    <row r="796" spans="1:8" ht="38.25" x14ac:dyDescent="0.2">
      <c r="A796" s="31" t="s">
        <v>1766</v>
      </c>
      <c r="B796" s="27" t="s">
        <v>1767</v>
      </c>
      <c r="C796" s="27"/>
      <c r="D796" s="33" t="s">
        <v>14</v>
      </c>
      <c r="E796" s="34">
        <v>2</v>
      </c>
      <c r="F796" s="37">
        <v>0.156</v>
      </c>
      <c r="G796" s="10">
        <v>154813</v>
      </c>
      <c r="H796" s="30" t="str">
        <f ca="1">IFERROR(__xludf.DUMMYFUNCTION("LOWER(REGEXREPLACE(B796&amp;"" ""&amp;C796,""[^а-яa-z0-9 ]"","" ""))")," атчик гальванометрический  ток  беспроводной типа        obra       ence  igh  urrent 12925 00   иапазон     10     азрешение  10 м  ")</f>
        <v xml:space="preserve"> атчик гальванометрический  ток  беспроводной типа        obra       ence  igh  urrent 12925 00   иапазон     10     азрешение  10 м  </v>
      </c>
    </row>
    <row r="797" spans="1:8" ht="38.25" x14ac:dyDescent="0.2">
      <c r="A797" s="31" t="s">
        <v>1768</v>
      </c>
      <c r="B797" s="8" t="s">
        <v>1769</v>
      </c>
      <c r="C797" s="27"/>
      <c r="D797" s="33" t="s">
        <v>14</v>
      </c>
      <c r="E797" s="34">
        <v>2</v>
      </c>
      <c r="F797" s="36">
        <v>0.15</v>
      </c>
      <c r="G797" s="10">
        <v>75675</v>
      </c>
      <c r="H797" s="30" t="str">
        <f ca="1">IFERROR(__xludf.DUMMYFUNCTION("LOWER(REGEXREPLACE(B797&amp;"" ""&amp;C797,""[^а-яa-z0-9 ]"","" ""))")," атчик гальванометрический беспроводной типа  cience ube    109     иапазон     0 0125     азрешение  0 002 м  ")</f>
        <v xml:space="preserve"> атчик гальванометрический беспроводной типа  cience ube    109     иапазон     0 0125     азрешение  0 002 м  </v>
      </c>
    </row>
    <row r="798" spans="1:8" ht="25.5" x14ac:dyDescent="0.2">
      <c r="A798" s="31" t="s">
        <v>1770</v>
      </c>
      <c r="B798" s="27" t="s">
        <v>1771</v>
      </c>
      <c r="C798" s="27"/>
      <c r="D798" s="33" t="s">
        <v>14</v>
      </c>
      <c r="E798" s="34">
        <v>2</v>
      </c>
      <c r="F798" s="35">
        <v>0.1</v>
      </c>
      <c r="G798" s="10">
        <v>23067</v>
      </c>
      <c r="H798" s="30" t="str">
        <f ca="1">IFERROR(__xludf.DUMMYFUNCTION("LOWER(REGEXREPLACE(B798&amp;"" ""&amp;C798,""[^а-яa-z0-9 ]"","" ""))")," атчик тока типа  ense disc  0005   иапазон   1 1    очность     1    азрешение  0 001  ")</f>
        <v xml:space="preserve"> атчик тока типа  ense disc  0005   иапазон   1 1    очность     1    азрешение  0 001  </v>
      </c>
    </row>
    <row r="799" spans="1:8" ht="38.25" x14ac:dyDescent="0.2">
      <c r="A799" s="31" t="s">
        <v>1772</v>
      </c>
      <c r="B799" s="8" t="s">
        <v>1773</v>
      </c>
      <c r="C799" s="27"/>
      <c r="D799" s="33" t="s">
        <v>14</v>
      </c>
      <c r="E799" s="34">
        <v>2</v>
      </c>
      <c r="F799" s="35">
        <v>0.1</v>
      </c>
      <c r="G799" s="10">
        <v>25495</v>
      </c>
      <c r="H799" s="30" t="str">
        <f ca="1">IFERROR(__xludf.DUMMYFUNCTION("LOWER(REGEXREPLACE(B799&amp;"" ""&amp;C799,""[^а-яa-z0-9 ]"","" ""))")," атчик микротока типа  ense disc  0006   иапазон   10 мк  10 мк    очность     1    азрешение  0 01 мк  ")</f>
        <v xml:space="preserve"> атчик микротока типа  ense disc  0006   иапазон   10 мк  10 мк    очность     1    азрешение  0 01 мк  </v>
      </c>
    </row>
    <row r="800" spans="1:8" ht="25.5" x14ac:dyDescent="0.2">
      <c r="A800" s="31" t="s">
        <v>1774</v>
      </c>
      <c r="B800" s="27" t="s">
        <v>1775</v>
      </c>
      <c r="C800" s="27"/>
      <c r="D800" s="33" t="s">
        <v>14</v>
      </c>
      <c r="E800" s="34">
        <v>2</v>
      </c>
      <c r="F800" s="35">
        <v>0.1</v>
      </c>
      <c r="G800" s="10">
        <v>29137</v>
      </c>
      <c r="H800" s="30" t="str">
        <f ca="1">IFERROR(__xludf.DUMMYFUNCTION("LOWER(REGEXREPLACE(B800&amp;"" ""&amp;C800,""[^а-яa-z0-9 ]"","" ""))")," атчик тока типа  ense disc  0035   иапазон   10  10    очность     2  ")</f>
        <v xml:space="preserve"> атчик тока типа  ense disc  0035   иапазон   10  10    очность     2  </v>
      </c>
    </row>
    <row r="801" spans="1:8" ht="38.25" x14ac:dyDescent="0.2">
      <c r="A801" s="31" t="s">
        <v>1776</v>
      </c>
      <c r="B801" s="27" t="s">
        <v>1777</v>
      </c>
      <c r="C801" s="27"/>
      <c r="D801" s="33" t="s">
        <v>14</v>
      </c>
      <c r="E801" s="34">
        <v>2</v>
      </c>
      <c r="F801" s="35">
        <v>0.1</v>
      </c>
      <c r="G801" s="10">
        <v>79034</v>
      </c>
      <c r="H801" s="30" t="str">
        <f ca="1">IFERROR(__xludf.DUMMYFUNCTION("LOWER(REGEXREPLACE(B801&amp;"" ""&amp;C801,""[^а-яa-z0-9 ]"","" ""))")," атчик гальванометрический типа  icro ab  lab curr250   апряжение 3 3  5   диапазон 0 2000 мкс см  разрешение    5        ")</f>
        <v xml:space="preserve"> атчик гальванометрический типа  icro ab  lab curr250   апряжение 3 3  5   диапазон 0 2000 мкс см  разрешение    5        </v>
      </c>
    </row>
    <row r="802" spans="1:8" ht="51" x14ac:dyDescent="0.2">
      <c r="A802" s="31" t="s">
        <v>1778</v>
      </c>
      <c r="B802" s="27" t="s">
        <v>1779</v>
      </c>
      <c r="C802" s="27"/>
      <c r="D802" s="33" t="s">
        <v>14</v>
      </c>
      <c r="E802" s="34">
        <v>2</v>
      </c>
      <c r="F802" s="35">
        <v>0.3</v>
      </c>
      <c r="G802" s="10">
        <v>31475</v>
      </c>
      <c r="H802" s="30" t="str">
        <f ca="1">IFERROR(__xludf.DUMMYFUNCTION("LOWER(REGEXREPLACE(B802&amp;"" ""&amp;C802,""[^а-яa-z0-9 ]"","" ""))")," атчик измерения силы тока при низком напряжении    и    в контурах   иапазон измерения   2 5   2 5   азрешение      1 25 m   12bit  ")</f>
        <v xml:space="preserve"> атчик измерения силы тока при низком напряжении    и    в контурах   иапазон измерения   2 5   2 5   азрешение      1 25 m   12bit  </v>
      </c>
    </row>
    <row r="803" spans="1:8" ht="25.5" x14ac:dyDescent="0.2">
      <c r="A803" s="31" t="s">
        <v>1780</v>
      </c>
      <c r="B803" s="8" t="s">
        <v>1781</v>
      </c>
      <c r="C803" s="27"/>
      <c r="D803" s="33" t="s">
        <v>14</v>
      </c>
      <c r="E803" s="34">
        <v>2</v>
      </c>
      <c r="F803" s="35">
        <v>0.3</v>
      </c>
      <c r="G803" s="10">
        <v>31475</v>
      </c>
      <c r="H803" s="30" t="str">
        <f ca="1">IFERROR(__xludf.DUMMYFUNCTION("LOWER(REGEXREPLACE(B803&amp;"" ""&amp;C803,""[^а-яa-z0-9 ]"","" ""))")," атчик гальванометрический   иапазон измерения      250м    азрешение  125 мк  ")</f>
        <v xml:space="preserve"> атчик гальванометрический   иапазон измерения      250м    азрешение  125 мк  </v>
      </c>
    </row>
    <row r="804" spans="1:8" ht="12.75" x14ac:dyDescent="0.2">
      <c r="A804" s="31" t="s">
        <v>1782</v>
      </c>
      <c r="B804" s="27" t="s">
        <v>1783</v>
      </c>
      <c r="C804" s="27"/>
      <c r="D804" s="33" t="s">
        <v>14</v>
      </c>
      <c r="E804" s="9"/>
      <c r="F804" s="32"/>
      <c r="G804" s="10"/>
      <c r="H804" s="30" t="str">
        <f ca="1">IFERROR(__xludf.DUMMYFUNCTION("LOWER(REGEXREPLACE(B804&amp;"" ""&amp;C804,""[^а-яa-z0-9 ]"","" ""))")," атчик напряжения ")</f>
        <v xml:space="preserve"> атчик напряжения </v>
      </c>
    </row>
    <row r="805" spans="1:8" ht="63.75" x14ac:dyDescent="0.2">
      <c r="A805" s="31" t="s">
        <v>1784</v>
      </c>
      <c r="B805" s="8" t="s">
        <v>1785</v>
      </c>
      <c r="C805" s="27"/>
      <c r="D805" s="33" t="s">
        <v>14</v>
      </c>
      <c r="E805" s="34">
        <v>2</v>
      </c>
      <c r="F805" s="37">
        <v>8.2000000000000003E-2</v>
      </c>
      <c r="G805" s="10">
        <v>187010</v>
      </c>
      <c r="H805" s="30" t="str">
        <f ca="1">IFERROR(__xludf.DUMMYFUNCTION("LOWER(REGEXREPLACE(B805&amp;"" ""&amp;C805,""[^а-яa-z0-9 ]"","" ""))")," атчик напряжения беспроводной  ata arvest 1131   иапазоны измерения  100 м    5        соединительный провод     сбора и обработки данных  asysense2 на трех языках  каз   рус   англ  языке  ")</f>
        <v xml:space="preserve"> атчик напряжения беспроводной  ata arvest 1131   иапазоны измерения  100 м    5        соединительный провод     сбора и обработки данных  asysense2 на трех языках  каз   рус   англ  языке  </v>
      </c>
    </row>
    <row r="806" spans="1:8" ht="63.75" x14ac:dyDescent="0.2">
      <c r="A806" s="31" t="s">
        <v>1786</v>
      </c>
      <c r="B806" s="27" t="s">
        <v>1787</v>
      </c>
      <c r="C806" s="27"/>
      <c r="D806" s="33" t="s">
        <v>14</v>
      </c>
      <c r="E806" s="34">
        <v>2</v>
      </c>
      <c r="F806" s="36">
        <v>0.06</v>
      </c>
      <c r="G806" s="10">
        <v>93443</v>
      </c>
      <c r="H806" s="30" t="str">
        <f ca="1">IFERROR(__xludf.DUMMYFUNCTION("LOWER(REGEXREPLACE(B806&amp;"" ""&amp;C806,""[^а-яa-z0-9 ]"","" ""))")," instein   атчик напряжения  25       001   иапазон   25     ходное напряжение  переменный или постоянный ток   очность   3   по всему диапазону   азрешение  12 бит   12 5 м  ")</f>
        <v xml:space="preserve"> instein   атчик напряжения  25       001   иапазон   25     ходное напряжение  переменный или постоянный ток   очность   3   по всему диапазону   азрешение  12 бит   12 5 м  </v>
      </c>
    </row>
    <row r="807" spans="1:8" ht="63.75" x14ac:dyDescent="0.2">
      <c r="A807" s="31" t="s">
        <v>1788</v>
      </c>
      <c r="B807" s="8" t="s">
        <v>1789</v>
      </c>
      <c r="C807" s="27"/>
      <c r="D807" s="33" t="s">
        <v>14</v>
      </c>
      <c r="E807" s="34">
        <v>2</v>
      </c>
      <c r="F807" s="36">
        <v>0.06</v>
      </c>
      <c r="G807" s="10">
        <v>99317</v>
      </c>
      <c r="H807" s="30" t="str">
        <f ca="1">IFERROR(__xludf.DUMMYFUNCTION("LOWER(REGEXREPLACE(B807&amp;"" ""&amp;C807,""[^а-яa-z0-9 ]"","" ""))")," instein   атчик напряжения   2 5         002   иапазон   2 5     ходной ток  переменный или постоянный ток   очность   3   по всему диапазону    азрешение  12 бит   1 25 м  ")</f>
        <v xml:space="preserve"> instein   атчик напряжения   2 5         002   иапазон   2 5     ходной ток  переменный или постоянный ток   очность   3   по всему диапазону    азрешение  12 бит   1 25 м  </v>
      </c>
    </row>
    <row r="808" spans="1:8" ht="51" x14ac:dyDescent="0.2">
      <c r="A808" s="31" t="s">
        <v>1790</v>
      </c>
      <c r="B808" s="8" t="s">
        <v>1791</v>
      </c>
      <c r="C808" s="27"/>
      <c r="D808" s="33" t="s">
        <v>14</v>
      </c>
      <c r="E808" s="34">
        <v>2</v>
      </c>
      <c r="F808" s="36">
        <v>0.06</v>
      </c>
      <c r="G808" s="10">
        <v>137498</v>
      </c>
      <c r="H808" s="30" t="str">
        <f ca="1">IFERROR(__xludf.DUMMYFUNCTION("LOWER(REGEXREPLACE(B808&amp;"" ""&amp;C808,""[^а-яa-z0-9 ]"","" ""))")," instein  ногодиапазонный датчик напряжения   1    10    25        019   иапазон    1      10      25     ходное напряжение  переменный или постоянный ток ")</f>
        <v xml:space="preserve"> instein  ногодиапазонный датчик напряжения   1    10    25        019   иапазон    1      10      25     ходное напряжение  переменный или постоянный ток </v>
      </c>
    </row>
    <row r="809" spans="1:8" ht="25.5" x14ac:dyDescent="0.2">
      <c r="A809" s="31" t="s">
        <v>1792</v>
      </c>
      <c r="B809" s="8" t="s">
        <v>1793</v>
      </c>
      <c r="C809" s="27"/>
      <c r="D809" s="33" t="s">
        <v>14</v>
      </c>
      <c r="E809" s="34">
        <v>2</v>
      </c>
      <c r="F809" s="35">
        <v>0.1</v>
      </c>
      <c r="G809" s="10">
        <v>67995</v>
      </c>
      <c r="H809" s="30" t="str">
        <f ca="1">IFERROR(__xludf.DUMMYFUNCTION("LOWER(REGEXREPLACE(B809&amp;"" ""&amp;C809,""[^а-яa-z0-9 ]"","" ""))")," нешний датчик  напряжения  lobisense   иапазон    10     очность    2   ")</f>
        <v xml:space="preserve"> нешний датчик  напряжения  lobisense   иапазон    10     очность    2   </v>
      </c>
    </row>
    <row r="810" spans="1:8" ht="38.25" x14ac:dyDescent="0.2">
      <c r="A810" s="31" t="s">
        <v>1794</v>
      </c>
      <c r="B810" s="27" t="s">
        <v>1795</v>
      </c>
      <c r="C810" s="27"/>
      <c r="D810" s="33" t="s">
        <v>14</v>
      </c>
      <c r="E810" s="34">
        <v>2</v>
      </c>
      <c r="F810" s="36">
        <v>0.17</v>
      </c>
      <c r="G810" s="10">
        <v>169967</v>
      </c>
      <c r="H810" s="30" t="str">
        <f ca="1">IFERROR(__xludf.DUMMYFUNCTION("LOWER(REGEXREPLACE(B810&amp;"" ""&amp;C810,""[^а-яa-z0-9 ]"","" ""))")," атчик напряжения беспроводной типа  hywe  obra      sense  oltage 12901 01   иапазон      30     азрешение  20 м    астота  1000  ц ")</f>
        <v xml:space="preserve"> атчик напряжения беспроводной типа  hywe  obra      sense  oltage 12901 01   иапазон      30     азрешение  20 м    астота  1000  ц </v>
      </c>
    </row>
    <row r="811" spans="1:8" ht="38.25" x14ac:dyDescent="0.2">
      <c r="A811" s="31" t="s">
        <v>1796</v>
      </c>
      <c r="B811" s="27" t="s">
        <v>1797</v>
      </c>
      <c r="C811" s="27"/>
      <c r="D811" s="33" t="s">
        <v>14</v>
      </c>
      <c r="E811" s="34">
        <v>2</v>
      </c>
      <c r="F811" s="36">
        <v>0.15</v>
      </c>
      <c r="G811" s="10">
        <v>85972</v>
      </c>
      <c r="H811" s="30" t="str">
        <f ca="1">IFERROR(__xludf.DUMMYFUNCTION("LOWER(REGEXREPLACE(B811&amp;"" ""&amp;C811,""[^а-яa-z0-9 ]"","" ""))")," атчик напряжения беспроводной типа  cience ube    101    иапазон      15     азрешение  2 м  ")</f>
        <v xml:space="preserve"> атчик напряжения беспроводной типа  cience ube    101    иапазон      15     азрешение  2 м  </v>
      </c>
    </row>
    <row r="812" spans="1:8" ht="38.25" x14ac:dyDescent="0.2">
      <c r="A812" s="31" t="s">
        <v>1798</v>
      </c>
      <c r="B812" s="8" t="s">
        <v>1799</v>
      </c>
      <c r="C812" s="27"/>
      <c r="D812" s="33" t="s">
        <v>14</v>
      </c>
      <c r="E812" s="34">
        <v>2</v>
      </c>
      <c r="F812" s="35">
        <v>0.1</v>
      </c>
      <c r="G812" s="10">
        <v>23067</v>
      </c>
      <c r="H812" s="30" t="str">
        <f ca="1">IFERROR(__xludf.DUMMYFUNCTION("LOWER(REGEXREPLACE(B812&amp;"" ""&amp;C812,""[^а-яa-z0-9 ]"","" ""))")," атчик напряжения типа  ense disc  0001   иапазон   30  30    очность     1    азрешение  0 02  ")</f>
        <v xml:space="preserve"> атчик напряжения типа  ense disc  0001   иапазон   30  30    очность     1    азрешение  0 02  </v>
      </c>
    </row>
    <row r="813" spans="1:8" ht="38.25" x14ac:dyDescent="0.2">
      <c r="A813" s="31" t="s">
        <v>1800</v>
      </c>
      <c r="B813" s="27" t="s">
        <v>1801</v>
      </c>
      <c r="C813" s="27"/>
      <c r="D813" s="33" t="s">
        <v>14</v>
      </c>
      <c r="E813" s="34">
        <v>2</v>
      </c>
      <c r="F813" s="35">
        <v>0.1</v>
      </c>
      <c r="G813" s="10">
        <v>23067</v>
      </c>
      <c r="H813" s="30" t="str">
        <f ca="1">IFERROR(__xludf.DUMMYFUNCTION("LOWER(REGEXREPLACE(B813&amp;"" ""&amp;C813,""[^а-яa-z0-9 ]"","" ""))")," атчик напряжения типа  ense disc  0037   иапазон   500  500    очность     2    азрешение  0 3  ")</f>
        <v xml:space="preserve"> атчик напряжения типа  ense disc  0037   иапазон   500  500    очность     2    азрешение  0 3  </v>
      </c>
    </row>
    <row r="814" spans="1:8" ht="51" x14ac:dyDescent="0.2">
      <c r="A814" s="31" t="s">
        <v>1802</v>
      </c>
      <c r="B814" s="8" t="s">
        <v>1803</v>
      </c>
      <c r="C814" s="27"/>
      <c r="D814" s="33" t="s">
        <v>14</v>
      </c>
      <c r="E814" s="34">
        <v>2</v>
      </c>
      <c r="F814" s="35">
        <v>0.1</v>
      </c>
      <c r="G814" s="10">
        <v>55037</v>
      </c>
      <c r="H814" s="30" t="str">
        <f ca="1">IFERROR(__xludf.DUMMYFUNCTION("LOWER(REGEXREPLACE(B814&amp;"" ""&amp;C814,""[^а-яa-z0-9 ]"","" ""))")," атчик напряжения  переменного  типа  icro ab  lab curr   абочее напряжение до 100     иапазон измерения тока 0   2 5     увствительность 800 м    ")</f>
        <v xml:space="preserve"> атчик напряжения  переменного  типа  icro ab  lab curr   абочее напряжение до 100     иапазон измерения тока 0   2 5     увствительность 800 м    </v>
      </c>
    </row>
    <row r="815" spans="1:8" ht="76.5" x14ac:dyDescent="0.2">
      <c r="A815" s="31" t="s">
        <v>1804</v>
      </c>
      <c r="B815" s="27" t="s">
        <v>1805</v>
      </c>
      <c r="C815" s="27"/>
      <c r="D815" s="33" t="s">
        <v>14</v>
      </c>
      <c r="E815" s="34">
        <v>2</v>
      </c>
      <c r="F815" s="35">
        <v>0.3</v>
      </c>
      <c r="G815" s="10">
        <v>31475</v>
      </c>
      <c r="H815" s="30" t="str">
        <f ca="1">IFERROR(__xludf.DUMMYFUNCTION("LOWER(REGEXREPLACE(B815&amp;"" ""&amp;C815,""[^а-яa-z0-9 ]"","" ""))")," атчик измерения напряжения   иапазон измерения      25    очность     3  во всем диапазоне   азрешение 12 5 м    аксимальная частота дискретизации 20000 выборок в секунду   ходное сопротивление 250 к м   аксимальное входное напряжение 60  ")</f>
        <v xml:space="preserve"> атчик измерения напряжения   иапазон измерения      25    очность     3  во всем диапазоне   азрешение 12 5 м    аксимальная частота дискретизации 20000 выборок в секунду   ходное сопротивление 250 к м   аксимальное входное напряжение 60  </v>
      </c>
    </row>
    <row r="816" spans="1:8" ht="12.75" x14ac:dyDescent="0.2">
      <c r="A816" s="31" t="s">
        <v>1806</v>
      </c>
      <c r="B816" s="27" t="s">
        <v>1807</v>
      </c>
      <c r="C816" s="27"/>
      <c r="D816" s="33" t="s">
        <v>14</v>
      </c>
      <c r="E816" s="9"/>
      <c r="F816" s="32"/>
      <c r="G816" s="10"/>
      <c r="H816" s="30" t="str">
        <f ca="1">IFERROR(__xludf.DUMMYFUNCTION("LOWER(REGEXREPLACE(B816&amp;"" ""&amp;C816,""[^а-яa-z0-9 ]"","" ""))")," атчик силы ")</f>
        <v xml:space="preserve"> атчик силы </v>
      </c>
    </row>
    <row r="817" spans="1:8" ht="38.25" x14ac:dyDescent="0.2">
      <c r="A817" s="31" t="s">
        <v>1808</v>
      </c>
      <c r="B817" s="27" t="s">
        <v>1809</v>
      </c>
      <c r="C817" s="27"/>
      <c r="D817" s="33" t="s">
        <v>14</v>
      </c>
      <c r="E817" s="34">
        <v>2</v>
      </c>
      <c r="F817" s="36">
        <v>0.06</v>
      </c>
      <c r="G817" s="10">
        <v>218265</v>
      </c>
      <c r="H817" s="30" t="str">
        <f ca="1">IFERROR(__xludf.DUMMYFUNCTION("LOWER(REGEXREPLACE(B817&amp;"" ""&amp;C817,""[^а-яa-z0-9 ]"","" ""))")," instein   атчик силы      272   иапазон  от  10   до  10     50   до  50     очность   2   по всему диапазону ")</f>
        <v xml:space="preserve"> instein   атчик силы      272   иапазон  от  10   до  10     50   до  50     очность   2   по всему диапазону </v>
      </c>
    </row>
    <row r="818" spans="1:8" ht="25.5" x14ac:dyDescent="0.2">
      <c r="A818" s="31" t="s">
        <v>1810</v>
      </c>
      <c r="B818" s="27" t="s">
        <v>1811</v>
      </c>
      <c r="C818" s="27"/>
      <c r="D818" s="33" t="s">
        <v>14</v>
      </c>
      <c r="E818" s="34">
        <v>2</v>
      </c>
      <c r="F818" s="36">
        <v>0.14000000000000001</v>
      </c>
      <c r="G818" s="10">
        <v>30351</v>
      </c>
      <c r="H818" s="30" t="str">
        <f ca="1">IFERROR(__xludf.DUMMYFUNCTION("LOWER(REGEXREPLACE(B818&amp;"" ""&amp;C818,""[^а-яa-z0-9 ]"","" ""))")," атчик силы типа  ense disc  0014   иапазон   50 50     очность     1    азрешение  0 03   ")</f>
        <v xml:space="preserve"> атчик силы типа  ense disc  0014   иапазон   50 50     очность     1    азрешение  0 03   </v>
      </c>
    </row>
    <row r="819" spans="1:8" ht="25.5" x14ac:dyDescent="0.2">
      <c r="A819" s="31" t="s">
        <v>1812</v>
      </c>
      <c r="B819" s="8" t="s">
        <v>1813</v>
      </c>
      <c r="C819" s="27"/>
      <c r="D819" s="33" t="s">
        <v>14</v>
      </c>
      <c r="E819" s="34">
        <v>2</v>
      </c>
      <c r="F819" s="35">
        <v>0.3</v>
      </c>
      <c r="G819" s="10">
        <v>52457</v>
      </c>
      <c r="H819" s="30" t="str">
        <f ca="1">IFERROR(__xludf.DUMMYFUNCTION("LOWER(REGEXREPLACE(B819&amp;"" ""&amp;C819,""[^а-яa-z0-9 ]"","" ""))")," атчик силы   иапазон измерения       10       50  ")</f>
        <v xml:space="preserve"> атчик силы   иапазон измерения       10       50  </v>
      </c>
    </row>
    <row r="820" spans="1:8" ht="12.75" x14ac:dyDescent="0.2">
      <c r="A820" s="31" t="s">
        <v>1814</v>
      </c>
      <c r="B820" s="27" t="s">
        <v>1815</v>
      </c>
      <c r="C820" s="27"/>
      <c r="D820" s="33" t="s">
        <v>14</v>
      </c>
      <c r="E820" s="9"/>
      <c r="F820" s="32"/>
      <c r="G820" s="10"/>
      <c r="H820" s="30" t="str">
        <f ca="1">IFERROR(__xludf.DUMMYFUNCTION("LOWER(REGEXREPLACE(B820&amp;"" ""&amp;C820,""[^а-яa-z0-9 ]"","" ""))")," сточник питания лабораторный ")</f>
        <v xml:space="preserve"> сточник питания лабораторный </v>
      </c>
    </row>
    <row r="821" spans="1:8" ht="51" x14ac:dyDescent="0.2">
      <c r="A821" s="31" t="s">
        <v>1816</v>
      </c>
      <c r="B821" s="8" t="s">
        <v>1817</v>
      </c>
      <c r="C821" s="27" t="s">
        <v>1818</v>
      </c>
      <c r="D821" s="33" t="s">
        <v>14</v>
      </c>
      <c r="E821" s="34">
        <v>2</v>
      </c>
      <c r="F821" s="36">
        <v>3.07</v>
      </c>
      <c r="G821" s="10">
        <v>52395</v>
      </c>
      <c r="H821" s="30" t="str">
        <f ca="1">IFERROR(__xludf.DUMMYFUNCTION("LOWER(REGEXREPLACE(B821&amp;"" ""&amp;C821,""[^а-яa-z0-9 ]"","" ""))")," сточник бесперебойного питания демонстрационный  нтервал регулируемых напряжений постоянного и переменного тока от 2  до 24   12 режимов переключения напряжения   аксимальный ток нагрузки 6    нтервал регулируемых напряжений постоянного тока 6   9   12  "&amp;"  аксимальный ток нагрузки 1    апряжения питания 220   50  z")</f>
        <v xml:space="preserve"> сточник бесперебойного питания демонстрационный  нтервал регулируемых напряжений постоянного и переменного тока от 2  до 24   12 режимов переключения напряжения   аксимальный ток нагрузки 6    нтервал регулируемых напряжений постоянного тока 6   9   12    аксимальный ток нагрузки 1    апряжения питания 220   50  z</v>
      </c>
    </row>
    <row r="822" spans="1:8" ht="38.25" x14ac:dyDescent="0.2">
      <c r="A822" s="31" t="s">
        <v>1819</v>
      </c>
      <c r="B822" s="27" t="s">
        <v>1815</v>
      </c>
      <c r="C822" s="27" t="s">
        <v>1820</v>
      </c>
      <c r="D822" s="33" t="s">
        <v>14</v>
      </c>
      <c r="E822" s="34">
        <v>2</v>
      </c>
      <c r="F822" s="37">
        <v>1.9330000000000001</v>
      </c>
      <c r="G822" s="10">
        <v>23389</v>
      </c>
      <c r="H822" s="30" t="str">
        <f ca="1">IFERROR(__xludf.DUMMYFUNCTION("LOWER(REGEXREPLACE(B822&amp;"" ""&amp;C822,""[^а-яa-z0-9 ]"","" ""))")," сточник питания лабораторный  сточник питания лабораторный   рибор питается переменным током напряжением 42     ыходные напряжения  постоянное фиксированное   1 5   9    при токе   1 5   ")</f>
        <v xml:space="preserve"> сточник питания лабораторный  сточник питания лабораторный   рибор питается переменным током напряжением 42     ыходные напряжения  постоянное фиксированное   1 5   9    при токе   1 5   </v>
      </c>
    </row>
    <row r="823" spans="1:8" ht="38.25" x14ac:dyDescent="0.2">
      <c r="A823" s="31" t="s">
        <v>1821</v>
      </c>
      <c r="B823" s="8" t="s">
        <v>1822</v>
      </c>
      <c r="C823" s="27" t="s">
        <v>1823</v>
      </c>
      <c r="D823" s="33" t="s">
        <v>14</v>
      </c>
      <c r="E823" s="34">
        <v>2</v>
      </c>
      <c r="F823" s="36">
        <v>0.33</v>
      </c>
      <c r="G823" s="10">
        <v>116594</v>
      </c>
      <c r="H823" s="30" t="str">
        <f ca="1">IFERROR(__xludf.DUMMYFUNCTION("LOWER(REGEXREPLACE(B823&amp;"" ""&amp;C823,""[^а-яa-z0-9 ]"","" ""))")," сточник постоянного и переменного напряжения  лавное регулирование переменного напряжения с частотой 50  ц в пределах от 0 до 30   и постоянного  пульсирующего  напряжения с частотой пульсаций 100  ц в пределах от 0 до 24   ")</f>
        <v xml:space="preserve"> сточник постоянного и переменного напряжения  лавное регулирование переменного напряжения с частотой 50  ц в пределах от 0 до 30   и постоянного  пульсирующего  напряжения с частотой пульсаций 100  ц в пределах от 0 до 24   </v>
      </c>
    </row>
    <row r="824" spans="1:8" ht="63.75" x14ac:dyDescent="0.2">
      <c r="A824" s="31" t="s">
        <v>1824</v>
      </c>
      <c r="B824" s="8" t="s">
        <v>1825</v>
      </c>
      <c r="C824" s="27" t="s">
        <v>1826</v>
      </c>
      <c r="D824" s="33" t="s">
        <v>68</v>
      </c>
      <c r="E824" s="34">
        <v>2</v>
      </c>
      <c r="F824" s="36">
        <v>0.65</v>
      </c>
      <c r="G824" s="10">
        <v>31198</v>
      </c>
      <c r="H824" s="30" t="str">
        <f ca="1">IFERROR(__xludf.DUMMYFUNCTION("LOWER(REGEXREPLACE(B824&amp;"" ""&amp;C824,""[^а-яa-z0-9 ]"","" ""))")," сточник питания лабораторный с комплектом электрических проводов  рибор питается переменным током напряжением 42     ыходные напряжения постоянное фиксированное 1 5   9  при токе 1 5      комплекте содержится 10 гибких изолированных проводов разного цвет"&amp;"а и длины с наконечниками   абаритные размеры  длиной 200мм   2 шт  400мм   2 шт  600мм   2 шт  800мм   2 шт  1000мм   2 шт  переходники 10 шт")</f>
        <v xml:space="preserve"> сточник питания лабораторный с комплектом электрических проводов  рибор питается переменным током напряжением 42     ыходные напряжения постоянное фиксированное 1 5   9  при токе 1 5      комплекте содержится 10 гибких изолированных проводов разного цвета и длины с наконечниками   абаритные размеры  длиной 200мм   2 шт  400мм   2 шт  600мм   2 шт  800мм   2 шт  1000мм   2 шт  переходники 10 шт</v>
      </c>
    </row>
    <row r="825" spans="1:8" ht="12.75" x14ac:dyDescent="0.2">
      <c r="A825" s="31" t="s">
        <v>1827</v>
      </c>
      <c r="B825" s="27" t="s">
        <v>1828</v>
      </c>
      <c r="C825" s="27"/>
      <c r="D825" s="33" t="s">
        <v>14</v>
      </c>
      <c r="E825" s="9"/>
      <c r="F825" s="32"/>
      <c r="G825" s="10"/>
      <c r="H825" s="30" t="str">
        <f ca="1">IFERROR(__xludf.DUMMYFUNCTION("LOWER(REGEXREPLACE(B825&amp;"" ""&amp;C825,""[^а-яa-z0-9 ]"","" ""))")," атчик света ")</f>
        <v xml:space="preserve"> атчик света </v>
      </c>
    </row>
    <row r="826" spans="1:8" ht="51" x14ac:dyDescent="0.2">
      <c r="A826" s="31" t="s">
        <v>1829</v>
      </c>
      <c r="B826" s="8" t="s">
        <v>1830</v>
      </c>
      <c r="C826" s="27"/>
      <c r="D826" s="33" t="s">
        <v>14</v>
      </c>
      <c r="E826" s="34">
        <v>2</v>
      </c>
      <c r="F826" s="36">
        <v>0.06</v>
      </c>
      <c r="G826" s="10">
        <v>118407</v>
      </c>
      <c r="H826" s="30" t="str">
        <f ca="1">IFERROR(__xludf.DUMMYFUNCTION("LOWER(REGEXREPLACE(B826&amp;"" ""&amp;C826,""[^а-яa-z0-9 ]"","" ""))")," instein   атчик света  многодиапазнонный       009 4   иапазон  от 0 до 600 лк  от 0 до 6 000 лк  от 0 до 150 klx   очность   4   по всему диапазону  ")</f>
        <v xml:space="preserve"> instein   атчик света  многодиапазнонный       009 4   иапазон  от 0 до 600 лк  от 0 до 6 000 лк  от 0 до 150 klx   очность   4   по всему диапазону  </v>
      </c>
    </row>
    <row r="827" spans="1:8" ht="63.75" x14ac:dyDescent="0.2">
      <c r="A827" s="31" t="s">
        <v>1831</v>
      </c>
      <c r="B827" s="8" t="s">
        <v>1832</v>
      </c>
      <c r="C827" s="27"/>
      <c r="D827" s="33" t="s">
        <v>14</v>
      </c>
      <c r="E827" s="34">
        <v>2</v>
      </c>
      <c r="F827" s="37">
        <v>0.16500000000000001</v>
      </c>
      <c r="G827" s="10">
        <v>128644</v>
      </c>
      <c r="H827" s="30" t="str">
        <f ca="1">IFERROR(__xludf.DUMMYFUNCTION("LOWER(REGEXREPLACE(B827&amp;"" ""&amp;C827,""[^а-яa-z0-9 ]"","" ""))")," атчик для измерения освещенности беспроводной типа  hywe  obra      sense  ight 12906 01   иапазон  0 128 к к   азрешение  1  к   астота измерений  10  ц ")</f>
        <v xml:space="preserve"> атчик для измерения освещенности беспроводной типа  hywe  obra      sense  ight 12906 01   иапазон  0 128 к к   азрешение  1  к   астота измерений  10  ц </v>
      </c>
    </row>
    <row r="828" spans="1:8" ht="38.25" x14ac:dyDescent="0.2">
      <c r="A828" s="31" t="s">
        <v>1833</v>
      </c>
      <c r="B828" s="27" t="s">
        <v>1834</v>
      </c>
      <c r="C828" s="27"/>
      <c r="D828" s="33" t="s">
        <v>14</v>
      </c>
      <c r="E828" s="34">
        <v>2</v>
      </c>
      <c r="F828" s="35">
        <v>0.1</v>
      </c>
      <c r="G828" s="10">
        <v>25495</v>
      </c>
      <c r="H828" s="30" t="str">
        <f ca="1">IFERROR(__xludf.DUMMYFUNCTION("LOWER(REGEXREPLACE(B828&amp;"" ""&amp;C828,""[^а-яa-z0-9 ]"","" ""))")," атчик света типа  ense disc  0019   иапазон  0 55000 люкс   очность     5    азрешение  15 люкс ")</f>
        <v xml:space="preserve"> атчик света типа  ense disc  0019   иапазон  0 55000 люкс   очность     5    азрешение  15 люкс </v>
      </c>
    </row>
    <row r="829" spans="1:8" ht="38.25" x14ac:dyDescent="0.2">
      <c r="A829" s="31" t="s">
        <v>1835</v>
      </c>
      <c r="B829" s="27" t="s">
        <v>1836</v>
      </c>
      <c r="C829" s="27"/>
      <c r="D829" s="33" t="s">
        <v>14</v>
      </c>
      <c r="E829" s="34">
        <v>2</v>
      </c>
      <c r="F829" s="35">
        <v>0.3</v>
      </c>
      <c r="G829" s="10">
        <v>47212</v>
      </c>
      <c r="H829" s="30" t="str">
        <f ca="1">IFERROR(__xludf.DUMMYFUNCTION("LOWER(REGEXREPLACE(B829&amp;"" ""&amp;C829,""[^а-яa-z0-9 ]"","" ""))")," атчик фотометрический   иапазон измерения  от 0 до 600 лк  от 0 до 6000лк  от 0 до 150 клк   очность     4  по всему диапазону ")</f>
        <v xml:space="preserve"> атчик фотометрический   иапазон измерения  от 0 до 600 лк  от 0 до 6000лк  от 0 до 150 клк   очность     4  по всему диапазону </v>
      </c>
    </row>
    <row r="830" spans="1:8" ht="12.75" x14ac:dyDescent="0.2">
      <c r="A830" s="31" t="s">
        <v>1837</v>
      </c>
      <c r="B830" s="27" t="s">
        <v>1838</v>
      </c>
      <c r="C830" s="27"/>
      <c r="D830" s="33" t="s">
        <v>14</v>
      </c>
      <c r="E830" s="9"/>
      <c r="F830" s="32"/>
      <c r="G830" s="10"/>
      <c r="H830" s="30" t="str">
        <f ca="1">IFERROR(__xludf.DUMMYFUNCTION("LOWER(REGEXREPLACE(B830&amp;"" ""&amp;C830,""[^а-яa-z0-9 ]"","" ""))")," атчик измерения магнитного поля ")</f>
        <v xml:space="preserve"> атчик измерения магнитного поля </v>
      </c>
    </row>
    <row r="831" spans="1:8" ht="51" x14ac:dyDescent="0.2">
      <c r="A831" s="31" t="s">
        <v>1839</v>
      </c>
      <c r="B831" s="27" t="s">
        <v>1840</v>
      </c>
      <c r="C831" s="27"/>
      <c r="D831" s="33" t="s">
        <v>14</v>
      </c>
      <c r="E831" s="9"/>
      <c r="F831" s="32"/>
      <c r="G831" s="10">
        <v>74767</v>
      </c>
      <c r="H831" s="30" t="str">
        <f ca="1">IFERROR(__xludf.DUMMYFUNCTION("LOWER(REGEXREPLACE(B831&amp;"" ""&amp;C831,""[^а-яa-z0-9 ]"","" ""))")," атчик измерения магнитного поля 3 осевой беспроводной  o  irect     3     иапазон измерений    5 м л   абочая температура  от  40     до 85      ")</f>
        <v xml:space="preserve"> атчик измерения магнитного поля 3 осевой беспроводной  o  irect     3     иапазон измерений    5 м л   абочая температура  от  40     до 85      </v>
      </c>
    </row>
    <row r="832" spans="1:8" ht="89.25" x14ac:dyDescent="0.2">
      <c r="A832" s="31" t="s">
        <v>1841</v>
      </c>
      <c r="B832" s="27" t="s">
        <v>1842</v>
      </c>
      <c r="C832" s="27"/>
      <c r="D832" s="33" t="s">
        <v>14</v>
      </c>
      <c r="E832" s="9"/>
      <c r="F832" s="37">
        <v>8.5000000000000006E-2</v>
      </c>
      <c r="G832" s="10">
        <v>139650</v>
      </c>
      <c r="H832" s="30" t="str">
        <f ca="1">IFERROR(__xludf.DUMMYFUNCTION("LOWER(REGEXREPLACE(B832&amp;"" ""&amp;C832,""[^а-яa-z0-9 ]"","" ""))")," атчик магнитного поля  ata arvest 1140 беспроводной   иапазоны измерения  5 м л и  130 м л  3 канала для измерения магнитного поля в направлениях      и        соединительный провод     сбора и обработки данных  asysense2 на трех языках  каз   рус   англ"&amp;"  языке  ")</f>
        <v xml:space="preserve"> атчик магнитного поля  ata arvest 1140 беспроводной   иапазоны измерения  5 м л и  130 м л  3 канала для измерения магнитного поля в направлениях      и        соединительный провод     сбора и обработки данных  asysense2 на трех языках  каз   рус   англ  языке  </v>
      </c>
    </row>
    <row r="833" spans="1:8" ht="38.25" x14ac:dyDescent="0.2">
      <c r="A833" s="31" t="s">
        <v>1843</v>
      </c>
      <c r="B833" s="27" t="s">
        <v>1844</v>
      </c>
      <c r="C833" s="27"/>
      <c r="D833" s="33" t="s">
        <v>14</v>
      </c>
      <c r="E833" s="34">
        <v>2</v>
      </c>
      <c r="F833" s="36">
        <v>0.06</v>
      </c>
      <c r="G833" s="10">
        <v>112888</v>
      </c>
      <c r="H833" s="30" t="str">
        <f ca="1">IFERROR(__xludf.DUMMYFUNCTION("LOWER(REGEXREPLACE(B833&amp;"" ""&amp;C833,""[^а-яa-z0-9 ]"","" ""))")," instein   атчик магнитного поля  3   оси          иапазон   ве оси   20 м л   ри оси   0 4 м л   огрешность   6   по всему ")</f>
        <v xml:space="preserve"> instein   атчик магнитного поля  3   оси          иапазон   ве оси   20 м л   ри оси   0 4 м л   огрешность   6   по всему </v>
      </c>
    </row>
    <row r="834" spans="1:8" ht="51" x14ac:dyDescent="0.2">
      <c r="A834" s="31" t="s">
        <v>1845</v>
      </c>
      <c r="B834" s="8" t="s">
        <v>1846</v>
      </c>
      <c r="C834" s="27"/>
      <c r="D834" s="33" t="s">
        <v>14</v>
      </c>
      <c r="E834" s="34">
        <v>2</v>
      </c>
      <c r="F834" s="35">
        <v>0.1</v>
      </c>
      <c r="G834" s="10">
        <v>69182</v>
      </c>
      <c r="H834" s="30" t="str">
        <f ca="1">IFERROR(__xludf.DUMMYFUNCTION("LOWER(REGEXREPLACE(B834&amp;"" ""&amp;C834,""[^а-яa-z0-9 ]"","" ""))")," нешний датчик  магнитного поля  lobisense  2 диапазона     10m      0 2m    войной диапазон    10 м л     0 2 м л   очность    5   ")</f>
        <v xml:space="preserve"> нешний датчик  магнитного поля  lobisense  2 диапазона     10m      0 2m    войной диапазон    10 м л     0 2 м л   очность    5   </v>
      </c>
    </row>
    <row r="835" spans="1:8" ht="63.75" x14ac:dyDescent="0.2">
      <c r="A835" s="31" t="s">
        <v>1847</v>
      </c>
      <c r="B835" s="8" t="s">
        <v>1848</v>
      </c>
      <c r="C835" s="27"/>
      <c r="D835" s="33" t="s">
        <v>14</v>
      </c>
      <c r="E835" s="34">
        <v>2</v>
      </c>
      <c r="F835" s="36">
        <v>0.13</v>
      </c>
      <c r="G835" s="10">
        <v>119706</v>
      </c>
      <c r="H835" s="30" t="str">
        <f ca="1">IFERROR(__xludf.DUMMYFUNCTION("LOWER(REGEXREPLACE(B835&amp;"" ""&amp;C835,""[^а-яa-z0-9 ]"","" ""))")," атчик магнитного поля беспроводной типа  hywe obra      sense   3  xis  agnetic field 12947 00   иапазон  130 м   5 м    азрешение  0 1 м   0 001 м    астота измерений  1000  ц ")</f>
        <v xml:space="preserve"> атчик магнитного поля беспроводной типа  hywe obra      sense   3  xis  agnetic field 12947 00   иапазон  130 м   5 м    азрешение  0 1 м   0 001 м    астота измерений  1000  ц </v>
      </c>
    </row>
    <row r="836" spans="1:8" ht="38.25" x14ac:dyDescent="0.2">
      <c r="A836" s="31" t="s">
        <v>1849</v>
      </c>
      <c r="B836" s="27" t="s">
        <v>1850</v>
      </c>
      <c r="C836" s="27"/>
      <c r="D836" s="33" t="s">
        <v>14</v>
      </c>
      <c r="E836" s="34">
        <v>2</v>
      </c>
      <c r="F836" s="36">
        <v>0.17</v>
      </c>
      <c r="G836" s="10">
        <v>102160</v>
      </c>
      <c r="H836" s="30" t="str">
        <f ca="1">IFERROR(__xludf.DUMMYFUNCTION("LOWER(REGEXREPLACE(B836&amp;"" ""&amp;C836,""[^а-яa-z0-9 ]"","" ""))")," еспроводной датчик магнитного поля беспроводной типа  cience ube    108    ireless 3 axis  agnetic  ield   иапазон     5 м л ")</f>
        <v xml:space="preserve"> еспроводной датчик магнитного поля беспроводной типа  cience ube    108    ireless 3 axis  agnetic  ield   иапазон     5 м л </v>
      </c>
    </row>
    <row r="837" spans="1:8" ht="38.25" x14ac:dyDescent="0.2">
      <c r="A837" s="31" t="s">
        <v>1851</v>
      </c>
      <c r="B837" s="8" t="s">
        <v>1852</v>
      </c>
      <c r="C837" s="27"/>
      <c r="D837" s="33" t="s">
        <v>14</v>
      </c>
      <c r="E837" s="34">
        <v>2</v>
      </c>
      <c r="F837" s="36">
        <v>0.18</v>
      </c>
      <c r="G837" s="10">
        <v>25495</v>
      </c>
      <c r="H837" s="30" t="str">
        <f ca="1">IFERROR(__xludf.DUMMYFUNCTION("LOWER(REGEXREPLACE(B837&amp;"" ""&amp;C837,""[^а-яa-z0-9 ]"","" ""))")," атчик магнитного поля типа  ense disc  0020   иапазон   64 64 м л   очность     3    азрешение  0 04 м л ")</f>
        <v xml:space="preserve"> атчик магнитного поля типа  ense disc  0020   иапазон   64 64 м л   очность     3    азрешение  0 04 м л </v>
      </c>
    </row>
    <row r="838" spans="1:8" ht="25.5" x14ac:dyDescent="0.2">
      <c r="A838" s="31" t="s">
        <v>1853</v>
      </c>
      <c r="B838" s="27" t="s">
        <v>1854</v>
      </c>
      <c r="C838" s="27"/>
      <c r="D838" s="33" t="s">
        <v>14</v>
      </c>
      <c r="E838" s="34">
        <v>2</v>
      </c>
      <c r="F838" s="36">
        <v>0.17</v>
      </c>
      <c r="G838" s="10">
        <v>58274</v>
      </c>
      <c r="H838" s="30" t="str">
        <f ca="1">IFERROR(__xludf.DUMMYFUNCTION("LOWER(REGEXREPLACE(B838&amp;"" ""&amp;C838,""[^а-яa-z0-9 ]"","" ""))")," атчик гравитационно магнитный типа  ense disc  0022   иапазон  0 40000 с мин ")</f>
        <v xml:space="preserve"> атчик гравитационно магнитный типа  ense disc  0022   иапазон  0 40000 с мин </v>
      </c>
    </row>
    <row r="839" spans="1:8" ht="38.25" x14ac:dyDescent="0.2">
      <c r="A839" s="31" t="s">
        <v>1855</v>
      </c>
      <c r="B839" s="27" t="s">
        <v>1856</v>
      </c>
      <c r="C839" s="27"/>
      <c r="D839" s="33" t="s">
        <v>14</v>
      </c>
      <c r="E839" s="34">
        <v>2</v>
      </c>
      <c r="F839" s="35">
        <v>0.1</v>
      </c>
      <c r="G839" s="10">
        <v>62447</v>
      </c>
      <c r="H839" s="30" t="str">
        <f ca="1">IFERROR(__xludf.DUMMYFUNCTION("LOWER(REGEXREPLACE(B839&amp;"" ""&amp;C839,""[^а-яa-z0-9 ]"","" ""))")," атчик магнитного поля типа  icro ab  lab magnet   иапазон измерения магнитометра от  4800   до  4800   ")</f>
        <v xml:space="preserve"> атчик магнитного поля типа  icro ab  lab magnet   иапазон измерения магнитометра от  4800   до  4800   </v>
      </c>
    </row>
    <row r="840" spans="1:8" ht="12.75" x14ac:dyDescent="0.2">
      <c r="A840" s="31" t="s">
        <v>1857</v>
      </c>
      <c r="B840" s="27" t="s">
        <v>1858</v>
      </c>
      <c r="C840" s="27"/>
      <c r="D840" s="33" t="s">
        <v>14</v>
      </c>
      <c r="E840" s="9"/>
      <c r="F840" s="32"/>
      <c r="G840" s="10"/>
      <c r="H840" s="30" t="str">
        <f ca="1">IFERROR(__xludf.DUMMYFUNCTION("LOWER(REGEXREPLACE(B840&amp;"" ""&amp;C840,""[^а-яa-z0-9 ]"","" ""))")," атчик движения ")</f>
        <v xml:space="preserve"> атчик движения </v>
      </c>
    </row>
    <row r="841" spans="1:8" ht="51" x14ac:dyDescent="0.2">
      <c r="A841" s="31" t="s">
        <v>1859</v>
      </c>
      <c r="B841" s="8" t="s">
        <v>1860</v>
      </c>
      <c r="C841" s="27"/>
      <c r="D841" s="33" t="s">
        <v>14</v>
      </c>
      <c r="E841" s="9"/>
      <c r="F841" s="32"/>
      <c r="G841" s="10">
        <v>113643</v>
      </c>
      <c r="H841" s="30" t="str">
        <f ca="1">IFERROR(__xludf.DUMMYFUNCTION("LOWER(REGEXREPLACE(B841&amp;"" ""&amp;C841,""[^а-яa-z0-9 ]"","" ""))")," атчик движения беспроводной  o  irect          иапазон  от 15 см до 3 5 м   очность  1 мм   аксимальная частота дискретизации  30 запросов с ")</f>
        <v xml:space="preserve"> атчик движения беспроводной  o  irect          иапазон  от 15 см до 3 5 м   очность  1 мм   аксимальная частота дискретизации  30 запросов с </v>
      </c>
    </row>
    <row r="842" spans="1:8" ht="89.25" x14ac:dyDescent="0.2">
      <c r="A842" s="31" t="s">
        <v>1861</v>
      </c>
      <c r="B842" s="8" t="s">
        <v>1862</v>
      </c>
      <c r="C842" s="27"/>
      <c r="D842" s="33" t="s">
        <v>14</v>
      </c>
      <c r="E842" s="9"/>
      <c r="F842" s="36">
        <v>0.22</v>
      </c>
      <c r="G842" s="10">
        <v>213379</v>
      </c>
      <c r="H842" s="30" t="str">
        <f ca="1">IFERROR(__xludf.DUMMYFUNCTION("LOWER(REGEXREPLACE(B842&amp;"" ""&amp;C842,""[^а-яa-z0-9 ]"","" ""))")," атчик движения беспроводной   ata arvest 1190   иапазоны измерения  от 0 15 м до 6 м  от 0 до 50 000 мкс  от  10 до 70      очность   2 мм   2      азрешение  0 001 м  1 мкс  0 1         соединительный провод      сбора и обработки данных  asysense2 на т"&amp;"рех языках  каз   рус   англ  языке  ")</f>
        <v xml:space="preserve"> атчик движения беспроводной   ata arvest 1190   иапазоны измерения  от 0 15 м до 6 м  от 0 до 50 000 мкс  от  10 до 70      очность   2 мм   2      азрешение  0 001 м  1 мкс  0 1         соединительный провод      сбора и обработки данных  asysense2 на трех языках  каз   рус   англ  языке  </v>
      </c>
    </row>
    <row r="843" spans="1:8" ht="38.25" x14ac:dyDescent="0.2">
      <c r="A843" s="31" t="s">
        <v>1863</v>
      </c>
      <c r="B843" s="27" t="s">
        <v>1864</v>
      </c>
      <c r="C843" s="27"/>
      <c r="D843" s="33" t="s">
        <v>14</v>
      </c>
      <c r="E843" s="34">
        <v>2</v>
      </c>
      <c r="F843" s="36">
        <v>0.06</v>
      </c>
      <c r="G843" s="10">
        <v>168336</v>
      </c>
      <c r="H843" s="30" t="str">
        <f ca="1">IFERROR(__xludf.DUMMYFUNCTION("LOWER(REGEXREPLACE(B843&amp;"" ""&amp;C843,""[^а-яa-z0-9 ]"","" ""))")," instein   атчик расстояния      020   иапазон  от 0 2 до 10 м   очность  3 мм на 2 м  8 мм на 10 м   азрешение  12 бит   2 5 мм ")</f>
        <v xml:space="preserve"> instein   атчик расстояния      020   иапазон  от 0 2 до 10 м   очность  3 мм на 2 м  8 мм на 10 м   азрешение  12 бит   2 5 мм </v>
      </c>
    </row>
    <row r="844" spans="1:8" ht="51" x14ac:dyDescent="0.2">
      <c r="A844" s="31" t="s">
        <v>1865</v>
      </c>
      <c r="B844" s="8" t="s">
        <v>1866</v>
      </c>
      <c r="C844" s="27"/>
      <c r="D844" s="33" t="s">
        <v>14</v>
      </c>
      <c r="E844" s="34">
        <v>2</v>
      </c>
      <c r="F844" s="36">
        <v>0.14000000000000001</v>
      </c>
      <c r="G844" s="10">
        <v>186355</v>
      </c>
      <c r="H844" s="30" t="str">
        <f ca="1">IFERROR(__xludf.DUMMYFUNCTION("LOWER(REGEXREPLACE(B844&amp;"" ""&amp;C844,""[^а-яa-z0-9 ]"","" ""))")," атчик движения беспроводной типа  hywe  obra      sense  otion 12908 01   иапазон  0 2 2 м   азрешение  1 мм   астота измерений  20  ц ")</f>
        <v xml:space="preserve"> атчик движения беспроводной типа  hywe  obra      sense  otion 12908 01   иапазон  0 2 2 м   азрешение  1 мм   астота измерений  20  ц </v>
      </c>
    </row>
    <row r="845" spans="1:8" ht="38.25" x14ac:dyDescent="0.2">
      <c r="A845" s="31" t="s">
        <v>1867</v>
      </c>
      <c r="B845" s="27" t="s">
        <v>1868</v>
      </c>
      <c r="C845" s="27"/>
      <c r="D845" s="33" t="s">
        <v>14</v>
      </c>
      <c r="E845" s="34">
        <v>2</v>
      </c>
      <c r="F845" s="36">
        <v>0.13</v>
      </c>
      <c r="G845" s="10">
        <v>118409</v>
      </c>
      <c r="H845" s="30" t="str">
        <f ca="1">IFERROR(__xludf.DUMMYFUNCTION("LOWER(REGEXREPLACE(B845&amp;"" ""&amp;C845,""[^а-яa-z0-9 ]"","" ""))")," атчик движения беспроводной типа  cience ube    106     иапазон  0 15 6 м   азрешение  1 мм ")</f>
        <v xml:space="preserve"> атчик движения беспроводной типа  cience ube    106     иапазон  0 15 6 м   азрешение  1 мм </v>
      </c>
    </row>
    <row r="846" spans="1:8" ht="25.5" x14ac:dyDescent="0.2">
      <c r="A846" s="31" t="s">
        <v>1869</v>
      </c>
      <c r="B846" s="27" t="s">
        <v>1870</v>
      </c>
      <c r="C846" s="27"/>
      <c r="D846" s="33" t="s">
        <v>14</v>
      </c>
      <c r="E846" s="34">
        <v>2</v>
      </c>
      <c r="F846" s="35">
        <v>0.1</v>
      </c>
      <c r="G846" s="10">
        <v>25495</v>
      </c>
      <c r="H846" s="30" t="str">
        <f ca="1">IFERROR(__xludf.DUMMYFUNCTION("LOWER(REGEXREPLACE(B846&amp;"" ""&amp;C846,""[^а-яa-z0-9 ]"","" ""))")," атчик движения   ense disc  0015   иапазон  20 600 см   очность     2    азрешение  0 1 см ")</f>
        <v xml:space="preserve"> атчик движения   ense disc  0015   иапазон  20 600 см   очность     2    азрешение  0 1 см </v>
      </c>
    </row>
    <row r="847" spans="1:8" ht="51" x14ac:dyDescent="0.2">
      <c r="A847" s="31" t="s">
        <v>1871</v>
      </c>
      <c r="B847" s="27" t="s">
        <v>1872</v>
      </c>
      <c r="C847" s="27"/>
      <c r="D847" s="33" t="s">
        <v>14</v>
      </c>
      <c r="E847" s="34">
        <v>2</v>
      </c>
      <c r="F847" s="35">
        <v>0.1</v>
      </c>
      <c r="G847" s="10">
        <v>98068</v>
      </c>
      <c r="H847" s="30" t="str">
        <f ca="1">IFERROR(__xludf.DUMMYFUNCTION("LOWER(REGEXREPLACE(B847&amp;"" ""&amp;C847,""[^а-яa-z0-9 ]"","" ""))")," атчик движения типа  icro ab  lab motion   иапазон измерения от 10 мм до 25 см   аксимальная частота дискретизации  30 запросов с   очность 1мм ")</f>
        <v xml:space="preserve"> атчик движения типа  icro ab  lab motion   иапазон измерения от 10 мм до 25 см   аксимальная частота дискретизации  30 запросов с   очность 1мм </v>
      </c>
    </row>
    <row r="848" spans="1:8" ht="38.25" x14ac:dyDescent="0.2">
      <c r="A848" s="31" t="s">
        <v>1873</v>
      </c>
      <c r="B848" s="8" t="s">
        <v>1874</v>
      </c>
      <c r="C848" s="27"/>
      <c r="D848" s="33" t="s">
        <v>14</v>
      </c>
      <c r="E848" s="34">
        <v>2</v>
      </c>
      <c r="F848" s="35">
        <v>0.3</v>
      </c>
      <c r="G848" s="10">
        <v>62948</v>
      </c>
      <c r="H848" s="30" t="str">
        <f ca="1">IFERROR(__xludf.DUMMYFUNCTION("LOWER(REGEXREPLACE(B848&amp;"" ""&amp;C848,""[^а-яa-z0-9 ]"","" ""))")," атчик движения   иапазон измерения  0 16   6м   аксимальный диапазон  10м   азрешение     1 5мм ")</f>
        <v xml:space="preserve"> атчик движения   иапазон измерения  0 16   6м   аксимальный диапазон  10м   азрешение     1 5мм </v>
      </c>
    </row>
    <row r="849" spans="1:8" ht="12.75" x14ac:dyDescent="0.2">
      <c r="A849" s="31" t="s">
        <v>1875</v>
      </c>
      <c r="B849" s="27" t="s">
        <v>1876</v>
      </c>
      <c r="C849" s="27"/>
      <c r="D849" s="33" t="s">
        <v>14</v>
      </c>
      <c r="E849" s="9"/>
      <c r="F849" s="32"/>
      <c r="G849" s="10"/>
      <c r="H849" s="30" t="str">
        <f ca="1">IFERROR(__xludf.DUMMYFUNCTION("LOWER(REGEXREPLACE(B849&amp;"" ""&amp;C849,""[^а-яa-z0-9 ]"","" ""))")," атчик вращения ")</f>
        <v xml:space="preserve"> атчик вращения </v>
      </c>
    </row>
    <row r="850" spans="1:8" ht="127.5" x14ac:dyDescent="0.2">
      <c r="A850" s="31" t="s">
        <v>1877</v>
      </c>
      <c r="B850" s="8" t="s">
        <v>1878</v>
      </c>
      <c r="C850" s="27"/>
      <c r="D850" s="33" t="s">
        <v>14</v>
      </c>
      <c r="E850" s="9"/>
      <c r="F850" s="36">
        <v>0.17</v>
      </c>
      <c r="G850" s="10">
        <v>329408</v>
      </c>
      <c r="H850" s="30" t="str">
        <f ca="1">IFERROR(__xludf.DUMMYFUNCTION("LOWER(REGEXREPLACE(B850&amp;"" ""&amp;C850,""[^а-яa-z0-9 ]"","" ""))")," атчик вращательного движения беспроводной  ata arvest 1195  3288   гловое положение 360   0 1     гловая скорость  6 об с 0 001 об с   гловая скорость  40 рад с 0 001 рад с      соединение и зарядный кабель  маятниковый стержень  2x регулируемые массы  1"&amp;"x набор дисков углового момента  1x линейная стойка     сбора и обработки данных  asysense2 на трех языках  каз   рус   англ  языке  ")</f>
        <v xml:space="preserve"> атчик вращательного движения беспроводной  ata arvest 1195  3288   гловое положение 360   0 1     гловая скорость  6 об с 0 001 об с   гловая скорость  40 рад с 0 001 рад с      соединение и зарядный кабель  маятниковый стержень  2x регулируемые массы  1x набор дисков углового момента  1x линейная стойка     сбора и обработки данных  asysense2 на трех языках  каз   рус   англ  языке  </v>
      </c>
    </row>
    <row r="851" spans="1:8" ht="51" x14ac:dyDescent="0.2">
      <c r="A851" s="31" t="s">
        <v>1879</v>
      </c>
      <c r="B851" s="8" t="s">
        <v>1880</v>
      </c>
      <c r="C851" s="27"/>
      <c r="D851" s="33" t="s">
        <v>14</v>
      </c>
      <c r="E851" s="34">
        <v>2</v>
      </c>
      <c r="F851" s="36">
        <v>0.06</v>
      </c>
      <c r="G851" s="10">
        <v>372682</v>
      </c>
      <c r="H851" s="30" t="str">
        <f ca="1">IFERROR(__xludf.DUMMYFUNCTION("LOWER(REGEXREPLACE(B851&amp;"" ""&amp;C851,""[^а-яa-z0-9 ]"","" ""))")," instein  датчик вращательного движения    otary  otion без  endulum         148   иапазон     360    очность     0 125    азрешение  12 бит   0 062  ")</f>
        <v xml:space="preserve"> instein  датчик вращательного движения    otary  otion без  endulum         148   иапазон     360    очность     0 125    азрешение  12 бит   0 062  </v>
      </c>
    </row>
    <row r="852" spans="1:8" ht="12.75" x14ac:dyDescent="0.2">
      <c r="A852" s="31" t="s">
        <v>1881</v>
      </c>
      <c r="B852" s="27" t="s">
        <v>1882</v>
      </c>
      <c r="C852" s="27"/>
      <c r="D852" s="33" t="s">
        <v>14</v>
      </c>
      <c r="E852" s="9"/>
      <c r="F852" s="32"/>
      <c r="G852" s="10"/>
      <c r="H852" s="30" t="str">
        <f ca="1">IFERROR(__xludf.DUMMYFUNCTION("LOWER(REGEXREPLACE(B852&amp;"" ""&amp;C852,""[^а-яa-z0-9 ]"","" ""))")," атчик фотозатвор ")</f>
        <v xml:space="preserve"> атчик фотозатвор </v>
      </c>
    </row>
    <row r="853" spans="1:8" ht="51" x14ac:dyDescent="0.2">
      <c r="A853" s="31" t="s">
        <v>1883</v>
      </c>
      <c r="B853" s="27" t="s">
        <v>1884</v>
      </c>
      <c r="C853" s="27"/>
      <c r="D853" s="33" t="s">
        <v>14</v>
      </c>
      <c r="E853" s="9"/>
      <c r="F853" s="32"/>
      <c r="G853" s="10">
        <v>94704</v>
      </c>
      <c r="H853" s="30" t="str">
        <f ca="1">IFERROR(__xludf.DUMMYFUNCTION("LOWER(REGEXREPLACE(B853&amp;"" ""&amp;C853,""[^а-яa-z0-9 ]"","" ""))")," атчик фотозатвор беспроводной  o  irect           нфракрасный источник  ик при 880 нм   ирина ворот 77 5 мм   азделение внутренних ворот 20 мм ")</f>
        <v xml:space="preserve"> атчик фотозатвор беспроводной  o  irect           нфракрасный источник  ик при 880 нм   ирина ворот 77 5 мм   азделение внутренних ворот 20 мм </v>
      </c>
    </row>
    <row r="854" spans="1:8" ht="102" x14ac:dyDescent="0.2">
      <c r="A854" s="31" t="s">
        <v>1885</v>
      </c>
      <c r="B854" s="8" t="s">
        <v>1886</v>
      </c>
      <c r="C854" s="27"/>
      <c r="D854" s="33" t="s">
        <v>14</v>
      </c>
      <c r="E854" s="9"/>
      <c r="F854" s="37">
        <v>0.14399999999999999</v>
      </c>
      <c r="G854" s="10">
        <v>149626</v>
      </c>
      <c r="H854" s="30" t="str">
        <f ca="1">IFERROR(__xludf.DUMMYFUNCTION("LOWER(REGEXREPLACE(B854&amp;"" ""&amp;C854,""[^а-яa-z0-9 ]"","" ""))")," атчик фотозатвор беспроводной  ata arvest 1200   очность 1 мкс   лина волны 940нм   азделение ворот 0 025 м   увствительность приемника         90 д м      соединительный провод  соединительный кабель  монтажный стержень     сбора и обработки данных  asy"&amp;"sense2 на трех языках  каз   рус   англ  языке  ")</f>
        <v xml:space="preserve"> атчик фотозатвор беспроводной  ata arvest 1200   очность 1 мкс   лина волны 940нм   азделение ворот 0 025 м   увствительность приемника         90 д м      соединительный провод  соединительный кабель  монтажный стержень     сбора и обработки данных  asysense2 на трех языках  каз   рус   англ  языке  </v>
      </c>
    </row>
    <row r="855" spans="1:8" ht="51" x14ac:dyDescent="0.2">
      <c r="A855" s="31" t="s">
        <v>1887</v>
      </c>
      <c r="B855" s="8" t="s">
        <v>1888</v>
      </c>
      <c r="C855" s="27"/>
      <c r="D855" s="33" t="s">
        <v>14</v>
      </c>
      <c r="E855" s="34">
        <v>2</v>
      </c>
      <c r="F855" s="36">
        <v>0.06</v>
      </c>
      <c r="G855" s="10">
        <v>117231</v>
      </c>
      <c r="H855" s="30" t="str">
        <f ca="1">IFERROR(__xludf.DUMMYFUNCTION("LOWER(REGEXREPLACE(B855&amp;"" ""&amp;C855,""[^а-яa-z0-9 ]"","" ""))")," instein   мный шкиф  фотозатвор        122   иапазон  от 0 до 99 м с   очность  0 05 м с   азрешение  12 бит   0 024 м с ")</f>
        <v xml:space="preserve"> instein   мный шкиф  фотозатвор        122   иапазон  от 0 до 99 м с   очность  0 05 м с   азрешение  12 бит   0 024 м с </v>
      </c>
    </row>
    <row r="856" spans="1:8" ht="51" x14ac:dyDescent="0.2">
      <c r="A856" s="31" t="s">
        <v>1889</v>
      </c>
      <c r="B856" s="8" t="s">
        <v>1890</v>
      </c>
      <c r="C856" s="27"/>
      <c r="D856" s="33" t="s">
        <v>14</v>
      </c>
      <c r="E856" s="34">
        <v>2</v>
      </c>
      <c r="F856" s="35">
        <v>0.1</v>
      </c>
      <c r="G856" s="10">
        <v>60873</v>
      </c>
      <c r="H856" s="30" t="str">
        <f ca="1">IFERROR(__xludf.DUMMYFUNCTION("LOWER(REGEXREPLACE(B856&amp;"" ""&amp;C856,""[^а-яa-z0-9 ]"","" ""))")," нешний датчик фотозатвора  lobisense   ремя подъема спада  1 мс   ирина ворот  76 6 мм   сточник света  инфракрасный   ндикатор  зеленый светодиод ")</f>
        <v xml:space="preserve"> нешний датчик фотозатвора  lobisense   ремя подъема спада  1 мс   ирина ворот  76 6 мм   сточник света  инфракрасный   ндикатор  зеленый светодиод </v>
      </c>
    </row>
    <row r="857" spans="1:8" ht="51" x14ac:dyDescent="0.2">
      <c r="A857" s="31" t="s">
        <v>1891</v>
      </c>
      <c r="B857" s="8" t="s">
        <v>1892</v>
      </c>
      <c r="C857" s="27"/>
      <c r="D857" s="33" t="s">
        <v>14</v>
      </c>
      <c r="E857" s="34">
        <v>2</v>
      </c>
      <c r="F857" s="37">
        <v>0.14499999999999999</v>
      </c>
      <c r="G857" s="10">
        <v>124506</v>
      </c>
      <c r="H857" s="30" t="str">
        <f ca="1">IFERROR(__xludf.DUMMYFUNCTION("LOWER(REGEXREPLACE(B857&amp;"" ""&amp;C857,""[^а-яa-z0-9 ]"","" ""))")," атчик фотозатвор беспроводной типа  hywe  obra      sense  hotogate 12909 00   азрешение  0 01 мс   астота измерений  1000  ц ")</f>
        <v xml:space="preserve"> атчик фотозатвор беспроводной типа  hywe  obra      sense  hotogate 12909 00   азрешение  0 01 мс   астота измерений  1000  ц </v>
      </c>
    </row>
    <row r="858" spans="1:8" ht="25.5" x14ac:dyDescent="0.2">
      <c r="A858" s="31" t="s">
        <v>1893</v>
      </c>
      <c r="B858" s="8" t="s">
        <v>1894</v>
      </c>
      <c r="C858" s="27"/>
      <c r="D858" s="33" t="s">
        <v>14</v>
      </c>
      <c r="E858" s="34">
        <v>2</v>
      </c>
      <c r="F858" s="36">
        <v>0.21</v>
      </c>
      <c r="G858" s="10">
        <v>103275</v>
      </c>
      <c r="H858" s="30" t="str">
        <f ca="1">IFERROR(__xludf.DUMMYFUNCTION("LOWER(REGEXREPLACE(B858&amp;"" ""&amp;C858,""[^а-яa-z0-9 ]"","" ""))")," атчик фотозатвор беспроводной типа  cience ube    120     иапозон      5 м  ")</f>
        <v xml:space="preserve"> атчик фотозатвор беспроводной типа  cience ube    120     иапозон      5 м  </v>
      </c>
    </row>
    <row r="859" spans="1:8" ht="25.5" x14ac:dyDescent="0.2">
      <c r="A859" s="31" t="s">
        <v>1895</v>
      </c>
      <c r="B859" s="8" t="s">
        <v>1896</v>
      </c>
      <c r="C859" s="27"/>
      <c r="D859" s="33" t="s">
        <v>14</v>
      </c>
      <c r="E859" s="34">
        <v>2</v>
      </c>
      <c r="F859" s="36">
        <v>0.13</v>
      </c>
      <c r="G859" s="10">
        <v>21853</v>
      </c>
      <c r="H859" s="30" t="str">
        <f ca="1">IFERROR(__xludf.DUMMYFUNCTION("LOWER(REGEXREPLACE(B859&amp;"" ""&amp;C859,""[^а-яa-z0-9 ]"","" ""))")," атчик фотозатвора  типа  ense disc  0016   очность     1 мкс   азрешение  1 мкс ")</f>
        <v xml:space="preserve"> атчик фотозатвора  типа  ense disc  0016   очность     1 мкс   азрешение  1 мкс </v>
      </c>
    </row>
    <row r="860" spans="1:8" ht="76.5" x14ac:dyDescent="0.2">
      <c r="A860" s="31" t="s">
        <v>1897</v>
      </c>
      <c r="B860" s="8" t="s">
        <v>1898</v>
      </c>
      <c r="C860" s="27"/>
      <c r="D860" s="33" t="s">
        <v>14</v>
      </c>
      <c r="E860" s="34">
        <v>2</v>
      </c>
      <c r="F860" s="35">
        <v>0.1</v>
      </c>
      <c r="G860" s="10">
        <v>82672</v>
      </c>
      <c r="H860" s="30" t="str">
        <f ca="1">IFERROR(__xludf.DUMMYFUNCTION("LOWER(REGEXREPLACE(B860&amp;"" ""&amp;C860,""[^а-яa-z0-9 ]"","" ""))")," атчик фотозатвор типа  icro ab  lab photogate   меется соосно светодиод  с длиной волны 940 нм и малым конусом излучения и фотодиод  светодиод для контроля срабатывания устройства   ыстродействие составляет 0 1 мс ")</f>
        <v xml:space="preserve"> атчик фотозатвор типа  icro ab  lab photogate   меется соосно светодиод  с длиной волны 940 нм и малым конусом излучения и фотодиод  светодиод для контроля срабатывания устройства   ыстродействие составляет 0 1 мс </v>
      </c>
    </row>
    <row r="861" spans="1:8" ht="63.75" x14ac:dyDescent="0.2">
      <c r="A861" s="31" t="s">
        <v>1899</v>
      </c>
      <c r="B861" s="8" t="s">
        <v>1900</v>
      </c>
      <c r="C861" s="27"/>
      <c r="D861" s="33" t="s">
        <v>14</v>
      </c>
      <c r="E861" s="34">
        <v>2</v>
      </c>
      <c r="F861" s="35">
        <v>0.3</v>
      </c>
      <c r="G861" s="10">
        <v>52457</v>
      </c>
      <c r="H861" s="30" t="str">
        <f ca="1">IFERROR(__xludf.DUMMYFUNCTION("LOWER(REGEXREPLACE(B861&amp;"" ""&amp;C861,""[^а-яa-z0-9 ]"","" ""))")," отодатчик для регистрации времени движения и частоты вращения состоит из фотоэлемента  2 шт   шкива  2 шт   штрих пластины  2 шт   источника инфракрасного излучения  1 шт    увствительность спектра  500   1050nm ")</f>
        <v xml:space="preserve"> отодатчик для регистрации времени движения и частоты вращения состоит из фотоэлемента  2 шт   шкива  2 шт   штрих пластины  2 шт   источника инфракрасного излучения  1 шт    увствительность спектра  500   1050nm </v>
      </c>
    </row>
    <row r="862" spans="1:8" ht="12.75" x14ac:dyDescent="0.2">
      <c r="A862" s="31" t="s">
        <v>1901</v>
      </c>
      <c r="B862" s="27" t="s">
        <v>1902</v>
      </c>
      <c r="C862" s="27"/>
      <c r="D862" s="33" t="s">
        <v>68</v>
      </c>
      <c r="E862" s="9"/>
      <c r="F862" s="32"/>
      <c r="G862" s="10"/>
      <c r="H862" s="30" t="str">
        <f ca="1">IFERROR(__xludf.DUMMYFUNCTION("LOWER(REGEXREPLACE(B862&amp;"" ""&amp;C862,""[^а-яa-z0-9 ]"","" ""))")," инамическая система ")</f>
        <v xml:space="preserve"> инамическая система </v>
      </c>
    </row>
    <row r="863" spans="1:8" ht="102" x14ac:dyDescent="0.2">
      <c r="A863" s="31" t="s">
        <v>1903</v>
      </c>
      <c r="B863" s="27" t="s">
        <v>1904</v>
      </c>
      <c r="C863" s="27" t="s">
        <v>1905</v>
      </c>
      <c r="D863" s="33" t="s">
        <v>68</v>
      </c>
      <c r="E863" s="34">
        <v>2</v>
      </c>
      <c r="F863" s="36">
        <v>0.13</v>
      </c>
      <c r="G863" s="10">
        <v>813182</v>
      </c>
      <c r="H863" s="30" t="str">
        <f ca="1">IFERROR(__xludf.DUMMYFUNCTION("LOWER(REGEXREPLACE(B863&amp;"" ""&amp;C863,""[^а-яa-z0-9 ]"","" ""))")," инамическая система для работы с беспроводными датчиками  ata arvest 1500     ривая      от 200 до 4000 мк    азрешение  1 мк    амая высокая скорость регистрации 500 мкс  2 к ц  2 самовыравнивающихся ножки  mart  ynamics 2 магнитных концевых упора  mart"&amp;"  ynamics 2 магнитных держателя  mart  ynamics 4 х стальная масса 1 х тележка  ynamics белого цвета 1 x корзина  ynamics  lue 1 х беспроводной динамический трек 1 2 м 1 х мини     кабель 1 x  ynamics  et  умка с застежками и креплениями  рограммное обеспе"&amp;"чение сбора и обработки данных  asysense2 на трех языках  каз   рус   англ  языке   етодические пособия ")</f>
        <v xml:space="preserve"> инамическая система для работы с беспроводными датчиками  ata arvest 1500     ривая      от 200 до 4000 мк    азрешение  1 мк    амая высокая скорость регистрации 500 мкс  2 к ц  2 самовыравнивающихся ножки  mart  ynamics 2 магнитных концевых упора  mart  ynamics 2 магнитных держателя  mart  ynamics 4 х стальная масса 1 х тележка  ynamics белого цвета 1 x корзина  ynamics  lue 1 х беспроводной динамический трек 1 2 м 1 х мини     кабель 1 x  ynamics  et  умка с застежками и креплениями  рограммное обеспечение сбора и обработки данных  asysense2 на трех языках  каз   рус   англ  языке   етодические пособия </v>
      </c>
    </row>
    <row r="864" spans="1:8" ht="127.5" x14ac:dyDescent="0.2">
      <c r="A864" s="31" t="s">
        <v>1906</v>
      </c>
      <c r="B864" s="27" t="s">
        <v>1907</v>
      </c>
      <c r="C864" s="27" t="s">
        <v>1908</v>
      </c>
      <c r="D864" s="33" t="s">
        <v>68</v>
      </c>
      <c r="E864" s="34">
        <v>2</v>
      </c>
      <c r="F864" s="36">
        <v>2.75</v>
      </c>
      <c r="G864" s="10">
        <v>1090934</v>
      </c>
      <c r="H864" s="30" t="str">
        <f ca="1">IFERROR(__xludf.DUMMYFUNCTION("LOWER(REGEXREPLACE(B864&amp;"" ""&amp;C864,""[^а-яa-z0-9 ]"","" ""))")," инамическая система для работы с датчиками типа  obra  igi art  et 12940 77  ерез встроенные датчики измеряются следующие параметры   атчик  илы   иапазон измерений  10     50    азрешение  0 01     0 03    астота измерений  1000  ц   5000  ц  атчик скор"&amp;"ости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дорожка"&amp;"  длина 1 2 м  ележка 2шт  с низким коэффициентом трения для точных измерений  еобходимые принадлежности для проведения 8 экспериментов")</f>
        <v xml:space="preserve"> инамическая система для работы с датчиками типа  obra  igi art  et 12940 77  ерез встроенные датчики измеряются следующие параметры   атчик  илы   иапазон измерений  10     50    азрешение  0 01     0 03    астота измерений  1000  ц   5000  ц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  длина 1 2 м  ележка 2шт  с низким коэффициентом трения для точных измерений  еобходимые принадлежности для проведения 8 экспериментов</v>
      </c>
    </row>
    <row r="865" spans="1:8" ht="165.75" x14ac:dyDescent="0.2">
      <c r="A865" s="31" t="s">
        <v>1909</v>
      </c>
      <c r="B865" s="27" t="s">
        <v>1910</v>
      </c>
      <c r="C865" s="27" t="s">
        <v>1911</v>
      </c>
      <c r="D865" s="33" t="s">
        <v>68</v>
      </c>
      <c r="E865" s="34">
        <v>2</v>
      </c>
      <c r="F865" s="35">
        <v>4.0999999999999996</v>
      </c>
      <c r="G865" s="10">
        <v>260404</v>
      </c>
      <c r="H865" s="30" t="str">
        <f ca="1">IFERROR(__xludf.DUMMYFUNCTION("LOWER(REGEXREPLACE(B865&amp;"" ""&amp;C865,""[^а-яa-z0-9 ]"","" ""))")," инамическая система типа  cience ube     500  омплектация   рек 1 2 м   1 шт   диночный ограничитель конца   1 шт   войной ограничитель конца   1 шт   егулируемый ограничитель конца   1 шт   ележка с поршнем с двумя магнитами и пенными вставками для вклю"&amp;"ченных концевых крышек   1 шт   тандартная тележка с двумя магнитами и пенными вставками для включенных концевых крышек   1 шт   ронштейн фотоэлектрического ворота   2 шт   ронштейн шкива   1 шт   асса 500 г   1 шт   ажим для стержня   1 шт   репеж   1 на"&amp;"бор  ини гаечный ключ   1 шт ")</f>
        <v xml:space="preserve"> инамическая система типа  cience ube     500  омплектация   рек 1 2 м   1 шт   диночный ограничитель конца   1 шт   войной ограничитель конца   1 шт   егулируемый ограничитель конца   1 шт   ележка с поршнем с двумя магнитами и пенными вставками для включенных концевых крышек   1 шт   тандартная тележка с двумя магнитами и пенными вставками для включенных концевых крышек   1 шт   ронштейн фотоэлектрического ворота   2 шт   ронштейн шкива   1 шт   асса 500 г   1 шт   ажим для стержня   1 шт   репеж   1 набор  ини гаечный ключ   1 шт </v>
      </c>
    </row>
    <row r="866" spans="1:8" ht="153" x14ac:dyDescent="0.2">
      <c r="A866" s="31" t="s">
        <v>1912</v>
      </c>
      <c r="B866" s="27" t="s">
        <v>1913</v>
      </c>
      <c r="C866" s="27" t="s">
        <v>1914</v>
      </c>
      <c r="D866" s="33" t="s">
        <v>68</v>
      </c>
      <c r="E866" s="34">
        <v>2</v>
      </c>
      <c r="F866" s="35">
        <v>9.1999999999999993</v>
      </c>
      <c r="G866" s="10">
        <v>1528821</v>
      </c>
      <c r="H866" s="30" t="str">
        <f ca="1">IFERROR(__xludf.DUMMYFUNCTION("LOWER(REGEXREPLACE(B866&amp;"" ""&amp;C866,""[^а-яa-z0-9 ]"","" ""))")," инамическая система расширенная для работы с датчиками типа  obra  igi art  et 12940 88  ерез встроенные датчики измеряются следующие параметры   атчик  илы   иапазон измерений  10     50    азрешение  0 01     0 03    астота измерений  1000  ц   5000  ц"&amp;"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вы"&amp;"соте дорожка  длина 1 2 м  ележка 2шт  с низким коэффициентом трения для точных измерений  ибрационный двигатель  лектромагнитное пусковое устройство  еобходимые принадлежности для проведения 8 экспериментов")</f>
        <v xml:space="preserve"> инамическая система расширенная для работы с датчиками типа  obra  igi art  et 12940 88  ерез встроенные датчики измеряются следующие параметры   атчик  илы   иапазон измерений  10     50    азрешение  0 01     0 03    астота измерений  1000  ц   5000  ц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  длина 1 2 м  ележка 2шт  с низким коэффициентом трения для точных измерений  ибрационный двигатель  лектромагнитное пусковое устройство  еобходимые принадлежности для проведения 8 экспериментов</v>
      </c>
    </row>
    <row r="867" spans="1:8" ht="38.25" x14ac:dyDescent="0.2">
      <c r="A867" s="31" t="s">
        <v>1915</v>
      </c>
      <c r="B867" s="27" t="s">
        <v>1916</v>
      </c>
      <c r="C867" s="27"/>
      <c r="D867" s="33" t="s">
        <v>68</v>
      </c>
      <c r="E867" s="34">
        <v>2</v>
      </c>
      <c r="F867" s="35">
        <v>0.5</v>
      </c>
      <c r="G867" s="10">
        <v>153420</v>
      </c>
      <c r="H867" s="30" t="str">
        <f ca="1">IFERROR(__xludf.DUMMYFUNCTION("LOWER(REGEXREPLACE(B867&amp;"" ""&amp;C867,""[^а-яa-z0-9 ]"","" ""))")," инамическая система для работы с датчиками типа  icro ab  lab dynamickit   остоит из скамьи длиною 1 2 м и двух пластиковых тележек ")</f>
        <v xml:space="preserve"> инамическая система для работы с датчиками типа  icro ab  lab dynamickit   остоит из скамьи длиною 1 2 м и двух пластиковых тележек </v>
      </c>
    </row>
    <row r="868" spans="1:8" ht="165.75" x14ac:dyDescent="0.2">
      <c r="A868" s="31" t="s">
        <v>1917</v>
      </c>
      <c r="B868" s="27" t="s">
        <v>1918</v>
      </c>
      <c r="C868" s="27" t="s">
        <v>1919</v>
      </c>
      <c r="D868" s="33" t="s">
        <v>68</v>
      </c>
      <c r="E868" s="34">
        <v>2</v>
      </c>
      <c r="F868" s="35">
        <v>4.5</v>
      </c>
      <c r="G868" s="10">
        <v>413689</v>
      </c>
      <c r="H868" s="30" t="str">
        <f ca="1">IFERROR(__xludf.DUMMYFUNCTION("LOWER(REGEXREPLACE(B868&amp;"" ""&amp;C868,""[^а-яa-z0-9 ]"","" ""))")," инамическая система типа  instein   072   омплектация  1   орожка длиной 1 2 м 2   тандартная тележка с двумя неодимовыми магнитами внутри 3  тандартная тележка с двумя неодимовыми магнитами внутри 4   онцевой упор для одной ножки 5   егулируемый концево"&amp;"й упор 6   ольцо столкновения 7   ополнительный вес 50 г 4шт  8   ва кронштейна для фотодатчиков и датчиков расстояния 9   ержатель кронштейна 10   кив 11   лаги световой барьер 12   ержатель флага перпендикулярный")</f>
        <v xml:space="preserve"> инамическая система типа  instein   072   омплектация  1   орожка длиной 1 2 м 2   тандартная тележка с двумя неодимовыми магнитами внутри 3  тандартная тележка с двумя неодимовыми магнитами внутри 4   онцевой упор для одной ножки 5   егулируемый концевой упор 6   ольцо столкновения 7   ополнительный вес 50 г 4шт  8   ва кронштейна для фотодатчиков и датчиков расстояния 9   ержатель кронштейна 10   кив 11   лаги световой барьер 12   ержатель флага перпендикулярный</v>
      </c>
    </row>
    <row r="869" spans="1:8" ht="12.75" x14ac:dyDescent="0.2">
      <c r="A869" s="31" t="s">
        <v>1920</v>
      </c>
      <c r="B869" s="27" t="s">
        <v>1921</v>
      </c>
      <c r="C869" s="27"/>
      <c r="D869" s="33" t="s">
        <v>14</v>
      </c>
      <c r="E869" s="9"/>
      <c r="F869" s="32"/>
      <c r="G869" s="10"/>
      <c r="H869" s="30" t="str">
        <f ca="1">IFERROR(__xludf.DUMMYFUNCTION("LOWER(REGEXREPLACE(B869&amp;"" ""&amp;C869,""[^а-яa-z0-9 ]"","" ""))")," атчик звука ")</f>
        <v xml:space="preserve"> атчик звука </v>
      </c>
    </row>
    <row r="870" spans="1:8" ht="89.25" x14ac:dyDescent="0.2">
      <c r="A870" s="31" t="s">
        <v>1922</v>
      </c>
      <c r="B870" s="8" t="s">
        <v>1923</v>
      </c>
      <c r="C870" s="27"/>
      <c r="D870" s="33" t="s">
        <v>14</v>
      </c>
      <c r="E870" s="9"/>
      <c r="F870" s="37">
        <v>7.6999999999999999E-2</v>
      </c>
      <c r="G870" s="10">
        <v>156651</v>
      </c>
      <c r="H870" s="30" t="str">
        <f ca="1">IFERROR(__xludf.DUMMYFUNCTION("LOWER(REGEXREPLACE(B870&amp;"" ""&amp;C870,""[^а-яa-z0-9 ]"","" ""))")," атчик звука беспроводной  ata arvest 1145   ровень звука в 2 диапазонах   1  от 40 до 110 д   и  2  от 40 до 110 д     орма звуковой волны в 2 диапазонах   1   25 м    2   100 м       соединительный провод     сбора и обработки данных  asysense2 на трех "&amp;"языках  каз   рус   англ  языке  ")</f>
        <v xml:space="preserve"> атчик звука беспроводной  ata arvest 1145   ровень звука в 2 диапазонах   1  от 40 до 110 д   и  2  от 40 до 110 д     орма звуковой волны в 2 диапазонах   1   25 м    2   100 м       соединительный провод     сбора и обработки данных  asysense2 на трех языках  каз   рус   англ  языке  </v>
      </c>
    </row>
    <row r="871" spans="1:8" ht="38.25" x14ac:dyDescent="0.2">
      <c r="A871" s="31" t="s">
        <v>1924</v>
      </c>
      <c r="B871" s="8" t="s">
        <v>1925</v>
      </c>
      <c r="C871" s="27"/>
      <c r="D871" s="33" t="s">
        <v>14</v>
      </c>
      <c r="E871" s="34">
        <v>2</v>
      </c>
      <c r="F871" s="36">
        <v>0.06</v>
      </c>
      <c r="G871" s="10">
        <v>119141</v>
      </c>
      <c r="H871" s="30" t="str">
        <f ca="1">IFERROR(__xludf.DUMMYFUNCTION("LOWER(REGEXREPLACE(B871&amp;"" ""&amp;C871,""[^а-яa-z0-9 ]"","" ""))")," instein   икрофон      008   астотный диапазон  от 35 до 10 000  ц   иапазон   2 5     азрешение  12 бит   1 22 м  ")</f>
        <v xml:space="preserve"> instein   икрофон      008   астотный диапазон  от 35 до 10 000  ц   иапазон   2 5     азрешение  12 бит   1 22 м  </v>
      </c>
    </row>
    <row r="872" spans="1:8" ht="51" x14ac:dyDescent="0.2">
      <c r="A872" s="31" t="s">
        <v>1926</v>
      </c>
      <c r="B872" s="27" t="s">
        <v>1927</v>
      </c>
      <c r="C872" s="27"/>
      <c r="D872" s="33" t="s">
        <v>14</v>
      </c>
      <c r="E872" s="34">
        <v>2</v>
      </c>
      <c r="F872" s="36">
        <v>0.06</v>
      </c>
      <c r="G872" s="10">
        <v>134560</v>
      </c>
      <c r="H872" s="30" t="str">
        <f ca="1">IFERROR(__xludf.DUMMYFUNCTION("LOWER(REGEXREPLACE(B872&amp;"" ""&amp;C872,""[^а-яa-z0-9 ]"","" ""))")," instein   атчик звука      320   иапазон  от 45 до 80 д   от 65 до 110 д    огрешность  при 23 5      3 д    ремя отклика  20 мс   астота  от 31 5 до 8 000  ц ")</f>
        <v xml:space="preserve"> instein   атчик звука      320   иапазон  от 45 до 80 д   от 65 до 110 д    огрешность  при 23 5      3 д    ремя отклика  20 мс   астота  от 31 5 до 8 000  ц </v>
      </c>
    </row>
    <row r="873" spans="1:8" ht="38.25" x14ac:dyDescent="0.2">
      <c r="A873" s="31" t="s">
        <v>1928</v>
      </c>
      <c r="B873" s="27" t="s">
        <v>1929</v>
      </c>
      <c r="C873" s="27"/>
      <c r="D873" s="33" t="s">
        <v>14</v>
      </c>
      <c r="E873" s="34">
        <v>2</v>
      </c>
      <c r="F873" s="36">
        <v>0.18</v>
      </c>
      <c r="G873" s="10">
        <v>133907</v>
      </c>
      <c r="H873" s="30" t="str">
        <f ca="1">IFERROR(__xludf.DUMMYFUNCTION("LOWER(REGEXREPLACE(B873&amp;"" ""&amp;C873,""[^а-яa-z0-9 ]"","" ""))")," атчик звука беспроводной  hywe  obra      sense    ound 12939 00   иапазон  55 110 д       азрешение  0 1 д     ")</f>
        <v xml:space="preserve"> атчик звука беспроводной  hywe  obra      sense    ound 12939 00   иапазон  55 110 д       азрешение  0 1 д     </v>
      </c>
    </row>
    <row r="874" spans="1:8" ht="38.25" x14ac:dyDescent="0.2">
      <c r="A874" s="31" t="s">
        <v>1930</v>
      </c>
      <c r="B874" s="27" t="s">
        <v>1931</v>
      </c>
      <c r="C874" s="27"/>
      <c r="D874" s="33" t="s">
        <v>14</v>
      </c>
      <c r="E874" s="34">
        <v>2</v>
      </c>
      <c r="F874" s="36">
        <v>0.18</v>
      </c>
      <c r="G874" s="10">
        <v>117357</v>
      </c>
      <c r="H874" s="30" t="str">
        <f ca="1">IFERROR(__xludf.DUMMYFUNCTION("LOWER(REGEXREPLACE(B874&amp;"" ""&amp;C874,""[^а-яa-z0-9 ]"","" ""))")," атчик звука беспроводной типа  cience ube    124    иапазон  от 40 д  до 130 д    очность  0 1 д  ")</f>
        <v xml:space="preserve"> атчик звука беспроводной типа  cience ube    124    иапазон  от 40 д  до 130 д    очность  0 1 д  </v>
      </c>
    </row>
    <row r="875" spans="1:8" ht="25.5" x14ac:dyDescent="0.2">
      <c r="A875" s="31" t="s">
        <v>1932</v>
      </c>
      <c r="B875" s="27" t="s">
        <v>1933</v>
      </c>
      <c r="C875" s="27"/>
      <c r="D875" s="33" t="s">
        <v>14</v>
      </c>
      <c r="E875" s="34">
        <v>2</v>
      </c>
      <c r="F875" s="36">
        <v>0.11</v>
      </c>
      <c r="G875" s="10">
        <v>21853</v>
      </c>
      <c r="H875" s="30" t="str">
        <f ca="1">IFERROR(__xludf.DUMMYFUNCTION("LOWER(REGEXREPLACE(B875&amp;"" ""&amp;C875,""[^а-яa-z0-9 ]"","" ""))")," атчик звука типа  ense disc  0021   иапазон  40 92 д    очность     4 д    азрешение  0 1 д  ")</f>
        <v xml:space="preserve"> атчик звука типа  ense disc  0021   иапазон  40 92 д    очность     4 д    азрешение  0 1 д  </v>
      </c>
    </row>
    <row r="876" spans="1:8" ht="25.5" x14ac:dyDescent="0.2">
      <c r="A876" s="31" t="s">
        <v>1934</v>
      </c>
      <c r="B876" s="27" t="s">
        <v>1935</v>
      </c>
      <c r="C876" s="27"/>
      <c r="D876" s="33" t="s">
        <v>14</v>
      </c>
      <c r="E876" s="34">
        <v>2</v>
      </c>
      <c r="F876" s="36">
        <v>0.12</v>
      </c>
      <c r="G876" s="10">
        <v>24281</v>
      </c>
      <c r="H876" s="30" t="str">
        <f ca="1">IFERROR(__xludf.DUMMYFUNCTION("LOWER(REGEXREPLACE(B876&amp;"" ""&amp;C876,""[^а-яa-z0-9 ]"","" ""))")," атчик микрофон  ense disc  0034   иапазон  100  ц 15 к ц ")</f>
        <v xml:space="preserve"> атчик микрофон  ense disc  0034   иапазон  100  ц 15 к ц </v>
      </c>
    </row>
    <row r="877" spans="1:8" ht="51" x14ac:dyDescent="0.2">
      <c r="A877" s="31" t="s">
        <v>1936</v>
      </c>
      <c r="B877" s="27" t="s">
        <v>1937</v>
      </c>
      <c r="C877" s="27"/>
      <c r="D877" s="33" t="s">
        <v>14</v>
      </c>
      <c r="E877" s="34">
        <v>2</v>
      </c>
      <c r="F877" s="35">
        <v>0.1</v>
      </c>
      <c r="G877" s="10">
        <v>55037</v>
      </c>
      <c r="H877" s="30" t="str">
        <f ca="1">IFERROR(__xludf.DUMMYFUNCTION("LOWER(REGEXREPLACE(B877&amp;"" ""&amp;C877,""[^а-яa-z0-9 ]"","" ""))")," атчик звука типа  icro ab  lab sound   изкое энергопотребление  185 мк  в режиме малой мощности   асширенная частотная характеристика от 36  ц до 20 к ц ")</f>
        <v xml:space="preserve"> атчик звука типа  icro ab  lab sound   изкое энергопотребление  185 мк  в режиме малой мощности   асширенная частотная характеристика от 36  ц до 20 к ц </v>
      </c>
    </row>
    <row r="878" spans="1:8" ht="25.5" x14ac:dyDescent="0.2">
      <c r="A878" s="31" t="s">
        <v>1938</v>
      </c>
      <c r="B878" s="8" t="s">
        <v>1939</v>
      </c>
      <c r="C878" s="27"/>
      <c r="D878" s="33" t="s">
        <v>14</v>
      </c>
      <c r="E878" s="34">
        <v>2</v>
      </c>
      <c r="F878" s="35">
        <v>0.3</v>
      </c>
      <c r="G878" s="10">
        <v>47212</v>
      </c>
      <c r="H878" s="30" t="str">
        <f ca="1">IFERROR(__xludf.DUMMYFUNCTION("LOWER(REGEXREPLACE(B878&amp;"" ""&amp;C878,""[^а-яa-z0-9 ]"","" ""))")," атчик микрофон   иапазон измерения  35  ц   10000  ц ")</f>
        <v xml:space="preserve"> атчик микрофон   иапазон измерения  35  ц   10000  ц </v>
      </c>
    </row>
    <row r="879" spans="1:8" ht="12.75" x14ac:dyDescent="0.2">
      <c r="A879" s="31" t="s">
        <v>1940</v>
      </c>
      <c r="B879" s="27" t="s">
        <v>1941</v>
      </c>
      <c r="C879" s="27"/>
      <c r="D879" s="33" t="s">
        <v>14</v>
      </c>
      <c r="E879" s="9"/>
      <c r="F879" s="32"/>
      <c r="G879" s="10"/>
      <c r="H879" s="30" t="str">
        <f ca="1">IFERROR(__xludf.DUMMYFUNCTION("LOWER(REGEXREPLACE(B879&amp;"" ""&amp;C879,""[^а-яa-z0-9 ]"","" ""))")," атчик света и цвета ")</f>
        <v xml:space="preserve"> атчик света и цвета </v>
      </c>
    </row>
    <row r="880" spans="1:8" ht="89.25" x14ac:dyDescent="0.2">
      <c r="A880" s="31" t="s">
        <v>1942</v>
      </c>
      <c r="B880" s="27" t="s">
        <v>1943</v>
      </c>
      <c r="C880" s="27"/>
      <c r="D880" s="33" t="s">
        <v>14</v>
      </c>
      <c r="E880" s="9"/>
      <c r="F880" s="37">
        <v>6.8000000000000005E-2</v>
      </c>
      <c r="G880" s="10">
        <v>149626</v>
      </c>
      <c r="H880" s="30" t="str">
        <f ca="1">IFERROR(__xludf.DUMMYFUNCTION("LOWER(REGEXREPLACE(B880&amp;"" ""&amp;C880,""[^а-яa-z0-9 ]"","" ""))")," атчик света и цвета беспроводной  ata arvest 1160   кружающий свет  30 000 люкс и 200 000 люкс   рямой свет  4  люкс и 16  люкс медленный  1   10  и 100  люкс быстро      соединительный провод     сбора и обработки данных  asysense2 на трех языках  каз  "&amp;" рус   англ  языке  ")</f>
        <v xml:space="preserve"> атчик света и цвета беспроводной  ata arvest 1160   кружающий свет  30 000 люкс и 200 000 люкс   рямой свет  4  люкс и 16  люкс медленный  1   10  и 100  люкс быстро      соединительный провод     сбора и обработки данных  asysense2 на трех языках  каз   рус   англ  языке  </v>
      </c>
    </row>
    <row r="881" spans="1:8" ht="51" x14ac:dyDescent="0.2">
      <c r="A881" s="31" t="s">
        <v>1944</v>
      </c>
      <c r="B881" s="8" t="s">
        <v>1945</v>
      </c>
      <c r="C881" s="27"/>
      <c r="D881" s="33" t="s">
        <v>14</v>
      </c>
      <c r="E881" s="34">
        <v>2</v>
      </c>
      <c r="F881" s="36">
        <v>0.06</v>
      </c>
      <c r="G881" s="10">
        <v>109987</v>
      </c>
      <c r="H881" s="30" t="str">
        <f ca="1">IFERROR(__xludf.DUMMYFUNCTION("LOWER(REGEXREPLACE(B881&amp;"" ""&amp;C881,""[^а-яa-z0-9 ]"","" ""))")," instein   атчик света и цвета        185   оэффициент пропускания  20    90    очность  10    азрешение  12 бит   0 03   ")</f>
        <v xml:space="preserve"> instein   атчик света и цвета        185   оэффициент пропускания  20    90    очность  10    азрешение  12 бит   0 03   </v>
      </c>
    </row>
    <row r="882" spans="1:8" ht="63.75" x14ac:dyDescent="0.2">
      <c r="A882" s="31" t="s">
        <v>1946</v>
      </c>
      <c r="B882" s="8" t="s">
        <v>1947</v>
      </c>
      <c r="C882" s="27"/>
      <c r="D882" s="33" t="s">
        <v>14</v>
      </c>
      <c r="E882" s="34">
        <v>2</v>
      </c>
      <c r="F882" s="36">
        <v>0.14000000000000001</v>
      </c>
      <c r="G882" s="10">
        <v>92177</v>
      </c>
      <c r="H882" s="30" t="str">
        <f ca="1">IFERROR(__xludf.DUMMYFUNCTION("LOWER(REGEXREPLACE(B882&amp;"" ""&amp;C882,""[^а-яa-z0-9 ]"","" ""))")," атчик света и цвета беспроводной типа  cience ube    112     иапазон  от 0 до 199000 лк  люкс    ветность  от 1 до 65 535 отсчетов      0   11    индекс   азрешение  0 1 люкс ")</f>
        <v xml:space="preserve"> атчик света и цвета беспроводной типа  cience ube    112     иапазон  от 0 до 199000 лк  люкс    ветность  от 1 до 65 535 отсчетов      0   11    индекс   азрешение  0 1 люкс </v>
      </c>
    </row>
    <row r="883" spans="1:8" ht="51" x14ac:dyDescent="0.2">
      <c r="A883" s="31" t="s">
        <v>1948</v>
      </c>
      <c r="B883" s="27" t="s">
        <v>1949</v>
      </c>
      <c r="C883" s="27"/>
      <c r="D883" s="33" t="s">
        <v>14</v>
      </c>
      <c r="E883" s="34">
        <v>2</v>
      </c>
      <c r="F883" s="35">
        <v>0.1</v>
      </c>
      <c r="G883" s="10">
        <v>57375</v>
      </c>
      <c r="H883" s="30" t="str">
        <f ca="1">IFERROR(__xludf.DUMMYFUNCTION("LOWER(REGEXREPLACE(B883&amp;"" ""&amp;C883,""[^а-яa-z0-9 ]"","" ""))")," атчик света и цвета типа  icro ab  lab lightcolor   змерение яркости до 60 000 люкс   инамический диапазаон контрастности цветов 16 7  1 ")</f>
        <v xml:space="preserve"> атчик света и цвета типа  icro ab  lab lightcolor   змерение яркости до 60 000 люкс   инамический диапазаон контрастности цветов 16 7  1 </v>
      </c>
    </row>
    <row r="884" spans="1:8" ht="12.75" x14ac:dyDescent="0.2">
      <c r="A884" s="31" t="s">
        <v>1950</v>
      </c>
      <c r="B884" s="27" t="s">
        <v>1951</v>
      </c>
      <c r="C884" s="27"/>
      <c r="D884" s="33" t="s">
        <v>14</v>
      </c>
      <c r="E884" s="9"/>
      <c r="F884" s="32"/>
      <c r="G884" s="10"/>
      <c r="H884" s="30" t="str">
        <f ca="1">IFERROR(__xludf.DUMMYFUNCTION("LOWER(REGEXREPLACE(B884&amp;"" ""&amp;C884,""[^а-яa-z0-9 ]"","" ""))")," атчик силы и ускорения ")</f>
        <v xml:space="preserve"> атчик силы и ускорения </v>
      </c>
    </row>
    <row r="885" spans="1:8" ht="89.25" x14ac:dyDescent="0.2">
      <c r="A885" s="31" t="s">
        <v>1952</v>
      </c>
      <c r="B885" s="8" t="s">
        <v>1953</v>
      </c>
      <c r="C885" s="27"/>
      <c r="D885" s="33" t="s">
        <v>14</v>
      </c>
      <c r="E885" s="9"/>
      <c r="F885" s="36">
        <v>0.17</v>
      </c>
      <c r="G885" s="10">
        <v>219884</v>
      </c>
      <c r="H885" s="30" t="str">
        <f ca="1">IFERROR(__xludf.DUMMYFUNCTION("LOWER(REGEXREPLACE(B885&amp;"" ""&amp;C885,""[^а-яa-z0-9 ]"","" ""))")," атчик силы и ускорения беспроводной  ata arvest 1120   гловое положение 360   0 1     гловая скорость  6 об с 0 001 об с   гловая скорость  40 рад с 0 001 рад с      соединение и зарядный кабель     сбора и обработки данных  asysense2 на трех языках  каз"&amp;"   рус   англ  языке  ")</f>
        <v xml:space="preserve"> атчик силы и ускорения беспроводной  ata arvest 1120   гловое положение 360   0 1     гловая скорость  6 об с 0 001 об с   гловая скорость  40 рад с 0 001 рад с      соединение и зарядный кабель     сбора и обработки данных  asysense2 на трех языках  каз   рус   англ  языке  </v>
      </c>
    </row>
    <row r="886" spans="1:8" ht="63.75" x14ac:dyDescent="0.2">
      <c r="A886" s="31" t="s">
        <v>1954</v>
      </c>
      <c r="B886" s="27" t="s">
        <v>1955</v>
      </c>
      <c r="C886" s="27"/>
      <c r="D886" s="33" t="s">
        <v>14</v>
      </c>
      <c r="E886" s="34">
        <v>2</v>
      </c>
      <c r="F886" s="36">
        <v>0.06</v>
      </c>
      <c r="G886" s="10">
        <v>163931</v>
      </c>
      <c r="H886" s="30" t="str">
        <f ca="1">IFERROR(__xludf.DUMMYFUNCTION("LOWER(REGEXREPLACE(B886&amp;"" ""&amp;C886,""[^а-яa-z0-9 ]"","" ""))")," instein  датчик ускорения      138   иапазон   6 г   49 м с     азрешение  12 бит   0 0025 г или 0 025 м с2   аксимальная частота дискретизации  100 выборок в секунду   очность    0 05 г  ")</f>
        <v xml:space="preserve"> instein  датчик ускорения      138   иапазон   6 г   49 м с     азрешение  12 бит   0 0025 г или 0 025 м с2   аксимальная частота дискретизации  100 выборок в секунду   очность    0 05 г  </v>
      </c>
    </row>
    <row r="887" spans="1:8" ht="63.75" x14ac:dyDescent="0.2">
      <c r="A887" s="31" t="s">
        <v>1956</v>
      </c>
      <c r="B887" s="27" t="s">
        <v>1957</v>
      </c>
      <c r="C887" s="27"/>
      <c r="D887" s="33" t="s">
        <v>14</v>
      </c>
      <c r="E887" s="34">
        <v>2</v>
      </c>
      <c r="F887" s="37">
        <v>0.14899999999999999</v>
      </c>
      <c r="G887" s="10">
        <v>192721</v>
      </c>
      <c r="H887" s="30" t="str">
        <f ca="1">IFERROR(__xludf.DUMMYFUNCTION("LOWER(REGEXREPLACE(B887&amp;"" ""&amp;C887,""[^а-яa-z0-9 ]"","" ""))")," атчик силы и ускорения беспроводной типа  hywe  obra      sense  orce    cceleration 12943 00   ила   иапазон     50     азрешение  30 м    скорение   иапазон     16 г   азрешение  0 01 г ")</f>
        <v xml:space="preserve"> атчик силы и ускорения беспроводной типа  hywe  obra      sense  orce    cceleration 12943 00   ила   иапазон     50     азрешение  30 м    скорение   иапазон     16 г   азрешение  0 01 г </v>
      </c>
    </row>
    <row r="888" spans="1:8" ht="51" x14ac:dyDescent="0.2">
      <c r="A888" s="31" t="s">
        <v>1958</v>
      </c>
      <c r="B888" s="8" t="s">
        <v>1959</v>
      </c>
      <c r="C888" s="27"/>
      <c r="D888" s="33" t="s">
        <v>14</v>
      </c>
      <c r="E888" s="34">
        <v>2</v>
      </c>
      <c r="F888" s="36">
        <v>0.15</v>
      </c>
      <c r="G888" s="10">
        <v>113958</v>
      </c>
      <c r="H888" s="30" t="str">
        <f ca="1">IFERROR(__xludf.DUMMYFUNCTION("LOWER(REGEXREPLACE(B888&amp;"" ""&amp;C888,""[^а-яa-z0-9 ]"","" ""))")," атчик силы и ускорения беспроводной типа  cience ube    105    иапазон силы  от  80 до  80     иапазон измерения ускорения  от   16 до   16м с2   азрешение  0 01  ьютон ")</f>
        <v xml:space="preserve"> атчик силы и ускорения беспроводной типа  cience ube    105    иапазон силы  от  80 до  80     иапазон измерения ускорения  от   16 до   16м с2   азрешение  0 01  ьютон </v>
      </c>
    </row>
    <row r="889" spans="1:8" ht="76.5" x14ac:dyDescent="0.2">
      <c r="A889" s="31" t="s">
        <v>1960</v>
      </c>
      <c r="B889" s="8" t="s">
        <v>1961</v>
      </c>
      <c r="C889" s="27"/>
      <c r="D889" s="33" t="s">
        <v>14</v>
      </c>
      <c r="E889" s="34">
        <v>2</v>
      </c>
      <c r="F889" s="35">
        <v>0.1</v>
      </c>
      <c r="G889" s="10">
        <v>57375</v>
      </c>
      <c r="H889" s="30" t="str">
        <f ca="1">IFERROR(__xludf.DUMMYFUNCTION("LOWER(REGEXREPLACE(B889&amp;"" ""&amp;C889,""[^а-яa-z0-9 ]"","" ""))")," атчик силы и ускорения  датчик вращения  типа  icro ab  lab accel   очетает в себе 3 осевой гироскоп  3 осевой акселерометр  3 осевой компас и аппаратный ускоритель движения   иапазоны  гироскоп   2000 2000  ускорение   156 90 156 90 ")</f>
        <v xml:space="preserve"> атчик силы и ускорения  датчик вращения  типа  icro ab  lab accel   очетает в себе 3 осевой гироскоп  3 осевой акселерометр  3 осевой компас и аппаратный ускоритель движения   иапазоны  гироскоп   2000 2000  ускорение   156 90 156 90 </v>
      </c>
    </row>
    <row r="890" spans="1:8" ht="76.5" x14ac:dyDescent="0.2">
      <c r="A890" s="31" t="s">
        <v>1962</v>
      </c>
      <c r="B890" s="8" t="s">
        <v>1963</v>
      </c>
      <c r="C890" s="27"/>
      <c r="D890" s="33" t="s">
        <v>14</v>
      </c>
      <c r="E890" s="34">
        <v>2</v>
      </c>
      <c r="F890" s="35">
        <v>0.3</v>
      </c>
      <c r="G890" s="10">
        <v>31475</v>
      </c>
      <c r="H890" s="30" t="str">
        <f ca="1">IFERROR(__xludf.DUMMYFUNCTION("LOWER(REGEXREPLACE(B890&amp;"" ""&amp;C890,""[^а-яa-z0-9 ]"","" ""))")," атчик акселерометрический для измерения ускорения и углов от 0  до 90    олный диапазон   47м с2  47 м с2   оступный диапазон   19 6 м с2  19 6 м с2   азрешение  0 038 м с2   мплитудно частотная характеристика  0 100 ц ")</f>
        <v xml:space="preserve"> атчик акселерометрический для измерения ускорения и углов от 0  до 90    олный диапазон   47м с2  47 м с2   оступный диапазон   19 6 м с2  19 6 м с2   азрешение  0 038 м с2   мплитудно частотная характеристика  0 100 ц </v>
      </c>
    </row>
    <row r="891" spans="1:8" ht="12.75" x14ac:dyDescent="0.2">
      <c r="A891" s="31" t="s">
        <v>1964</v>
      </c>
      <c r="B891" s="27" t="s">
        <v>1965</v>
      </c>
      <c r="C891" s="27"/>
      <c r="D891" s="33" t="s">
        <v>14</v>
      </c>
      <c r="E891" s="9"/>
      <c r="F891" s="32"/>
      <c r="G891" s="10"/>
      <c r="H891" s="30" t="str">
        <f ca="1">IFERROR(__xludf.DUMMYFUNCTION("LOWER(REGEXREPLACE(B891&amp;"" ""&amp;C891,""[^а-яa-z0-9 ]"","" ""))")," атчик инфракрасный ")</f>
        <v xml:space="preserve"> атчик инфракрасный </v>
      </c>
    </row>
    <row r="892" spans="1:8" ht="76.5" x14ac:dyDescent="0.2">
      <c r="A892" s="31" t="s">
        <v>1966</v>
      </c>
      <c r="B892" s="8" t="s">
        <v>1967</v>
      </c>
      <c r="C892" s="27"/>
      <c r="D892" s="33" t="s">
        <v>14</v>
      </c>
      <c r="E892" s="9"/>
      <c r="F892" s="37">
        <v>7.8E-2</v>
      </c>
      <c r="G892" s="10">
        <v>190828</v>
      </c>
      <c r="H892" s="30" t="str">
        <f ca="1">IFERROR(__xludf.DUMMYFUNCTION("LOWER(REGEXREPLACE(B892&amp;"" ""&amp;C892,""[^а-яa-z0-9 ]"","" ""))")," атчик инфракрасный беспроводной  ata arvest 1205   свещенность  от 0 до 2000  т м 2   ркость  от 0 до 3000  т м 2   r      соединительный провод     сбора и обработки данных  asysense2 на трех языках  каз   рус   англ  языке  ")</f>
        <v xml:space="preserve"> атчик инфракрасный беспроводной  ata arvest 1205   свещенность  от 0 до 2000  т м 2   ркость  от 0 до 3000  т м 2   r      соединительный провод     сбора и обработки данных  asysense2 на трех языках  каз   рус   англ  языке  </v>
      </c>
    </row>
    <row r="893" spans="1:8" ht="12.75" x14ac:dyDescent="0.2">
      <c r="A893" s="31" t="s">
        <v>1968</v>
      </c>
      <c r="B893" s="27" t="s">
        <v>1969</v>
      </c>
      <c r="C893" s="27"/>
      <c r="D893" s="33" t="s">
        <v>14</v>
      </c>
      <c r="E893" s="9"/>
      <c r="F893" s="32"/>
      <c r="G893" s="10"/>
      <c r="H893" s="30" t="str">
        <f ca="1">IFERROR(__xludf.DUMMYFUNCTION("LOWER(REGEXREPLACE(B893&amp;"" ""&amp;C893,""[^а-яa-z0-9 ]"","" ""))")," атчик    ")</f>
        <v xml:space="preserve"> атчик    </v>
      </c>
    </row>
    <row r="894" spans="1:8" ht="63.75" x14ac:dyDescent="0.2">
      <c r="A894" s="31" t="s">
        <v>1970</v>
      </c>
      <c r="B894" s="27" t="s">
        <v>1971</v>
      </c>
      <c r="C894" s="27"/>
      <c r="D894" s="33" t="s">
        <v>14</v>
      </c>
      <c r="E894" s="9"/>
      <c r="F894" s="36">
        <v>0.08</v>
      </c>
      <c r="G894" s="10">
        <v>202249</v>
      </c>
      <c r="H894" s="30" t="str">
        <f ca="1">IFERROR(__xludf.DUMMYFUNCTION("LOWER(REGEXREPLACE(B894&amp;"" ""&amp;C894,""[^а-яa-z0-9 ]"","" ""))")," атчик     ata arvest беспроводной 1207   иапазоны медленного отклика  1  0 500 м т м2      соединительный провод     сбора и обработки данных  asysense2 на трех языках  каз   рус   англ  языке  ")</f>
        <v xml:space="preserve"> атчик     ata arvest беспроводной 1207   иапазоны медленного отклика  1  0 500 м т м2      соединительный провод     сбора и обработки данных  asysense2 на трех языках  каз   рус   англ  языке  </v>
      </c>
    </row>
    <row r="895" spans="1:8" ht="63.75" x14ac:dyDescent="0.2">
      <c r="A895" s="31" t="s">
        <v>1972</v>
      </c>
      <c r="B895" s="8" t="s">
        <v>1973</v>
      </c>
      <c r="C895" s="27"/>
      <c r="D895" s="33" t="s">
        <v>14</v>
      </c>
      <c r="E895" s="34">
        <v>2</v>
      </c>
      <c r="F895" s="36">
        <v>0.06</v>
      </c>
      <c r="G895" s="10">
        <v>150714</v>
      </c>
      <c r="H895" s="30" t="str">
        <f ca="1">IFERROR(__xludf.DUMMYFUNCTION("LOWER(REGEXREPLACE(B895&amp;"" ""&amp;C895,""[^а-яa-z0-9 ]"","" ""))")," instein  атчик    излучения       063   иапазон      от 320 нм до 400 нм  1  т м2  10  т м2  200  т м2   иапазон      от 280 нм до 320 нм  100 м т м2  1  т м2  10  т м2 ")</f>
        <v xml:space="preserve"> instein  атчик    излучения       063   иапазон      от 320 нм до 400 нм  1  т м2  10  т м2  200  т м2   иапазон      от 280 нм до 320 нм  100 м т м2  1  т м2  10  т м2 </v>
      </c>
    </row>
    <row r="896" spans="1:8" ht="38.25" x14ac:dyDescent="0.2">
      <c r="A896" s="31" t="s">
        <v>1974</v>
      </c>
      <c r="B896" s="8" t="s">
        <v>1975</v>
      </c>
      <c r="C896" s="27"/>
      <c r="D896" s="33" t="s">
        <v>14</v>
      </c>
      <c r="E896" s="34">
        <v>2</v>
      </c>
      <c r="F896" s="36">
        <v>0.13</v>
      </c>
      <c r="G896" s="10">
        <v>26709</v>
      </c>
      <c r="H896" s="30" t="str">
        <f ca="1">IFERROR(__xludf.DUMMYFUNCTION("LOWER(REGEXREPLACE(B896&amp;"" ""&amp;C896,""[^а-яa-z0-9 ]"","" ""))")," атчик    излучения типа  ense disc  1040   иапазон  0 400  т м    очность     5    азрешение  0 1  т м  ")</f>
        <v xml:space="preserve"> атчик    излучения типа  ense disc  1040   иапазон  0 400  т м    очность     5    азрешение  0 1  т м  </v>
      </c>
    </row>
    <row r="897" spans="1:8" ht="25.5" x14ac:dyDescent="0.2">
      <c r="A897" s="31" t="s">
        <v>1976</v>
      </c>
      <c r="B897" s="27" t="s">
        <v>1977</v>
      </c>
      <c r="C897" s="27"/>
      <c r="D897" s="33" t="s">
        <v>68</v>
      </c>
      <c r="E897" s="9"/>
      <c r="F897" s="32"/>
      <c r="G897" s="10">
        <v>390625</v>
      </c>
      <c r="H897" s="30" t="str">
        <f ca="1">IFERROR(__xludf.DUMMYFUNCTION("LOWER(REGEXREPLACE(B897&amp;"" ""&amp;C897,""[^а-яa-z0-9 ]"","" ""))")," абор посуды и принадлежностей для экспериментов по физике ")</f>
        <v xml:space="preserve"> абор посуды и принадлежностей для экспериментов по физике </v>
      </c>
    </row>
    <row r="898" spans="1:8" ht="76.5" x14ac:dyDescent="0.2">
      <c r="A898" s="31" t="s">
        <v>1978</v>
      </c>
      <c r="B898" s="27" t="s">
        <v>1979</v>
      </c>
      <c r="C898" s="27"/>
      <c r="D898" s="33" t="s">
        <v>14</v>
      </c>
      <c r="E898" s="34">
        <v>2</v>
      </c>
      <c r="F898" s="35">
        <v>1.7</v>
      </c>
      <c r="G898" s="10">
        <v>623630</v>
      </c>
      <c r="H898" s="30" t="str">
        <f ca="1">IFERROR(__xludf.DUMMYFUNCTION("LOWER(REGEXREPLACE(B898&amp;"" ""&amp;C898,""[^а-яa-z0-9 ]"","" ""))")," instein  ablet 3   ланшет      3  13 встроенных датчиков  видео датчик  акселерометр  точка росы  индекс тепла  датчик звука  барометрическое давление      местоположение  микрофон      свет  температура  частота сердцебиения  влажность ")</f>
        <v xml:space="preserve"> instein  ablet 3   ланшет      3  13 встроенных датчиков  видео датчик  акселерометр  точка росы  индекс тепла  датчик звука  барометрическое давление      местоположение  микрофон      свет  температура  частота сердцебиения  влажность </v>
      </c>
    </row>
    <row r="899" spans="1:8" ht="25.5" x14ac:dyDescent="0.2">
      <c r="A899" s="31" t="s">
        <v>1980</v>
      </c>
      <c r="B899" s="27" t="s">
        <v>1981</v>
      </c>
      <c r="C899" s="27"/>
      <c r="D899" s="33" t="s">
        <v>14</v>
      </c>
      <c r="E899" s="34">
        <v>2</v>
      </c>
      <c r="F899" s="36">
        <v>0.12</v>
      </c>
      <c r="G899" s="10"/>
      <c r="H899" s="30" t="str">
        <f ca="1">IFERROR(__xludf.DUMMYFUNCTION("LOWER(REGEXREPLACE(B899&amp;"" ""&amp;C899,""[^а-яa-z0-9 ]"","" ""))")," егистратор данных со специальным программным обеспечением ")</f>
        <v xml:space="preserve"> егистратор данных со специальным программным обеспечением </v>
      </c>
    </row>
    <row r="900" spans="1:8" ht="51" x14ac:dyDescent="0.2">
      <c r="A900" s="31" t="s">
        <v>1982</v>
      </c>
      <c r="B900" s="27" t="s">
        <v>1983</v>
      </c>
      <c r="C900" s="27"/>
      <c r="D900" s="33" t="s">
        <v>14</v>
      </c>
      <c r="E900" s="34">
        <v>2</v>
      </c>
      <c r="F900" s="36">
        <v>0.12</v>
      </c>
      <c r="G900" s="10">
        <v>343088</v>
      </c>
      <c r="H900" s="30" t="str">
        <f ca="1">IFERROR(__xludf.DUMMYFUNCTION("LOWER(REGEXREPLACE(B900&amp;"" ""&amp;C900,""[^а-яa-z0-9 ]"","" ""))")," егистратор данных со специальным программным обеспечением  instein   abmate              астота дискретизации до 100 кс с   бъем внутренней памяти  до 800 тыс  образцов ")</f>
        <v xml:space="preserve"> егистратор данных со специальным программным обеспечением  instein   abmate              астота дискретизации до 100 кс с   бъем внутренней памяти  до 800 тыс  образцов </v>
      </c>
    </row>
    <row r="901" spans="1:8" ht="76.5" x14ac:dyDescent="0.2">
      <c r="A901" s="31" t="s">
        <v>1984</v>
      </c>
      <c r="B901" s="27" t="s">
        <v>1985</v>
      </c>
      <c r="C901" s="27"/>
      <c r="D901" s="33" t="s">
        <v>14</v>
      </c>
      <c r="E901" s="34">
        <v>2</v>
      </c>
      <c r="F901" s="36">
        <v>0.83</v>
      </c>
      <c r="G901" s="10">
        <v>669139</v>
      </c>
      <c r="H901" s="30" t="str">
        <f ca="1">IFERROR(__xludf.DUMMYFUNCTION("LOWER(REGEXREPLACE(B901&amp;"" ""&amp;C901,""[^а-яa-z0-9 ]"","" ""))")," егистратор данных со специальным программным обеспечением типа  hywe  obra      link 12999 99  с 7 встроенными измерительными датчиками температуры термопара типа   2 шт   напряжения  тока  освещенности  влажности  уф  ускорения ")</f>
        <v xml:space="preserve"> егистратор данных со специальным программным обеспечением типа  hywe  obra      link 12999 99  с 7 встроенными измерительными датчиками температуры термопара типа   2 шт   напряжения  тока  освещенности  влажности  уф  ускорения </v>
      </c>
    </row>
    <row r="902" spans="1:8" ht="38.25" x14ac:dyDescent="0.2">
      <c r="A902" s="31" t="s">
        <v>1986</v>
      </c>
      <c r="B902" s="27" t="s">
        <v>1987</v>
      </c>
      <c r="C902" s="27"/>
      <c r="D902" s="33" t="s">
        <v>14</v>
      </c>
      <c r="E902" s="34">
        <v>2</v>
      </c>
      <c r="F902" s="35">
        <v>0.9</v>
      </c>
      <c r="G902" s="10">
        <v>222037</v>
      </c>
      <c r="H902" s="30" t="str">
        <f ca="1">IFERROR(__xludf.DUMMYFUNCTION("LOWER(REGEXREPLACE(B902&amp;"" ""&amp;C902,""[^а-яa-z0-9 ]"","" ""))")," егистратор данных со специальным программным обеспечением типа  cience ube   100  ")</f>
        <v xml:space="preserve"> егистратор данных со специальным программным обеспечением типа  cience ube   100  </v>
      </c>
    </row>
    <row r="903" spans="1:8" ht="25.5" x14ac:dyDescent="0.2">
      <c r="A903" s="31" t="s">
        <v>1988</v>
      </c>
      <c r="B903" s="27" t="s">
        <v>1989</v>
      </c>
      <c r="C903" s="27"/>
      <c r="D903" s="33" t="s">
        <v>14</v>
      </c>
      <c r="E903" s="34">
        <v>2</v>
      </c>
      <c r="F903" s="35">
        <v>0.9</v>
      </c>
      <c r="G903" s="10">
        <v>392542</v>
      </c>
      <c r="H903" s="30" t="str">
        <f ca="1">IFERROR(__xludf.DUMMYFUNCTION("LOWER(REGEXREPLACE(B903&amp;"" ""&amp;C903,""[^а-яa-z0-9 ]"","" ""))")," егистратор данных со специальным    типа  cience ube      1 ")</f>
        <v xml:space="preserve"> егистратор данных со специальным    типа  cience ube      1 </v>
      </c>
    </row>
    <row r="904" spans="1:8" ht="51" x14ac:dyDescent="0.2">
      <c r="A904" s="31" t="s">
        <v>1990</v>
      </c>
      <c r="B904" s="27" t="s">
        <v>1991</v>
      </c>
      <c r="C904" s="27"/>
      <c r="D904" s="33" t="s">
        <v>14</v>
      </c>
      <c r="E904" s="34">
        <v>2</v>
      </c>
      <c r="F904" s="36">
        <v>0.55000000000000004</v>
      </c>
      <c r="G904" s="10">
        <v>242629</v>
      </c>
      <c r="H904" s="30" t="str">
        <f ca="1">IFERROR(__xludf.DUMMYFUNCTION("LOWER(REGEXREPLACE(B904&amp;"" ""&amp;C904,""[^а-яa-z0-9 ]"","" ""))")," егистратор данных с встроенными датчиками  акселерометр  3 оси        температура окружающей среды  барометр  льтиметр типа  ense disc   0010 ")</f>
        <v xml:space="preserve"> егистратор данных с встроенными датчиками  акселерометр  3 оси        температура окружающей среды  барометр  льтиметр типа  ense disc   0010 </v>
      </c>
    </row>
    <row r="905" spans="1:8" ht="102" x14ac:dyDescent="0.2">
      <c r="A905" s="31" t="s">
        <v>1992</v>
      </c>
      <c r="B905" s="27" t="s">
        <v>1993</v>
      </c>
      <c r="C905" s="27"/>
      <c r="D905" s="33" t="s">
        <v>14</v>
      </c>
      <c r="E905" s="34">
        <v>2</v>
      </c>
      <c r="F905" s="35">
        <v>0.4</v>
      </c>
      <c r="G905" s="10">
        <v>203780</v>
      </c>
      <c r="H905" s="30" t="str">
        <f ca="1">IFERROR(__xludf.DUMMYFUNCTION("LOWER(REGEXREPLACE(B905&amp;"" ""&amp;C905,""[^а-яa-z0-9 ]"","" ""))")," егистратор данных со специальным программным обеспечением типа  icro ab  lab 01 и встроенными датчиками для измерения температуры  давления  влажности воздуха  расстояния до другого объекта  уровень освещ нности  уровень громкости звука  ускорение  магни"&amp;"тный поток  угловую скорость  угол наклона  гироскоп по трем осям ")</f>
        <v xml:space="preserve"> егистратор данных со специальным программным обеспечением типа  icro ab  lab 01 и встроенными датчиками для измерения температуры  давления  влажности воздуха  расстояния до другого объекта  уровень освещ нности  уровень громкости звука  ускорение  магнитный поток  угловую скорость  угол наклона  гироскоп по трем осям </v>
      </c>
    </row>
    <row r="906" spans="1:8" ht="76.5" x14ac:dyDescent="0.2">
      <c r="A906" s="31" t="s">
        <v>1994</v>
      </c>
      <c r="B906" s="8" t="s">
        <v>1995</v>
      </c>
      <c r="C906" s="27"/>
      <c r="D906" s="33" t="s">
        <v>14</v>
      </c>
      <c r="E906" s="34">
        <v>2</v>
      </c>
      <c r="F906" s="36">
        <v>0.15</v>
      </c>
      <c r="G906" s="10">
        <v>232826</v>
      </c>
      <c r="H906" s="30" t="str">
        <f ca="1">IFERROR(__xludf.DUMMYFUNCTION("LOWER(REGEXREPLACE(B906&amp;"" ""&amp;C906,""[^а-яa-z0-9 ]"","" ""))")," егистратор данных автономный портативный с 3 встроенными датчиками   звука  света и температуры типа  asy ense  u   ata arvest 2305       сбора и обработки данных  asysense2 на трех языках  каз   рус   англ  ")</f>
        <v xml:space="preserve"> егистратор данных автономный портативный с 3 встроенными датчиками   звука  света и температуры типа  asy ense  u   ata arvest 2305       сбора и обработки данных  asysense2 на трех языках  каз   рус   англ  </v>
      </c>
    </row>
    <row r="907" spans="1:8" ht="267.75" x14ac:dyDescent="0.2">
      <c r="A907" s="31" t="s">
        <v>1996</v>
      </c>
      <c r="B907" s="8" t="s">
        <v>1997</v>
      </c>
      <c r="C907" s="27" t="s">
        <v>1998</v>
      </c>
      <c r="D907" s="33" t="s">
        <v>68</v>
      </c>
      <c r="E907" s="34">
        <v>2</v>
      </c>
      <c r="F907" s="34">
        <v>1</v>
      </c>
      <c r="G907" s="10">
        <v>158962</v>
      </c>
      <c r="H907" s="30" t="str">
        <f ca="1">IFERROR(__xludf.DUMMYFUNCTION("LOWER(REGEXREPLACE(B907&amp;"" ""&amp;C907,""[^а-яa-z0-9 ]"","" ""))")," егистратор данных со специальным    на русском языке для приема и обработки информации  комплексом лабораторных работ по химии  физики и биологии   исплей  7 дюймов         сенсорным экраном  1024 x 600 пиксель  16 7  цветов   орты подключения     2 0  3"&amp;" шт   ополнительный порт     2 0  1 шт   орты подключения датчиков аналоговый цифр    4 шт   12bit       егистратор данных    роцессор  1  z      ortex    8  32bit       32 32         ache  512     2  ache  амять  256   mobile         1         lash  пера"&amp;"ционнаясистема   исплей  7          сенсорным экраном  1024 x 600 pixel  16 7  цветов  орты подключения     2 0  3 шт   ополнительный порт     2 0  1 шт  10 100 bps     порт  1шт   орт подключения наушников   лот для    карты   1 шт    нешний порт     out"&amp;"    sub    1 шт   орт для адаптера 12   3 5        1 шт   аглушка  i i  внутренний     порт с поддержкой 802 11b g   1 шт   орты подключения датчиков аналоговый цифр    4 шт   12bit        ифровой порт ввода вывод  2 порта              астота отбора проб "&amp;" максимум 500  z канал  азрешение  12 bit      рограммное обеспечение для комплекта компьютерных измерительных датчиков и регистратора данных  oftware    i    8 0 на русском языке предназначено для записи  демонстрации  анализа данных и повторного воспрои"&amp;"зведения сохраненных данных  оддержка и отображение работы трех датчиков одновременно   омплекс лабораторных работ по химии  физики и биологии  методическое пособие  с использованием регистратора данных и датчиков на русском языке    комплекс включены 17 "&amp;"лабораторных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резул"&amp;"ьтатов эксперимента  вопросы и дополнительные задания ")</f>
        <v xml:space="preserve"> егистратор данных со специальным    на русском языке для приема и обработки информации  комплексом лабораторных работ по химии  физики и биологии   исплей  7 дюймов         сенсорным экраном  1024 x 600 пиксель  16 7  цветов   орты подключения     2 0  3 шт   ополнительный порт     2 0  1 шт   орты подключения датчиков аналоговый цифр    4 шт   12bit       егистратор данных    роцессор  1  z      ortex    8  32bit       32 32         ache  512     2  ache  амять  256   mobile         1         lash  перационнаясистема   исплей  7          сенсорным экраном  1024 x 600 pixel  16 7  цветов  орты подключения     2 0  3 шт   ополнительный порт     2 0  1 шт  10 100 bps     порт  1шт   орт подключения наушников   лот для    карты   1 шт    нешний порт     out    sub    1 шт   орт для адаптера 12   3 5        1 шт   аглушка  i i  внутренний     порт с поддержкой 802 11b g   1 шт   орты подключения датчиков аналоговый цифр    4 шт   12bit        ифровой порт ввода вывод  2 порта              астота отбора проб  максимум 500  z канал  азрешение  12 bit      рограммное обеспечение для комплекта компьютерных измерительных датчиков и регистратора данных  oftware    i    8 0 на русском языке предназначено для записи  демонстрации  анализа данных и повторного воспроизведения сохраненных данных  оддержка и отображение работы трех датчиков одновременно   омплекс лабораторных работ по химии  физики и биологии  методическое пособие  с использованием регистратора данных и датчиков на русском языке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 </v>
      </c>
    </row>
    <row r="908" spans="1:8" ht="12.75" x14ac:dyDescent="0.2">
      <c r="A908" s="31" t="s">
        <v>1999</v>
      </c>
      <c r="B908" s="27" t="s">
        <v>2000</v>
      </c>
      <c r="C908" s="27"/>
      <c r="D908" s="32"/>
      <c r="E908" s="9"/>
      <c r="F908" s="32"/>
      <c r="G908" s="10"/>
      <c r="H908" s="30" t="str">
        <f ca="1">IFERROR(__xludf.DUMMYFUNCTION("LOWER(REGEXREPLACE(B908&amp;"" ""&amp;C908,""[^а-яa-z0-9 ]"","" ""))")," атчик заряда ")</f>
        <v xml:space="preserve"> атчик заряда </v>
      </c>
    </row>
    <row r="909" spans="1:8" ht="51" x14ac:dyDescent="0.2">
      <c r="A909" s="31" t="s">
        <v>2001</v>
      </c>
      <c r="B909" s="8" t="s">
        <v>2002</v>
      </c>
      <c r="C909" s="27"/>
      <c r="D909" s="33" t="s">
        <v>14</v>
      </c>
      <c r="E909" s="34">
        <v>2</v>
      </c>
      <c r="F909" s="36">
        <v>0.06</v>
      </c>
      <c r="G909" s="10">
        <v>152183</v>
      </c>
      <c r="H909" s="30" t="str">
        <f ca="1">IFERROR(__xludf.DUMMYFUNCTION("LOWER(REGEXREPLACE(B909&amp;"" ""&amp;C909,""[^а-яa-z0-9 ]"","" ""))")," instein   атчик электростатического заряда      261   иапазон   0 25 мк л   0 025 мк л   азрешение  12 бит   0 12 н л для  0 25 мк л  12 2 п л для  0 025 мк л ")</f>
        <v xml:space="preserve"> instein   атчик электростатического заряда      261   иапазон   0 25 мк л   0 025 мк л   азрешение  12 бит   0 12 н л для  0 25 мк л  12 2 п л для  0 025 мк л </v>
      </c>
    </row>
    <row r="910" spans="1:8" ht="38.25" x14ac:dyDescent="0.2">
      <c r="A910" s="31" t="s">
        <v>2003</v>
      </c>
      <c r="B910" s="8" t="s">
        <v>2004</v>
      </c>
      <c r="C910" s="27"/>
      <c r="D910" s="33" t="s">
        <v>14</v>
      </c>
      <c r="E910" s="34">
        <v>2</v>
      </c>
      <c r="F910" s="35">
        <v>0.1</v>
      </c>
      <c r="G910" s="10">
        <v>49776</v>
      </c>
      <c r="H910" s="30" t="str">
        <f ca="1">IFERROR(__xludf.DUMMYFUNCTION("LOWER(REGEXREPLACE(B910&amp;"" ""&amp;C910,""[^а-яa-z0-9 ]"","" ""))")," атчик заряда типа  ense disc  0008   иапазон  0 220 н л   очность  4 4 н л   азрешение  0 1 н л ")</f>
        <v xml:space="preserve"> атчик заряда типа  ense disc  0008   иапазон  0 220 н л   очность  4 4 н л   азрешение  0 1 н л </v>
      </c>
    </row>
    <row r="911" spans="1:8" ht="12.75" x14ac:dyDescent="0.2">
      <c r="A911" s="31" t="s">
        <v>2005</v>
      </c>
      <c r="B911" s="27" t="s">
        <v>2006</v>
      </c>
      <c r="C911" s="27"/>
      <c r="D911" s="33" t="s">
        <v>14</v>
      </c>
      <c r="E911" s="34">
        <v>2</v>
      </c>
      <c r="F911" s="36">
        <v>7.0000000000000007E-2</v>
      </c>
      <c r="G911" s="10">
        <v>6070</v>
      </c>
      <c r="H911" s="30" t="str">
        <f ca="1">IFERROR(__xludf.DUMMYFUNCTION("LOWER(REGEXREPLACE(B911&amp;"" ""&amp;C911,""[^а-яa-z0-9 ]"","" ""))")," ход универсальный вход ")</f>
        <v xml:space="preserve"> ход универсальный вход </v>
      </c>
    </row>
    <row r="912" spans="1:8" ht="51" x14ac:dyDescent="0.2">
      <c r="A912" s="31" t="s">
        <v>2007</v>
      </c>
      <c r="B912" s="27" t="s">
        <v>2008</v>
      </c>
      <c r="C912" s="27"/>
      <c r="D912" s="33" t="s">
        <v>14</v>
      </c>
      <c r="E912" s="34">
        <v>2</v>
      </c>
      <c r="F912" s="34">
        <v>39</v>
      </c>
      <c r="G912" s="10">
        <v>1330353</v>
      </c>
      <c r="H912" s="30" t="str">
        <f ca="1">IFERROR(__xludf.DUMMYFUNCTION("LOWER(REGEXREPLACE(B912&amp;"" ""&amp;C912,""[^а-яa-z0-9 ]"","" ""))")," обильная научная тележка  lobisense  obile  cience cart для хранения и зарядки до 16 устройств  abdisc и до 16 планшетных компьютеров ")</f>
        <v xml:space="preserve"> обильная научная тележка  lobisense  obile  cience cart для хранения и зарядки до 16 устройств  abdisc и до 16 планшетных компьютеров </v>
      </c>
    </row>
    <row r="913" spans="1:8" ht="25.5" x14ac:dyDescent="0.2">
      <c r="A913" s="31" t="s">
        <v>2009</v>
      </c>
      <c r="B913" s="8" t="s">
        <v>2010</v>
      </c>
      <c r="C913" s="27"/>
      <c r="D913" s="33" t="s">
        <v>14</v>
      </c>
      <c r="E913" s="34">
        <v>2</v>
      </c>
      <c r="F913" s="35">
        <v>2.2999999999999998</v>
      </c>
      <c r="G913" s="10">
        <v>463843</v>
      </c>
      <c r="H913" s="30" t="str">
        <f ca="1">IFERROR(__xludf.DUMMYFUNCTION("LOWER(REGEXREPLACE(B913&amp;"" ""&amp;C913,""[^а-яa-z0-9 ]"","" ""))")," арядный лоток  lobisense  harging tray для зарядки 8 устройств  abdisc ")</f>
        <v xml:space="preserve"> арядный лоток  lobisense  harging tray для зарядки 8 устройств  abdisc </v>
      </c>
    </row>
    <row r="914" spans="1:8" ht="12.75" x14ac:dyDescent="0.2">
      <c r="A914" s="31" t="s">
        <v>2011</v>
      </c>
      <c r="B914" s="27" t="s">
        <v>2012</v>
      </c>
      <c r="C914" s="27"/>
      <c r="D914" s="32"/>
      <c r="E914" s="9"/>
      <c r="F914" s="32"/>
      <c r="G914" s="10"/>
      <c r="H914" s="30" t="str">
        <f ca="1">IFERROR(__xludf.DUMMYFUNCTION("LOWER(REGEXREPLACE(B914&amp;"" ""&amp;C914,""[^а-яa-z0-9 ]"","" ""))")," аборатория цифровая по физике ")</f>
        <v xml:space="preserve"> аборатория цифровая по физике </v>
      </c>
    </row>
    <row r="915" spans="1:8" ht="38.25" x14ac:dyDescent="0.2">
      <c r="A915" s="31" t="s">
        <v>2013</v>
      </c>
      <c r="B915" s="27" t="s">
        <v>2014</v>
      </c>
      <c r="C915" s="27"/>
      <c r="D915" s="33" t="s">
        <v>14</v>
      </c>
      <c r="E915" s="34">
        <v>2</v>
      </c>
      <c r="F915" s="36">
        <v>0.71</v>
      </c>
      <c r="G915" s="10">
        <v>482227</v>
      </c>
      <c r="H915" s="30" t="str">
        <f ca="1">IFERROR(__xludf.DUMMYFUNCTION("LOWER(REGEXREPLACE(B915&amp;"" ""&amp;C915,""[^а-яa-z0-9 ]"","" ""))")," аборатория цифровая по физике типа  lobisense  abdisc          9 12  hysics со встроенными датчиками ")</f>
        <v xml:space="preserve"> аборатория цифровая по физике типа  lobisense  abdisc          9 12  hysics со встроенными датчиками </v>
      </c>
    </row>
    <row r="916" spans="1:8" ht="63.75" x14ac:dyDescent="0.2">
      <c r="A916" s="31" t="s">
        <v>2015</v>
      </c>
      <c r="B916" s="27" t="s">
        <v>2016</v>
      </c>
      <c r="C916" s="27"/>
      <c r="D916" s="33" t="s">
        <v>14</v>
      </c>
      <c r="E916" s="34">
        <v>2</v>
      </c>
      <c r="F916" s="35">
        <v>0.5</v>
      </c>
      <c r="G916" s="10">
        <v>562056</v>
      </c>
      <c r="H916" s="30" t="str">
        <f ca="1">IFERROR(__xludf.DUMMYFUNCTION("LOWER(REGEXREPLACE(B916&amp;"" ""&amp;C916,""[^а-яa-z0-9 ]"","" ""))")," 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рхимед ")</f>
        <v xml:space="preserve"> 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рхимед </v>
      </c>
    </row>
    <row r="917" spans="1:8" ht="25.5" x14ac:dyDescent="0.2">
      <c r="A917" s="31" t="s">
        <v>2017</v>
      </c>
      <c r="B917" s="27" t="s">
        <v>2018</v>
      </c>
      <c r="C917" s="27"/>
      <c r="D917" s="32"/>
      <c r="E917" s="9"/>
      <c r="F917" s="32"/>
      <c r="G917" s="10"/>
      <c r="H917" s="30" t="str">
        <f ca="1">IFERROR(__xludf.DUMMYFUNCTION("LOWER(REGEXREPLACE(B917&amp;"" ""&amp;C917,""[^а-яa-z0-9 ]"","" ""))")," риборы и принадлежности для опытов демонстрационные и лабораторные ")</f>
        <v xml:space="preserve"> риборы и принадлежности для опытов демонстрационные и лабораторные </v>
      </c>
    </row>
    <row r="918" spans="1:8" ht="89.25" x14ac:dyDescent="0.2">
      <c r="A918" s="31" t="s">
        <v>2019</v>
      </c>
      <c r="B918" s="27" t="s">
        <v>2020</v>
      </c>
      <c r="C918" s="27" t="s">
        <v>2021</v>
      </c>
      <c r="D918" s="33" t="s">
        <v>1506</v>
      </c>
      <c r="E918" s="34">
        <v>2</v>
      </c>
      <c r="F918" s="36">
        <v>0.14000000000000001</v>
      </c>
      <c r="G918" s="10">
        <v>3403</v>
      </c>
      <c r="H918" s="30" t="str">
        <f ca="1">IFERROR(__xludf.DUMMYFUNCTION("LOWER(REGEXREPLACE(B918&amp;"" ""&amp;C918,""[^а-яa-z0-9 ]"","" ""))")," абор пружин с различной жесткостью   состав набора входят 5 пружин со следующими характеристиками  пружина    длина намотки витков в мм  диаметр витка в мм  жесткость пружины в   м 1 75 21 25 2 71 19 15 3 62 18 10 4 62 15 5 5 40 16 2 5  се пружины в верх"&amp;"ней части имеют кольцо для подвешивания на штативе или гвоздике  вбитой в стену    нижней части пружин прикреплены одинакового размера проволочные крючки   рючки оснащены стрелочными указателями  которые могут перемещаться вдоль проволоки крючка ")</f>
        <v xml:space="preserve"> абор пружин с различной жесткостью   состав набора входят 5 пружин со следующими характеристиками  пружина    длина намотки витков в мм  диаметр витка в мм  жесткость пружины в   м 1 75 21 25 2 71 19 15 3 62 18 10 4 62 15 5 5 40 16 2 5  се пружины в верхней части имеют кольцо для подвешивания на штативе или гвоздике  вбитой в стену    нижней части пружин прикреплены одинакового размера проволочные крючки   рючки оснащены стрелочными указателями  которые могут перемещаться вдоль проволоки крючка </v>
      </c>
    </row>
    <row r="919" spans="1:8" ht="12.75" x14ac:dyDescent="0.2">
      <c r="A919" s="31" t="s">
        <v>2022</v>
      </c>
      <c r="B919" s="27" t="s">
        <v>2023</v>
      </c>
      <c r="C919" s="27"/>
      <c r="D919" s="33" t="s">
        <v>14</v>
      </c>
      <c r="E919" s="9"/>
      <c r="F919" s="32"/>
      <c r="G919" s="10"/>
      <c r="H919" s="30" t="str">
        <f ca="1">IFERROR(__xludf.DUMMYFUNCTION("LOWER(REGEXREPLACE(B919&amp;"" ""&amp;C919,""[^а-яa-z0-9 ]"","" ""))")," есы лабораторные ")</f>
        <v xml:space="preserve"> есы лабораторные </v>
      </c>
    </row>
    <row r="920" spans="1:8" ht="25.5" x14ac:dyDescent="0.2">
      <c r="A920" s="31" t="s">
        <v>2024</v>
      </c>
      <c r="B920" s="27" t="s">
        <v>2025</v>
      </c>
      <c r="C920" s="27" t="s">
        <v>2026</v>
      </c>
      <c r="D920" s="33" t="s">
        <v>14</v>
      </c>
      <c r="E920" s="9"/>
      <c r="F920" s="32"/>
      <c r="G920" s="10">
        <v>8732</v>
      </c>
      <c r="H920" s="30" t="str">
        <f ca="1">IFERROR(__xludf.DUMMYFUNCTION("LOWER(REGEXREPLACE(B920&amp;"" ""&amp;C920,""[^а-яa-z0-9 ]"","" ""))")," есы электронные до 200гр  0 1г   азначение   ыбирать и использовать приборы для определения массы   роводить эксперимент и фиксировать его результаты в таблице ")</f>
        <v xml:space="preserve"> есы электронные до 200гр  0 1г   азначение   ыбирать и использовать приборы для определения массы   роводить эксперимент и фиксировать его результаты в таблице </v>
      </c>
    </row>
    <row r="921" spans="1:8" ht="63.75" x14ac:dyDescent="0.2">
      <c r="A921" s="31" t="s">
        <v>2027</v>
      </c>
      <c r="B921" s="27" t="s">
        <v>2028</v>
      </c>
      <c r="C921" s="27" t="s">
        <v>2029</v>
      </c>
      <c r="D921" s="33" t="s">
        <v>14</v>
      </c>
      <c r="E921" s="34">
        <v>2</v>
      </c>
      <c r="F921" s="36">
        <v>0.62</v>
      </c>
      <c r="G921" s="10">
        <v>7017</v>
      </c>
      <c r="H921" s="30" t="str">
        <f ca="1">IFERROR(__xludf.DUMMYFUNCTION("LOWER(REGEXREPLACE(B921&amp;"" ""&amp;C921,""[^а-яa-z0-9 ]"","" ""))")," есы лабораторные   аксимальный вес взвешивания 200г  есы лабораторные   есы учебные с гирями   аксимальный вес взвешивания до 200 г   увствительность 20мг    комплект входят  весы   1 шт   чашки   2 шт   набор гирь технических 4 класса в комплектации  4 "&amp;"211 10   1 шт   руководство по эксплуатации   1 шт ")</f>
        <v xml:space="preserve"> есы лабораторные   аксимальный вес взвешивания 200г  есы лабораторные   есы учебные с гирями   аксимальный вес взвешивания до 200 г   увствительность 20мг    комплект входят  весы   1 шт   чашки   2 шт   набор гирь технических 4 класса в комплектации  4 211 10   1 шт   руководство по эксплуатации   1 шт </v>
      </c>
    </row>
    <row r="922" spans="1:8" ht="25.5" x14ac:dyDescent="0.2">
      <c r="A922" s="31" t="s">
        <v>2030</v>
      </c>
      <c r="B922" s="27" t="s">
        <v>2031</v>
      </c>
      <c r="C922" s="27" t="s">
        <v>2032</v>
      </c>
      <c r="D922" s="33" t="s">
        <v>14</v>
      </c>
      <c r="E922" s="34">
        <v>2</v>
      </c>
      <c r="F922" s="36">
        <v>4.55</v>
      </c>
      <c r="G922" s="10">
        <v>40845</v>
      </c>
      <c r="H922" s="30" t="str">
        <f ca="1">IFERROR(__xludf.DUMMYFUNCTION("LOWER(REGEXREPLACE(B922&amp;"" ""&amp;C922,""[^а-яa-z0-9 ]"","" ""))")," есы технические   иапазон измерений 0 05 1000г   ена деления 0 05г  есы технические   иапазон измерений 0 05 1000г   ена деления 0 05г ")</f>
        <v xml:space="preserve"> есы технические   иапазон измерений 0 05 1000г   ена деления 0 05г  есы технические   иапазон измерений 0 05 1000г   ена деления 0 05г </v>
      </c>
    </row>
    <row r="923" spans="1:8" ht="51" x14ac:dyDescent="0.2">
      <c r="A923" s="31" t="s">
        <v>2033</v>
      </c>
      <c r="B923" s="27" t="s">
        <v>2034</v>
      </c>
      <c r="C923" s="27" t="s">
        <v>2035</v>
      </c>
      <c r="D923" s="33" t="s">
        <v>14</v>
      </c>
      <c r="E923" s="34">
        <v>2</v>
      </c>
      <c r="F923" s="36">
        <v>0.62</v>
      </c>
      <c r="G923" s="10">
        <v>7017</v>
      </c>
      <c r="H923" s="30" t="str">
        <f ca="1">IFERROR(__xludf.DUMMYFUNCTION("LOWER(REGEXREPLACE(B923&amp;"" ""&amp;C923,""[^а-яa-z0-9 ]"","" ""))")," есы лабораторные   опускаемая максимальная нагрузка 200г  чувствительность 20мг  опускаемая максимальная нагрузка 200г  чувствительность 20мг   комплектованы набором разновесов от 1 до 50 г   есы изготовлены из стали с покрытием   ашки и основание изгото"&amp;"влены из пластмассы ")</f>
        <v xml:space="preserve"> есы лабораторные   опускаемая максимальная нагрузка 200г  чувствительность 20мг  опускаемая максимальная нагрузка 200г  чувствительность 20мг   комплектованы набором разновесов от 1 до 50 г   есы изготовлены из стали с покрытием   ашки и основание изготовлены из пластмассы </v>
      </c>
    </row>
    <row r="924" spans="1:8" ht="51" x14ac:dyDescent="0.2">
      <c r="A924" s="31" t="s">
        <v>2036</v>
      </c>
      <c r="B924" s="27" t="s">
        <v>2037</v>
      </c>
      <c r="C924" s="27" t="s">
        <v>2038</v>
      </c>
      <c r="D924" s="33" t="s">
        <v>14</v>
      </c>
      <c r="E924" s="34">
        <v>2</v>
      </c>
      <c r="F924" s="36">
        <v>0.63</v>
      </c>
      <c r="G924" s="10">
        <v>21585</v>
      </c>
      <c r="H924" s="30" t="str">
        <f ca="1">IFERROR(__xludf.DUMMYFUNCTION("LOWER(REGEXREPLACE(B924&amp;"" ""&amp;C924,""[^а-яa-z0-9 ]"","" ""))")," есы электронные   иапазон взвешивания 0 200г  погрешность 0 1г  размер чашки весов 115мм  есы электронные   иапазон взвешивания 0 200г  погрешность 0 1г  размер чашки весов 115мм   итается от элемента питания напряжением 5  и от сети   220    абаритные р"&amp;"азмеры  не менее 190х138х28мм")</f>
        <v xml:space="preserve"> есы электронные   иапазон взвешивания 0 200г  погрешность 0 1г  размер чашки весов 115мм  есы электронные   иапазон взвешивания 0 200г  погрешность 0 1г  размер чашки весов 115мм   итается от элемента питания напряжением 5  и от сети   220    абаритные размеры  не менее 190х138х28мм</v>
      </c>
    </row>
    <row r="925" spans="1:8" ht="38.25" x14ac:dyDescent="0.2">
      <c r="A925" s="31" t="s">
        <v>2039</v>
      </c>
      <c r="B925" s="27" t="s">
        <v>2040</v>
      </c>
      <c r="C925" s="27" t="s">
        <v>2041</v>
      </c>
      <c r="D925" s="33" t="s">
        <v>14</v>
      </c>
      <c r="E925" s="34">
        <v>2</v>
      </c>
      <c r="F925" s="35">
        <v>3.2</v>
      </c>
      <c r="G925" s="10">
        <v>49091</v>
      </c>
      <c r="H925" s="30" t="str">
        <f ca="1">IFERROR(__xludf.DUMMYFUNCTION("LOWER(REGEXREPLACE(B925&amp;"" ""&amp;C925,""[^а-яa-z0-9 ]"","" ""))")," есы технические   иапазон измерений  50 1000 г  ена деления шкалы и допустимая погрешность из за неравноплечности  при 10  нагрузке 60 мг  при 100  нагрузке 100 мг   опустимая погрешность   25 мг   азмер 495х225х450 мм")</f>
        <v xml:space="preserve"> есы технические   иапазон измерений  50 1000 г  ена деления шкалы и допустимая погрешность из за неравноплечности  при 10  нагрузке 60 мг  при 100  нагрузке 100 мг   опустимая погрешность   25 мг   азмер 495х225х450 мм</v>
      </c>
    </row>
    <row r="926" spans="1:8" ht="12.75" x14ac:dyDescent="0.2">
      <c r="A926" s="31" t="s">
        <v>2042</v>
      </c>
      <c r="B926" s="27" t="s">
        <v>2043</v>
      </c>
      <c r="C926" s="27" t="s">
        <v>2044</v>
      </c>
      <c r="D926" s="33" t="s">
        <v>14</v>
      </c>
      <c r="E926" s="34">
        <v>2</v>
      </c>
      <c r="F926" s="37">
        <v>0.63200000000000001</v>
      </c>
      <c r="G926" s="10">
        <v>21197</v>
      </c>
      <c r="H926" s="30" t="str">
        <f ca="1">IFERROR(__xludf.DUMMYFUNCTION("LOWER(REGEXREPLACE(B926&amp;"" ""&amp;C926,""[^а-яa-z0-9 ]"","" ""))")," есы электронные до 1000 г  0 2г   опустимая нагрузка 1000г   очность взвешивания 0 2г ")</f>
        <v xml:space="preserve"> есы электронные до 1000 г  0 2г   опустимая нагрузка 1000г   очность взвешивания 0 2г </v>
      </c>
    </row>
    <row r="927" spans="1:8" ht="12.75" x14ac:dyDescent="0.2">
      <c r="A927" s="31" t="s">
        <v>2045</v>
      </c>
      <c r="B927" s="27" t="s">
        <v>2046</v>
      </c>
      <c r="C927" s="27"/>
      <c r="D927" s="33" t="s">
        <v>14</v>
      </c>
      <c r="E927" s="9"/>
      <c r="F927" s="32"/>
      <c r="G927" s="10">
        <v>11607</v>
      </c>
      <c r="H927" s="30" t="str">
        <f ca="1">IFERROR(__xludf.DUMMYFUNCTION("LOWER(REGEXREPLACE(B927&amp;"" ""&amp;C927,""[^а-яa-z0-9 ]"","" ""))")," игрометр 0 25 градусов ")</f>
        <v xml:space="preserve"> игрометр 0 25 градусов </v>
      </c>
    </row>
    <row r="928" spans="1:8" ht="12.75" x14ac:dyDescent="0.2">
      <c r="A928" s="31" t="s">
        <v>2047</v>
      </c>
      <c r="B928" s="27" t="s">
        <v>2048</v>
      </c>
      <c r="C928" s="27"/>
      <c r="D928" s="33" t="s">
        <v>14</v>
      </c>
      <c r="E928" s="9"/>
      <c r="F928" s="32"/>
      <c r="G928" s="10">
        <v>11607</v>
      </c>
      <c r="H928" s="30" t="str">
        <f ca="1">IFERROR(__xludf.DUMMYFUNCTION("LOWER(REGEXREPLACE(B928&amp;"" ""&amp;C928,""[^а-яa-z0-9 ]"","" ""))")," игрометр 15 40 градусов ")</f>
        <v xml:space="preserve"> игрометр 15 40 градусов </v>
      </c>
    </row>
    <row r="929" spans="1:8" ht="12.75" x14ac:dyDescent="0.2">
      <c r="A929" s="31" t="s">
        <v>2049</v>
      </c>
      <c r="B929" s="27" t="s">
        <v>2050</v>
      </c>
      <c r="C929" s="27"/>
      <c r="D929" s="33" t="s">
        <v>14</v>
      </c>
      <c r="E929" s="9"/>
      <c r="F929" s="32"/>
      <c r="G929" s="10"/>
      <c r="H929" s="30" t="str">
        <f ca="1">IFERROR(__xludf.DUMMYFUNCTION("LOWER(REGEXREPLACE(B929&amp;"" ""&amp;C929,""[^а-яa-z0-9 ]"","" ""))")," инамометр ")</f>
        <v xml:space="preserve"> инамометр </v>
      </c>
    </row>
    <row r="930" spans="1:8" ht="12.75" x14ac:dyDescent="0.2">
      <c r="A930" s="31" t="s">
        <v>2051</v>
      </c>
      <c r="B930" s="27" t="s">
        <v>2052</v>
      </c>
      <c r="C930" s="27"/>
      <c r="D930" s="33" t="s">
        <v>14</v>
      </c>
      <c r="E930" s="9"/>
      <c r="F930" s="32"/>
      <c r="G930" s="10">
        <v>49731</v>
      </c>
      <c r="H930" s="30" t="str">
        <f ca="1">IFERROR(__xludf.DUMMYFUNCTION("LOWER(REGEXREPLACE(B930&amp;"" ""&amp;C930,""[^а-яa-z0-9 ]"","" ""))")," инамометр демонстрационный ")</f>
        <v xml:space="preserve"> инамометр демонстрационный </v>
      </c>
    </row>
    <row r="931" spans="1:8" ht="38.25" x14ac:dyDescent="0.2">
      <c r="A931" s="31" t="s">
        <v>2053</v>
      </c>
      <c r="B931" s="27" t="s">
        <v>2054</v>
      </c>
      <c r="C931" s="27" t="s">
        <v>2055</v>
      </c>
      <c r="D931" s="33" t="s">
        <v>68</v>
      </c>
      <c r="E931" s="34">
        <v>2</v>
      </c>
      <c r="F931" s="37">
        <v>0.27700000000000002</v>
      </c>
      <c r="G931" s="10">
        <v>6746</v>
      </c>
      <c r="H931" s="30" t="str">
        <f ca="1">IFERROR(__xludf.DUMMYFUNCTION("LOWER(REGEXREPLACE(B931&amp;"" ""&amp;C931,""[^а-яa-z0-9 ]"","" ""))")," омплект динамометров   состав комплекта входят  5 динамометров   иапазон измерения от 0 до 1    от 0 до 2    от 0 до 2 5    от 0 до 5   от 0 до 10   ")</f>
        <v xml:space="preserve"> омплект динамометров   состав комплекта входят  5 динамометров   иапазон измерения от 0 до 1    от 0 до 2    от 0 до 2 5    от 0 до 5   от 0 до 10   </v>
      </c>
    </row>
    <row r="932" spans="1:8" ht="51" x14ac:dyDescent="0.2">
      <c r="A932" s="31" t="s">
        <v>2056</v>
      </c>
      <c r="B932" s="8" t="s">
        <v>2057</v>
      </c>
      <c r="C932" s="27" t="s">
        <v>2058</v>
      </c>
      <c r="D932" s="33" t="s">
        <v>14</v>
      </c>
      <c r="E932" s="34">
        <v>2</v>
      </c>
      <c r="F932" s="36">
        <v>0.33</v>
      </c>
      <c r="G932" s="10">
        <v>9714</v>
      </c>
      <c r="H932" s="30" t="str">
        <f ca="1">IFERROR(__xludf.DUMMYFUNCTION("LOWER(REGEXREPLACE(B932&amp;"" ""&amp;C932,""[^а-яa-z0-9 ]"","" ""))")," инамометр демонстрационный   аксимальная нагрузка 10    инамометр изготовлен в виде круглого металлического кожуха  имеющего с одной стороны циферблат со стрелкой  а с другой  механизм   трелка и циферблат закрыты прозрачной крышкой   кала циферблата име"&amp;"ет влево и вправо от нуля 10 делений ценой один ньютон каждое   аксимальная нагрузка 10   ")</f>
        <v xml:space="preserve"> инамометр демонстрационный   аксимальная нагрузка 10    инамометр изготовлен в виде круглого металлического кожуха  имеющего с одной стороны циферблат со стрелкой  а с другой  механизм   трелка и циферблат закрыты прозрачной крышкой   кала циферблата имеет влево и вправо от нуля 10 делений ценой один ньютон каждое   аксимальная нагрузка 10   </v>
      </c>
    </row>
    <row r="933" spans="1:8" ht="12.75" x14ac:dyDescent="0.2">
      <c r="A933" s="31" t="s">
        <v>2059</v>
      </c>
      <c r="B933" s="27" t="s">
        <v>2060</v>
      </c>
      <c r="C933" s="27"/>
      <c r="D933" s="33" t="s">
        <v>14</v>
      </c>
      <c r="E933" s="34">
        <v>2</v>
      </c>
      <c r="F933" s="36">
        <v>0.32</v>
      </c>
      <c r="G933" s="10">
        <v>2879</v>
      </c>
      <c r="H933" s="30" t="str">
        <f ca="1">IFERROR(__xludf.DUMMYFUNCTION("LOWER(REGEXREPLACE(B933&amp;"" ""&amp;C933,""[^а-яa-z0-9 ]"","" ""))")," еркало выпуклое и вогнутое  комплект  ")</f>
        <v xml:space="preserve"> еркало выпуклое и вогнутое  комплект  </v>
      </c>
    </row>
    <row r="934" spans="1:8" ht="89.25" x14ac:dyDescent="0.2">
      <c r="A934" s="31" t="s">
        <v>2061</v>
      </c>
      <c r="B934" s="27" t="s">
        <v>2062</v>
      </c>
      <c r="C934" s="27" t="s">
        <v>2063</v>
      </c>
      <c r="D934" s="33" t="s">
        <v>14</v>
      </c>
      <c r="E934" s="34">
        <v>2</v>
      </c>
      <c r="F934" s="35">
        <v>0.9</v>
      </c>
      <c r="G934" s="10">
        <v>17948</v>
      </c>
      <c r="H934" s="30" t="str">
        <f ca="1">IFERROR(__xludf.DUMMYFUNCTION("LOWER(REGEXREPLACE(B934&amp;"" ""&amp;C934,""[^а-яa-z0-9 ]"","" ""))")," амертоны на резонансных ящиках  пара   астота звуковых колебаний камертонов   440  ц   нутренний объем резонирующего ящика   409 куб см   аждый камертон представляет собой массивную стальную вилку на ножке   илка имеет строго определенную длину ветвей пр"&amp;"ямоугольного сечения   амертоны тщательно настроены в унисон на частоту 440  ц  тон  ля  первой октавы    езонирующие ящики камертонов имеют одну открытую стенку и на верхней доске   втулку для установки камертона  а внизу   резиновые ножки   омплектация "&amp;"  амертон на ящике   2 шт   молоточек   1 шт ")</f>
        <v xml:space="preserve"> амертоны на резонансных ящиках  пара   астота звуковых колебаний камертонов   440  ц   нутренний объем резонирующего ящика   409 куб см   аждый камертон представляет собой массивную стальную вилку на ножке   илка имеет строго определенную длину ветвей прямоугольного сечения   амертоны тщательно настроены в унисон на частоту 440  ц  тон  ля  первой октавы    езонирующие ящики камертонов имеют одну открытую стенку и на верхней доске   втулку для установки камертона  а внизу   резиновые ножки   омплектация   амертон на ящике   2 шт   молоточек   1 шт </v>
      </c>
    </row>
    <row r="935" spans="1:8" ht="38.25" x14ac:dyDescent="0.2">
      <c r="A935" s="31" t="s">
        <v>2064</v>
      </c>
      <c r="B935" s="27" t="s">
        <v>2065</v>
      </c>
      <c r="C935" s="27" t="s">
        <v>2066</v>
      </c>
      <c r="D935" s="33" t="s">
        <v>68</v>
      </c>
      <c r="E935" s="34">
        <v>2</v>
      </c>
      <c r="F935" s="35">
        <v>0.3</v>
      </c>
      <c r="G935" s="10">
        <v>7048</v>
      </c>
      <c r="H935" s="30" t="str">
        <f ca="1">IFERROR(__xludf.DUMMYFUNCTION("LOWER(REGEXREPLACE(B935&amp;"" ""&amp;C935,""[^а-яa-z0-9 ]"","" ""))")," омплект блоков демонстрационных  спользуется для проведения демонстрационных работ по механике в курсе физики   омплектация   лок одинарный   2 шт   блок двойной   2 шт   блок тройной   2 шт ")</f>
        <v xml:space="preserve"> омплект блоков демонстрационных  спользуется для проведения демонстрационных работ по механике в курсе физики   омплектация   лок одинарный   2 шт   блок двойной   2 шт   блок тройной   2 шт </v>
      </c>
    </row>
    <row r="936" spans="1:8" ht="12.75" x14ac:dyDescent="0.2">
      <c r="A936" s="31" t="s">
        <v>2067</v>
      </c>
      <c r="B936" s="27" t="s">
        <v>2068</v>
      </c>
      <c r="C936" s="27"/>
      <c r="D936" s="33" t="s">
        <v>14</v>
      </c>
      <c r="E936" s="9"/>
      <c r="F936" s="32"/>
      <c r="G936" s="10"/>
      <c r="H936" s="30" t="str">
        <f ca="1">IFERROR(__xludf.DUMMYFUNCTION("LOWER(REGEXREPLACE(B936&amp;"" ""&amp;C936,""[^а-яa-z0-9 ]"","" ""))")," агазин сопротивлений демонстрационный ")</f>
        <v xml:space="preserve"> агазин сопротивлений демонстрационный </v>
      </c>
    </row>
    <row r="937" spans="1:8" ht="38.25" x14ac:dyDescent="0.2">
      <c r="A937" s="31" t="s">
        <v>2069</v>
      </c>
      <c r="B937" s="27" t="s">
        <v>2070</v>
      </c>
      <c r="C937" s="27" t="s">
        <v>2071</v>
      </c>
      <c r="D937" s="33" t="s">
        <v>14</v>
      </c>
      <c r="E937" s="34">
        <v>2</v>
      </c>
      <c r="F937" s="35">
        <v>0.2</v>
      </c>
      <c r="G937" s="10">
        <v>4306</v>
      </c>
      <c r="H937" s="30" t="str">
        <f ca="1">IFERROR(__xludf.DUMMYFUNCTION("LOWER(REGEXREPLACE(B937&amp;"" ""&amp;C937,""[^а-яa-z0-9 ]"","" ""))")," мметр лабораторный   иапазон измерения до 120      корость измерения от 0 9 мс с точностью от 0 006   ирокий диапазон измерения до 120      корость измерения от 0 9 мс с точностью от 0 006    борудован внешним вход выходом        и    232  интерфейсами")</f>
        <v xml:space="preserve"> мметр лабораторный   иапазон измерения до 120      корость измерения от 0 9 мс с точностью от 0 006   ирокий диапазон измерения до 120      корость измерения от 0 9 мс с точностью от 0 006    борудован внешним вход выходом        и    232  интерфейсами</v>
      </c>
    </row>
    <row r="938" spans="1:8" ht="76.5" x14ac:dyDescent="0.2">
      <c r="A938" s="31" t="s">
        <v>2072</v>
      </c>
      <c r="B938" s="27" t="s">
        <v>2073</v>
      </c>
      <c r="C938" s="27" t="s">
        <v>2074</v>
      </c>
      <c r="D938" s="33" t="s">
        <v>14</v>
      </c>
      <c r="E938" s="34">
        <v>2</v>
      </c>
      <c r="F938" s="35">
        <v>0.4</v>
      </c>
      <c r="G938" s="10">
        <v>7960</v>
      </c>
      <c r="H938" s="30" t="str">
        <f ca="1">IFERROR(__xludf.DUMMYFUNCTION("LOWER(REGEXREPLACE(B938&amp;"" ""&amp;C938,""[^а-яa-z0-9 ]"","" ""))")," агнит демонстрационный   образный  агнит   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элект"&amp;"ромагнитной индукции   агнит изготовлен из полосовой стали   аждая половина магнита должна окрашена в разный цвет   омплектность   агнит   образный 78 60 29 мм   1 шт    тальная пластина   1 шт ")</f>
        <v xml:space="preserve"> агнит демонстрационный   образный  агнит   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агнит изготовлен из полосовой стали   аждая половина магнита должна окрашена в разный цвет   омплектность   агнит   образный 78 60 29 мм   1 шт    тальная пластина   1 шт </v>
      </c>
    </row>
    <row r="939" spans="1:8" ht="38.25" x14ac:dyDescent="0.2">
      <c r="A939" s="31" t="s">
        <v>2075</v>
      </c>
      <c r="B939" s="27" t="s">
        <v>2076</v>
      </c>
      <c r="C939" s="27" t="s">
        <v>2077</v>
      </c>
      <c r="D939" s="33" t="s">
        <v>14</v>
      </c>
      <c r="E939" s="34">
        <v>2</v>
      </c>
      <c r="F939" s="35">
        <v>0.3</v>
      </c>
      <c r="G939" s="10">
        <v>5226</v>
      </c>
      <c r="H939" s="30" t="str">
        <f ca="1">IFERROR(__xludf.DUMMYFUNCTION("LOWER(REGEXREPLACE(B939&amp;"" ""&amp;C939,""[^а-яa-z0-9 ]"","" ""))")," агнит демонстрационный полосовой  агниты должны быть изготовлены из ферромагнитного вещества   оловины магнита должны обозначены красной и синей термоусадочной пленкой или краской ")</f>
        <v xml:space="preserve"> агнит демонстрационный полосовой  агниты должны быть изготовлены из ферромагнитного вещества   оловины магнита должны обозначены красной и синей термоусадочной пленкой или краской </v>
      </c>
    </row>
    <row r="940" spans="1:8" ht="12.75" x14ac:dyDescent="0.2">
      <c r="A940" s="31" t="s">
        <v>2078</v>
      </c>
      <c r="B940" s="27" t="s">
        <v>2079</v>
      </c>
      <c r="C940" s="27"/>
      <c r="D940" s="33" t="s">
        <v>14</v>
      </c>
      <c r="E940" s="9"/>
      <c r="F940" s="32"/>
      <c r="G940" s="10"/>
      <c r="H940" s="30" t="str">
        <f ca="1">IFERROR(__xludf.DUMMYFUNCTION("LOWER(REGEXREPLACE(B940&amp;"" ""&amp;C940,""[^а-яa-z0-9 ]"","" ""))")," анометр ")</f>
        <v xml:space="preserve"> анометр </v>
      </c>
    </row>
    <row r="941" spans="1:8" ht="63.75" x14ac:dyDescent="0.2">
      <c r="A941" s="31" t="s">
        <v>2080</v>
      </c>
      <c r="B941" s="27" t="s">
        <v>2081</v>
      </c>
      <c r="C941" s="27" t="s">
        <v>2082</v>
      </c>
      <c r="D941" s="33" t="s">
        <v>1506</v>
      </c>
      <c r="E941" s="34">
        <v>2</v>
      </c>
      <c r="F941" s="36">
        <v>1.65</v>
      </c>
      <c r="G941" s="10">
        <v>26805</v>
      </c>
      <c r="H941" s="30" t="str">
        <f ca="1">IFERROR(__xludf.DUMMYFUNCTION("LOWER(REGEXREPLACE(B941&amp;"" ""&amp;C941,""[^а-яa-z0-9 ]"","" ""))")," рибор с манометром для исследования газовых законов типа  xperia     014  омплектация   кейс с крышкой   1шт    лоток со вставкой   1шт  пластиковый стакан   1 шт   шприц 1 шт  встроенный в стакан   1 шт   фиксатор металлический   1 шт   зажим   1 шт   м"&amp;"анометр демонстрационный   1 шт   тройник   1 шт   трубки силиконовые  внутренний диаметр 4 мм  длина 13 см    2 шт   трубка силиконовая    1 шт   руководство по эксплуатации   1 шт ")</f>
        <v xml:space="preserve"> рибор с манометром для исследования газовых законов типа  xperia     014  омплектация   кейс с крышкой   1шт    лоток со вставкой   1шт  пластиковый стакан   1 шт   шприц 1 шт  встроенный в стакан   1 шт   фиксатор металлический   1 шт   зажим   1 шт   манометр демонстрационный   1 шт   тройник   1 шт   трубки силиконовые  внутренний диаметр 4 мм  длина 13 см    2 шт   трубка силиконовая    1 шт   руководство по эксплуатации   1 шт </v>
      </c>
    </row>
    <row r="942" spans="1:8" ht="89.25" x14ac:dyDescent="0.2">
      <c r="A942" s="31" t="s">
        <v>2083</v>
      </c>
      <c r="B942" s="27" t="s">
        <v>2084</v>
      </c>
      <c r="C942" s="27" t="s">
        <v>2085</v>
      </c>
      <c r="D942" s="33" t="s">
        <v>14</v>
      </c>
      <c r="E942" s="34">
        <v>2</v>
      </c>
      <c r="F942" s="35">
        <v>0.2</v>
      </c>
      <c r="G942" s="10">
        <v>3625</v>
      </c>
      <c r="H942" s="30" t="str">
        <f ca="1">IFERROR(__xludf.DUMMYFUNCTION("LOWER(REGEXREPLACE(B942&amp;"" ""&amp;C942,""[^а-яa-z0-9 ]"","" ""))")," анометр жидкостной демонстрационный  анометр открытый демонстрационный предназначен для измерения давления до 0 004   а  а также изменения давлений при различных демонстрационных опытах   рибор представляет собой   образную стеклянную трубку  укрепленную"&amp;" на стойке со шкалой с делениями через 5 мм и нулем по середине   зади стойки закреплен пластмассовый тройник и муфта с винтом для крепления манометра    прибору прилагается резиновая трубка   омплектация   анометр на стойке   1 шт   тройник   1 шт   труб"&amp;"ка резиновая   1 шт ")</f>
        <v xml:space="preserve"> анометр жидкостной демонстрационный  анометр открытый демонстрационный предназначен для измерения давления до 0 004   а  а также изменения давлений при различных демонстрационных опытах   рибор представляет собой   образную стеклянную трубку  укрепленную на стойке со шкалой с делениями через 5 мм и нулем по середине   зади стойки закреплен пластмассовый тройник и муфта с винтом для крепления манометра    прибору прилагается резиновая трубка   омплектация   анометр на стойке   1 шт   тройник   1 шт   трубка резиновая   1 шт </v>
      </c>
    </row>
    <row r="943" spans="1:8" ht="89.25" x14ac:dyDescent="0.2">
      <c r="A943" s="31" t="s">
        <v>2086</v>
      </c>
      <c r="B943" s="27" t="s">
        <v>2087</v>
      </c>
      <c r="C943" s="27" t="s">
        <v>2088</v>
      </c>
      <c r="D943" s="33" t="s">
        <v>14</v>
      </c>
      <c r="E943" s="34">
        <v>2</v>
      </c>
      <c r="F943" s="34">
        <v>3</v>
      </c>
      <c r="G943" s="10">
        <v>27350</v>
      </c>
      <c r="H943" s="30" t="str">
        <f ca="1">IFERROR(__xludf.DUMMYFUNCTION("LOWER(REGEXREPLACE(B943&amp;"" ""&amp;C943,""[^а-яa-z0-9 ]"","" ""))")," енератор  имшурста  рибор предназначен для проведения демонстрационных опытов по курсу   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г"&amp;"енераторов и т д   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 ")</f>
        <v xml:space="preserve"> енератор  имшурста  рибор предназначен для проведения демонстрационных опытов по курсу   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 д   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 </v>
      </c>
    </row>
    <row r="944" spans="1:8" ht="12.75" x14ac:dyDescent="0.2">
      <c r="A944" s="31" t="s">
        <v>2089</v>
      </c>
      <c r="B944" s="27" t="s">
        <v>2090</v>
      </c>
      <c r="C944" s="27"/>
      <c r="D944" s="33" t="s">
        <v>1506</v>
      </c>
      <c r="E944" s="9"/>
      <c r="F944" s="32"/>
      <c r="G944" s="10"/>
      <c r="H944" s="30" t="str">
        <f ca="1">IFERROR(__xludf.DUMMYFUNCTION("LOWER(REGEXREPLACE(B944&amp;"" ""&amp;C944,""[^а-яa-z0-9 ]"","" ""))")," абор из 5 шаров маятников со штативом ")</f>
        <v xml:space="preserve"> абор из 5 шаров маятников со штативом </v>
      </c>
    </row>
    <row r="945" spans="1:8" ht="51" x14ac:dyDescent="0.2">
      <c r="A945" s="31" t="s">
        <v>2091</v>
      </c>
      <c r="B945" s="27" t="s">
        <v>2092</v>
      </c>
      <c r="C945" s="27" t="s">
        <v>2093</v>
      </c>
      <c r="D945" s="33" t="s">
        <v>1506</v>
      </c>
      <c r="E945" s="34">
        <v>2</v>
      </c>
      <c r="F945" s="36">
        <v>0.65</v>
      </c>
      <c r="G945" s="10">
        <v>4049</v>
      </c>
      <c r="H945" s="30" t="str">
        <f ca="1">IFERROR(__xludf.DUMMYFUNCTION("LOWER(REGEXREPLACE(B945&amp;"" ""&amp;C945,""[^а-яa-z0-9 ]"","" ""))")," абор из 5 шаров  омплектность  шарик металлический диаметом 24 мм   1 шт   шарики металлические диаметром 16 мм   2 шт   шарик металлический диаметром 12 мм   1 шт   шарик пластмассовый диаметром 20 мм   1 шт   магнитные подвесы   2 шт   руководство по э"&amp;"ксплуатации   1 шт ")</f>
        <v xml:space="preserve"> абор из 5 шаров  омплектность  шарик металлический диаметом 24 мм   1 шт   шарики металлические диаметром 16 мм   2 шт   шарик металлический диаметром 12 мм   1 шт   шарик пластмассовый диаметром 20 мм   1 шт   магнитные подвесы   2 шт   руководство по эксплуатации   1 шт </v>
      </c>
    </row>
    <row r="946" spans="1:8" ht="63.75" x14ac:dyDescent="0.2">
      <c r="A946" s="31" t="s">
        <v>2094</v>
      </c>
      <c r="B946" s="27" t="s">
        <v>2090</v>
      </c>
      <c r="C946" s="27" t="s">
        <v>2095</v>
      </c>
      <c r="D946" s="33" t="s">
        <v>1506</v>
      </c>
      <c r="E946" s="34">
        <v>2</v>
      </c>
      <c r="F946" s="35">
        <v>0.3</v>
      </c>
      <c r="G946" s="10">
        <v>10370</v>
      </c>
      <c r="H946" s="30" t="str">
        <f ca="1">IFERROR(__xludf.DUMMYFUNCTION("LOWER(REGEXREPLACE(B946&amp;"" ""&amp;C946,""[^а-яa-z0-9 ]"","" ""))")," абор из 5 шаров маятников со штативом  остоит из 3 металлических и 2 пластмассовых шариков разного диаметра   аждый шарик имеет отверстие для закрепления нити   оделирование маятников производится на штативе  состоящем из металлической подставки  металли"&amp;"ческой стойки  алюминиевой муфты и металлического стержня")</f>
        <v xml:space="preserve"> абор из 5 шаров маятников со штативом  остоит из 3 металлических и 2 пластмассовых шариков разного диаметра   аждый шарик имеет отверстие для закрепления нити   оделирование маятников производится на штативе  состоящем из металлической подставки  металлической стойки  алюминиевой муфты и металлического стержня</v>
      </c>
    </row>
    <row r="947" spans="1:8" ht="12.75" x14ac:dyDescent="0.2">
      <c r="A947" s="31" t="s">
        <v>2096</v>
      </c>
      <c r="B947" s="27" t="s">
        <v>2097</v>
      </c>
      <c r="C947" s="27"/>
      <c r="D947" s="33" t="s">
        <v>1506</v>
      </c>
      <c r="E947" s="9"/>
      <c r="F947" s="32"/>
      <c r="G947" s="10"/>
      <c r="H947" s="30" t="str">
        <f ca="1">IFERROR(__xludf.DUMMYFUNCTION("LOWER(REGEXREPLACE(B947&amp;"" ""&amp;C947,""[^а-яa-z0-9 ]"","" ""))")," абор капилляров ")</f>
        <v xml:space="preserve"> абор капилляров </v>
      </c>
    </row>
    <row r="948" spans="1:8" ht="51" x14ac:dyDescent="0.2">
      <c r="A948" s="31" t="s">
        <v>2098</v>
      </c>
      <c r="B948" s="27" t="s">
        <v>2099</v>
      </c>
      <c r="C948" s="27" t="s">
        <v>2100</v>
      </c>
      <c r="D948" s="33" t="s">
        <v>1506</v>
      </c>
      <c r="E948" s="34">
        <v>2</v>
      </c>
      <c r="F948" s="35">
        <v>0.2</v>
      </c>
      <c r="G948" s="10">
        <v>6071</v>
      </c>
      <c r="H948" s="30" t="str">
        <f ca="1">IFERROR(__xludf.DUMMYFUNCTION("LOWER(REGEXREPLACE(B948&amp;"" ""&amp;C948,""[^а-яa-z0-9 ]"","" ""))")," абор капилярных трубок лабораторных  редназначены для демонстрации капиллярных явлений в трубках разного диаметра   рибор состоит из набора стеклянных сообщающихся сосудов разного диаметра  закрепленных на общей пластмассовой подставке   лина капиллярных"&amp;" трубок 80мм")</f>
        <v xml:space="preserve"> абор капилярных трубок лабораторных  редназначены для демонстрации капиллярных явлений в трубках разного диаметра   рибор состоит из набора стеклянных сообщающихся сосудов разного диаметра  закрепленных на общей пластмассовой подставке   лина капиллярных трубок 80мм</v>
      </c>
    </row>
    <row r="949" spans="1:8" ht="25.5" x14ac:dyDescent="0.2">
      <c r="A949" s="31" t="s">
        <v>2101</v>
      </c>
      <c r="B949" s="27" t="s">
        <v>2102</v>
      </c>
      <c r="C949" s="27" t="s">
        <v>2103</v>
      </c>
      <c r="D949" s="33" t="s">
        <v>1506</v>
      </c>
      <c r="E949" s="9"/>
      <c r="F949" s="37">
        <v>0.192</v>
      </c>
      <c r="G949" s="10">
        <v>2339</v>
      </c>
      <c r="H949" s="30" t="str">
        <f ca="1">IFERROR(__xludf.DUMMYFUNCTION("LOWER(REGEXREPLACE(B949&amp;"" ""&amp;C949,""[^а-яa-z0-9 ]"","" ""))")," абор резисторов   наборе имеется три проволочных резистора сопротивлением 5  hm 1 5   10  hm 1  и 15  hm 0 6  ")</f>
        <v xml:space="preserve"> абор резисторов   наборе имеется три проволочных резистора сопротивлением 5  hm 1 5   10  hm 1  и 15  hm 0 6  </v>
      </c>
    </row>
    <row r="950" spans="1:8" ht="25.5" x14ac:dyDescent="0.2">
      <c r="A950" s="31" t="s">
        <v>2104</v>
      </c>
      <c r="B950" s="27" t="s">
        <v>2105</v>
      </c>
      <c r="C950" s="27"/>
      <c r="D950" s="33" t="s">
        <v>14</v>
      </c>
      <c r="E950" s="9"/>
      <c r="F950" s="32"/>
      <c r="G950" s="10"/>
      <c r="H950" s="30" t="str">
        <f ca="1">IFERROR(__xludf.DUMMYFUNCTION("LOWER(REGEXREPLACE(B950&amp;"" ""&amp;C950,""[^а-яa-z0-9 ]"","" ""))")," рибор для измерения и демонстрации физических явлений ")</f>
        <v xml:space="preserve"> рибор для измерения и демонстрации физических явлений </v>
      </c>
    </row>
    <row r="951" spans="1:8" ht="76.5" x14ac:dyDescent="0.2">
      <c r="A951" s="31" t="s">
        <v>2106</v>
      </c>
      <c r="B951" s="27" t="s">
        <v>2107</v>
      </c>
      <c r="C951" s="27" t="s">
        <v>2108</v>
      </c>
      <c r="D951" s="33" t="s">
        <v>14</v>
      </c>
      <c r="E951" s="34">
        <v>2</v>
      </c>
      <c r="F951" s="35">
        <v>0.5</v>
      </c>
      <c r="G951" s="10">
        <v>4678</v>
      </c>
      <c r="H951" s="30" t="str">
        <f ca="1">IFERROR(__xludf.DUMMYFUNCTION("LOWER(REGEXREPLACE(B951&amp;"" ""&amp;C951,""[^а-яa-z0-9 ]"","" ""))")," рибор для определения точки росы  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огда газ охлаждается  не имея контакта с жидкостью  содержа"&amp;"ние влаги в нем остается неизменным  но относительная влажность увеличивается  пока не достигнет 100   и влага не начнет конденсироваться   емпература в этот момент называется температурой точки росы ")</f>
        <v xml:space="preserve"> рибор для определения точки росы  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емпература в этот момент называется температурой точки росы </v>
      </c>
    </row>
    <row r="952" spans="1:8" ht="89.25" x14ac:dyDescent="0.2">
      <c r="A952" s="31" t="s">
        <v>2109</v>
      </c>
      <c r="B952" s="27" t="s">
        <v>2110</v>
      </c>
      <c r="C952" s="27" t="s">
        <v>2111</v>
      </c>
      <c r="D952" s="33" t="s">
        <v>68</v>
      </c>
      <c r="E952" s="34">
        <v>2</v>
      </c>
      <c r="F952" s="35">
        <v>0.6</v>
      </c>
      <c r="G952" s="10">
        <v>24890</v>
      </c>
      <c r="H952" s="30" t="str">
        <f ca="1">IFERROR(__xludf.DUMMYFUNCTION("LOWER(REGEXREPLACE(B952&amp;"" ""&amp;C952,""[^а-яa-z0-9 ]"","" ""))")," рибор для демонстрации возникновения электродвижущей силы в магнитном поле  омплектность и устройство комплект входят     рамка с медным проводом в сборе   1 шт      цилиндрические магниты редкоземельные   2 шт      руководство по эксплуатации   1 шт   в"&amp;"а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стор"&amp;"оны закреплены магниты противоположными полюсами навстречу друг другу ")</f>
        <v xml:space="preserve"> рибор для демонстрации возникновения электродвижущей силы в магнитном поле  омплектность и устройство комплект входят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 друг другу </v>
      </c>
    </row>
    <row r="953" spans="1:8" ht="76.5" x14ac:dyDescent="0.2">
      <c r="A953" s="31" t="s">
        <v>2112</v>
      </c>
      <c r="B953" s="27" t="s">
        <v>2113</v>
      </c>
      <c r="C953" s="27" t="s">
        <v>2114</v>
      </c>
      <c r="D953" s="33" t="s">
        <v>14</v>
      </c>
      <c r="E953" s="34">
        <v>2</v>
      </c>
      <c r="F953" s="36">
        <v>0.12</v>
      </c>
      <c r="G953" s="10">
        <v>8274</v>
      </c>
      <c r="H953" s="30" t="str">
        <f ca="1">IFERROR(__xludf.DUMMYFUNCTION("LOWER(REGEXREPLACE(B953&amp;"" ""&amp;C953,""[^а-яa-z0-9 ]"","" ""))")," ултан электрический  рибор состоит из двух одинаковых султанов с бумажными полосками или шелковыми нитями разного цвета   аждый султан изготовлен из металлического стержня  на одном конце которого ввинчены два металлических диска   ежду дисками зажаты то"&amp;"нкие бумажные полоски   о время опытов другой конец стержня вставляется в отверстие изолирующего штатива   ля работы необходима эбонитовая палочка ")</f>
        <v xml:space="preserve"> ултан электрический  рибор состоит из двух одинаковых султанов с бумажными полосками или шелковыми нитями разного цвета   аждый султан изготовлен из металлического стержня  на одном конце которого ввинчены два металлических диска   ежду дисками зажаты тонкие бумажные полоски   о время опытов другой конец стержня вставляется в отверстие изолирующего штатива   ля работы необходима эбонитовая палочка </v>
      </c>
    </row>
    <row r="954" spans="1:8" ht="76.5" x14ac:dyDescent="0.2">
      <c r="A954" s="31" t="s">
        <v>2115</v>
      </c>
      <c r="B954" s="27" t="s">
        <v>2116</v>
      </c>
      <c r="C954" s="27" t="s">
        <v>2117</v>
      </c>
      <c r="D954" s="33" t="s">
        <v>14</v>
      </c>
      <c r="E954" s="34">
        <v>2</v>
      </c>
      <c r="F954" s="35">
        <v>1.3</v>
      </c>
      <c r="G954" s="10">
        <v>33728</v>
      </c>
      <c r="H954" s="30" t="str">
        <f ca="1">IFERROR(__xludf.DUMMYFUNCTION("LOWER(REGEXREPLACE(B954&amp;"" ""&amp;C954,""[^а-яa-z0-9 ]"","" ""))")," рибор для демонстрации центробежной силы  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рибор позволяет продемонстрировать  ви"&amp;"ды движения  движение по инерции и действие сил центростремительную силу устойчивое равновесие принцип минимума потенциальной энергии превращения энергии закон сохранения механической энергии ")</f>
        <v xml:space="preserve"> рибор для демонстрации центробежной силы  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рибор позволяет продемонстрировать  виды движения  движение по инерции и действие сил центростремительную силу устойчивое равновесие принцип минимума потенциальной энергии превращения энергии закон сохранения механической энергии </v>
      </c>
    </row>
    <row r="955" spans="1:8" ht="63.75" x14ac:dyDescent="0.2">
      <c r="A955" s="31" t="s">
        <v>2118</v>
      </c>
      <c r="B955" s="27" t="s">
        <v>2119</v>
      </c>
      <c r="C955" s="27" t="s">
        <v>2120</v>
      </c>
      <c r="D955" s="33" t="s">
        <v>14</v>
      </c>
      <c r="E955" s="34">
        <v>2</v>
      </c>
      <c r="F955" s="36">
        <v>0.21</v>
      </c>
      <c r="G955" s="10">
        <v>8544</v>
      </c>
      <c r="H955" s="30" t="str">
        <f ca="1">IFERROR(__xludf.DUMMYFUNCTION("LOWER(REGEXREPLACE(B955&amp;"" ""&amp;C955,""[^а-яa-z0-9 ]"","" ""))")," вонок электрический  рибор предназначен для демонстрации устройства и принципа действия электрического звонка   вонок смонтирован на пластмассовой панели так  что хорошо видны все детали звонка   ля регулировки амплитуды колебания ударника звонка предусм"&amp;"отрен винт с контргайкой   анель со звонком может быть установлена на экран оверхед проектора или закреплена в прилагаемой подставке ")</f>
        <v xml:space="preserve"> вонок электрический  рибор предназначен для демонстрации устройства и принципа действия электрического звонка   вонок смонтирован на пластмассовой панели так  что хорошо видны все детали звонка   ля регулировки амплитуды колебания ударника звонка предусмотрен винт с контргайкой   анель со звонком может быть установлена на экран оверхед проектора или закреплена в прилагаемой подставке </v>
      </c>
    </row>
    <row r="956" spans="1:8" ht="25.5" x14ac:dyDescent="0.2">
      <c r="A956" s="31" t="s">
        <v>2121</v>
      </c>
      <c r="B956" s="27" t="s">
        <v>2122</v>
      </c>
      <c r="C956" s="27" t="s">
        <v>2123</v>
      </c>
      <c r="D956" s="33" t="s">
        <v>14</v>
      </c>
      <c r="E956" s="34">
        <v>2</v>
      </c>
      <c r="F956" s="35">
        <v>0.3</v>
      </c>
      <c r="G956" s="10">
        <v>9713</v>
      </c>
      <c r="H956" s="30" t="str">
        <f ca="1">IFERROR(__xludf.DUMMYFUNCTION("LOWER(REGEXREPLACE(B956&amp;"" ""&amp;C956,""[^а-яa-z0-9 ]"","" ""))")," рибор для демонстрации магнитного поля с земли  рибор закреплен на небольшой подставке  в его состав также входит резистор  компас и катушки с 6 витками проволоки   0 21м ")</f>
        <v xml:space="preserve"> рибор для демонстрации магнитного поля с земли  рибор закреплен на небольшой подставке  в его состав также входит резистор  компас и катушки с 6 витками проволоки   0 21м </v>
      </c>
    </row>
    <row r="957" spans="1:8" ht="114.75" x14ac:dyDescent="0.2">
      <c r="A957" s="31" t="s">
        <v>2124</v>
      </c>
      <c r="B957" s="27" t="s">
        <v>2125</v>
      </c>
      <c r="C957" s="27" t="s">
        <v>2126</v>
      </c>
      <c r="D957" s="33" t="s">
        <v>14</v>
      </c>
      <c r="E957" s="34">
        <v>2</v>
      </c>
      <c r="F957" s="35">
        <v>0.2</v>
      </c>
      <c r="G957" s="10">
        <v>12748</v>
      </c>
      <c r="H957" s="30" t="str">
        <f ca="1">IFERROR(__xludf.DUMMYFUNCTION("LOWER(REGEXREPLACE(B957&amp;"" ""&amp;C957,""[^а-яa-z0-9 ]"","" ""))")," рибор для демонстрации взоимодействие паралельных токов  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рел"&amp;"ьсы  и  легкого пластмассового шарика  покрытого графитом   а пластины через разъемы слоты и контакты подается постоянное высокое напряжение   рибор  устанавливают на демонстрационном столе подключая его к источнику тока соединительными проводами с зажима"&amp;"ми типа  крокодил    омплектность   латформа   1 шт    пластины   2 шт   стеклянные палочки со стопорными кольцами   рельсы   2 шт    шарик   1 шт ")</f>
        <v xml:space="preserve"> рибор для демонстрации взоимодействие паралельных токов  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а пластины через разъемы слоты и контакты подается постоянное высокое напряжение   рибор  устанавливают на демонстрационном столе подключая его к источнику тока соединительными проводами с зажимами типа  крокодил    омплектность   латформа   1 шт    пластины   2 шт   стеклянные палочки со стопорными кольцами   рельсы   2 шт    шарик   1 шт </v>
      </c>
    </row>
    <row r="958" spans="1:8" ht="89.25" x14ac:dyDescent="0.2">
      <c r="A958" s="31" t="s">
        <v>2127</v>
      </c>
      <c r="B958" s="27" t="s">
        <v>2128</v>
      </c>
      <c r="C958" s="27" t="s">
        <v>2129</v>
      </c>
      <c r="D958" s="33" t="s">
        <v>14</v>
      </c>
      <c r="E958" s="34">
        <v>2</v>
      </c>
      <c r="F958" s="35">
        <v>6.4</v>
      </c>
      <c r="G958" s="10">
        <v>88445</v>
      </c>
      <c r="H958" s="30" t="str">
        <f ca="1">IFERROR(__xludf.DUMMYFUNCTION("LOWER(REGEXREPLACE(B958&amp;"" ""&amp;C958,""[^а-яa-z0-9 ]"","" ""))")," рибор для демонстрации свободного падения тел  редназначен для демонстрации свободного движения тел в воздухе под действием силы тяжести   ысота прибора 1200 мм  диаметр стального шарика 18мм   рибор используется с фотоэлементом  входящим в комплект комп"&amp;"ьютерных измерительных приборов по физике   рибор состоит из катушки и магнитопровода   атушка выполнена из медного провода  намотанного на стержень магнитопровода и двух изоляционных щечек   агнитопровод состоит из стержня  пластины и наружного цилиндра ")</f>
        <v xml:space="preserve"> рибор для демонстрации свободного падения тел  редназначен для демонстрации свободного движения тел в воздухе под действием силы тяжести   ысота прибора 1200 мм  диаметр стального шарика 18мм   рибор используется с фотоэлементом  входящим в комплект компьютерных измерительных приборов по физике   рибор состоит из катушки и магнитопровода   атушка выполнена из медного провода  намотанного на стержень магнитопровода и двух изоляционных щечек   агнитопровод состоит из стержня  пластины и наружного цилиндра </v>
      </c>
    </row>
    <row r="959" spans="1:8" ht="63.75" x14ac:dyDescent="0.2">
      <c r="A959" s="31" t="s">
        <v>2130</v>
      </c>
      <c r="B959" s="27" t="s">
        <v>2131</v>
      </c>
      <c r="C959" s="27" t="s">
        <v>2132</v>
      </c>
      <c r="D959" s="33" t="s">
        <v>14</v>
      </c>
      <c r="E959" s="34">
        <v>2</v>
      </c>
      <c r="F959" s="36">
        <v>0.25</v>
      </c>
      <c r="G959" s="10">
        <v>12055</v>
      </c>
      <c r="H959" s="30" t="str">
        <f ca="1">IFERROR(__xludf.DUMMYFUNCTION("LOWER(REGEXREPLACE(B959&amp;"" ""&amp;C959,""[^а-яa-z0-9 ]"","" ""))")," рибор для демонстрации вынужденных колебаний  рибор предназначен для демонстрации вынужденных колебаний и затухания свободных колебаний при изучении физики   омплектность  планка с тремя магнитными подвесами разной длины   1 шт   стержень металлический  "&amp;" 1 шт   шарики металлические   3 шт   шарики пластмассовые   3 шт   цилиндры поролоновые с боковыми прорезями   3 шт   руководство по эксплуатации   1 шт ")</f>
        <v xml:space="preserve"> рибор для демонстрации вынужденных колебаний  рибор предназначен для демонстрации вынужденных колебаний и затухания свободных колебаний при изучении физики   омплектность  планка с тремя магнитными подвесами разной длины   1 шт   стержень металлический   1 шт   шарики металлические   3 шт   шарики пластмассовые   3 шт   цилиндры поролоновые с боковыми прорезями   3 шт   руководство по эксплуатации   1 шт </v>
      </c>
    </row>
    <row r="960" spans="1:8" ht="114.75" x14ac:dyDescent="0.2">
      <c r="A960" s="31" t="s">
        <v>2133</v>
      </c>
      <c r="B960" s="27" t="s">
        <v>2134</v>
      </c>
      <c r="C960" s="27" t="s">
        <v>2135</v>
      </c>
      <c r="D960" s="33" t="s">
        <v>14</v>
      </c>
      <c r="E960" s="34">
        <v>2</v>
      </c>
      <c r="F960" s="36">
        <v>0.86</v>
      </c>
      <c r="G960" s="10">
        <v>16893</v>
      </c>
      <c r="H960" s="30" t="str">
        <f ca="1">IFERROR(__xludf.DUMMYFUNCTION("LOWER(REGEXREPLACE(B960&amp;"" ""&amp;C960,""[^а-яa-z0-9 ]"","" ""))")," рибор для демонстрации вращения рамки в магнитном поле  омплектность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кон"&amp;"тактами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навстречу"&amp;" друг другу   ля проведения демонстраций необходимы источник постоянного напряжения до 6    гальванометр или микроамперметр  провода ")</f>
        <v xml:space="preserve"> рибор для демонстрации вращения рамки в магнитном поле  омплектность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 друг другу   ля проведения демонстраций необходимы источник постоянного напряжения до 6    гальванометр или микроамперметр  провода </v>
      </c>
    </row>
    <row r="961" spans="1:8" ht="12.75" x14ac:dyDescent="0.2">
      <c r="A961" s="31" t="s">
        <v>2136</v>
      </c>
      <c r="B961" s="27" t="s">
        <v>2137</v>
      </c>
      <c r="C961" s="27"/>
      <c r="D961" s="33" t="s">
        <v>14</v>
      </c>
      <c r="E961" s="9"/>
      <c r="F961" s="32"/>
      <c r="G961" s="10"/>
      <c r="H961" s="30" t="str">
        <f ca="1">IFERROR(__xludf.DUMMYFUNCTION("LOWER(REGEXREPLACE(B961&amp;"" ""&amp;C961,""[^а-яa-z0-9 ]"","" ""))")," еостат ползунковый ")</f>
        <v xml:space="preserve"> еостат ползунковый </v>
      </c>
    </row>
    <row r="962" spans="1:8" ht="51" x14ac:dyDescent="0.2">
      <c r="A962" s="31" t="s">
        <v>2138</v>
      </c>
      <c r="B962" s="27" t="s">
        <v>2137</v>
      </c>
      <c r="C962" s="27" t="s">
        <v>2139</v>
      </c>
      <c r="D962" s="33" t="s">
        <v>14</v>
      </c>
      <c r="E962" s="34">
        <v>2</v>
      </c>
      <c r="F962" s="37">
        <v>3.4950000000000001</v>
      </c>
      <c r="G962" s="10">
        <v>4690</v>
      </c>
      <c r="H962" s="30" t="str">
        <f ca="1">IFERROR(__xludf.DUMMYFUNCTION("LOWER(REGEXREPLACE(B962&amp;"" ""&amp;C962,""[^а-яa-z0-9 ]"","" ""))")," еостат ползунковый  олное сопротивление реостата 100  м   аксимальный ток нагрузки  не более 10 мин       0 7   рибор представляет собой проволочное переменное сопротивление на керамическом каркасе  выводы которого подключены к универсальным зажимам на п"&amp;"ластмассовом корпусе ")</f>
        <v xml:space="preserve"> еостат ползунковый  олное сопротивление реостата 100  м   аксимальный ток нагрузки  не более 10 мин       0 7   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 </v>
      </c>
    </row>
    <row r="963" spans="1:8" ht="76.5" x14ac:dyDescent="0.2">
      <c r="A963" s="31" t="s">
        <v>2140</v>
      </c>
      <c r="B963" s="27" t="s">
        <v>2141</v>
      </c>
      <c r="C963" s="27" t="s">
        <v>2142</v>
      </c>
      <c r="D963" s="33" t="s">
        <v>1506</v>
      </c>
      <c r="E963" s="34">
        <v>2</v>
      </c>
      <c r="F963" s="35">
        <v>3.6</v>
      </c>
      <c r="G963" s="10">
        <v>44912</v>
      </c>
      <c r="H963" s="30" t="str">
        <f ca="1">IFERROR(__xludf.DUMMYFUNCTION("LOWER(REGEXREPLACE(B963&amp;"" ""&amp;C963,""[^а-яa-z0-9 ]"","" ""))")," абор реостатов ползунковых с роликовыми контактами   состав набора входят 5 реостатов   1  0 5  м  сила тока 3     абаритные размеры  не менее 175х45х65мм   2  0 10  м  сила тока  2     абаритные размеры  не менее 175х45х65мм   3  0 50  м  сила тока  1 5"&amp;"     абаритные размеры  не менее 225х70х100мм  4  0 200  м  сила тока 1 5     абаритные размеры  не менее 280х90х150мм   5  0 1750  м  сила тока 1 5     абаритные размеры  не менее 360х90х150мм")</f>
        <v xml:space="preserve"> абор реостатов ползунковых с роликовыми контактами   состав набора входят 5 реостатов   1  0 5  м  сила тока 3     абаритные размеры  не менее 175х45х65мм   2  0 10  м  сила тока  2     абаритные размеры  не менее 175х45х65мм   3  0 50  м  сила тока  1 5     абаритные размеры  не менее 225х70х100мм  4  0 200  м  сила тока 1 5     абаритные размеры  не менее 280х90х150мм   5  0 1750  м  сила тока 1 5     абаритные размеры  не менее 360х90х150мм</v>
      </c>
    </row>
    <row r="964" spans="1:8" ht="51" x14ac:dyDescent="0.2">
      <c r="A964" s="31" t="s">
        <v>2143</v>
      </c>
      <c r="B964" s="27" t="s">
        <v>2144</v>
      </c>
      <c r="C964" s="27" t="s">
        <v>2145</v>
      </c>
      <c r="D964" s="33" t="s">
        <v>14</v>
      </c>
      <c r="E964" s="34">
        <v>2</v>
      </c>
      <c r="F964" s="37">
        <v>0.16300000000000001</v>
      </c>
      <c r="G964" s="10">
        <v>12815</v>
      </c>
      <c r="H964" s="30" t="str">
        <f ca="1">IFERROR(__xludf.DUMMYFUNCTION("LOWER(REGEXREPLACE(B964&amp;"" ""&amp;C964,""[^а-яa-z0-9 ]"","" ""))")," еостат демонстрационный 50  м  1 5   еостат 50  м  1 5    редназначен для плавной регулировки токовых режимов в электрических цепях   еостат представляет собой керамическую трубу  на которую намотана константановая проволока   руба установлена между плас"&amp;"тмассовых щек и стянута с ними стяжной шпилькой ")</f>
        <v xml:space="preserve"> еостат демонстрационный 50  м  1 5   еостат 50  м  1 5    редназначен для плавной регулировки токовых режимов в электрических цепях   еостат представляет собой керамическую трубу  на которую намотана константановая проволока   руба установлена между пластмассовых щек и стянута с ними стяжной шпилькой </v>
      </c>
    </row>
    <row r="965" spans="1:8" ht="51" x14ac:dyDescent="0.2">
      <c r="A965" s="31" t="s">
        <v>2146</v>
      </c>
      <c r="B965" s="27" t="s">
        <v>2147</v>
      </c>
      <c r="C965" s="27" t="s">
        <v>2148</v>
      </c>
      <c r="D965" s="33" t="s">
        <v>14</v>
      </c>
      <c r="E965" s="34">
        <v>2</v>
      </c>
      <c r="F965" s="35">
        <v>0.5</v>
      </c>
      <c r="G965" s="10">
        <v>11063</v>
      </c>
      <c r="H965" s="30" t="str">
        <f ca="1">IFERROR(__xludf.DUMMYFUNCTION("LOWER(REGEXREPLACE(B965&amp;"" ""&amp;C965,""[^а-яa-z0-9 ]"","" ""))")," етка  ольбе  а изолирующих подставках  от одной до тр х  в зависимости от модификации прибора  укреплена гибкая металлическая  первоначально   медная  широкая сетчатая лента  на которой с обеих сторон подвешены диэлектрические листочки ")</f>
        <v xml:space="preserve"> етка  ольбе  а изолирующих подставках  от одной до тр х  в зависимости от модификации прибора  укреплена гибкая металлическая  первоначально   медная  широкая сетчатая лента  на которой с обеих сторон подвешены диэлектрические листочки </v>
      </c>
    </row>
    <row r="966" spans="1:8" ht="12.75" x14ac:dyDescent="0.2">
      <c r="A966" s="31" t="s">
        <v>2149</v>
      </c>
      <c r="B966" s="27" t="s">
        <v>2150</v>
      </c>
      <c r="C966" s="27"/>
      <c r="D966" s="33" t="s">
        <v>1506</v>
      </c>
      <c r="E966" s="9"/>
      <c r="F966" s="32"/>
      <c r="G966" s="10"/>
      <c r="H966" s="30" t="str">
        <f ca="1">IFERROR(__xludf.DUMMYFUNCTION("LOWER(REGEXREPLACE(B966&amp;"" ""&amp;C966,""[^а-яa-z0-9 ]"","" ""))")," осуды сообщающиеся ")</f>
        <v xml:space="preserve"> осуды сообщающиеся </v>
      </c>
    </row>
    <row r="967" spans="1:8" ht="89.25" x14ac:dyDescent="0.2">
      <c r="A967" s="31" t="s">
        <v>2151</v>
      </c>
      <c r="B967" s="27" t="s">
        <v>2150</v>
      </c>
      <c r="C967" s="27" t="s">
        <v>2152</v>
      </c>
      <c r="D967" s="33" t="s">
        <v>1506</v>
      </c>
      <c r="E967" s="34">
        <v>2</v>
      </c>
      <c r="F967" s="36">
        <v>0.15</v>
      </c>
      <c r="G967" s="10">
        <v>3591</v>
      </c>
      <c r="H967" s="30" t="str">
        <f ca="1">IFERROR(__xludf.DUMMYFUNCTION("LOWER(REGEXREPLACE(B967&amp;"" ""&amp;C967,""[^а-яa-z0-9 ]"","" ""))")," осуды сообщающиеся  редставляет собой набор прозрачных трубок  сосудов  разной формы  смонтированных на общем основании  коллекторе  с подставкой   онструкция должна обеспечивать поворот всей системы сообщающихся сосудов в вертикальной плоскости   ысота "&amp;"всех вертикальных трубок не менее 50 мм  длина горизонтальной трубки не менее 150 мм   азмеры вертикальной панели  на которой должна крепиться прозрачная пластина с сообщающимися сосудами  не менее 20х20 см ")</f>
        <v xml:space="preserve"> осуды сообщающиеся  редставляет собой набор прозрачных трубок  сосудов  разной формы  смонтированных на общем основании  коллекторе  с подставкой   онструкция должна обеспечивать поворот всей системы сообщающихся сосудов в вертикальной плоскости   ысота всех вертикальных трубок не менее 50 мм  длина горизонтальной трубки не менее 150 мм   азмеры вертикальной панели  на которой должна крепиться прозрачная пластина с сообщающимися сосудами  не менее 20х20 см </v>
      </c>
    </row>
    <row r="968" spans="1:8" ht="25.5" x14ac:dyDescent="0.2">
      <c r="A968" s="31" t="s">
        <v>2153</v>
      </c>
      <c r="B968" s="27" t="s">
        <v>2154</v>
      </c>
      <c r="C968" s="27" t="s">
        <v>2155</v>
      </c>
      <c r="D968" s="33" t="s">
        <v>14</v>
      </c>
      <c r="E968" s="34">
        <v>2</v>
      </c>
      <c r="F968" s="37">
        <v>1.5580000000000001</v>
      </c>
      <c r="G968" s="10">
        <v>9359</v>
      </c>
      <c r="H968" s="30" t="str">
        <f ca="1">IFERROR(__xludf.DUMMYFUNCTION("LOWER(REGEXREPLACE(B968&amp;"" ""&amp;C968,""[^а-яa-z0-9 ]"","" ""))")," толик подъемный  абочая поверхность столика  150 х 150 мм   аксимальная высота подъема  280мм ")</f>
        <v xml:space="preserve"> толик подъемный  абочая поверхность столика  150 х 150 мм   аксимальная высота подъема  280мм </v>
      </c>
    </row>
    <row r="969" spans="1:8" ht="12.75" x14ac:dyDescent="0.2">
      <c r="A969" s="31" t="s">
        <v>2156</v>
      </c>
      <c r="B969" s="27" t="s">
        <v>2157</v>
      </c>
      <c r="C969" s="27"/>
      <c r="D969" s="33" t="s">
        <v>14</v>
      </c>
      <c r="E969" s="34">
        <v>2</v>
      </c>
      <c r="F969" s="36">
        <v>0.06</v>
      </c>
      <c r="G969" s="10">
        <v>400</v>
      </c>
      <c r="H969" s="30" t="str">
        <f ca="1">IFERROR(__xludf.DUMMYFUNCTION("LOWER(REGEXREPLACE(B969&amp;"" ""&amp;C969,""[^а-яa-z0-9 ]"","" ""))")," ермометр жидкостной ")</f>
        <v xml:space="preserve"> ермометр жидкостной </v>
      </c>
    </row>
    <row r="970" spans="1:8" ht="12.75" x14ac:dyDescent="0.2">
      <c r="A970" s="31" t="s">
        <v>2158</v>
      </c>
      <c r="B970" s="27" t="s">
        <v>2159</v>
      </c>
      <c r="C970" s="27"/>
      <c r="D970" s="33" t="s">
        <v>14</v>
      </c>
      <c r="E970" s="9"/>
      <c r="F970" s="32"/>
      <c r="G970" s="10"/>
      <c r="H970" s="30" t="str">
        <f ca="1">IFERROR(__xludf.DUMMYFUNCTION("LOWER(REGEXREPLACE(B970&amp;"" ""&amp;C970,""[^а-яa-z0-9 ]"","" ""))")," ермометр спиртовой ")</f>
        <v xml:space="preserve"> ермометр спиртовой </v>
      </c>
    </row>
    <row r="971" spans="1:8" ht="38.25" x14ac:dyDescent="0.2">
      <c r="A971" s="31" t="s">
        <v>2160</v>
      </c>
      <c r="B971" s="8" t="s">
        <v>2161</v>
      </c>
      <c r="C971" s="27"/>
      <c r="D971" s="33" t="s">
        <v>14</v>
      </c>
      <c r="E971" s="34">
        <v>2</v>
      </c>
      <c r="F971" s="37">
        <v>1.4999999999999999E-2</v>
      </c>
      <c r="G971" s="10">
        <v>5431</v>
      </c>
      <c r="H971" s="30" t="str">
        <f ca="1">IFERROR(__xludf.DUMMYFUNCTION("LOWER(REGEXREPLACE(B971&amp;"" ""&amp;C971,""[^а-яa-z0-9 ]"","" ""))")," ермометр спиртовой   атериал  пластик  стекло   иапазон измерения  от  50 до  50    и от  60 до 120    ")</f>
        <v xml:space="preserve"> ермометр спиртовой   атериал  пластик  стекло   иапазон измерения  от  50 до  50    и от  60 до 120    </v>
      </c>
    </row>
    <row r="972" spans="1:8" ht="12.75" x14ac:dyDescent="0.2">
      <c r="A972" s="31" t="s">
        <v>2162</v>
      </c>
      <c r="B972" s="27" t="s">
        <v>2163</v>
      </c>
      <c r="C972" s="27"/>
      <c r="D972" s="33" t="s">
        <v>68</v>
      </c>
      <c r="E972" s="9"/>
      <c r="F972" s="32"/>
      <c r="G972" s="10"/>
      <c r="H972" s="30" t="str">
        <f ca="1">IFERROR(__xludf.DUMMYFUNCTION("LOWER(REGEXREPLACE(B972&amp;"" ""&amp;C972,""[^а-яa-z0-9 ]"","" ""))")," омплект цилиндров свинцовых со стругом ")</f>
        <v xml:space="preserve"> омплект цилиндров свинцовых со стругом </v>
      </c>
    </row>
    <row r="973" spans="1:8" ht="63.75" x14ac:dyDescent="0.2">
      <c r="A973" s="31" t="s">
        <v>2164</v>
      </c>
      <c r="B973" s="27" t="s">
        <v>2163</v>
      </c>
      <c r="C973" s="27" t="s">
        <v>2165</v>
      </c>
      <c r="D973" s="33" t="s">
        <v>68</v>
      </c>
      <c r="E973" s="34">
        <v>2</v>
      </c>
      <c r="F973" s="35">
        <v>0.3</v>
      </c>
      <c r="G973" s="10">
        <v>3014</v>
      </c>
      <c r="H973" s="30" t="str">
        <f ca="1">IFERROR(__xludf.DUMMYFUNCTION("LOWER(REGEXREPLACE(B973&amp;"" ""&amp;C973,""[^а-яa-z0-9 ]"","" ""))")," омплект цилиндров свинцовых со стругом  илиндры свинцовые со стругом   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рибор"&amp;" состоит из двух одинаковых цилиндров   аждый цилиндр имеет в верхней части отверстия  сквозь которые продета прочная нить для подвешивания прибора к штативу и грузов ")</f>
        <v xml:space="preserve"> омплект цилиндров свинцовых со стругом  илиндры свинцовые со стругом   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рибор состоит из двух одинаковых цилиндров   аждый цилиндр имеет в верхней части отверстия  сквозь которые продета прочная нить для подвешивания прибора к штативу и грузов </v>
      </c>
    </row>
    <row r="974" spans="1:8" ht="51" x14ac:dyDescent="0.2">
      <c r="A974" s="31" t="s">
        <v>2166</v>
      </c>
      <c r="B974" s="27" t="s">
        <v>2167</v>
      </c>
      <c r="C974" s="27" t="s">
        <v>2168</v>
      </c>
      <c r="D974" s="33" t="s">
        <v>14</v>
      </c>
      <c r="E974" s="34">
        <v>2</v>
      </c>
      <c r="F974" s="36">
        <v>0.34</v>
      </c>
      <c r="G974" s="10">
        <v>9967</v>
      </c>
      <c r="H974" s="30" t="str">
        <f ca="1">IFERROR(__xludf.DUMMYFUNCTION("LOWER(REGEXREPLACE(B974&amp;"" ""&amp;C974,""[^а-яa-z0-9 ]"","" ""))")," ар  аскаля  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ар соединяется с цилиндром посредством резьбы и может быть легко отд"&amp;"елен от него ")</f>
        <v xml:space="preserve"> ар  аскаля  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ар соединяется с цилиндром посредством резьбы и может быть легко отделен от него </v>
      </c>
    </row>
    <row r="975" spans="1:8" ht="63.75" x14ac:dyDescent="0.2">
      <c r="A975" s="31" t="s">
        <v>2169</v>
      </c>
      <c r="B975" s="27" t="s">
        <v>2170</v>
      </c>
      <c r="C975" s="27" t="s">
        <v>2171</v>
      </c>
      <c r="D975" s="33" t="s">
        <v>14</v>
      </c>
      <c r="E975" s="34">
        <v>2</v>
      </c>
      <c r="F975" s="35">
        <v>0.2</v>
      </c>
      <c r="G975" s="10">
        <v>7058</v>
      </c>
      <c r="H975" s="30" t="str">
        <f ca="1">IFERROR(__xludf.DUMMYFUNCTION("LOWER(REGEXREPLACE(B975&amp;"" ""&amp;C975,""[^а-яa-z0-9 ]"","" ""))")," ар с кольцом  рибор состоит из металлического шара диаметром до 30 мм   ар свободно проходит через кольцо при их одинаковой температуре  а при нагревании шара он застревает в кольце   ля демонстрации необходима спиртовка или драгой нагреватель   иаметр ш"&amp;"ара   24 мм   ысота стойки   300 мм   нутренний диаметр кольца   24 1 мм ")</f>
        <v xml:space="preserve"> ар с кольцом  рибор состоит из металлического шара диаметром до 30 мм   ар свободно проходит через кольцо при их одинаковой температуре  а при нагревании шара он застревает в кольце   ля демонстрации необходима спиртовка или драгой нагреватель   иаметр шара   24 мм   ысота стойки   300 мм   нутренний диаметр кольца   24 1 мм </v>
      </c>
    </row>
    <row r="976" spans="1:8" ht="12.75" x14ac:dyDescent="0.2">
      <c r="A976" s="31" t="s">
        <v>2172</v>
      </c>
      <c r="B976" s="27" t="s">
        <v>2173</v>
      </c>
      <c r="C976" s="27"/>
      <c r="D976" s="33" t="s">
        <v>14</v>
      </c>
      <c r="E976" s="9"/>
      <c r="F976" s="32"/>
      <c r="G976" s="10"/>
      <c r="H976" s="30" t="str">
        <f ca="1">IFERROR(__xludf.DUMMYFUNCTION("LOWER(REGEXREPLACE(B976&amp;"" ""&amp;C976,""[^а-яa-z0-9 ]"","" ""))")," мперметр ")</f>
        <v xml:space="preserve"> мперметр </v>
      </c>
    </row>
    <row r="977" spans="1:8" ht="89.25" x14ac:dyDescent="0.2">
      <c r="A977" s="31" t="s">
        <v>2174</v>
      </c>
      <c r="B977" s="27" t="s">
        <v>2175</v>
      </c>
      <c r="C977" s="27" t="s">
        <v>2176</v>
      </c>
      <c r="D977" s="33" t="s">
        <v>14</v>
      </c>
      <c r="E977" s="34">
        <v>2</v>
      </c>
      <c r="F977" s="36">
        <v>0.16</v>
      </c>
      <c r="G977" s="10">
        <v>5225</v>
      </c>
      <c r="H977" s="30" t="str">
        <f ca="1">IFERROR(__xludf.DUMMYFUNCTION("LOWER(REGEXREPLACE(B977&amp;"" ""&amp;C977,""[^а-яa-z0-9 ]"","" ""))")," мперметр лабораторный 0 6  3   редназначен для измерения силы постоянного тока до 3     редставляет собой прибор магнитоэлектрической системы с равномерной шкалой от 0 до 3   с ценой деления 0 2     змерительный механизм со шкалой помещен в пластмассовый"&amp;" корпус   тсчетное устройство представляет собой шкалу с механическим стрелочным указателем и находится под углом 45 градусов к горизонтальной плоскости   кала равномерная с двойной оцифровкой   одстроечный винт корректировки ")</f>
        <v xml:space="preserve"> мперметр лабораторный 0 6  3   редназначен для измерения силы постоянного тока до 3     редставляет собой прибор магнитоэлектрической системы с равномерной шкалой от 0 до 3   с ценой деления 0 2     змерительный механизм со шкалой помещен в пластмассовый корпус   тсчетное устройство представляет собой шкалу с механическим стрелочным указателем и находится под углом 45 градусов к горизонтальной плоскости   кала равномерная с двойной оцифровкой   одстроечный винт корректировки </v>
      </c>
    </row>
    <row r="978" spans="1:8" ht="25.5" x14ac:dyDescent="0.2">
      <c r="A978" s="31" t="s">
        <v>2177</v>
      </c>
      <c r="B978" s="27" t="s">
        <v>2178</v>
      </c>
      <c r="C978" s="27" t="s">
        <v>2179</v>
      </c>
      <c r="D978" s="33" t="s">
        <v>14</v>
      </c>
      <c r="E978" s="34">
        <v>2</v>
      </c>
      <c r="F978" s="36">
        <v>0.16</v>
      </c>
      <c r="G978" s="10">
        <v>3508</v>
      </c>
      <c r="H978" s="30" t="str">
        <f ca="1">IFERROR(__xludf.DUMMYFUNCTION("LOWER(REGEXREPLACE(B978&amp;"" ""&amp;C978,""[^а-яa-z0-9 ]"","" ""))")," мперметр аналоговый лабораторный   иапазон измерения  0 6   и 3    иапазон измерения  0 6   и 3     ена деления шкалы на первом пределе   0 02    на втором  0 1   ")</f>
        <v xml:space="preserve"> мперметр аналоговый лабораторный   иапазон измерения  0 6   и 3    иапазон измерения  0 6   и 3     ена деления шкалы на первом пределе   0 02    на втором  0 1   </v>
      </c>
    </row>
    <row r="979" spans="1:8" ht="12.75" x14ac:dyDescent="0.2">
      <c r="A979" s="31" t="s">
        <v>2180</v>
      </c>
      <c r="B979" s="27" t="s">
        <v>2181</v>
      </c>
      <c r="C979" s="27"/>
      <c r="D979" s="33" t="s">
        <v>14</v>
      </c>
      <c r="E979" s="34">
        <v>2</v>
      </c>
      <c r="F979" s="36">
        <v>1.1499999999999999</v>
      </c>
      <c r="G979" s="10">
        <v>36156</v>
      </c>
      <c r="H979" s="30" t="str">
        <f ca="1">IFERROR(__xludf.DUMMYFUNCTION("LOWER(REGEXREPLACE(B979&amp;"" ""&amp;C979,""[^а-яa-z0-9 ]"","" ""))")," мпервольтметр аналоговый с гальвонометром ")</f>
        <v xml:space="preserve"> мпервольтметр аналоговый с гальвонометром </v>
      </c>
    </row>
    <row r="980" spans="1:8" ht="25.5" x14ac:dyDescent="0.2">
      <c r="A980" s="31" t="s">
        <v>2182</v>
      </c>
      <c r="B980" s="27" t="s">
        <v>2183</v>
      </c>
      <c r="C980" s="27"/>
      <c r="D980" s="33" t="s">
        <v>14</v>
      </c>
      <c r="E980" s="34">
        <v>2</v>
      </c>
      <c r="F980" s="36">
        <v>1.25</v>
      </c>
      <c r="G980" s="10">
        <v>36156</v>
      </c>
      <c r="H980" s="30" t="str">
        <f ca="1">IFERROR(__xludf.DUMMYFUNCTION("LOWER(REGEXREPLACE(B980&amp;"" ""&amp;C980,""[^а-яa-z0-9 ]"","" ""))")," мпервольтметр аналоговый для постоянного и переменного тока демонстрационный ")</f>
        <v xml:space="preserve"> мпервольтметр аналоговый для постоянного и переменного тока демонстрационный </v>
      </c>
    </row>
    <row r="981" spans="1:8" ht="38.25" x14ac:dyDescent="0.2">
      <c r="A981" s="31" t="s">
        <v>2184</v>
      </c>
      <c r="B981" s="27" t="s">
        <v>2185</v>
      </c>
      <c r="C981" s="27" t="s">
        <v>2186</v>
      </c>
      <c r="D981" s="33" t="s">
        <v>14</v>
      </c>
      <c r="E981" s="34">
        <v>2</v>
      </c>
      <c r="F981" s="36">
        <v>0.16</v>
      </c>
      <c r="G981" s="10">
        <v>3508</v>
      </c>
      <c r="H981" s="30" t="str">
        <f ca="1">IFERROR(__xludf.DUMMYFUNCTION("LOWER(REGEXREPLACE(B981&amp;"" ""&amp;C981,""[^а-яa-z0-9 ]"","" ""))")," мперметр лабораторный   ределы измерения  1  и 2   мперметр лабораторный   ределы измерения  1  и 2    ласс точности  2 5   ена деления  на первом пределе   0 05   на втором пределе   0 1  ")</f>
        <v xml:space="preserve"> мперметр лабораторный   ределы измерения  1  и 2   мперметр лабораторный   ределы измерения  1  и 2    ласс точности  2 5   ена деления  на первом пределе   0 05   на втором пределе   0 1  </v>
      </c>
    </row>
    <row r="982" spans="1:8" ht="25.5" x14ac:dyDescent="0.2">
      <c r="A982" s="31" t="s">
        <v>2187</v>
      </c>
      <c r="B982" s="27" t="s">
        <v>2188</v>
      </c>
      <c r="C982" s="27" t="s">
        <v>2189</v>
      </c>
      <c r="D982" s="33" t="s">
        <v>14</v>
      </c>
      <c r="E982" s="34">
        <v>2</v>
      </c>
      <c r="F982" s="35">
        <v>0.3</v>
      </c>
      <c r="G982" s="10">
        <v>7077</v>
      </c>
      <c r="H982" s="30" t="str">
        <f ca="1">IFERROR(__xludf.DUMMYFUNCTION("LOWER(REGEXREPLACE(B982&amp;"" ""&amp;C982,""[^а-яa-z0-9 ]"","" ""))")," мперметр лабораторный   иапазон измерения  0 100   редназначен для измерения тока в цепях постоянного тока   иапазон  0 100    ласс точности   2 5   ряскопрочный  виброустойчивый")</f>
        <v xml:space="preserve"> мперметр лабораторный   иапазон измерения  0 100   редназначен для измерения тока в цепях постоянного тока   иапазон  0 100    ласс точности   2 5   ряскопрочный  виброустойчивый</v>
      </c>
    </row>
    <row r="983" spans="1:8" ht="102" x14ac:dyDescent="0.2">
      <c r="A983" s="31" t="s">
        <v>2190</v>
      </c>
      <c r="B983" s="27" t="s">
        <v>2191</v>
      </c>
      <c r="C983" s="27" t="s">
        <v>2192</v>
      </c>
      <c r="D983" s="33" t="s">
        <v>14</v>
      </c>
      <c r="E983" s="34">
        <v>2</v>
      </c>
      <c r="F983" s="36">
        <v>0.28999999999999998</v>
      </c>
      <c r="G983" s="10">
        <v>4306</v>
      </c>
      <c r="H983" s="30" t="str">
        <f ca="1">IFERROR(__xludf.DUMMYFUNCTION("LOWER(REGEXREPLACE(B983&amp;"" ""&amp;C983,""[^а-яa-z0-9 ]"","" ""))")," мперметр лабораторный   иапазон измерения  от 0 до 3   с ценой деления 0 1    от 0 до 0 6   с ценой деления 0 02    редназначен для проведения измерений в цепях постоянного тока при проведении лабораторных работ    редставляет собой прибор магнитоэлектри"&amp;"ческой системы с равномерной шкалой от 0 до 3   с ценой деления 0 1   и со шкалой от 0 до 0 6   с ценой деления 0 02     змерительный механизм со шкалой помещен в пластмассовый корпус   тсчетное устройство представляет собой шкалу с механическим  стрелочн"&amp;"ым  указателем   кала равномерная с двойной оцифровкой   ласс точности  2 5")</f>
        <v xml:space="preserve"> мперметр лабораторный   иапазон измерения  от 0 до 3   с ценой деления 0 1    от 0 до 0 6   с ценой деления 0 02    редназначен для проведения измерений в цепях постоянного тока при проведении лабораторных работ    редставляет собой прибор магнитоэлектрической системы с равномерной шкалой от 0 до 3   с ценой деления 0 1   и со шкалой от 0 до 0 6   с ценой деления 0 02     змерительный механизм со шкалой помещен в пластмассовый корпус   тсчетное устройство представляет собой шкалу с механическим  стрелочным  указателем   кала равномерная с двойной оцифровкой   ласс точности  2 5</v>
      </c>
    </row>
    <row r="984" spans="1:8" ht="12.75" x14ac:dyDescent="0.2">
      <c r="A984" s="31" t="s">
        <v>2193</v>
      </c>
      <c r="B984" s="27" t="s">
        <v>2194</v>
      </c>
      <c r="C984" s="27"/>
      <c r="D984" s="33" t="s">
        <v>14</v>
      </c>
      <c r="E984" s="9"/>
      <c r="F984" s="32"/>
      <c r="G984" s="10"/>
      <c r="H984" s="30" t="str">
        <f ca="1">IFERROR(__xludf.DUMMYFUNCTION("LOWER(REGEXREPLACE(B984&amp;"" ""&amp;C984,""[^а-яa-z0-9 ]"","" ""))")," ольтметр ")</f>
        <v xml:space="preserve"> ольтметр </v>
      </c>
    </row>
    <row r="985" spans="1:8" ht="12.75" x14ac:dyDescent="0.2">
      <c r="A985" s="31" t="s">
        <v>2195</v>
      </c>
      <c r="B985" s="27" t="s">
        <v>2196</v>
      </c>
      <c r="C985" s="27"/>
      <c r="D985" s="33" t="s">
        <v>14</v>
      </c>
      <c r="E985" s="9"/>
      <c r="F985" s="32"/>
      <c r="G985" s="10">
        <v>7041</v>
      </c>
      <c r="H985" s="30" t="str">
        <f ca="1">IFERROR(__xludf.DUMMYFUNCTION("LOWER(REGEXREPLACE(B985&amp;"" ""&amp;C985,""[^а-яa-z0-9 ]"","" ""))")," ольтметр лабораторный 0 до 15  ")</f>
        <v xml:space="preserve"> ольтметр лабораторный 0 до 15  </v>
      </c>
    </row>
    <row r="986" spans="1:8" ht="25.5" x14ac:dyDescent="0.2">
      <c r="A986" s="31" t="s">
        <v>2197</v>
      </c>
      <c r="B986" s="27" t="s">
        <v>2198</v>
      </c>
      <c r="C986" s="27" t="s">
        <v>2199</v>
      </c>
      <c r="D986" s="33" t="s">
        <v>14</v>
      </c>
      <c r="E986" s="34">
        <v>2</v>
      </c>
      <c r="F986" s="36">
        <v>0.16</v>
      </c>
      <c r="G986" s="10">
        <v>3508</v>
      </c>
      <c r="H986" s="30" t="str">
        <f ca="1">IFERROR(__xludf.DUMMYFUNCTION("LOWER(REGEXREPLACE(B986&amp;"" ""&amp;C986,""[^а-яa-z0-9 ]"","" ""))")," ольтметр аналоговый лабораторный   иапазон измерения  3   и 15    иапазон измерения  3   и 15     ена деления шкалы напервом пределе   0 1    на втором   0 5   ")</f>
        <v xml:space="preserve"> ольтметр аналоговый лабораторный   иапазон измерения  3   и 15    иапазон измерения  3   и 15     ена деления шкалы напервом пределе   0 1    на втором   0 5   </v>
      </c>
    </row>
    <row r="987" spans="1:8" ht="12.75" x14ac:dyDescent="0.2">
      <c r="A987" s="31" t="s">
        <v>2200</v>
      </c>
      <c r="B987" s="27" t="s">
        <v>2201</v>
      </c>
      <c r="C987" s="27"/>
      <c r="D987" s="33" t="s">
        <v>14</v>
      </c>
      <c r="E987" s="9"/>
      <c r="F987" s="32"/>
      <c r="G987" s="10"/>
      <c r="H987" s="30" t="str">
        <f ca="1">IFERROR(__xludf.DUMMYFUNCTION("LOWER(REGEXREPLACE(B987&amp;"" ""&amp;C987,""[^а-яa-z0-9 ]"","" ""))")," ыключатель однополюсный ")</f>
        <v xml:space="preserve"> ыключатель однополюсный </v>
      </c>
    </row>
    <row r="988" spans="1:8" ht="51" x14ac:dyDescent="0.2">
      <c r="A988" s="31" t="s">
        <v>2202</v>
      </c>
      <c r="B988" s="27" t="s">
        <v>2203</v>
      </c>
      <c r="C988" s="27" t="s">
        <v>2204</v>
      </c>
      <c r="D988" s="33" t="s">
        <v>14</v>
      </c>
      <c r="E988" s="34">
        <v>2</v>
      </c>
      <c r="F988" s="37">
        <v>9.5000000000000001E-2</v>
      </c>
      <c r="G988" s="10">
        <v>585</v>
      </c>
      <c r="H988" s="30" t="str">
        <f ca="1">IFERROR(__xludf.DUMMYFUNCTION("LOWER(REGEXREPLACE(B988&amp;"" ""&amp;C988,""[^а-яa-z0-9 ]"","" ""))")," ыключатель однополюсный двунаправленный  редназначен для замыкания  размыкания электрических цепей при выполнении лабораторных работ по электродинамике   редставляет собой пластмассовое основание  на котором установлены переключатель с рукояткой  упругие"&amp;" губки и универсальные зажимы   аксимальное напряжение 36    сила тока 6   ")</f>
        <v xml:space="preserve"> ыключатель однополюсный двунаправленный  редназначен для замыкания  размыкания электрических цепей при выполнении лабораторных работ по электродинамике   редставляет собой пластмассовое основание  на котором установлены переключатель с рукояткой  упругие губки и универсальные зажимы   аксимальное напряжение 36    сила тока 6   </v>
      </c>
    </row>
    <row r="989" spans="1:8" ht="76.5" x14ac:dyDescent="0.2">
      <c r="A989" s="31" t="s">
        <v>2205</v>
      </c>
      <c r="B989" s="27" t="s">
        <v>2206</v>
      </c>
      <c r="C989" s="27" t="s">
        <v>2207</v>
      </c>
      <c r="D989" s="33" t="s">
        <v>14</v>
      </c>
      <c r="E989" s="34">
        <v>2</v>
      </c>
      <c r="F989" s="35">
        <v>0.2</v>
      </c>
      <c r="G989" s="10">
        <v>1395</v>
      </c>
      <c r="H989" s="30" t="str">
        <f ca="1">IFERROR(__xludf.DUMMYFUNCTION("LOWER(REGEXREPLACE(B989&amp;"" ""&amp;C989,""[^а-яa-z0-9 ]"","" ""))")," инамометр лабораторный 2 5 ньютон  рибор представляет собой тарированную пружину  заключенную в оцифрованный трубчатый пластмассовый корпус   инамометр имеет устройство для установки указателя прибора на нулевое деление при отсутствии нагрузки   иапазон "&amp;"измерения от 0 до 2 5    ена деления  0 1    меется шкала для измерения массы от 0 до 250 гр с ценой деления 10 гр   зготовлен из пластика ")</f>
        <v xml:space="preserve"> инамометр лабораторный 2 5 ньютон  рибор представляет собой тарированную пружину  заключенную в оцифрованный трубчатый пластмассовый корпус   инамометр имеет устройство для установки указателя прибора на нулевое деление при отсутствии нагрузки   иапазон измерения от 0 до 2 5    ена деления  0 1    меется шкала для измерения массы от 0 до 250 гр с ценой деления 10 гр   зготовлен из пластика </v>
      </c>
    </row>
    <row r="990" spans="1:8" ht="12.75" x14ac:dyDescent="0.2">
      <c r="A990" s="31" t="s">
        <v>2208</v>
      </c>
      <c r="B990" s="27" t="s">
        <v>2209</v>
      </c>
      <c r="C990" s="27"/>
      <c r="D990" s="33" t="s">
        <v>68</v>
      </c>
      <c r="E990" s="9"/>
      <c r="F990" s="32"/>
      <c r="G990" s="10"/>
      <c r="H990" s="30" t="str">
        <f ca="1">IFERROR(__xludf.DUMMYFUNCTION("LOWER(REGEXREPLACE(B990&amp;"" ""&amp;C990,""[^а-яa-z0-9 ]"","" ""))")," омплект блоков ")</f>
        <v xml:space="preserve"> омплект блоков </v>
      </c>
    </row>
    <row r="991" spans="1:8" ht="12.75" x14ac:dyDescent="0.2">
      <c r="A991" s="31" t="s">
        <v>2210</v>
      </c>
      <c r="B991" s="27" t="s">
        <v>2211</v>
      </c>
      <c r="C991" s="27"/>
      <c r="D991" s="33" t="s">
        <v>68</v>
      </c>
      <c r="E991" s="9"/>
      <c r="F991" s="32"/>
      <c r="G991" s="10">
        <v>2518</v>
      </c>
      <c r="H991" s="30" t="str">
        <f ca="1">IFERROR(__xludf.DUMMYFUNCTION("LOWER(REGEXREPLACE(B991&amp;"" ""&amp;C991,""[^а-яa-z0-9 ]"","" ""))")," омплект блоков лабораторных ")</f>
        <v xml:space="preserve"> омплект блоков лабораторных </v>
      </c>
    </row>
    <row r="992" spans="1:8" ht="38.25" x14ac:dyDescent="0.2">
      <c r="A992" s="31" t="s">
        <v>2212</v>
      </c>
      <c r="B992" s="27" t="s">
        <v>2213</v>
      </c>
      <c r="C992" s="27" t="s">
        <v>2214</v>
      </c>
      <c r="D992" s="33" t="s">
        <v>68</v>
      </c>
      <c r="E992" s="9"/>
      <c r="F992" s="36">
        <v>0.39</v>
      </c>
      <c r="G992" s="10">
        <v>4678</v>
      </c>
      <c r="H992" s="30" t="str">
        <f ca="1">IFERROR(__xludf.DUMMYFUNCTION("LOWER(REGEXREPLACE(B992&amp;"" ""&amp;C992,""[^а-яa-z0-9 ]"","" ""))")," омплект блоков с крючками  локи снабжены крючками для сборки механизмов и установки на штативе   омплект позволяет демонстрировать свойства подвижного и неподвижного блоков  свойства системы из таких блоков ")</f>
        <v xml:space="preserve"> омплект блоков с крючками  локи снабжены крючками для сборки механизмов и установки на штативе   омплект позволяет демонстрировать свойства подвижного и неподвижного блоков  свойства системы из таких блоков </v>
      </c>
    </row>
    <row r="993" spans="1:8" ht="12.75" x14ac:dyDescent="0.2">
      <c r="A993" s="31" t="s">
        <v>2215</v>
      </c>
      <c r="B993" s="27" t="s">
        <v>2216</v>
      </c>
      <c r="C993" s="27"/>
      <c r="D993" s="33" t="s">
        <v>68</v>
      </c>
      <c r="E993" s="9"/>
      <c r="F993" s="32"/>
      <c r="G993" s="10">
        <v>2473</v>
      </c>
      <c r="H993" s="30" t="str">
        <f ca="1">IFERROR(__xludf.DUMMYFUNCTION("LOWER(REGEXREPLACE(B993&amp;"" ""&amp;C993,""[^а-яa-z0-9 ]"","" ""))")," омплект соединительных проводов ")</f>
        <v xml:space="preserve"> омплект соединительных проводов </v>
      </c>
    </row>
    <row r="994" spans="1:8" ht="25.5" x14ac:dyDescent="0.2">
      <c r="A994" s="31" t="s">
        <v>2217</v>
      </c>
      <c r="B994" s="27" t="s">
        <v>2218</v>
      </c>
      <c r="C994" s="27" t="s">
        <v>2219</v>
      </c>
      <c r="D994" s="33" t="s">
        <v>14</v>
      </c>
      <c r="E994" s="9"/>
      <c r="F994" s="36">
        <v>0.04</v>
      </c>
      <c r="G994" s="10">
        <v>630</v>
      </c>
      <c r="H994" s="30" t="str">
        <f ca="1">IFERROR(__xludf.DUMMYFUNCTION("LOWER(REGEXREPLACE(B994&amp;"" ""&amp;C994,""[^а-яa-z0-9 ]"","" ""))")," ержатель миниатюрный ламповый   качестве осветителя  ламповый держатель используется лампочка накаливания напряжением до 30   и силы тока до 3   ")</f>
        <v xml:space="preserve"> ержатель миниатюрный ламповый   качестве осветителя  ламповый держатель используется лампочка накаливания напряжением до 30   и силы тока до 3   </v>
      </c>
    </row>
    <row r="995" spans="1:8" ht="25.5" x14ac:dyDescent="0.2">
      <c r="A995" s="31" t="s">
        <v>2220</v>
      </c>
      <c r="B995" s="27" t="s">
        <v>2221</v>
      </c>
      <c r="C995" s="27" t="s">
        <v>2222</v>
      </c>
      <c r="D995" s="33" t="s">
        <v>14</v>
      </c>
      <c r="E995" s="9"/>
      <c r="F995" s="32"/>
      <c r="G995" s="10">
        <v>1079</v>
      </c>
      <c r="H995" s="30" t="str">
        <f ca="1">IFERROR(__xludf.DUMMYFUNCTION("LOWER(REGEXREPLACE(B995&amp;"" ""&amp;C995,""[^а-яa-z0-9 ]"","" ""))")," инза на подставке  инза изготовлена из стекла и имеет  вогнутую поверхность   акреплена в пластмассовой оправе и установлена на подставке   иаметр 50 мм ")</f>
        <v xml:space="preserve"> инза на подставке  инза изготовлена из стекла и имеет  вогнутую поверхность   акреплена в пластмассовой оправе и установлена на подставке   иаметр 50 мм </v>
      </c>
    </row>
    <row r="996" spans="1:8" ht="51" x14ac:dyDescent="0.2">
      <c r="A996" s="31" t="s">
        <v>2223</v>
      </c>
      <c r="B996" s="27" t="s">
        <v>2224</v>
      </c>
      <c r="C996" s="27" t="s">
        <v>2225</v>
      </c>
      <c r="D996" s="33" t="s">
        <v>14</v>
      </c>
      <c r="E996" s="9"/>
      <c r="F996" s="32"/>
      <c r="G996" s="10">
        <v>1799</v>
      </c>
      <c r="H996" s="30" t="str">
        <f ca="1">IFERROR(__xludf.DUMMYFUNCTION("LOWER(REGEXREPLACE(B996&amp;"" ""&amp;C996,""[^а-яa-z0-9 ]"","" ""))")," агнит дугообразный  еверный полюс каждого магнита окрашен в синий цвет  южный   в красный   агнит   образной формы изготовлен из полосовой стали сечением 10 18 мм  размер просвета между полюсами 42   1 мм   оловины магнита окрашены в разные цвета   азнои"&amp;"менные полюса магнитов замкнуты пластиной из мягкой стали ")</f>
        <v xml:space="preserve"> агнит дугообразный  еверный полюс каждого магнита окрашен в синий цвет  южный   в красный   агнит   образной формы изготовлен из полосовой стали сечением 10 18 мм  размер просвета между полюсами 42   1 мм   оловины магнита окрашены в разные цвета   азноименные полюса магнитов замкнуты пластиной из мягкой стали </v>
      </c>
    </row>
    <row r="997" spans="1:8" ht="25.5" x14ac:dyDescent="0.2">
      <c r="A997" s="31" t="s">
        <v>2226</v>
      </c>
      <c r="B997" s="27" t="s">
        <v>2227</v>
      </c>
      <c r="C997" s="27" t="s">
        <v>2228</v>
      </c>
      <c r="D997" s="33" t="s">
        <v>14</v>
      </c>
      <c r="E997" s="9"/>
      <c r="F997" s="32"/>
      <c r="G997" s="10">
        <v>1799</v>
      </c>
      <c r="H997" s="30" t="str">
        <f ca="1">IFERROR(__xludf.DUMMYFUNCTION("LOWER(REGEXREPLACE(B997&amp;"" ""&amp;C997,""[^а-яa-z0-9 ]"","" ""))")," агнит полосовой  еверный полюс каждого магнита окрашен в синий цвет  южный   в красный   араметры магнитного потока  не более 0 05  ")</f>
        <v xml:space="preserve"> агнит полосовой  еверный полюс каждого магнита окрашен в синий цвет  южный   в красный   араметры магнитного потока  не более 0 05  </v>
      </c>
    </row>
    <row r="998" spans="1:8" ht="12.75" x14ac:dyDescent="0.2">
      <c r="A998" s="31" t="s">
        <v>2229</v>
      </c>
      <c r="B998" s="27" t="s">
        <v>2230</v>
      </c>
      <c r="C998" s="27"/>
      <c r="D998" s="33" t="s">
        <v>14</v>
      </c>
      <c r="E998" s="9"/>
      <c r="F998" s="32"/>
      <c r="G998" s="10"/>
      <c r="H998" s="30" t="str">
        <f ca="1">IFERROR(__xludf.DUMMYFUNCTION("LOWER(REGEXREPLACE(B998&amp;"" ""&amp;C998,""[^а-яa-z0-9 ]"","" ""))")," одель электродвигателя ")</f>
        <v xml:space="preserve"> одель электродвигателя </v>
      </c>
    </row>
    <row r="999" spans="1:8" ht="25.5" x14ac:dyDescent="0.2">
      <c r="A999" s="31" t="s">
        <v>2231</v>
      </c>
      <c r="B999" s="27" t="s">
        <v>2232</v>
      </c>
      <c r="C999" s="27"/>
      <c r="D999" s="33" t="s">
        <v>14</v>
      </c>
      <c r="E999" s="9"/>
      <c r="F999" s="32"/>
      <c r="G999" s="10">
        <v>6709</v>
      </c>
      <c r="H999" s="30" t="str">
        <f ca="1">IFERROR(__xludf.DUMMYFUNCTION("LOWER(REGEXREPLACE(B999&amp;"" ""&amp;C999,""[^а-яa-z0-9 ]"","" ""))")," одель электродвигателя  разборная  лабораторная ")</f>
        <v xml:space="preserve"> одель электродвигателя  разборная  лабораторная </v>
      </c>
    </row>
    <row r="1000" spans="1:8" ht="25.5" x14ac:dyDescent="0.2">
      <c r="A1000" s="31" t="s">
        <v>2233</v>
      </c>
      <c r="B1000" s="27" t="s">
        <v>2234</v>
      </c>
      <c r="C1000" s="27"/>
      <c r="D1000" s="33" t="s">
        <v>14</v>
      </c>
      <c r="E1000" s="34">
        <v>2</v>
      </c>
      <c r="F1000" s="35">
        <v>0.2</v>
      </c>
      <c r="G1000" s="10">
        <v>23274</v>
      </c>
      <c r="H1000" s="30" t="str">
        <f ca="1">IFERROR(__xludf.DUMMYFUNCTION("LOWER(REGEXREPLACE(B1000&amp;"" ""&amp;C1000,""[^а-яa-z0-9 ]"","" ""))")," одель электродвигателя  разборная  лабораторная типа  ornelsen  xperimenta 54835 ")</f>
        <v xml:space="preserve"> одель электродвигателя  разборная  лабораторная типа  ornelsen  xperimenta 54835 </v>
      </c>
    </row>
    <row r="1001" spans="1:8" ht="12.75" x14ac:dyDescent="0.2">
      <c r="A1001" s="31" t="s">
        <v>2235</v>
      </c>
      <c r="B1001" s="27" t="s">
        <v>2236</v>
      </c>
      <c r="C1001" s="27"/>
      <c r="D1001" s="33" t="s">
        <v>14</v>
      </c>
      <c r="E1001" s="34">
        <v>2</v>
      </c>
      <c r="F1001" s="36">
        <v>0.44</v>
      </c>
      <c r="G1001" s="10">
        <v>9354</v>
      </c>
      <c r="H1001" s="30" t="str">
        <f ca="1">IFERROR(__xludf.DUMMYFUNCTION("LOWER(REGEXREPLACE(B1001&amp;"" ""&amp;C1001,""[^а-яa-z0-9 ]"","" ""))")," одель электродвигателя лабораторная ")</f>
        <v xml:space="preserve"> одель электродвигателя лабораторная </v>
      </c>
    </row>
    <row r="1002" spans="1:8" ht="12.75" x14ac:dyDescent="0.2">
      <c r="A1002" s="31" t="s">
        <v>2237</v>
      </c>
      <c r="B1002" s="27" t="s">
        <v>2238</v>
      </c>
      <c r="C1002" s="27"/>
      <c r="D1002" s="33" t="s">
        <v>68</v>
      </c>
      <c r="E1002" s="9"/>
      <c r="F1002" s="32"/>
      <c r="G1002" s="10"/>
      <c r="H1002" s="30" t="str">
        <f ca="1">IFERROR(__xludf.DUMMYFUNCTION("LOWER(REGEXREPLACE(B1002&amp;"" ""&amp;C1002,""[^а-яa-z0-9 ]"","" ""))")," абор грузов ")</f>
        <v xml:space="preserve"> абор грузов </v>
      </c>
    </row>
    <row r="1003" spans="1:8" ht="51" x14ac:dyDescent="0.2">
      <c r="A1003" s="31" t="s">
        <v>2239</v>
      </c>
      <c r="B1003" s="27" t="s">
        <v>2240</v>
      </c>
      <c r="C1003" s="27" t="s">
        <v>2241</v>
      </c>
      <c r="D1003" s="33" t="s">
        <v>1506</v>
      </c>
      <c r="E1003" s="34">
        <v>2</v>
      </c>
      <c r="F1003" s="34">
        <v>1</v>
      </c>
      <c r="G1003" s="10">
        <v>6964</v>
      </c>
      <c r="H1003" s="30" t="str">
        <f ca="1">IFERROR(__xludf.DUMMYFUNCTION("LOWER(REGEXREPLACE(B1003&amp;"" ""&amp;C1003,""[^а-яa-z0-9 ]"","" ""))")," абор грузов по механике  10х100гр   абор грузов предназначен для использования при проведении фронтальных лабораторных работ по механике и другим разделам курса физики   абор состоит из 10 грузов   рузы металлические в форме цилиндров  вес 100 гр   рузы "&amp;"снабжены крючками для подвешивания и соединения между собой ")</f>
        <v xml:space="preserve"> абор грузов по механике  10х100гр   абор грузов предназначен для использования при проведении фронтальных лабораторных работ по механике и другим разделам курса физики   абор состоит из 10 грузов   рузы металлические в форме цилиндров  вес 100 гр   рузы снабжены крючками для подвешивания и соединения между собой </v>
      </c>
    </row>
    <row r="1004" spans="1:8" ht="38.25" x14ac:dyDescent="0.2">
      <c r="A1004" s="31" t="s">
        <v>2242</v>
      </c>
      <c r="B1004" s="27" t="s">
        <v>2243</v>
      </c>
      <c r="C1004" s="27" t="s">
        <v>2244</v>
      </c>
      <c r="D1004" s="33" t="s">
        <v>1506</v>
      </c>
      <c r="E1004" s="34">
        <v>2</v>
      </c>
      <c r="F1004" s="35">
        <v>2.2000000000000002</v>
      </c>
      <c r="G1004" s="10">
        <v>2931</v>
      </c>
      <c r="H1004" s="30" t="str">
        <f ca="1">IFERROR(__xludf.DUMMYFUNCTION("LOWER(REGEXREPLACE(B1004&amp;"" ""&amp;C1004,""[^а-яa-z0-9 ]"","" ""))")," абор грузов с крючками и обозначением массы  абор из 9 грузов c крючками весом от 10 до 1000г  упакованные в пластмассовый футляр   се грузы имеют по одному крючку  на каждом грузе нанесено обозначение его массы   руз изготовлен из стали")</f>
        <v xml:space="preserve"> абор грузов с крючками и обозначением массы  абор из 9 грузов c крючками весом от 10 до 1000г  упакованные в пластмассовый футляр   се грузы имеют по одному крючку  на каждом грузе нанесено обозначение его массы   руз изготовлен из стали</v>
      </c>
    </row>
    <row r="1005" spans="1:8" ht="38.25" x14ac:dyDescent="0.2">
      <c r="A1005" s="31" t="s">
        <v>2245</v>
      </c>
      <c r="B1005" s="27" t="s">
        <v>2246</v>
      </c>
      <c r="C1005" s="27" t="s">
        <v>2247</v>
      </c>
      <c r="D1005" s="33" t="s">
        <v>1506</v>
      </c>
      <c r="E1005" s="34">
        <v>2</v>
      </c>
      <c r="F1005" s="35">
        <v>0.2</v>
      </c>
      <c r="G1005" s="10">
        <v>4677</v>
      </c>
      <c r="H1005" s="30" t="str">
        <f ca="1">IFERROR(__xludf.DUMMYFUNCTION("LOWER(REGEXREPLACE(B1005&amp;"" ""&amp;C1005,""[^а-яa-z0-9 ]"","" ""))")," абор калориметрических тел  абор калориметрических тел   остоит из трех цилиндров одинакового размера  изготовленных из железа  латуни и алюминия   аждый цилиндр сверху имеет небольшой крючок ")</f>
        <v xml:space="preserve"> абор калориметрических тел  абор калориметрических тел   остоит из трех цилиндров одинакового размера  изготовленных из железа  латуни и алюминия   аждый цилиндр сверху имеет небольшой крючок </v>
      </c>
    </row>
    <row r="1006" spans="1:8" ht="12.75" x14ac:dyDescent="0.2">
      <c r="A1006" s="31" t="s">
        <v>2248</v>
      </c>
      <c r="B1006" s="27" t="s">
        <v>2249</v>
      </c>
      <c r="C1006" s="27"/>
      <c r="D1006" s="33" t="s">
        <v>1506</v>
      </c>
      <c r="E1006" s="9"/>
      <c r="F1006" s="32"/>
      <c r="G1006" s="10"/>
      <c r="H1006" s="30" t="str">
        <f ca="1">IFERROR(__xludf.DUMMYFUNCTION("LOWER(REGEXREPLACE(B1006&amp;"" ""&amp;C1006,""[^а-яa-z0-9 ]"","" ""))")," абор тел равного объема ")</f>
        <v xml:space="preserve"> абор тел равного объема </v>
      </c>
    </row>
    <row r="1007" spans="1:8" ht="25.5" x14ac:dyDescent="0.2">
      <c r="A1007" s="31" t="s">
        <v>2250</v>
      </c>
      <c r="B1007" s="27" t="s">
        <v>2249</v>
      </c>
      <c r="C1007" s="27" t="s">
        <v>2251</v>
      </c>
      <c r="D1007" s="33" t="s">
        <v>1506</v>
      </c>
      <c r="E1007" s="34">
        <v>2</v>
      </c>
      <c r="F1007" s="36">
        <v>0.24</v>
      </c>
      <c r="G1007" s="10">
        <v>3558</v>
      </c>
      <c r="H1007" s="30" t="str">
        <f ca="1">IFERROR(__xludf.DUMMYFUNCTION("LOWER(REGEXREPLACE(B1007&amp;"" ""&amp;C1007,""[^а-яa-z0-9 ]"","" ""))")," абор тел равного объема  абор состоит из прямоугольных брусков из стали  алюминия и пластмассы одинакового размера ")</f>
        <v xml:space="preserve"> абор тел равного объема  абор состоит из прямоугольных брусков из стали  алюминия и пластмассы одинакового размера </v>
      </c>
    </row>
    <row r="1008" spans="1:8" ht="25.5" x14ac:dyDescent="0.2">
      <c r="A1008" s="31" t="s">
        <v>2252</v>
      </c>
      <c r="B1008" s="27" t="s">
        <v>2253</v>
      </c>
      <c r="C1008" s="27"/>
      <c r="D1008" s="33" t="s">
        <v>1506</v>
      </c>
      <c r="E1008" s="34">
        <v>2</v>
      </c>
      <c r="F1008" s="35">
        <v>0.3</v>
      </c>
      <c r="G1008" s="10">
        <v>28778</v>
      </c>
      <c r="H1008" s="30" t="str">
        <f ca="1">IFERROR(__xludf.DUMMYFUNCTION("LOWER(REGEXREPLACE(B1008&amp;"" ""&amp;C1008,""[^а-яa-z0-9 ]"","" ""))")," абор тел равного объема типа  ornelsen  xperimenta 41231 ")</f>
        <v xml:space="preserve"> абор тел равного объема типа  ornelsen  xperimenta 41231 </v>
      </c>
    </row>
    <row r="1009" spans="1:8" ht="12.75" x14ac:dyDescent="0.2">
      <c r="A1009" s="31" t="s">
        <v>2254</v>
      </c>
      <c r="B1009" s="27" t="s">
        <v>2255</v>
      </c>
      <c r="C1009" s="27"/>
      <c r="D1009" s="33" t="s">
        <v>1506</v>
      </c>
      <c r="E1009" s="9"/>
      <c r="F1009" s="32"/>
      <c r="G1009" s="10"/>
      <c r="H1009" s="30" t="str">
        <f ca="1">IFERROR(__xludf.DUMMYFUNCTION("LOWER(REGEXREPLACE(B1009&amp;"" ""&amp;C1009,""[^а-яa-z0-9 ]"","" ""))")," абор тел равной массы ")</f>
        <v xml:space="preserve"> абор тел равной массы </v>
      </c>
    </row>
    <row r="1010" spans="1:8" ht="25.5" x14ac:dyDescent="0.2">
      <c r="A1010" s="31" t="s">
        <v>2256</v>
      </c>
      <c r="B1010" s="27" t="s">
        <v>2255</v>
      </c>
      <c r="C1010" s="27" t="s">
        <v>2257</v>
      </c>
      <c r="D1010" s="33" t="s">
        <v>1506</v>
      </c>
      <c r="E1010" s="9"/>
      <c r="F1010" s="36">
        <v>0.24</v>
      </c>
      <c r="G1010" s="10">
        <v>4308</v>
      </c>
      <c r="H1010" s="30" t="str">
        <f ca="1">IFERROR(__xludf.DUMMYFUNCTION("LOWER(REGEXREPLACE(B1010&amp;"" ""&amp;C1010,""[^а-яa-z0-9 ]"","" ""))")," абор тел равной массы  абор состоит из прямоугольных брусков из стали  алюминия и пластмассы одинакового основания и массы 100 г ")</f>
        <v xml:space="preserve"> абор тел равной массы  абор состоит из прямоугольных брусков из стали  алюминия и пластмассы одинакового основания и массы 100 г </v>
      </c>
    </row>
    <row r="1011" spans="1:8" ht="25.5" x14ac:dyDescent="0.2">
      <c r="A1011" s="31" t="s">
        <v>2258</v>
      </c>
      <c r="B1011" s="27" t="s">
        <v>2259</v>
      </c>
      <c r="C1011" s="27"/>
      <c r="D1011" s="33" t="s">
        <v>1506</v>
      </c>
      <c r="E1011" s="34">
        <v>2</v>
      </c>
      <c r="F1011" s="36">
        <v>0.15</v>
      </c>
      <c r="G1011" s="10">
        <v>32079</v>
      </c>
      <c r="H1011" s="30" t="str">
        <f ca="1">IFERROR(__xludf.DUMMYFUNCTION("LOWER(REGEXREPLACE(B1011&amp;"" ""&amp;C1011,""[^а-яa-z0-9 ]"","" ""))")," абор тел равной массы типа  ornelsen  xperimenta 41235 44282 ")</f>
        <v xml:space="preserve"> абор тел равной массы типа  ornelsen  xperimenta 41235 44282 </v>
      </c>
    </row>
    <row r="1012" spans="1:8" ht="12.75" x14ac:dyDescent="0.2">
      <c r="A1012" s="31" t="s">
        <v>2260</v>
      </c>
      <c r="B1012" s="27" t="s">
        <v>2261</v>
      </c>
      <c r="C1012" s="27"/>
      <c r="D1012" s="33" t="s">
        <v>14</v>
      </c>
      <c r="E1012" s="9"/>
      <c r="F1012" s="32"/>
      <c r="G1012" s="10"/>
      <c r="H1012" s="30" t="str">
        <f ca="1">IFERROR(__xludf.DUMMYFUNCTION("LOWER(REGEXREPLACE(B1012&amp;"" ""&amp;C1012,""[^а-яa-z0-9 ]"","" ""))")," рибометр лабораторный ")</f>
        <v xml:space="preserve"> рибометр лабораторный </v>
      </c>
    </row>
    <row r="1013" spans="1:8" ht="76.5" x14ac:dyDescent="0.2">
      <c r="A1013" s="31" t="s">
        <v>2262</v>
      </c>
      <c r="B1013" s="27" t="s">
        <v>2261</v>
      </c>
      <c r="C1013" s="27" t="s">
        <v>2263</v>
      </c>
      <c r="D1013" s="33" t="s">
        <v>14</v>
      </c>
      <c r="E1013" s="34">
        <v>2</v>
      </c>
      <c r="F1013" s="35">
        <v>0.3</v>
      </c>
      <c r="G1013" s="10">
        <v>4677</v>
      </c>
      <c r="H1013" s="30" t="str">
        <f ca="1">IFERROR(__xludf.DUMMYFUNCTION("LOWER(REGEXREPLACE(B1013&amp;"" ""&amp;C1013,""[^а-яa-z0-9 ]"","" ""))")," рибометр лабораторный  рибометр лабораторный предназначен для проведения лабораторных опытов по механике   рибор состоит из линейки и деревянного бруска с петлей на его торце и тремя гнездами для грузов    помощью этого прибора можно измерить коэффициент"&amp;" трения покоя  коэффициент трения скольжения дерева по дереву      наклонной плоскости  вычислить механическую работу  выяснить зависимость коэффициента трения от массы груза и площади поверхности ")</f>
        <v xml:space="preserve"> рибометр лабораторный  рибометр лабораторный предназначен для проведения лабораторных опытов по механике   рибор состоит из линейки и деревянного бруска с петлей на его торце и тремя гнездами для грузов    помощью этого прибора можно измерить коэффициент трения покоя  коэффициент трения скольжения дерева по дереву      наклонной плоскости  вычислить механическую работу  выяснить зависимость коэффициента трения от массы груза и площади поверхности </v>
      </c>
    </row>
    <row r="1014" spans="1:8" ht="51" x14ac:dyDescent="0.2">
      <c r="A1014" s="31" t="s">
        <v>2264</v>
      </c>
      <c r="B1014" s="27" t="s">
        <v>2265</v>
      </c>
      <c r="C1014" s="27" t="s">
        <v>2266</v>
      </c>
      <c r="D1014" s="33" t="s">
        <v>14</v>
      </c>
      <c r="E1014" s="34">
        <v>2</v>
      </c>
      <c r="F1014" s="35">
        <v>0.7</v>
      </c>
      <c r="G1014" s="10">
        <v>6888</v>
      </c>
      <c r="H1014" s="30" t="str">
        <f ca="1">IFERROR(__xludf.DUMMYFUNCTION("LOWER(REGEXREPLACE(B1014&amp;"" ""&amp;C1014,""[^а-яa-z0-9 ]"","" ""))")," рибометр лабораторный по механике  омплектация  1  деревянная линейка размером не менее 500х50х10 см   1 шт 2  прямоугольный брусок с крючком в торце и тремя отверстиями для грузов   1 шт 3  три груза массой по 50 г каждый   3 шт 4  планшетный динамометр"&amp;" 10     1 шт 5   уководство по эксплуатации    1 шт   упаковка")</f>
        <v xml:space="preserve"> рибометр лабораторный по механике  омплектация  1  деревянная линейка размером не менее 500х50х10 см   1 шт 2  прямоугольный брусок с крючком в торце и тремя отверстиями для грузов   1 шт 3  три груза массой по 50 г каждый   3 шт 4  планшетный динамометр 10     1 шт 5   уководство по эксплуатации    1 шт   упаковка</v>
      </c>
    </row>
    <row r="1015" spans="1:8" ht="12.75" x14ac:dyDescent="0.2">
      <c r="A1015" s="31" t="s">
        <v>2267</v>
      </c>
      <c r="B1015" s="27" t="s">
        <v>2268</v>
      </c>
      <c r="C1015" s="27"/>
      <c r="D1015" s="33" t="s">
        <v>14</v>
      </c>
      <c r="E1015" s="9"/>
      <c r="F1015" s="32"/>
      <c r="G1015" s="10"/>
      <c r="H1015" s="30" t="str">
        <f ca="1">IFERROR(__xludf.DUMMYFUNCTION("LOWER(REGEXREPLACE(B1015&amp;"" ""&amp;C1015,""[^а-яa-z0-9 ]"","" ""))")," иллиамперметр ")</f>
        <v xml:space="preserve"> иллиамперметр </v>
      </c>
    </row>
    <row r="1016" spans="1:8" ht="25.5" x14ac:dyDescent="0.2">
      <c r="A1016" s="31" t="s">
        <v>2269</v>
      </c>
      <c r="B1016" s="8" t="s">
        <v>2270</v>
      </c>
      <c r="C1016" s="27"/>
      <c r="D1016" s="33" t="s">
        <v>14</v>
      </c>
      <c r="E1016" s="34">
        <v>2</v>
      </c>
      <c r="F1016" s="36">
        <v>0.22</v>
      </c>
      <c r="G1016" s="10">
        <v>6846</v>
      </c>
      <c r="H1016" s="30" t="str">
        <f ca="1">IFERROR(__xludf.DUMMYFUNCTION("LOWER(REGEXREPLACE(B1016&amp;"" ""&amp;C1016,""[^а-яa-z0-9 ]"","" ""))")," иллиамперметр для измерения переменного тока ")</f>
        <v xml:space="preserve"> иллиамперметр для измерения переменного тока </v>
      </c>
    </row>
    <row r="1017" spans="1:8" ht="12.75" x14ac:dyDescent="0.2">
      <c r="A1017" s="31" t="s">
        <v>2271</v>
      </c>
      <c r="B1017" s="27" t="s">
        <v>2272</v>
      </c>
      <c r="C1017" s="27"/>
      <c r="D1017" s="33" t="s">
        <v>14</v>
      </c>
      <c r="E1017" s="34">
        <v>2</v>
      </c>
      <c r="F1017" s="36">
        <v>0.16</v>
      </c>
      <c r="G1017" s="10">
        <v>3328</v>
      </c>
      <c r="H1017" s="30" t="str">
        <f ca="1">IFERROR(__xludf.DUMMYFUNCTION("LOWER(REGEXREPLACE(B1017&amp;"" ""&amp;C1017,""[^а-яa-z0-9 ]"","" ""))")," иллиамперметр   иапазон измерения 0 100m  ")</f>
        <v xml:space="preserve"> иллиамперметр   иапазон измерения 0 100m  </v>
      </c>
    </row>
    <row r="1018" spans="1:8" ht="25.5" x14ac:dyDescent="0.2">
      <c r="A1018" s="31" t="s">
        <v>2273</v>
      </c>
      <c r="B1018" s="27" t="s">
        <v>2274</v>
      </c>
      <c r="C1018" s="27"/>
      <c r="D1018" s="33" t="s">
        <v>14</v>
      </c>
      <c r="E1018" s="34">
        <v>2</v>
      </c>
      <c r="F1018" s="36">
        <v>0.28999999999999998</v>
      </c>
      <c r="G1018" s="10">
        <v>4306</v>
      </c>
      <c r="H1018" s="30" t="str">
        <f ca="1">IFERROR(__xludf.DUMMYFUNCTION("LOWER(REGEXREPLACE(B1018&amp;"" ""&amp;C1018,""[^а-яa-z0-9 ]"","" ""))")," иллиамперметр лабораторный   иапазон измерения  от  5 до  5m  и от  50 до  50m  ")</f>
        <v xml:space="preserve"> иллиамперметр лабораторный   иапазон измерения  от  5 до  5m  и от  50 до  50m  </v>
      </c>
    </row>
    <row r="1019" spans="1:8" ht="12.75" x14ac:dyDescent="0.2">
      <c r="A1019" s="31" t="s">
        <v>2275</v>
      </c>
      <c r="B1019" s="27" t="s">
        <v>2276</v>
      </c>
      <c r="C1019" s="27"/>
      <c r="D1019" s="33" t="s">
        <v>14</v>
      </c>
      <c r="E1019" s="9"/>
      <c r="F1019" s="32"/>
      <c r="G1019" s="10">
        <v>107</v>
      </c>
      <c r="H1019" s="30" t="str">
        <f ca="1">IFERROR(__xludf.DUMMYFUNCTION("LOWER(REGEXREPLACE(B1019&amp;"" ""&amp;C1019,""[^а-яa-z0-9 ]"","" ""))")," лемент питания ")</f>
        <v xml:space="preserve"> лемент питания </v>
      </c>
    </row>
    <row r="1020" spans="1:8" ht="178.5" x14ac:dyDescent="0.2">
      <c r="A1020" s="31" t="s">
        <v>2277</v>
      </c>
      <c r="B1020" s="27" t="s">
        <v>2278</v>
      </c>
      <c r="C1020" s="27" t="s">
        <v>2279</v>
      </c>
      <c r="D1020" s="33" t="s">
        <v>68</v>
      </c>
      <c r="E1020" s="34">
        <v>2</v>
      </c>
      <c r="F1020" s="34">
        <v>4</v>
      </c>
      <c r="G1020" s="10">
        <v>419370</v>
      </c>
      <c r="H1020" s="30" t="str">
        <f ca="1">IFERROR(__xludf.DUMMYFUNCTION("LOWER(REGEXREPLACE(B1020&amp;"" ""&amp;C1020,""[^а-яa-z0-9 ]"","" ""))")," омплект для изучения физики  lobisense  hysics kit  электричество  волны  магнетизм и ньютоновская механика   омплект для изучения электричества  волн  магнетизма и ньютоновской механики    комплект входят   1   абор двух камертонов с деревянным резонанс"&amp;"ным корпусом  2   лектрическая плата с  0 47 мк   100 мк   1000 мк  конденсаторами  100  м  1000  м  10 000  м резисторами  диодом  переключателем      3   абор черных кабелей  anana 6 x 10 см 4   абор красных кабелей  anana 6 x 10 см  3 x держатель 1 5  "&amp;" батареи типа   5   лектрическая катушка с 1600 оборотами и максимальным током 100 м    снащена 2 розетками  anana 6   оленоид с воздушным сердечником  имеет внутренний диаметр   3 см и длину 15 см  оснащен 2 розетками  anana 7   агнитный стержень длиной "&amp;"100 мм 8   абор из 3 металлических пружин с усилием от 4   м до 14   м  10 x 1   набор масс с прорезью 9   ар для пинг понга 10   рямоугольная лабораторная подставка с алюминиевым стержнем диаметром 12 мм и длиной 500 мм 11   люминиевый стержень диаметром"&amp;" 12 мм и длиной 200 мм  прямоугольный держатель  2 x 60 мл шприца с фиксатором  юэра")</f>
        <v xml:space="preserve"> омплект для изучения физики  lobisense  hysics kit  электричество  волны  магнетизм и ньютоновская механика   омплект для изучения электричества  волн  магнетизма и ньютоновской механики    комплект входят   1   абор двух камертонов с деревянным резонансным корпусом  2   лектрическая плата с  0 47 мк   100 мк   1000 мк  конденсаторами  100  м  1000  м  10 000  м резисторами  диодом  переключателем      3   абор черных кабелей  anana 6 x 10 см 4   абор красных кабелей  anana 6 x 10 см  3 x держатель 1 5   батареи типа   5   лектрическая катушка с 1600 оборотами и максимальным током 100 м    снащена 2 розетками  anana 6   оленоид с воздушным сердечником  имеет внутренний диаметр   3 см и длину 15 см  оснащен 2 розетками  anana 7   агнитный стержень длиной 100 мм 8   абор из 3 металлических пружин с усилием от 4   м до 14   м  10 x 1   набор масс с прорезью 9   ар для пинг понга 10   рямоугольная лабораторная подставка с алюминиевым стержнем диаметром 12 мм и длиной 500 мм 11   люминиевый стержень диаметром 12 мм и длиной 200 мм  прямоугольный держатель  2 x 60 мл шприца с фиксатором  юэра</v>
      </c>
    </row>
    <row r="1021" spans="1:8" ht="127.5" x14ac:dyDescent="0.2">
      <c r="A1021" s="31" t="s">
        <v>2280</v>
      </c>
      <c r="B1021" s="27" t="s">
        <v>2281</v>
      </c>
      <c r="C1021" s="27" t="s">
        <v>2282</v>
      </c>
      <c r="D1021" s="33" t="s">
        <v>14</v>
      </c>
      <c r="E1021" s="34">
        <v>2</v>
      </c>
      <c r="F1021" s="34">
        <v>26</v>
      </c>
      <c r="G1021" s="10">
        <v>187063</v>
      </c>
      <c r="H1021" s="30" t="str">
        <f ca="1">IFERROR(__xludf.DUMMYFUNCTION("LOWER(REGEXREPLACE(B1021&amp;"" ""&amp;C1021,""[^а-яa-z0-9 ]"","" ""))")," омплект электроснабжения  еременное напряжение  42  для лабораторных столов учащихся и напряжение 42  и 220  для демонстрационного стола учителя    комплект входит  щит электрораспределительный   1 шт  трехштырьковые розетки на 42    16 шт  двухштырьковы"&amp;"е розетки на 220    2 шт  провод монтажный медный двужильный сечением 1 5 mm   120 m   итается от сети напряжением 220   выходное напряжение 3 х 42  и 220   потребляемая мощность не более 1600    ит электрораспределительный снабжен предохранителями  устро"&amp;"йством защитного отключения и цифровым дисплеем входного напряжения ")</f>
        <v xml:space="preserve"> омплект электроснабжения  еременное напряжение  42  для лабораторных столов учащихся и напряжение 42  и 220  для демонстрационного стола учителя    комплект входит  щит электрораспределительный   1 шт  трехштырьковые розетки на 42    16 шт  двухштырьковые розетки на 220    2 шт  провод монтажный медный двужильный сечением 1 5 mm   120 m   итается от сети напряжением 220   выходное напряжение 3 х 42  и 220   потребляемая мощность не более 1600    ит электрораспределительный снабжен предохранителями  устройством защитного отключения и цифровым дисплеем входного напряжения </v>
      </c>
    </row>
    <row r="1022" spans="1:8" ht="25.5" x14ac:dyDescent="0.2">
      <c r="A1022" s="31" t="s">
        <v>2283</v>
      </c>
      <c r="B1022" s="27" t="s">
        <v>2284</v>
      </c>
      <c r="C1022" s="27" t="s">
        <v>2285</v>
      </c>
      <c r="D1022" s="33" t="s">
        <v>68</v>
      </c>
      <c r="E1022" s="34">
        <v>2</v>
      </c>
      <c r="F1022" s="37">
        <v>0.16700000000000001</v>
      </c>
      <c r="G1022" s="10">
        <v>4677</v>
      </c>
      <c r="H1022" s="30" t="str">
        <f ca="1">IFERROR(__xludf.DUMMYFUNCTION("LOWER(REGEXREPLACE(B1022&amp;"" ""&amp;C1022,""[^а-яa-z0-9 ]"","" ""))")," омплект соединительных проводов лабораторных   комплекте имеется 10 гибких изолированных проводов разного цвета и длины с наконечниками ")</f>
        <v xml:space="preserve"> омплект соединительных проводов лабораторных   комплекте имеется 10 гибких изолированных проводов разного цвета и длины с наконечниками </v>
      </c>
    </row>
    <row r="1023" spans="1:8" ht="12.75" x14ac:dyDescent="0.2">
      <c r="A1023" s="31" t="s">
        <v>2286</v>
      </c>
      <c r="B1023" s="27" t="s">
        <v>2287</v>
      </c>
      <c r="C1023" s="27"/>
      <c r="D1023" s="32"/>
      <c r="E1023" s="9"/>
      <c r="F1023" s="32"/>
      <c r="G1023" s="10"/>
      <c r="H1023" s="30" t="str">
        <f ca="1">IFERROR(__xludf.DUMMYFUNCTION("LOWER(REGEXREPLACE(B1023&amp;"" ""&amp;C1023,""[^а-яa-z0-9 ]"","" ""))")," елоб ")</f>
        <v xml:space="preserve"> елоб </v>
      </c>
    </row>
    <row r="1024" spans="1:8" ht="51" x14ac:dyDescent="0.2">
      <c r="A1024" s="31" t="s">
        <v>2288</v>
      </c>
      <c r="B1024" s="27" t="s">
        <v>2289</v>
      </c>
      <c r="C1024" s="27" t="s">
        <v>2290</v>
      </c>
      <c r="D1024" s="33" t="s">
        <v>14</v>
      </c>
      <c r="E1024" s="34">
        <v>2</v>
      </c>
      <c r="F1024" s="36">
        <v>0.25</v>
      </c>
      <c r="G1024" s="10">
        <v>6434</v>
      </c>
      <c r="H1024" s="30" t="str">
        <f ca="1">IFERROR(__xludf.DUMMYFUNCTION("LOWER(REGEXREPLACE(B1024&amp;"" ""&amp;C1024,""[^а-яa-z0-9 ]"","" ""))")," елоб  алилея  елоб лабораторный с шариком   редназначен для лабораторных работ и физического практикума по механике     состав прибора входят    оток дугообразный с металлической обоймой под струбцину    твес    трубцина   омплект шариков ")</f>
        <v xml:space="preserve"> елоб  алилея  елоб лабораторный с шариком   редназначен для лабораторных работ и физического практикума по механике     состав прибора входят    оток дугообразный с металлической обоймой под струбцину    твес    трубцина   омплект шариков </v>
      </c>
    </row>
    <row r="1025" spans="1:8" ht="38.25" x14ac:dyDescent="0.2">
      <c r="A1025" s="31" t="s">
        <v>2291</v>
      </c>
      <c r="B1025" s="27" t="s">
        <v>2292</v>
      </c>
      <c r="C1025" s="27" t="s">
        <v>2293</v>
      </c>
      <c r="D1025" s="33" t="s">
        <v>14</v>
      </c>
      <c r="E1025" s="34">
        <v>2</v>
      </c>
      <c r="F1025" s="36">
        <v>7.0000000000000007E-2</v>
      </c>
      <c r="G1025" s="10">
        <v>1799</v>
      </c>
      <c r="H1025" s="30" t="str">
        <f ca="1">IFERROR(__xludf.DUMMYFUNCTION("LOWER(REGEXREPLACE(B1025&amp;"" ""&amp;C1025,""[^а-яa-z0-9 ]"","" ""))")," ычаг линейка  ычаг линейка   остоит из деревянной рейки длиной не менее 500 мм  двух уравнительных винтов с гайками  металлической оси и четырех сережек для подвешивания грузов ")</f>
        <v xml:space="preserve"> ычаг линейка  ычаг линейка   остоит из деревянной рейки длиной не менее 500 мм  двух уравнительных винтов с гайками  металлической оси и четырех сережек для подвешивания грузов </v>
      </c>
    </row>
    <row r="1026" spans="1:8" ht="12.75" x14ac:dyDescent="0.2">
      <c r="A1026" s="31" t="s">
        <v>2294</v>
      </c>
      <c r="B1026" s="27" t="s">
        <v>2295</v>
      </c>
      <c r="C1026" s="27"/>
      <c r="D1026" s="32"/>
      <c r="E1026" s="9"/>
      <c r="F1026" s="32"/>
      <c r="G1026" s="10"/>
      <c r="H1026" s="30" t="str">
        <f ca="1">IFERROR(__xludf.DUMMYFUNCTION("LOWER(REGEXREPLACE(B1026&amp;"" ""&amp;C1026,""[^а-яa-z0-9 ]"","" ""))")," алориметр ")</f>
        <v xml:space="preserve"> алориметр </v>
      </c>
    </row>
    <row r="1027" spans="1:8" ht="51" x14ac:dyDescent="0.2">
      <c r="A1027" s="31" t="s">
        <v>2296</v>
      </c>
      <c r="B1027" s="27" t="s">
        <v>2297</v>
      </c>
      <c r="C1027" s="27" t="s">
        <v>2298</v>
      </c>
      <c r="D1027" s="33" t="s">
        <v>14</v>
      </c>
      <c r="E1027" s="34">
        <v>2</v>
      </c>
      <c r="F1027" s="36">
        <v>0.24</v>
      </c>
      <c r="G1027" s="10">
        <v>4677</v>
      </c>
      <c r="H1027" s="30" t="str">
        <f ca="1">IFERROR(__xludf.DUMMYFUNCTION("LOWER(REGEXREPLACE(B1027&amp;"" ""&amp;C1027,""[^а-яa-z0-9 ]"","" ""))")," алориметр   местимость внутреннего сосуда не менее 250 мл  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ц"&amp;"епь  отверстия для термометра  стержня для перемещения тел внутри калориметра ")</f>
        <v xml:space="preserve"> алориметр   местимость внутреннего сосуда не менее 250 мл  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 </v>
      </c>
    </row>
    <row r="1028" spans="1:8" ht="102" x14ac:dyDescent="0.2">
      <c r="A1028" s="31" t="s">
        <v>2299</v>
      </c>
      <c r="B1028" s="27" t="s">
        <v>2300</v>
      </c>
      <c r="C1028" s="27" t="s">
        <v>2301</v>
      </c>
      <c r="D1028" s="33" t="s">
        <v>14</v>
      </c>
      <c r="E1028" s="34">
        <v>2</v>
      </c>
      <c r="F1028" s="36">
        <v>0.28999999999999998</v>
      </c>
      <c r="G1028" s="10">
        <v>4138</v>
      </c>
      <c r="H1028" s="30" t="str">
        <f ca="1">IFERROR(__xludf.DUMMYFUNCTION("LOWER(REGEXREPLACE(B1028&amp;"" ""&amp;C1028,""[^а-яa-z0-9 ]"","" ""))")," лектромагнит разборный с деталями  абор предназначен для выполнения лабораторных работ при изучении электромагнитных явлений   омплектность  катушки с контактными зажимами  пружинами    3 шт   якорь с крюком для   образного электромагнита   1 шт   звонко"&amp;"вая чашечка   1 шт   якорь электромагнитного реле и контактная группа  закреплена на днище коробки укладки    1 шт    набором можно провести следующие работы  изучение магнитного поля катушки с током  сборка и испытание электромагнита  сборка и испытание "&amp;"электромагнитного реле  сборка и испытание электрического звонка ")</f>
        <v xml:space="preserve"> лектромагнит разборный с деталями  абор предназначен для выполнения лабораторных работ при изучении электромагнитных явлений   омплектность  катушки с контактными зажимами  пружинами    3 шт   якорь с крюком для   образного электромагнита   1 шт   звонковая чашечка   1 шт   якорь электромагнитного реле и контактная группа  закреплена на днище коробки укладки    1 шт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 </v>
      </c>
    </row>
    <row r="1029" spans="1:8" ht="12.75" x14ac:dyDescent="0.2">
      <c r="A1029" s="31" t="s">
        <v>2302</v>
      </c>
      <c r="B1029" s="27" t="s">
        <v>2303</v>
      </c>
      <c r="C1029" s="27"/>
      <c r="D1029" s="32"/>
      <c r="E1029" s="9"/>
      <c r="F1029" s="32"/>
      <c r="G1029" s="10"/>
      <c r="H1029" s="30" t="str">
        <f ca="1">IFERROR(__xludf.DUMMYFUNCTION("LOWER(REGEXREPLACE(B1029&amp;"" ""&amp;C1029,""[^а-яa-z0-9 ]"","" ""))")," атушка ")</f>
        <v xml:space="preserve"> атушка </v>
      </c>
    </row>
    <row r="1030" spans="1:8" ht="76.5" x14ac:dyDescent="0.2">
      <c r="A1030" s="31" t="s">
        <v>2304</v>
      </c>
      <c r="B1030" s="27" t="s">
        <v>2305</v>
      </c>
      <c r="C1030" s="27" t="s">
        <v>2306</v>
      </c>
      <c r="D1030" s="33" t="s">
        <v>14</v>
      </c>
      <c r="E1030" s="34">
        <v>2</v>
      </c>
      <c r="F1030" s="37">
        <v>0.156</v>
      </c>
      <c r="G1030" s="10">
        <v>8184</v>
      </c>
      <c r="H1030" s="30" t="str">
        <f ca="1">IFERROR(__xludf.DUMMYFUNCTION("LOWER(REGEXREPLACE(B1030&amp;"" ""&amp;C1030,""[^а-яa-z0-9 ]"","" ""))")," атушка дроссельная   комплект входят две катушки и сердечник   атушки имеют цилиндрическую форму   а верхней панели имеются контакты для подключения прибора в электрическую цепь   нешняя катушка имеет диаметр не менее 68 мм  внутренний диаметр   не менее"&amp;" 35 мм  высота катушки вместе с контактами не менее 100 мм   тержень сделан из хромированного железа с ручкой из пластмассы длиной не менее 120 мм   азмеры каркаса катушки согласованы с сечением сердечника ")</f>
        <v xml:space="preserve"> атушка дроссельная   комплект входят две катушки и сердечник   атушки имеют цилиндрическую форму   а верхней панели имеются контакты для подключения прибора в электрическую цепь   нешняя катушка имеет диаметр не менее 68 мм  внутренний диаметр   не менее 35 мм  высота катушки вместе с контактами не менее 100 мм   тержень сделан из хромированного железа с ручкой из пластмассы длиной не менее 120 мм   азмеры каркаса катушки согласованы с сечением сердечника </v>
      </c>
    </row>
    <row r="1031" spans="1:8" ht="63.75" x14ac:dyDescent="0.2">
      <c r="A1031" s="31" t="s">
        <v>2307</v>
      </c>
      <c r="B1031" s="27" t="s">
        <v>2308</v>
      </c>
      <c r="C1031" s="27" t="s">
        <v>2309</v>
      </c>
      <c r="D1031" s="33" t="s">
        <v>14</v>
      </c>
      <c r="E1031" s="34">
        <v>2</v>
      </c>
      <c r="F1031" s="36">
        <v>0.24</v>
      </c>
      <c r="G1031" s="10">
        <v>11600</v>
      </c>
      <c r="H1031" s="30" t="str">
        <f ca="1">IFERROR(__xludf.DUMMYFUNCTION("LOWER(REGEXREPLACE(B1031&amp;"" ""&amp;C1031,""[^а-яa-z0-9 ]"","" ""))")," атушка  омсона  омплект дроссельных катушек   атушка первичной обмотки лабораторная    оминальное напряжение питания   42     отребляемая мощность   60      оличество витков катушки  омсона   750   оличество витков плоской катушки   40   омплектация   ат"&amp;"ушка  омсона   1 шт   плоская катушка на каркасе   1 шт   сердечник из трансформаторной стали   1 шт ")</f>
        <v xml:space="preserve"> атушка  омсона  омплект дроссельных катушек   атушка первичной обмотки лабораторная    оминальное напряжение питания   42     отребляемая мощность   60      оличество витков катушки  омсона   750   оличество витков плоской катушки   40   омплектация   атушка  омсона   1 шт   плоская катушка на каркасе   1 шт   сердечник из трансформаторной стали   1 шт </v>
      </c>
    </row>
    <row r="1032" spans="1:8" ht="25.5" x14ac:dyDescent="0.2">
      <c r="A1032" s="31" t="s">
        <v>2310</v>
      </c>
      <c r="B1032" s="27" t="s">
        <v>2311</v>
      </c>
      <c r="C1032" s="27" t="s">
        <v>2312</v>
      </c>
      <c r="D1032" s="33" t="s">
        <v>14</v>
      </c>
      <c r="E1032" s="34">
        <v>2</v>
      </c>
      <c r="F1032" s="36">
        <v>1.85</v>
      </c>
      <c r="G1032" s="10">
        <v>77795</v>
      </c>
      <c r="H1032" s="30" t="str">
        <f ca="1">IFERROR(__xludf.DUMMYFUNCTION("LOWER(REGEXREPLACE(B1032&amp;"" ""&amp;C1032,""[^а-яa-z0-9 ]"","" ""))")," рибор для измерения деформации растяжения  рибор состоит из штатива  фиксатора  пружины сострелкой  шкалой с фиксатором  набора грузов по 100 и 50 г ")</f>
        <v xml:space="preserve"> рибор для измерения деформации растяжения  рибор состоит из штатива  фиксатора  пружины сострелкой  шкалой с фиксатором  набора грузов по 100 и 50 г </v>
      </c>
    </row>
    <row r="1033" spans="1:8" ht="12.75" x14ac:dyDescent="0.2">
      <c r="A1033" s="31" t="s">
        <v>2313</v>
      </c>
      <c r="B1033" s="27" t="s">
        <v>2314</v>
      </c>
      <c r="C1033" s="27"/>
      <c r="D1033" s="32"/>
      <c r="E1033" s="9"/>
      <c r="F1033" s="32"/>
      <c r="G1033" s="10"/>
      <c r="H1033" s="30" t="str">
        <f ca="1">IFERROR(__xludf.DUMMYFUNCTION("LOWER(REGEXREPLACE(B1033&amp;"" ""&amp;C1033,""[^а-яa-z0-9 ]"","" ""))")," аттметр лабораторный ")</f>
        <v xml:space="preserve"> аттметр лабораторный </v>
      </c>
    </row>
    <row r="1034" spans="1:8" ht="89.25" x14ac:dyDescent="0.2">
      <c r="A1034" s="31" t="s">
        <v>2315</v>
      </c>
      <c r="B1034" s="27" t="s">
        <v>2316</v>
      </c>
      <c r="C1034" s="27" t="s">
        <v>2317</v>
      </c>
      <c r="D1034" s="33" t="s">
        <v>14</v>
      </c>
      <c r="E1034" s="34">
        <v>2</v>
      </c>
      <c r="F1034" s="36">
        <v>1.1499999999999999</v>
      </c>
      <c r="G1034" s="10">
        <v>55985</v>
      </c>
      <c r="H1034" s="30" t="str">
        <f ca="1">IFERROR(__xludf.DUMMYFUNCTION("LOWER(REGEXREPLACE(B1034&amp;"" ""&amp;C1034,""[^а-яa-z0-9 ]"","" ""))")," аттметр аналоговый демонстрационный  меет 4 диапазона   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иапазон измерения силы тока   500m  5"&amp;"00m   0 10m  100m   0 1  5   иапазон измерения напряжения постоянного тока 0 5   0 10   иапазон измерения силы тока переменного тока 0 10m  100m   0 1  5   иапазон измерения напряжение переменного тока  0 10  50   0 250 ")</f>
        <v xml:space="preserve"> аттметр аналоговый демонстрационный  меет 4 диапазона   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иапазон измерения силы тока   500m  500m   0 10m  100m   0 1  5   иапазон измерения напряжения постоянного тока 0 5   0 10   иапазон измерения силы тока переменного тока 0 10m  100m   0 1  5   иапазон измерения напряжение переменного тока  0 10  50   0 250 </v>
      </c>
    </row>
    <row r="1035" spans="1:8" ht="114.75" x14ac:dyDescent="0.2">
      <c r="A1035" s="31" t="s">
        <v>2318</v>
      </c>
      <c r="B1035" s="27" t="s">
        <v>2319</v>
      </c>
      <c r="C1035" s="27" t="s">
        <v>2320</v>
      </c>
      <c r="D1035" s="33" t="s">
        <v>14</v>
      </c>
      <c r="E1035" s="34">
        <v>2</v>
      </c>
      <c r="F1035" s="35">
        <v>5.8</v>
      </c>
      <c r="G1035" s="10">
        <v>39591</v>
      </c>
      <c r="H1035" s="30" t="str">
        <f ca="1">IFERROR(__xludf.DUMMYFUNCTION("LOWER(REGEXREPLACE(B1035&amp;"" ""&amp;C1035,""[^а-яa-z0-9 ]"","" ""))")," ресс гидравлический  модель   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оршень насоса приводится в д"&amp;"вижение с помощью съемной рукоядки в виде рычага    модели прилагаются для демонстрации сильная пружина и приспособление для изгиба бруска  чугунный плитки с двумя и одной опорами    литка с одной опорой крепится винтом на верхней плите пресса  а плитка с"&amp;" двумя опорами устанавливается на плиту большого поршня   низу рабочего цилиндра установлен на резьбе спускной клапан  а в верхней части цилиндра   спускной воздушный клапан  вантуз  ")</f>
        <v xml:space="preserve"> ресс гидравлический  модель   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оршень насоса приводится в движение с помощью съемной рукоядки в виде рычага    модели прилагаются для демонстрации сильная пружина и приспособление для изгиба бруска  чугунный плитки с двумя и одной опорами    литка с одной опорой крепится винтом на верхней плите пресса  а плитка с двумя опорами устанавливается на плиту большого поршня   низу рабочего цилиндра установлен на резьбе спускной клапан  а в верхней части цилиндра   спускной воздушный клапан  вантуз  </v>
      </c>
    </row>
    <row r="1036" spans="1:8" ht="51" x14ac:dyDescent="0.2">
      <c r="A1036" s="31" t="s">
        <v>2321</v>
      </c>
      <c r="B1036" s="27" t="s">
        <v>2322</v>
      </c>
      <c r="C1036" s="27" t="s">
        <v>2323</v>
      </c>
      <c r="D1036" s="33" t="s">
        <v>1506</v>
      </c>
      <c r="E1036" s="34">
        <v>2</v>
      </c>
      <c r="F1036" s="35">
        <v>1.4</v>
      </c>
      <c r="G1036" s="10">
        <v>265654</v>
      </c>
      <c r="H1036" s="30" t="str">
        <f ca="1">IFERROR(__xludf.DUMMYFUNCTION("LOWER(REGEXREPLACE(B1036&amp;"" ""&amp;C1036,""[^а-яa-z0-9 ]"","" ""))")," рибор для измерения длины световой волны с набором дифракционных решеток  омплектация  1 шт  ейс с крышкой  1 шт  оток со вставкой  1 шт   камья с пазом длиной 35 см  1 шт   ержатель для дифракционной решетки  1 шт   кран  1 шт   амка с дифракционными ре"&amp;"шетками  300 и 600 штрих мм   1 шт   олупроводниковый лазер  1 шт   уководство по эксплуатации")</f>
        <v xml:space="preserve"> рибор для измерения длины световой волны с набором дифракционных решеток  омплектация  1 шт  ейс с крышкой  1 шт  оток со вставкой  1 шт   камья с пазом длиной 35 см  1 шт   ержатель для дифракционной решетки  1 шт   кран  1 шт   амка с дифракционными решетками  300 и 600 штрих мм   1 шт   олупроводниковый лазер  1 шт   уководство по эксплуатации</v>
      </c>
    </row>
    <row r="1037" spans="1:8" ht="12.75" x14ac:dyDescent="0.2">
      <c r="A1037" s="31" t="s">
        <v>2324</v>
      </c>
      <c r="B1037" s="27" t="s">
        <v>2325</v>
      </c>
      <c r="C1037" s="27"/>
      <c r="D1037" s="32"/>
      <c r="E1037" s="9"/>
      <c r="F1037" s="32"/>
      <c r="G1037" s="10"/>
      <c r="H1037" s="30" t="str">
        <f ca="1">IFERROR(__xludf.DUMMYFUNCTION("LOWER(REGEXREPLACE(B1037&amp;"" ""&amp;C1037,""[^а-яa-z0-9 ]"","" ""))")," аятник ")</f>
        <v xml:space="preserve"> аятник </v>
      </c>
    </row>
    <row r="1038" spans="1:8" ht="12.75" x14ac:dyDescent="0.2">
      <c r="A1038" s="31" t="s">
        <v>2326</v>
      </c>
      <c r="B1038" s="27" t="s">
        <v>2327</v>
      </c>
      <c r="C1038" s="27"/>
      <c r="D1038" s="33" t="s">
        <v>14</v>
      </c>
      <c r="E1038" s="34">
        <v>2</v>
      </c>
      <c r="F1038" s="35">
        <v>0.8</v>
      </c>
      <c r="G1038" s="10">
        <v>373207</v>
      </c>
      <c r="H1038" s="30" t="str">
        <f ca="1">IFERROR(__xludf.DUMMYFUNCTION("LOWER(REGEXREPLACE(B1038&amp;"" ""&amp;C1038,""[^а-яa-z0-9 ]"","" ""))")," аятник математический типа  hywe 12972 00 ")</f>
        <v xml:space="preserve"> аятник математический типа  hywe 12972 00 </v>
      </c>
    </row>
    <row r="1039" spans="1:8" ht="12.75" x14ac:dyDescent="0.2">
      <c r="A1039" s="31" t="s">
        <v>2328</v>
      </c>
      <c r="B1039" s="27" t="s">
        <v>2329</v>
      </c>
      <c r="C1039" s="27"/>
      <c r="D1039" s="33" t="s">
        <v>14</v>
      </c>
      <c r="E1039" s="34">
        <v>2</v>
      </c>
      <c r="F1039" s="34">
        <v>2</v>
      </c>
      <c r="G1039" s="10">
        <v>1285986</v>
      </c>
      <c r="H1039" s="30" t="str">
        <f ca="1">IFERROR(__xludf.DUMMYFUNCTION("LOWER(REGEXREPLACE(B1039&amp;"" ""&amp;C1039,""[^а-яa-z0-9 ]"","" ""))")," аятник баллистический  hywe  2131200 ")</f>
        <v xml:space="preserve"> аятник баллистический  hywe  2131200 </v>
      </c>
    </row>
    <row r="1040" spans="1:8" ht="63.75" x14ac:dyDescent="0.2">
      <c r="A1040" s="31" t="s">
        <v>2330</v>
      </c>
      <c r="B1040" s="27" t="s">
        <v>2331</v>
      </c>
      <c r="C1040" s="27" t="s">
        <v>2332</v>
      </c>
      <c r="D1040" s="33" t="s">
        <v>14</v>
      </c>
      <c r="E1040" s="34">
        <v>2</v>
      </c>
      <c r="F1040" s="35">
        <v>1.2</v>
      </c>
      <c r="G1040" s="10">
        <v>8773</v>
      </c>
      <c r="H1040" s="30" t="str">
        <f ca="1">IFERROR(__xludf.DUMMYFUNCTION("LOWER(REGEXREPLACE(B1040&amp;"" ""&amp;C1040,""[^а-яa-z0-9 ]"","" ""))")," аятник электростатический  аятник электростатический предназначен для обнаружения электрических зарядов и демонстрации взаимодействия одноименных и разноименных зарядов   остав прибора  гильзы с нитью   2 шт   трубки       2 шт   стержни   2 шт   пробирк"&amp;"а стеклянная для хранения комплекта с пробкой   1 шт   емонстрация при изучении процесса электризации тел ")</f>
        <v xml:space="preserve"> аятник электростатический  аятник электростатический предназначен для обнаружения электрических зарядов и демонстрации взаимодействия одноименных и разноименных зарядов   остав прибора  гильзы с нитью   2 шт   трубки       2 шт   стержни   2 шт   пробирка стеклянная для хранения комплекта с пробкой   1 шт   емонстрация при изучении процесса электризации тел </v>
      </c>
    </row>
    <row r="1041" spans="1:8" ht="76.5" x14ac:dyDescent="0.2">
      <c r="A1041" s="31" t="s">
        <v>2333</v>
      </c>
      <c r="B1041" s="27" t="s">
        <v>2334</v>
      </c>
      <c r="C1041" s="27" t="s">
        <v>2335</v>
      </c>
      <c r="D1041" s="33" t="s">
        <v>14</v>
      </c>
      <c r="E1041" s="34">
        <v>2</v>
      </c>
      <c r="F1041" s="35">
        <v>1.5</v>
      </c>
      <c r="G1041" s="10">
        <v>42834</v>
      </c>
      <c r="H1041" s="30" t="str">
        <f ca="1">IFERROR(__xludf.DUMMYFUNCTION("LOWER(REGEXREPLACE(B1041&amp;"" ""&amp;C1041,""[^а-яa-z0-9 ]"","" ""))")," оздуходувка       зделие предназначено для использования при проведении демонстрационных опытов по аэродинамике   оздуходувка представляет собой центробежный вентилятор с электродвигателем  заключенный в пластиковый корпус с двумя отверстиями  выпускным "&amp;"и воздухозаборным  закрытым фильтром   ля установки прибора на горизонтальной поверхности предусмотрены ножки   ля направления потока воздуха изделие комплектуется воздуховодом   сточник сжатого воздуха шт 1 ")</f>
        <v xml:space="preserve"> оздуходувка       зделие предназначено для использования при проведении демонстрационных опытов по аэродинамике   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ля установки прибора на горизонтальной поверхности предусмотрены ножки   ля направления потока воздуха изделие комплектуется воздуховодом   сточник сжатого воздуха шт 1 </v>
      </c>
    </row>
    <row r="1042" spans="1:8" ht="25.5" x14ac:dyDescent="0.2">
      <c r="A1042" s="31" t="s">
        <v>2336</v>
      </c>
      <c r="B1042" s="27" t="s">
        <v>2337</v>
      </c>
      <c r="C1042" s="27" t="s">
        <v>2338</v>
      </c>
      <c r="D1042" s="33" t="s">
        <v>14</v>
      </c>
      <c r="E1042" s="34">
        <v>2</v>
      </c>
      <c r="F1042" s="37">
        <v>9.5000000000000001E-2</v>
      </c>
      <c r="G1042" s="10">
        <v>5891</v>
      </c>
      <c r="H1042" s="30" t="str">
        <f ca="1">IFERROR(__xludf.DUMMYFUNCTION("LOWER(REGEXREPLACE(B1042&amp;"" ""&amp;C1042,""[^а-яa-z0-9 ]"","" ""))")," атарея солнечная  остоит из кремниевых фотоэлементов  электрического двигателя соединенного с фотоэлементом ")</f>
        <v xml:space="preserve"> атарея солнечная  остоит из кремниевых фотоэлементов  электрического двигателя соединенного с фотоэлементом </v>
      </c>
    </row>
    <row r="1043" spans="1:8" ht="38.25" x14ac:dyDescent="0.2">
      <c r="A1043" s="31" t="s">
        <v>2339</v>
      </c>
      <c r="B1043" s="27" t="s">
        <v>2340</v>
      </c>
      <c r="C1043" s="27" t="s">
        <v>2341</v>
      </c>
      <c r="D1043" s="33" t="s">
        <v>14</v>
      </c>
      <c r="E1043" s="34">
        <v>2</v>
      </c>
      <c r="F1043" s="37">
        <v>0.183</v>
      </c>
      <c r="G1043" s="10">
        <v>17222</v>
      </c>
      <c r="H1043" s="30" t="str">
        <f ca="1">IFERROR(__xludf.DUMMYFUNCTION("LOWER(REGEXREPLACE(B1043&amp;"" ""&amp;C1043,""[^а-яa-z0-9 ]"","" ""))")," азер учебный  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 ")</f>
        <v xml:space="preserve"> азер учебный  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 </v>
      </c>
    </row>
    <row r="1044" spans="1:8" ht="89.25" x14ac:dyDescent="0.2">
      <c r="A1044" s="31" t="s">
        <v>2342</v>
      </c>
      <c r="B1044" s="27" t="s">
        <v>2343</v>
      </c>
      <c r="C1044" s="27" t="s">
        <v>2344</v>
      </c>
      <c r="D1044" s="33" t="s">
        <v>14</v>
      </c>
      <c r="E1044" s="34">
        <v>2</v>
      </c>
      <c r="F1044" s="36">
        <v>0.82</v>
      </c>
      <c r="G1044" s="10">
        <v>28466</v>
      </c>
      <c r="H1044" s="30" t="str">
        <f ca="1">IFERROR(__xludf.DUMMYFUNCTION("LOWER(REGEXREPLACE(B1044&amp;"" ""&amp;C1044,""[^а-яa-z0-9 ]"","" ""))")," вометр с гальванометром демонстрационный  редназначен для измерения силы тока  напряжения  сопротивления в цепях постоянного и переменного тока   меет 32 диапазона для измерений    и    напряжений     и    силы тока  сопротивления   иапазон измерения нап"&amp;"ряжения  2 5 10 50 250 500 2500    силы тока постоянного тока  50   1 10 100 500 m   5     иапазон измерения напряжения переменного тока 10 50 250 2500     иапазон измерения сопротивления 2  20  200  2  20  ohm   атарея питания  14 1 5  х16 22 9  х1 ")</f>
        <v xml:space="preserve"> вометр с гальванометром демонстрационный  редназначен для измерения силы тока  напряжения  сопротивления в цепях постоянного и переменного тока   меет 32 диапазона для измерений    и    напряжений     и    силы тока  сопротивления   иапазон измерения напряжения  2 5 10 50 250 500 2500    силы тока постоянного тока  50   1 10 100 500 m   5     иапазон измерения напряжения переменного тока 10 50 250 2500     иапазон измерения сопротивления 2  20  200  2  20  ohm   атарея питания  14 1 5  х16 22 9  х1 </v>
      </c>
    </row>
    <row r="1045" spans="1:8" ht="25.5" x14ac:dyDescent="0.2">
      <c r="A1045" s="31" t="s">
        <v>2345</v>
      </c>
      <c r="B1045" s="27" t="s">
        <v>2346</v>
      </c>
      <c r="C1045" s="27" t="s">
        <v>2347</v>
      </c>
      <c r="D1045" s="33" t="s">
        <v>14</v>
      </c>
      <c r="E1045" s="34">
        <v>2</v>
      </c>
      <c r="F1045" s="35">
        <v>1.8</v>
      </c>
      <c r="G1045" s="10">
        <v>95781</v>
      </c>
      <c r="H1045" s="30" t="str">
        <f ca="1">IFERROR(__xludf.DUMMYFUNCTION("LOWER(REGEXREPLACE(B1045&amp;"" ""&amp;C1045,""[^а-яa-z0-9 ]"","" ""))")," олновая машина  рибор предназначен для моделирования колебательного и волнового движения при изучении механических колебаний и волн на уроках физики ")</f>
        <v xml:space="preserve"> олновая машина  рибор предназначен для моделирования колебательного и волнового движения при изучении механических колебаний и волн на уроках физики </v>
      </c>
    </row>
    <row r="1046" spans="1:8" ht="12.75" x14ac:dyDescent="0.2">
      <c r="A1046" s="31" t="s">
        <v>2348</v>
      </c>
      <c r="B1046" s="27" t="s">
        <v>2349</v>
      </c>
      <c r="C1046" s="27"/>
      <c r="D1046" s="33" t="s">
        <v>14</v>
      </c>
      <c r="E1046" s="9"/>
      <c r="F1046" s="32"/>
      <c r="G1046" s="10"/>
      <c r="H1046" s="30" t="str">
        <f ca="1">IFERROR(__xludf.DUMMYFUNCTION("LOWER(REGEXREPLACE(B1046&amp;"" ""&amp;C1046,""[^а-яa-z0-9 ]"","" ""))")," лектроскоп ")</f>
        <v xml:space="preserve"> лектроскоп </v>
      </c>
    </row>
    <row r="1047" spans="1:8" ht="89.25" x14ac:dyDescent="0.2">
      <c r="A1047" s="31" t="s">
        <v>2350</v>
      </c>
      <c r="B1047" s="27" t="s">
        <v>2351</v>
      </c>
      <c r="C1047" s="27" t="s">
        <v>2352</v>
      </c>
      <c r="D1047" s="33" t="s">
        <v>14</v>
      </c>
      <c r="E1047" s="34">
        <v>2</v>
      </c>
      <c r="F1047" s="35">
        <v>0.2</v>
      </c>
      <c r="G1047" s="10">
        <v>13040</v>
      </c>
      <c r="H1047" s="30" t="str">
        <f ca="1">IFERROR(__xludf.DUMMYFUNCTION("LOWER(REGEXREPLACE(B1047&amp;"" ""&amp;C1047,""[^а-яa-z0-9 ]"","" ""))")," лектроскоп пара   комплект входит два электроскопа  представляющие собой цилиндрические  застекленные с обеих сторон корпуса  поставленные ребром на подставку   верху корпуса укреплена изолирующая втулка  через которую проходит металлический стержень с п"&amp;"омещенной на нем стрелкой указателем   а матовом стекле электроскопа нанесена шкала без оцифровки   лектроскопы комплектуются шаровыми металлическими кондукторами ")</f>
        <v xml:space="preserve"> лектроскоп пара   комплект входит два электроскопа  представляющие собой цилиндрические  застекленные с обеих сторон корпуса  поставленные ребром на подставку   верху корпуса укреплена изолирующая втулка  через которую проходит металлический стержень с помещенной на нем стрелкой указателем   а матовом стекле электроскопа нанесена шкала без оцифровки   лектроскопы комплектуются шаровыми металлическими кондукторами </v>
      </c>
    </row>
    <row r="1048" spans="1:8" ht="114.75" x14ac:dyDescent="0.2">
      <c r="A1048" s="31" t="s">
        <v>2353</v>
      </c>
      <c r="B1048" s="27" t="s">
        <v>2354</v>
      </c>
      <c r="C1048" s="27" t="s">
        <v>2355</v>
      </c>
      <c r="D1048" s="33" t="s">
        <v>14</v>
      </c>
      <c r="E1048" s="34">
        <v>2</v>
      </c>
      <c r="F1048" s="35">
        <v>0.6</v>
      </c>
      <c r="G1048" s="10">
        <v>101846</v>
      </c>
      <c r="H1048" s="30" t="str">
        <f ca="1">IFERROR(__xludf.DUMMYFUNCTION("LOWER(REGEXREPLACE(B1048&amp;"" ""&amp;C1048,""[^а-яa-z0-9 ]"","" ""))")," енератор звуковой школьный  а панели генератора расположены безопасные гнезда для подключения сигнальных проводов со штекерами диаметром 4 мм   меется три гнезда для получения соответственно сигналов прямоугольной  пилообразной и синусоидальной формы   е"&amp;"твертое гнездо служит для подключения отрицательной клеммы нагрузки   астота выходного сигнала устанавливается вращением рукоятки           в диапазоне от 20  ц до 20 к ц с шагом около 15  от заданной частоты   мплитуда выходного сигнала регулируется в ди"&amp;"апазоне от 0 до 5   с помощью рукоятки               итание генератора от сети 220    50 ц   рибор предназначен для использования только учителем ")</f>
        <v xml:space="preserve"> енератор звуковой школьный  а панели генератора расположены безопасные гнезда для подключения сигнальных проводов со штекерами диаметром 4 мм   меется три гнезда для получения соответственно сигналов прямоугольной  пилообразной и синусоидальной формы   етвертое гнездо служит для подключения отрицательной клеммы нагрузки   астота выходного сигнала устанавливается вращением рукоятки           в диапазоне от 20  ц до 20 к ц с шагом около 15  от заданной частоты   мплитуда выходного сигнала регулируется в диапазоне от 0 до 5   с помощью рукоятки               итание генератора от сети 220    50 ц   рибор предназначен для использования только учителем </v>
      </c>
    </row>
    <row r="1049" spans="1:8" ht="12.75" x14ac:dyDescent="0.2">
      <c r="A1049" s="31" t="s">
        <v>2356</v>
      </c>
      <c r="B1049" s="27" t="s">
        <v>2357</v>
      </c>
      <c r="C1049" s="27"/>
      <c r="D1049" s="33" t="s">
        <v>14</v>
      </c>
      <c r="E1049" s="9"/>
      <c r="F1049" s="32"/>
      <c r="G1049" s="10"/>
      <c r="H1049" s="30" t="str">
        <f ca="1">IFERROR(__xludf.DUMMYFUNCTION("LOWER(REGEXREPLACE(B1049&amp;"" ""&amp;C1049,""[^а-яa-z0-9 ]"","" ""))")," сцилограф ")</f>
        <v xml:space="preserve"> сцилограф </v>
      </c>
    </row>
    <row r="1050" spans="1:8" ht="127.5" x14ac:dyDescent="0.2">
      <c r="A1050" s="31" t="s">
        <v>2358</v>
      </c>
      <c r="B1050" s="27" t="s">
        <v>2359</v>
      </c>
      <c r="C1050" s="27" t="s">
        <v>2360</v>
      </c>
      <c r="D1050" s="33" t="s">
        <v>14</v>
      </c>
      <c r="E1050" s="34">
        <v>2</v>
      </c>
      <c r="F1050" s="35">
        <v>2.2000000000000002</v>
      </c>
      <c r="G1050" s="10">
        <v>229326</v>
      </c>
      <c r="H1050" s="30" t="str">
        <f ca="1">IFERROR(__xludf.DUMMYFUNCTION("LOWER(REGEXREPLACE(B1050&amp;"" ""&amp;C1050,""[^а-яa-z0-9 ]"","" ""))")," сцилограф демонстрационный цифровой двухканальный с 7 дюймовым цветным жидкокристаллическим дисплеем  вухканальное измерительное устройство оснащено 7 дюймовым цветным жидкокристаллическим дисплеем  обеспечивающим качественную визуализацию сигнала   олос"&amp;"а пропуска 50  ц   ремя нарастания 7нс   астота сэмплирования 50 выб с   квивалентная частота сэмплирования 50 выб с   ертикальное разрешение 1м  20  под   ремя горизонтальной развертки 5нс  50с под   ежим запуска развертки  dge   ulse   lternate   втомат"&amp;"ическое измерение форм сигналов   28   четчик частоты   6 единиц  одержит функцию математической обработки сигнала  вычитание  сложение  деление  умножение и       отребление  100 240   45 440 ц   омплектация   сциллограф   1 шт   змерительные щупы   2 шт"&amp;"    абель питания   1 шт       кабель   1 шт      для соединения с компьютером   1 шт ")</f>
        <v xml:space="preserve"> сцилограф демонстрационный цифровой двухканальный с 7 дюймовым цветным жидкокристаллическим дисплеем  вухканальное измерительное устройство оснащено 7 дюймовым цветным жидкокристаллическим дисплеем  обеспечивающим качественную визуализацию сигнала   олоса пропуска 50  ц   ремя нарастания 7нс   астота сэмплирования 50 выб с   квивалентная частота сэмплирования 50 выб с   ертикальное разрешение 1м  20  под   ремя горизонтальной развертки 5нс  50с под   ежим запуска развертки  dge   ulse   lternate   втоматическое измерение форм сигналов   28   четчик частоты   6 единиц  одержит функцию математической обработки сигнала  вычитание  сложение  деление  умножение и       отребление  100 240   45 440 ц   омплектация   сциллограф   1 шт   змерительные щупы   2 шт    абель питания   1 шт       кабель   1 шт      для соединения с компьютером   1 шт </v>
      </c>
    </row>
    <row r="1051" spans="1:8" ht="25.5" x14ac:dyDescent="0.2">
      <c r="A1051" s="31" t="s">
        <v>2361</v>
      </c>
      <c r="B1051" s="27" t="s">
        <v>2362</v>
      </c>
      <c r="C1051" s="27" t="s">
        <v>2363</v>
      </c>
      <c r="D1051" s="33" t="s">
        <v>14</v>
      </c>
      <c r="E1051" s="34">
        <v>2</v>
      </c>
      <c r="F1051" s="34">
        <v>2</v>
      </c>
      <c r="G1051" s="10">
        <v>132877</v>
      </c>
      <c r="H1051" s="30" t="str">
        <f ca="1">IFERROR(__xludf.DUMMYFUNCTION("LOWER(REGEXREPLACE(B1051&amp;"" ""&amp;C1051,""[^а-яa-z0-9 ]"","" ""))")," сцилограф лабораторный  омплектность  осциллограф   1 шт  адаптер   1 шт  кабель типа  тюльпан   для подключения к телевизору   1 шт ")</f>
        <v xml:space="preserve"> сцилограф лабораторный  омплектность  осциллограф   1 шт  адаптер   1 шт  кабель типа  тюльпан   для подключения к телевизору   1 шт </v>
      </c>
    </row>
    <row r="1052" spans="1:8" ht="51" x14ac:dyDescent="0.2">
      <c r="A1052" s="31" t="s">
        <v>2364</v>
      </c>
      <c r="B1052" s="27" t="s">
        <v>2365</v>
      </c>
      <c r="C1052" s="27" t="s">
        <v>2366</v>
      </c>
      <c r="D1052" s="33" t="s">
        <v>14</v>
      </c>
      <c r="E1052" s="34">
        <v>2</v>
      </c>
      <c r="F1052" s="35">
        <v>0.2</v>
      </c>
      <c r="G1052" s="10">
        <v>9713</v>
      </c>
      <c r="H1052" s="30" t="str">
        <f ca="1">IFERROR(__xludf.DUMMYFUNCTION("LOWER(REGEXREPLACE(B1052&amp;"" ""&amp;C1052,""[^а-яa-z0-9 ]"","" ""))")," зонатор  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рибор можно использовать только с источником высокого напряжения  напр"&amp;"имер с генератором высокого напряжения универсальным ")</f>
        <v xml:space="preserve"> зонатор  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рибор можно использовать только с источником высокого напряжения  например с генератором высокого напряжения универсальным </v>
      </c>
    </row>
    <row r="1053" spans="1:8" ht="12.75" x14ac:dyDescent="0.2">
      <c r="A1053" s="31" t="s">
        <v>2367</v>
      </c>
      <c r="B1053" s="27" t="s">
        <v>2368</v>
      </c>
      <c r="C1053" s="27"/>
      <c r="D1053" s="33" t="s">
        <v>14</v>
      </c>
      <c r="E1053" s="9"/>
      <c r="F1053" s="32"/>
      <c r="G1053" s="10"/>
      <c r="H1053" s="30" t="str">
        <f ca="1">IFERROR(__xludf.DUMMYFUNCTION("LOWER(REGEXREPLACE(B1053&amp;"" ""&amp;C1053,""[^а-яa-z0-9 ]"","" ""))")," альванометр ")</f>
        <v xml:space="preserve"> альванометр </v>
      </c>
    </row>
    <row r="1054" spans="1:8" ht="25.5" x14ac:dyDescent="0.2">
      <c r="A1054" s="31" t="s">
        <v>2369</v>
      </c>
      <c r="B1054" s="27" t="s">
        <v>2370</v>
      </c>
      <c r="C1054" s="27" t="s">
        <v>2371</v>
      </c>
      <c r="D1054" s="33" t="s">
        <v>14</v>
      </c>
      <c r="E1054" s="34">
        <v>2</v>
      </c>
      <c r="F1054" s="35">
        <v>0.9</v>
      </c>
      <c r="G1054" s="10">
        <v>4388</v>
      </c>
      <c r="H1054" s="30" t="str">
        <f ca="1">IFERROR(__xludf.DUMMYFUNCTION("LOWER(REGEXREPLACE(B1054&amp;"" ""&amp;C1054,""[^а-яa-z0-9 ]"","" ""))")," альванометр лабораторный  атериал  пластик   электронный компонент   увствительный диапазон   30 0 30     азмер  133x97x100мм   очность    5 ")</f>
        <v xml:space="preserve"> альванометр лабораторный  атериал  пластик   электронный компонент   увствительный диапазон   30 0 30     азмер  133x97x100мм   очность    5 </v>
      </c>
    </row>
    <row r="1055" spans="1:8" ht="38.25" x14ac:dyDescent="0.2">
      <c r="A1055" s="31" t="s">
        <v>2372</v>
      </c>
      <c r="B1055" s="27" t="s">
        <v>2373</v>
      </c>
      <c r="C1055" s="27" t="s">
        <v>2374</v>
      </c>
      <c r="D1055" s="33" t="s">
        <v>14</v>
      </c>
      <c r="E1055" s="34">
        <v>2</v>
      </c>
      <c r="F1055" s="36">
        <v>0.15</v>
      </c>
      <c r="G1055" s="10">
        <v>4722</v>
      </c>
      <c r="H1055" s="30" t="str">
        <f ca="1">IFERROR(__xludf.DUMMYFUNCTION("LOWER(REGEXREPLACE(B1055&amp;"" ""&amp;C1055,""[^а-яa-z0-9 ]"","" ""))")," лата для сборки электрических цепей  редназначена для сборки электрических цепей при проведении демонстрационных и лабораторных работ по электричеству на уроках физики    комплекте  коммутационная плата в сборе   1 шт ")</f>
        <v xml:space="preserve"> лата для сборки электрических цепей  редназначена для сборки электрических цепей при проведении демонстрационных и лабораторных работ по электричеству на уроках физики    комплекте  коммутационная плата в сборе   1 шт </v>
      </c>
    </row>
    <row r="1056" spans="1:8" ht="12.75" x14ac:dyDescent="0.2">
      <c r="A1056" s="31" t="s">
        <v>2375</v>
      </c>
      <c r="B1056" s="27" t="s">
        <v>2376</v>
      </c>
      <c r="C1056" s="27"/>
      <c r="D1056" s="32"/>
      <c r="E1056" s="9"/>
      <c r="F1056" s="32"/>
      <c r="G1056" s="10"/>
      <c r="H1056" s="30" t="str">
        <f ca="1">IFERROR(__xludf.DUMMYFUNCTION("LOWER(REGEXREPLACE(B1056&amp;"" ""&amp;C1056,""[^а-яa-z0-9 ]"","" ""))")," аборатория в чемодане ")</f>
        <v xml:space="preserve"> аборатория в чемодане </v>
      </c>
    </row>
    <row r="1057" spans="1:8" ht="12.75" x14ac:dyDescent="0.2">
      <c r="A1057" s="31" t="s">
        <v>2377</v>
      </c>
      <c r="B1057" s="27" t="s">
        <v>2378</v>
      </c>
      <c r="C1057" s="27"/>
      <c r="D1057" s="33" t="s">
        <v>68</v>
      </c>
      <c r="E1057" s="9"/>
      <c r="F1057" s="32"/>
      <c r="G1057" s="10"/>
      <c r="H1057" s="30" t="str">
        <f ca="1">IFERROR(__xludf.DUMMYFUNCTION("LOWER(REGEXREPLACE(B1057&amp;"" ""&amp;C1057,""[^а-яa-z0-9 ]"","" ""))")," емонстрационный набор   епловые явления  ")</f>
        <v xml:space="preserve"> емонстрационный набор   епловые явления  </v>
      </c>
    </row>
    <row r="1058" spans="1:8" ht="25.5" x14ac:dyDescent="0.2">
      <c r="A1058" s="31" t="s">
        <v>2379</v>
      </c>
      <c r="B1058" s="27" t="s">
        <v>2380</v>
      </c>
      <c r="C1058" s="27"/>
      <c r="D1058" s="33" t="s">
        <v>68</v>
      </c>
      <c r="E1058" s="34">
        <v>2</v>
      </c>
      <c r="F1058" s="37">
        <v>0.184</v>
      </c>
      <c r="G1058" s="10">
        <v>2923</v>
      </c>
      <c r="H1058" s="30" t="str">
        <f ca="1">IFERROR(__xludf.DUMMYFUNCTION("LOWER(REGEXREPLACE(B1058&amp;"" ""&amp;C1058,""[^а-яa-z0-9 ]"","" ""))")," икролаборатория по изучению тепловых явлений ")</f>
        <v xml:space="preserve"> икролаборатория по изучению тепловых явлений </v>
      </c>
    </row>
    <row r="1059" spans="1:8" ht="12.75" x14ac:dyDescent="0.2">
      <c r="A1059" s="31" t="s">
        <v>2381</v>
      </c>
      <c r="B1059" s="27" t="s">
        <v>2382</v>
      </c>
      <c r="C1059" s="27"/>
      <c r="D1059" s="33" t="s">
        <v>1506</v>
      </c>
      <c r="E1059" s="9"/>
      <c r="F1059" s="32"/>
      <c r="G1059" s="10"/>
      <c r="H1059" s="30" t="str">
        <f ca="1">IFERROR(__xludf.DUMMYFUNCTION("LOWER(REGEXREPLACE(B1059&amp;"" ""&amp;C1059,""[^а-яa-z0-9 ]"","" ""))")," абор демонстрационный   птика  ")</f>
        <v xml:space="preserve"> абор демонстрационный   птика  </v>
      </c>
    </row>
    <row r="1060" spans="1:8" ht="25.5" x14ac:dyDescent="0.2">
      <c r="A1060" s="31" t="s">
        <v>2383</v>
      </c>
      <c r="B1060" s="27" t="s">
        <v>2384</v>
      </c>
      <c r="C1060" s="27" t="s">
        <v>2385</v>
      </c>
      <c r="D1060" s="33" t="s">
        <v>1506</v>
      </c>
      <c r="E1060" s="34">
        <v>2</v>
      </c>
      <c r="F1060" s="35">
        <v>4.5999999999999996</v>
      </c>
      <c r="G1060" s="10">
        <v>94878</v>
      </c>
      <c r="H1060" s="30" t="str">
        <f ca="1">IFERROR(__xludf.DUMMYFUNCTION("LOWER(REGEXREPLACE(B1060&amp;"" ""&amp;C1060,""[^а-яa-z0-9 ]"","" ""))")," абор демонстрационный для изучения оптики   набор входят  1  щит экран 2  щелевая панель 3  источник света 4  набор линз  зеркал  призм  светофильтров")</f>
        <v xml:space="preserve"> абор демонстрационный для изучения оптики   набор входят  1  щит экран 2  щелевая панель 3  источник света 4  набор линз  зеркал  призм  светофильтров</v>
      </c>
    </row>
    <row r="1061" spans="1:8" ht="38.25" x14ac:dyDescent="0.2">
      <c r="A1061" s="31" t="s">
        <v>2386</v>
      </c>
      <c r="B1061" s="27" t="s">
        <v>2387</v>
      </c>
      <c r="C1061" s="27" t="s">
        <v>2388</v>
      </c>
      <c r="D1061" s="33" t="s">
        <v>68</v>
      </c>
      <c r="E1061" s="34">
        <v>2</v>
      </c>
      <c r="F1061" s="36">
        <v>1.55</v>
      </c>
      <c r="G1061" s="10">
        <v>13782</v>
      </c>
      <c r="H1061" s="30" t="str">
        <f ca="1">IFERROR(__xludf.DUMMYFUNCTION("LOWER(REGEXREPLACE(B1061&amp;"" ""&amp;C1061,""[^а-яa-z0-9 ]"","" ""))")," камья оптическая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 ")</f>
        <v xml:space="preserve"> камья оптическая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 </v>
      </c>
    </row>
    <row r="1062" spans="1:8" ht="12.75" x14ac:dyDescent="0.2">
      <c r="A1062" s="31" t="s">
        <v>2389</v>
      </c>
      <c r="B1062" s="27" t="s">
        <v>2390</v>
      </c>
      <c r="C1062" s="27"/>
      <c r="D1062" s="33" t="s">
        <v>1506</v>
      </c>
      <c r="E1062" s="9"/>
      <c r="F1062" s="32"/>
      <c r="G1062" s="10"/>
      <c r="H1062" s="30" t="str">
        <f ca="1">IFERROR(__xludf.DUMMYFUNCTION("LOWER(REGEXREPLACE(B1062&amp;"" ""&amp;C1062,""[^а-яa-z0-9 ]"","" ""))")," емонстрационный набор   лектричество  ")</f>
        <v xml:space="preserve"> емонстрационный набор   лектричество  </v>
      </c>
    </row>
    <row r="1063" spans="1:8" ht="76.5" x14ac:dyDescent="0.2">
      <c r="A1063" s="31" t="s">
        <v>2391</v>
      </c>
      <c r="B1063" s="27" t="s">
        <v>2392</v>
      </c>
      <c r="C1063" s="27" t="s">
        <v>2393</v>
      </c>
      <c r="D1063" s="33" t="s">
        <v>1506</v>
      </c>
      <c r="E1063" s="34">
        <v>2</v>
      </c>
      <c r="F1063" s="36">
        <v>0.25</v>
      </c>
      <c r="G1063" s="10">
        <v>12453</v>
      </c>
      <c r="H1063" s="30" t="str">
        <f ca="1">IFERROR(__xludf.DUMMYFUNCTION("LOWER(REGEXREPLACE(B1063&amp;"" ""&amp;C1063,""[^а-яa-z0-9 ]"","" ""))")," абораторный набор   лектричество    набор входит  укладки с контактными пружинами для батареек на 1 5     2 шт   лампочки на подставках  1 5    0 25      3 шт   кнопочные выключатели   3 шт   подставка со специальными контактами для проверки проводимости"&amp;" веществ  представленных в виде тонких пластин   1 шт   катушка со съемным железным сердечником  болтом    1 шт   пластины  жесть  бумага  алюминий  пластик  латунь    5 шт   соединительные провода   9 шт   коробка укладка   1 шт ")</f>
        <v xml:space="preserve"> абораторный набор   лектричество    набор входит  укладки с контактными пружинами для батареек на 1 5     2 шт   лампочки на подставках  1 5    0 25      3 шт   кнопочные выключатели   3 шт   подставка со специальными контактами для проверки проводимости веществ  представленных в виде тонких пластин   1 шт   катушка со съемным железным сердечником  болтом    1 шт   пластины  жесть  бумага  алюминий  пластик  латунь    5 шт   соединительные провода   9 шт   коробка укладка   1 шт </v>
      </c>
    </row>
    <row r="1064" spans="1:8" ht="12.75" x14ac:dyDescent="0.2">
      <c r="A1064" s="31" t="s">
        <v>2394</v>
      </c>
      <c r="B1064" s="27" t="s">
        <v>2395</v>
      </c>
      <c r="C1064" s="27"/>
      <c r="D1064" s="33" t="s">
        <v>68</v>
      </c>
      <c r="E1064" s="9"/>
      <c r="F1064" s="32"/>
      <c r="G1064" s="10"/>
      <c r="H1064" s="30" t="str">
        <f ca="1">IFERROR(__xludf.DUMMYFUNCTION("LOWER(REGEXREPLACE(B1064&amp;"" ""&amp;C1064,""[^а-яa-z0-9 ]"","" ""))")," емонстрационный набор   еханика  ")</f>
        <v xml:space="preserve"> емонстрационный набор   еханика  </v>
      </c>
    </row>
    <row r="1065" spans="1:8" ht="38.25" x14ac:dyDescent="0.2">
      <c r="A1065" s="31" t="s">
        <v>2396</v>
      </c>
      <c r="B1065" s="8" t="s">
        <v>2397</v>
      </c>
      <c r="C1065" s="27" t="s">
        <v>2398</v>
      </c>
      <c r="D1065" s="33" t="s">
        <v>1506</v>
      </c>
      <c r="E1065" s="34">
        <v>2</v>
      </c>
      <c r="F1065" s="35">
        <v>4.2</v>
      </c>
      <c r="G1065" s="10">
        <v>251412</v>
      </c>
      <c r="H1065" s="30" t="str">
        <f ca="1">IFERROR(__xludf.DUMMYFUNCTION("LOWER(REGEXREPLACE(B1065&amp;"" ""&amp;C1065,""[^а-яa-z0-9 ]"","" ""))")," абор демонстрационный для изучения механики типа  xperia     011  интовой микрометр  1 шт    тангенциркуль  1 шт    аланс  1 шт    руз  1 шт  ")</f>
        <v xml:space="preserve"> абор демонстрационный для изучения механики типа  xperia     011  интовой микрометр  1 шт    тангенциркуль  1 шт    аланс  1 шт    руз  1 шт  </v>
      </c>
    </row>
    <row r="1066" spans="1:8" ht="140.25" x14ac:dyDescent="0.2">
      <c r="A1066" s="31" t="s">
        <v>2399</v>
      </c>
      <c r="B1066" s="27" t="s">
        <v>2400</v>
      </c>
      <c r="C1066" s="27" t="s">
        <v>2401</v>
      </c>
      <c r="D1066" s="33" t="s">
        <v>1506</v>
      </c>
      <c r="E1066" s="34">
        <v>2</v>
      </c>
      <c r="F1066" s="36">
        <v>7.39</v>
      </c>
      <c r="G1066" s="10">
        <v>986700</v>
      </c>
      <c r="H1066" s="30" t="str">
        <f ca="1">IFERROR(__xludf.DUMMYFUNCTION("LOWER(REGEXREPLACE(B1066&amp;"" ""&amp;C1066,""[^а-яa-z0-9 ]"","" ""))")," абор демонстрационный для изучения механики типа  ornelsen  xperimenta 43080 44259   набор входит  рельсовый профиль с опорой и ползунком   горизонтальное крепление стержней  опора   2 штуки  муфта  стержень стальной длиной 500мм   2шт  чаша весов с подв"&amp;"есом  динамометр цена деления 0 04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состав"&amp;"ляет 300г  разновес с двумя крючками    борудование размещено в пластиковом чемодане  размер которого составляет   х х   540x450x150 мм")</f>
        <v xml:space="preserve"> абор демонстрационный для изучения механики типа  ornelsen  xperimenta 43080 44259   набор входит  рельсовый профиль с опорой и ползунком   горизонтальное крепление стержней  опора   2 штуки  муфта  стержень стальной длиной 500мм   2шт  чаша весов с подвесом  динамометр цена деления 0 04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борудование размещено в пластиковом чемодане  размер которого составляет   х х   540x450x150 мм</v>
      </c>
    </row>
    <row r="1067" spans="1:8" ht="25.5" x14ac:dyDescent="0.2">
      <c r="A1067" s="31" t="s">
        <v>2402</v>
      </c>
      <c r="B1067" s="8" t="s">
        <v>2403</v>
      </c>
      <c r="C1067" s="27" t="s">
        <v>2404</v>
      </c>
      <c r="D1067" s="33" t="s">
        <v>1506</v>
      </c>
      <c r="E1067" s="34">
        <v>2</v>
      </c>
      <c r="F1067" s="35">
        <v>1.9</v>
      </c>
      <c r="G1067" s="10">
        <v>163114</v>
      </c>
      <c r="H1067" s="30" t="str">
        <f ca="1">IFERROR(__xludf.DUMMYFUNCTION("LOWER(REGEXREPLACE(B1067&amp;"" ""&amp;C1067,""[^а-яa-z0-9 ]"","" ""))")," абор   ростые механизмы  типа  ischertechnik   набор входит   еревка  анатные шкивы  естерни  олеса  си  ить")</f>
        <v xml:space="preserve"> абор   ростые механизмы  типа  ischertechnik   набор входит   еревка  анатные шкивы  естерни  олеса  си  ить</v>
      </c>
    </row>
    <row r="1068" spans="1:8" ht="63.75" x14ac:dyDescent="0.2">
      <c r="A1068" s="31" t="s">
        <v>2405</v>
      </c>
      <c r="B1068" s="8" t="s">
        <v>2406</v>
      </c>
      <c r="C1068" s="27" t="s">
        <v>2407</v>
      </c>
      <c r="D1068" s="33" t="s">
        <v>1506</v>
      </c>
      <c r="E1068" s="34">
        <v>2</v>
      </c>
      <c r="F1068" s="36">
        <v>3.45</v>
      </c>
      <c r="G1068" s="10">
        <v>31345</v>
      </c>
      <c r="H1068" s="30" t="str">
        <f ca="1">IFERROR(__xludf.DUMMYFUNCTION("LOWER(REGEXREPLACE(B1068&amp;"" ""&amp;C1068,""[^а-яa-z0-9 ]"","" ""))")," абор демонстрационный для изучения механики   набор входят  1  скамья для изучения механического движения  2  тележки на магнитной подвеске  2 шт     3 брусок   4 пусковое устройство  5  ограничитель   6  транспортир с отвесом  7   блок  наборные грузики"&amp;"  2 шт     8  стальные шарики  3 шт    9  плата держателей шариков  10  оптоэлектрические датчики  2 шт    11  методические указания")</f>
        <v xml:space="preserve"> абор демонстрационный для изучения механики   набор входят  1  скамья для изучения механического движения  2  тележки на магнитной подвеске  2 шт     3 брусок   4 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v>
      </c>
    </row>
    <row r="1069" spans="1:8" ht="12.75" x14ac:dyDescent="0.2">
      <c r="A1069" s="31" t="s">
        <v>2408</v>
      </c>
      <c r="B1069" s="27" t="s">
        <v>2409</v>
      </c>
      <c r="C1069" s="27"/>
      <c r="D1069" s="33" t="s">
        <v>68</v>
      </c>
      <c r="E1069" s="34">
        <v>2</v>
      </c>
      <c r="F1069" s="35">
        <v>0.2</v>
      </c>
      <c r="G1069" s="10">
        <v>4812</v>
      </c>
      <c r="H1069" s="30" t="str">
        <f ca="1">IFERROR(__xludf.DUMMYFUNCTION("LOWER(REGEXREPLACE(B1069&amp;"" ""&amp;C1069,""[^а-яa-z0-9 ]"","" ""))")," икролаборатория по изучению механики ")</f>
        <v xml:space="preserve"> икролаборатория по изучению механики </v>
      </c>
    </row>
    <row r="1070" spans="1:8" ht="102" x14ac:dyDescent="0.2">
      <c r="A1070" s="31" t="s">
        <v>2410</v>
      </c>
      <c r="B1070" s="27" t="s">
        <v>2411</v>
      </c>
      <c r="C1070" s="27" t="s">
        <v>2412</v>
      </c>
      <c r="D1070" s="33" t="s">
        <v>68</v>
      </c>
      <c r="E1070" s="34">
        <v>2</v>
      </c>
      <c r="F1070" s="34">
        <v>4</v>
      </c>
      <c r="G1070" s="10">
        <v>24323</v>
      </c>
      <c r="H1070" s="30" t="str">
        <f ca="1">IFERROR(__xludf.DUMMYFUNCTION("LOWER(REGEXREPLACE(B1070&amp;"" ""&amp;C1070,""[^а-яa-z0-9 ]"","" ""))")," омплект демонстрационный по механике  омплектация   камья   1 шт    ележка на магнитной подвеске   2 шт    русок   1 шт    граничитель   1 шт    латформа стартового устройства с кабелем   1 шт    онцентратор      4гнезда    1 шт    длинитель       1 шт  "&amp;"  птоэлектрический датчик   2 шт    латформа с блоком   1 шт    руз наборный   2 шт    руз для тележки   1 шт    ар стальной   3 шт    ранспортир   1 шт    ластина стальная   2 шт    акет с принадлежностями   1 шт     иск с программным обеспечением   1 шт"&amp;"    етодические указания   1 шт    аспорт набора   1 шт    оток с ложементом   1 шт ")</f>
        <v xml:space="preserve"> омплект демонстрационный по механике  омплектация   камья   1 шт    ележка на магнитной подвеске   2 шт    русок   1 шт    граничитель   1 шт    латформа стартового устройства с кабелем   1 шт    онцентратор      4гнезда    1 шт    длинитель       1 шт    птоэлектрический датчик   2 шт    латформа с блоком   1 шт    руз наборный   2 шт    руз для тележки   1 шт    ар стальной   3 шт    ранспортир   1 шт    ластина стальная   2 шт    акет с принадлежностями   1 шт     иск с программным обеспечением   1 шт    етодические указания   1 шт    аспорт набора   1 шт    оток с ложементом   1 шт </v>
      </c>
    </row>
    <row r="1071" spans="1:8" ht="76.5" x14ac:dyDescent="0.2">
      <c r="A1071" s="31" t="s">
        <v>2413</v>
      </c>
      <c r="B1071" s="27" t="s">
        <v>2414</v>
      </c>
      <c r="C1071" s="27" t="s">
        <v>2415</v>
      </c>
      <c r="D1071" s="33" t="s">
        <v>68</v>
      </c>
      <c r="E1071" s="34">
        <v>2</v>
      </c>
      <c r="F1071" s="35">
        <v>0.4</v>
      </c>
      <c r="G1071" s="10">
        <v>12586</v>
      </c>
      <c r="H1071" s="30" t="str">
        <f ca="1">IFERROR(__xludf.DUMMYFUNCTION("LOWER(REGEXREPLACE(B1071&amp;"" ""&amp;C1071,""[^а-яa-z0-9 ]"","" ""))")," ележка легкоподвижная с таймером  ележки легкоподвижные предназначены для проведения демонстрационных опытов по механике   ележки представляют собой платформы на четырех колесах   орцевые кромки платформ оснащены с одной стороны пластиковой пружиной и шу"&amp;"рупом для связывания тележек нитью   а платформах имеются три гнезда для установки грузов   омплектность  тележки легкоподвижные   2 шт   запасные пластиковые пружины   2 шт   руководство по эксплуатации   1 шт ")</f>
        <v xml:space="preserve"> ележка легкоподвижная с таймером  ележки легкоподвижные предназначены для проведения демонстрационных опытов по механике   ележки представляют собой платформы на четырех колесах   орцевые кромки платформ оснащены с одной стороны пластиковой пружиной и шурупом для связывания тележек нитью   а платформах имеются три гнезда для установки грузов   омплектность  тележки легкоподвижные   2 шт   запасные пластиковые пружины   2 шт   руководство по эксплуатации   1 шт </v>
      </c>
    </row>
    <row r="1072" spans="1:8" ht="25.5" x14ac:dyDescent="0.2">
      <c r="A1072" s="31" t="s">
        <v>2416</v>
      </c>
      <c r="B1072" s="27" t="s">
        <v>2417</v>
      </c>
      <c r="C1072" s="27"/>
      <c r="D1072" s="33" t="s">
        <v>68</v>
      </c>
      <c r="E1072" s="9"/>
      <c r="F1072" s="32"/>
      <c r="G1072" s="10">
        <v>105473</v>
      </c>
      <c r="H1072" s="30" t="str">
        <f ca="1">IFERROR(__xludf.DUMMYFUNCTION("LOWER(REGEXREPLACE(B1072&amp;"" ""&amp;C1072,""[^а-яa-z0-9 ]"","" ""))")," чебный комплект для научных исследований   озобновляемая энергия  ")</f>
        <v xml:space="preserve"> чебный комплект для научных исследований   озобновляемая энергия  </v>
      </c>
    </row>
    <row r="1073" spans="1:8" ht="306" x14ac:dyDescent="0.2">
      <c r="A1073" s="31" t="s">
        <v>2418</v>
      </c>
      <c r="B1073" s="27" t="s">
        <v>2419</v>
      </c>
      <c r="C1073" s="27" t="s">
        <v>2420</v>
      </c>
      <c r="D1073" s="33" t="s">
        <v>68</v>
      </c>
      <c r="E1073" s="34">
        <v>2</v>
      </c>
      <c r="F1073" s="36">
        <v>0.25</v>
      </c>
      <c r="G1073" s="10">
        <v>2924</v>
      </c>
      <c r="H1073" s="30" t="str">
        <f ca="1">IFERROR(__xludf.DUMMYFUNCTION("LOWER(REGEXREPLACE(B1073&amp;"" ""&amp;C1073,""[^а-яa-z0-9 ]"","" ""))")," абораторный комплект по механике  омплект позволяет проводить не менее 25 экспериментов    комплект входит     комплект входит    оробка укладка  1шт   тойка с шестью сквозными отверстиями разного диаметра  два из которых имеют резьбовые гнезда  1шт   ыч"&amp;"аг линейка  1шт   ять блоков разного диаметра для изучения равновесия на подвижном и неподвижном блоках  для сборки модели подъемного крана и полиспаста   дин блок находится в обойме вместе с подъемным крюком  1шт   ве шестерни разного диаметра для изучен"&amp;"ия шестеренчатой передачи и лебедки 1шт   ять винтов разного диаметра и длины с фасонными головками  олзун  шатун  втулка  ручка  1шт   еталлический каток с проволочной подвеской для определения силы трения качения и     наклонной плоскости 1шт   еталличе"&amp;"ский стержень длиной 120 мм  диаметром 4 мм и с резьбой на одном конце   тержень служит опорой при образований наклонной плоскости   го вкручивают горизонтально в вертикальную стойку подставки   а стержень при образовании наклонной плоскости кладут крышку"&amp;" коробки укладки  имеющую вырезы под стержень 1шт   линная нить с крючками на концах   на необходима при изучении условии равновесия сил на блоках и подъемном кране 1шт   оробка укладка для размещения и хранения всех компонентов набора 1шт ")</f>
        <v xml:space="preserve"> абораторный комплект по механике  омплект позволяет проводить не менее 25 экспериментов    комплект входит     комплект входит    оробка укладка  1шт   тойка с шестью сквозными отверстиями разного диаметра  два из которых имеют резьбовые гнезда  1шт   ычаг линейка  1шт   ять блоков разного диаметра для изучения равновесия на подвижном и неподвижном блоках  для сборки модели подъемного крана и полиспаста   дин блок находится в обойме вместе с подъемным крюком  1шт   ве шестерни разного диаметра для изучения шестеренчатой передачи и лебедки 1шт   ять винтов разного диаметра и длины с фасонными головками  олзун  шатун  втулка  ручка  1шт   еталлический каток с проволочной подвеской для определения силы трения качения и     наклонной плоскости 1шт   еталлический стержень длиной 120 мм  диаметром 4 мм и с резьбой на одном конце   тержень служит опорой при образований наклонной плоскости   го вкручивают горизонтально в вертикальную стойку подставки   а стержень при образовании наклонной плоскости кладут крышку коробки укладки  имеющую вырезы под стержень 1шт   линная нить с крючками на концах   на необходима при изучении условии равновесия сил на блоках и подъемном кране 1шт   оробка укладка для размещения и хранения всех компонентов набора 1шт </v>
      </c>
    </row>
    <row r="1074" spans="1:8" ht="12.75" x14ac:dyDescent="0.2">
      <c r="A1074" s="31" t="s">
        <v>2421</v>
      </c>
      <c r="B1074" s="27" t="s">
        <v>2422</v>
      </c>
      <c r="C1074" s="27"/>
      <c r="D1074" s="33" t="s">
        <v>1506</v>
      </c>
      <c r="E1074" s="9"/>
      <c r="F1074" s="32"/>
      <c r="G1074" s="10"/>
      <c r="H1074" s="30" t="str">
        <f ca="1">IFERROR(__xludf.DUMMYFUNCTION("LOWER(REGEXREPLACE(B1074&amp;"" ""&amp;C1074,""[^а-яa-z0-9 ]"","" ""))")," абор лабораторный   агнетизм  ")</f>
        <v xml:space="preserve"> абор лабораторный   агнетизм  </v>
      </c>
    </row>
    <row r="1075" spans="1:8" ht="89.25" x14ac:dyDescent="0.2">
      <c r="A1075" s="31" t="s">
        <v>2423</v>
      </c>
      <c r="B1075" s="27" t="s">
        <v>2422</v>
      </c>
      <c r="C1075" s="27" t="s">
        <v>2424</v>
      </c>
      <c r="D1075" s="33" t="s">
        <v>1506</v>
      </c>
      <c r="E1075" s="34">
        <v>2</v>
      </c>
      <c r="F1075" s="36">
        <v>0.23</v>
      </c>
      <c r="G1075" s="10">
        <v>2924</v>
      </c>
      <c r="H1075" s="30" t="str">
        <f ca="1">IFERROR(__xludf.DUMMYFUNCTION("LOWER(REGEXREPLACE(B1075&amp;"" ""&amp;C1075,""[^а-яa-z0-9 ]"","" ""))")," абор лабораторный   агнетизм   омплектность   компас   1 шт    магнитная стрелка   1 шт    подставка с острием для магнитной стрелки   1 шт    магниты полосовые   2 шт   магниты кольцевые   2 шт    магнит дугообразный   1 шт    магниты профильные немарки"&amp;"рованные   2 шт    прозрачная плоская упаковка с железным порошком   1 шт    полиэтиленовая упаковка с мелкими шайбами  полосками  из разных материалов  сталь  алюминий  медь    1 шт   площадка для размещения полосовых магнитов   1 шт    тележки с прозрач"&amp;"ным кузовом   2 шт    коробка укладка   1 шт ")</f>
        <v xml:space="preserve"> абор лабораторный   агнетизм   омплектность   компас   1 шт    магнитная стрелка   1 шт    подставка с острием для магнитной стрелки   1 шт    магниты полосовые   2 шт   магниты кольцевые   2 шт    магнит дугообразный   1 шт    магниты профильные немаркированные   2 шт    прозрачная плоская упаковка с железным порошком   1 шт    полиэтиленовая упаковка с мелкими шайбами  полосками  из разных материалов  сталь  алюминий  медь    1 шт   площадка для размещения полосовых магнитов   1 шт    тележки с прозрачным кузовом   2 шт    коробка укладка   1 шт </v>
      </c>
    </row>
    <row r="1076" spans="1:8" ht="12.75" x14ac:dyDescent="0.2">
      <c r="A1076" s="31" t="s">
        <v>2425</v>
      </c>
      <c r="B1076" s="27" t="s">
        <v>2426</v>
      </c>
      <c r="C1076" s="27"/>
      <c r="D1076" s="33" t="s">
        <v>68</v>
      </c>
      <c r="E1076" s="34">
        <v>2</v>
      </c>
      <c r="F1076" s="37">
        <v>0.184</v>
      </c>
      <c r="G1076" s="10">
        <v>2923</v>
      </c>
      <c r="H1076" s="30" t="str">
        <f ca="1">IFERROR(__xludf.DUMMYFUNCTION("LOWER(REGEXREPLACE(B1076&amp;"" ""&amp;C1076,""[^а-яa-z0-9 ]"","" ""))")," икролаборатория по изучению магнетизма ")</f>
        <v xml:space="preserve"> икролаборатория по изучению магнетизма </v>
      </c>
    </row>
    <row r="1077" spans="1:8" ht="63.75" x14ac:dyDescent="0.2">
      <c r="A1077" s="31" t="s">
        <v>2427</v>
      </c>
      <c r="B1077" s="27" t="s">
        <v>2428</v>
      </c>
      <c r="C1077" s="27" t="s">
        <v>2429</v>
      </c>
      <c r="D1077" s="33" t="s">
        <v>1506</v>
      </c>
      <c r="E1077" s="34">
        <v>2</v>
      </c>
      <c r="F1077" s="36">
        <v>0.26</v>
      </c>
      <c r="G1077" s="10">
        <v>8544</v>
      </c>
      <c r="H1077" s="30" t="str">
        <f ca="1">IFERROR(__xludf.DUMMYFUNCTION("LOWER(REGEXREPLACE(B1077&amp;"" ""&amp;C1077,""[^а-яa-z0-9 ]"","" ""))")," абор   агниты кольцевые на штативе   абор предназначен для демонстрации отталкивания одноименных и притяжения разноименных полюсов двух магнитов   омплектность  магнит кольцевой   3 шт   стойка вертикальная   1 шт   руководство по эксплуатации с методиче"&amp;"скими екомендациями   1 шт   рибор представляет собой стойку с надетыми на нее тремя постоянными кольцевыми магнитами   олюса магнитов окрашены в разные цвета ")</f>
        <v xml:space="preserve"> абор   агниты кольцевые на штативе   абор предназначен для демонстрации отталкивания одноименных и притяжения разноименных полюсов двух магнитов   омплектность  магнит кольцевой   3 шт   стойка вертикальная   1 шт   руководство по эксплуатации с методическими екомендациями   1 шт   рибор представляет собой стойку с надетыми на нее тремя постоянными кольцевыми магнитами   олюса магнитов окрашены в разные цвета </v>
      </c>
    </row>
    <row r="1078" spans="1:8" ht="127.5" x14ac:dyDescent="0.2">
      <c r="A1078" s="31" t="s">
        <v>2430</v>
      </c>
      <c r="B1078" s="27" t="s">
        <v>2431</v>
      </c>
      <c r="C1078" s="27" t="s">
        <v>2432</v>
      </c>
      <c r="D1078" s="33" t="s">
        <v>1506</v>
      </c>
      <c r="E1078" s="34">
        <v>2</v>
      </c>
      <c r="F1078" s="36">
        <v>0.25</v>
      </c>
      <c r="G1078" s="10">
        <v>2924</v>
      </c>
      <c r="H1078" s="30" t="str">
        <f ca="1">IFERROR(__xludf.DUMMYFUNCTION("LOWER(REGEXREPLACE(B1078&amp;"" ""&amp;C1078,""[^а-яa-z0-9 ]"","" ""))")," абораторный набор   птика   омплектность  лампочка в патроне   1 шт   свеча парафиновая   1 шт   линза короткофокусная   1 шт   линза длиннофокусная   1 шт   срез двояковыпуклой линзы   1 шт   срез трехгранной призмы   1 шт   зеркала плоские   2 шт   экр"&amp;"ан черный с круглым отверстием   1 шт   экран с одной щелью   1 шт   экран с тремя щелями   1 шт   экран белый пластмассовый   1шт   экран полупрозрачный   1 шт   подставка держатель   3 шт   подставки резиновые черные   4 шт   держатель для лампочки   1 "&amp;"шт   предмет стойка   1 шт   коробка укладка   1 шт   руководство по эксплуатации   1 шт ")</f>
        <v xml:space="preserve"> абораторный набор   птика   омплектность  лампочка в патроне   1 шт   свеча парафиновая   1 шт   линза короткофокусная   1 шт   линза длиннофокусная   1 шт   срез двояковыпуклой линзы   1 шт   срез трехгранной призмы   1 шт   зеркала плоские   2 шт   экран черный с круглым отверстием   1 шт   экран с одной щелью   1 шт   экран с тремя щелями   1 шт   экран белый пластмассовый   1шт   экран полупрозрачный   1 шт   подставка держатель   3 шт   подставки резиновые черные   4 шт   держатель для лампочки   1 шт   предмет стойка   1 шт   коробка укладка   1 шт   руководство по эксплуатации   1 шт </v>
      </c>
    </row>
    <row r="1079" spans="1:8" ht="76.5" x14ac:dyDescent="0.2">
      <c r="A1079" s="31" t="s">
        <v>2433</v>
      </c>
      <c r="B1079" s="27" t="s">
        <v>2434</v>
      </c>
      <c r="C1079" s="27" t="s">
        <v>2435</v>
      </c>
      <c r="D1079" s="33" t="s">
        <v>68</v>
      </c>
      <c r="E1079" s="34">
        <v>2</v>
      </c>
      <c r="F1079" s="36">
        <v>0.25</v>
      </c>
      <c r="G1079" s="10">
        <v>32645</v>
      </c>
      <c r="H1079" s="30" t="str">
        <f ca="1">IFERROR(__xludf.DUMMYFUNCTION("LOWER(REGEXREPLACE(B1079&amp;"" ""&amp;C1079,""[^а-яa-z0-9 ]"","" ""))")," омплект лабораторный по оптике  остоит из 15 источников света  питания от батареи  экспериментальной платформы и набора оптических элементов для проведения опытов   сточник света имеет встроенную     линзу и подвижный 3       источник света  который позв"&amp;"оляет варьировать интенсивность света и направлять лучи   вет  2 2       красный   ампа   6       1 5  x2   бъектив        илиндрическая линза 40wx20  ")</f>
        <v xml:space="preserve"> омплект лабораторный по оптике  остоит из 15 источников света  питания от батареи  экспериментальной платформы и набора оптических элементов для проведения опытов   сточник света имеет встроенную     линзу и подвижный 3       источник света  который позволяет варьировать интенсивность света и направлять лучи   вет  2 2       красный   ампа   6       1 5  x2   бъектив        илиндрическая линза 40wx20  </v>
      </c>
    </row>
    <row r="1080" spans="1:8" ht="12.75" x14ac:dyDescent="0.2">
      <c r="A1080" s="31" t="s">
        <v>2436</v>
      </c>
      <c r="B1080" s="27" t="s">
        <v>2437</v>
      </c>
      <c r="C1080" s="27" t="s">
        <v>2438</v>
      </c>
      <c r="D1080" s="33" t="s">
        <v>68</v>
      </c>
      <c r="E1080" s="34">
        <v>2</v>
      </c>
      <c r="F1080" s="36">
        <v>7.35</v>
      </c>
      <c r="G1080" s="10">
        <v>139957</v>
      </c>
      <c r="H1080" s="30" t="str">
        <f ca="1">IFERROR(__xludf.DUMMYFUNCTION("LOWER(REGEXREPLACE(B1080&amp;"" ""&amp;C1080,""[^а-яa-z0-9 ]"","" ""))")," омплект радиотехнический диоды   6 шт ")</f>
        <v xml:space="preserve"> омплект радиотехнический диоды   6 шт </v>
      </c>
    </row>
    <row r="1081" spans="1:8" ht="357" x14ac:dyDescent="0.2">
      <c r="A1081" s="31" t="s">
        <v>2439</v>
      </c>
      <c r="B1081" s="8" t="s">
        <v>2440</v>
      </c>
      <c r="C1081" s="27" t="s">
        <v>2441</v>
      </c>
      <c r="D1081" s="33" t="s">
        <v>1506</v>
      </c>
      <c r="E1081" s="34">
        <v>2</v>
      </c>
      <c r="F1081" s="36">
        <v>1.77</v>
      </c>
      <c r="G1081" s="10">
        <v>896869</v>
      </c>
      <c r="H1081" s="30" t="str">
        <f ca="1">IFERROR(__xludf.DUMMYFUNCTION("LOWER(REGEXREPLACE(B1081&amp;"" ""&amp;C1081,""[^а-яa-z0-9 ]"","" ""))")," абор   льтернативные и возобновляемые источники энергии    состав набора входят    снова штатива  типа       02001 00   1шт  еска  d 0 7 мм  l 5 м 02089 01   1шт   етр  листовой  100x100 мм 04404 20   1шт  оединитель  угловой  модуль    05601 02   4шт  о"&amp;"единительный  разомкнутый  модуль    05601 04   1шт  оединительный модуль    05601 10   4шт  атрон для лампы накаливания   10  модуль    05604 00   1шт  отор  5    модуль    05660 00   1шт  енератор с осью резьбы и гайками для крепления 05751 01   1шт  ол"&amp;"нечный коллектор для ученических экспериментов 05760 00   1шт  еплогенератор для ученических экспериментов 05770 00   1шт  алогенная лампа с рефлектором  12     20  т 05780 00   1шт  ержатель для галогенных ламп с рефлектором 05781 00   1шт  абораторный х"&amp;"имический стакан  светлый  алюминий 05903 01   1шт  абораторный химический стакан  темный 05904 01   1шт  ампы накаливания  1 5    0 15     10  10 шт  06150 03   1шт  ампа накаливания 4    0 04      10 06154 00   1шт  олнечный элемент  3 3x6 5  см  со ште"&amp;"псельными вилками   0 5    330 m  06752 09   1шт  ержатель для солнечных элементов  3 3x6 5  см  со штепсельными вилками 06752 08   1шт  войные гнезда  1 пара  красные и черные 07264 00   1шт  оединительный проводник  500 мм  красный 07360 01   2шт  оедин"&amp;"ительный проводник  500 мм  синий 07360 04   2шт  оединительный проводник  500 мм  красный 07361 01   2шт  оединительный проводник  500 мм  синий 07361 04   1шт  кользящая опора для оптической скамьи 09822 00   1шт  улетка  l 2 м 09936 00   1шт  екундомер"&amp;"  цифровой  24 часа  1  100 с   1 с 24025 00   1шт  ампа накаливания  6    3  т   10  10 шт 35673 03   1шт  ензурка  низкая  100 мл  пластмасса 36011 01   1шт  ензурка  низкая форма  25 мл 46055 00   1шт  абораторный термометр   10   110   38056 00   2шт "&amp;" иликоновые трубки  внутренний d 3 мм 39296 00   1шт  асходомер для жидкостей или газов  стирол акрилонитрил 46434 00   1шт  ильтровальная воронка      d 60 мм 46895 00   1шт      коробка  пластмасса 15200 00   1шт  рышка для коробки  пластмасса   15205 0"&amp;"0   1шт")</f>
        <v xml:space="preserve"> абор   льтернативные и возобновляемые источники энергии    состав набора входят    снова штатива  типа       02001 00   1шт  еска  d 0 7 мм  l 5 м 02089 01   1шт   етр  листовой  100x100 мм 04404 20   1шт  оединитель  угловой  модуль    05601 02   4шт  оединительный  разомкнутый  модуль    05601 04   1шт  оединительный модуль    05601 10   4шт  атрон для лампы накаливания   10  модуль    05604 00   1шт  отор  5    модуль    05660 00   1шт  енератор с осью резьбы и гайками для крепления 05751 01   1шт  олнечный коллектор для ученических экспериментов 05760 00   1шт  еплогенератор для ученических экспериментов 05770 00   1шт  алогенная лампа с рефлектором  12     20  т 05780 00   1шт  ержатель для галогенных ламп с рефлектором 05781 00   1шт  абораторный химический стакан  светлый  алюминий 05903 01   1шт  абораторный химический стакан  темный 05904 01   1шт  ампы накаливания  1 5    0 15     10  10 шт  06150 03   1шт  ампа накаливания 4    0 04      10 06154 00   1шт  олнечный элемент  3 3x6 5  см  со штепсельными вилками   0 5    330 m  06752 09   1шт  ержатель для солнечных элементов  3 3x6 5  см  со штепсельными вилками 06752 08   1шт  войные гнезда  1 пара  красные и черные 07264 00   1шт  оединительный проводник  500 мм  красный 07360 01   2шт  оединительный проводник  500 мм  синий 07360 04   2шт  оединительный проводник  500 мм  красный 07361 01   2шт  оединительный проводник  500 мм  синий 07361 04   1шт  кользящая опора для оптической скамьи 09822 00   1шт  улетка  l 2 м 09936 00   1шт  екундомер  цифровой  24 часа  1  100 с   1 с 24025 00   1шт  ампа накаливания  6    3  т   10  10 шт 35673 03   1шт  ензурка  низкая  100 мл  пластмасса 36011 01   1шт  ензурка  низкая форма  25 мл 46055 00   1шт  абораторный термометр   10   110   38056 00   2шт  иликоновые трубки  внутренний d 3 мм 39296 00   1шт  асходомер для жидкостей или газов  стирол акрилонитрил 46434 00   1шт  ильтровальная воронка      d 60 мм 46895 00   1шт      коробка  пластмасса 15200 00   1шт  рышка для коробки  пластмасса   15205 00   1шт</v>
      </c>
    </row>
    <row r="1082" spans="1:8" ht="229.5" x14ac:dyDescent="0.2">
      <c r="A1082" s="31" t="s">
        <v>2442</v>
      </c>
      <c r="B1082" s="8" t="s">
        <v>2443</v>
      </c>
      <c r="C1082" s="27" t="s">
        <v>2444</v>
      </c>
      <c r="D1082" s="33" t="s">
        <v>1506</v>
      </c>
      <c r="E1082" s="34">
        <v>2</v>
      </c>
      <c r="F1082" s="35">
        <v>5.2</v>
      </c>
      <c r="G1082" s="10">
        <v>1400989</v>
      </c>
      <c r="H1082" s="30" t="str">
        <f ca="1">IFERROR(__xludf.DUMMYFUNCTION("LOWER(REGEXREPLACE(B1082&amp;"" ""&amp;C1082,""[^а-яa-z0-9 ]"","" ""))")," бразовательный комплект для изучения ветровой и гидроэнергии   набор входит   етряные турбины   абор для сборки вертикальных и горизонтальных ветряных турбин с разными роторами   отор постоянного тока для демонстрации генерации электроэнергии   идротурби"&amp;"на   омпоненты для создания гидротурбины  включая лопасти и генератор   одель потока воды для проведения экспериментов   олнечные батареи   абор солнечных панелей разных размеров   одставка и крепления для солнечных батарей   змерительные приборы  номинал"&amp;"ы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"&amp;"м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визуализац"&amp;"ии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чебные пособия  включая инструкции и задания для изучения физических принципов"&amp;" ветровой  солнечной и гидроэнергии ")</f>
        <v xml:space="preserve"> бразовательный комплект для изучения ветровой и гидроэнергии   набор входит   етряные турбины   абор для сборки вертикальных и горизонтальных ветряных турбин с разными роторами   отор постоянного тока для демонстрации генерации электроэнергии   идротурбина   омпоненты для создания гидротурбины  включая лопасти и генератор   одель потока воды для проведения экспериментов   олнечные батареи   абор солнечных панелей разных размеров   одставка и крепления для солнечных батарей   змерительные приборы  номиналы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чебные пособия  включая инструкции и задания для изучения физических принципов ветровой  солнечной и гидроэнергии </v>
      </c>
    </row>
    <row r="1083" spans="1:8" ht="165.75" x14ac:dyDescent="0.2">
      <c r="A1083" s="31" t="s">
        <v>2445</v>
      </c>
      <c r="B1083" s="8" t="s">
        <v>2446</v>
      </c>
      <c r="C1083" s="27" t="s">
        <v>2447</v>
      </c>
      <c r="D1083" s="33" t="s">
        <v>1506</v>
      </c>
      <c r="E1083" s="34">
        <v>2</v>
      </c>
      <c r="F1083" s="36">
        <v>3.74</v>
      </c>
      <c r="G1083" s="10">
        <v>268631</v>
      </c>
      <c r="H1083" s="30" t="str">
        <f ca="1">IFERROR(__xludf.DUMMYFUNCTION("LOWER(REGEXREPLACE(B1083&amp;"" ""&amp;C1083,""[^а-яa-z0-9 ]"","" ""))")," абор демонстрационный для изучения оптики в кейсе  омплектация   ейс с крышкой   1шт     оток со вставкой   1шт   сточник света с пятью источниками света  1 шт     ветовой короб с встроенным источником света  1 шт     руппа фильтров  1 шт     руппа плено"&amp;"к управления светом  1 шт     ерный световой экран  1 шт     теклянный световой экран  1 шт     ветовой экран с одной двумя щелями  1 шт     ветовой экран с тремя пятью щелями  1 шт     олукруглая линза  1 шт     рапециевидная линза  1 шт     лосковогнута"&amp;"я призма  1 шт     лосковыпуклая призма  1 шт     вухстороннее мягкое зеркало  1 шт     сточник питания постоянного тока для светового короба  1 шт     снащен   иферблатом для измерения преломления  1 шт     оликарбонатной черной бумагой  1 шт     олупроз"&amp;"рачной бумагой  1 шт     ветной бумагой  1 шт     ранспортиром  1 шт     омпасом  1 шт     люминиевой фольгой  1 шт     розрачной линейкой  1 шт   ")</f>
        <v xml:space="preserve"> абор демонстрационный для изучения оптики в кейсе  омплектация   ейс с крышкой   1шт     оток со вставкой   1шт   сточник света с пятью источниками света  1 шт     ветовой короб с встроенным источником света  1 шт     руппа фильтров  1 шт     руппа пленок управления светом  1 шт     ерный световой экран  1 шт     теклянный световой экран  1 шт     ветовой экран с одной двумя щелями  1 шт     ветовой экран с тремя пятью щелями  1 шт     олукруглая линза  1 шт     рапециевидная линза  1 шт     лосковогнутая призма  1 шт     лосковыпуклая призма  1 шт     вухстороннее мягкое зеркало  1 шт     сточник питания постоянного тока для светового короба  1 шт     снащен   иферблатом для измерения преломления  1 шт     оликарбонатной черной бумагой  1 шт     олупрозрачной бумагой  1 шт     ветной бумагой  1 шт     ранспортиром  1 шт     омпасом  1 шт     люминиевой фольгой  1 шт     розрачной линейкой  1 шт   </v>
      </c>
    </row>
    <row r="1084" spans="1:8" ht="25.5" x14ac:dyDescent="0.2">
      <c r="A1084" s="31" t="s">
        <v>2448</v>
      </c>
      <c r="B1084" s="8" t="s">
        <v>2449</v>
      </c>
      <c r="C1084" s="27"/>
      <c r="D1084" s="33" t="s">
        <v>1506</v>
      </c>
      <c r="E1084" s="9"/>
      <c r="F1084" s="32"/>
      <c r="G1084" s="10"/>
      <c r="H1084" s="30" t="str">
        <f ca="1">IFERROR(__xludf.DUMMYFUNCTION("LOWER(REGEXREPLACE(B1084&amp;"" ""&amp;C1084,""[^а-яa-z0-9 ]"","" ""))")," абор демонстрационный для изучения электростатики ")</f>
        <v xml:space="preserve"> абор демонстрационный для изучения электростатики </v>
      </c>
    </row>
    <row r="1085" spans="1:8" ht="76.5" x14ac:dyDescent="0.2">
      <c r="A1085" s="31" t="s">
        <v>2450</v>
      </c>
      <c r="B1085" s="8" t="s">
        <v>2451</v>
      </c>
      <c r="C1085" s="27" t="s">
        <v>2452</v>
      </c>
      <c r="D1085" s="33" t="s">
        <v>1506</v>
      </c>
      <c r="E1085" s="34">
        <v>2</v>
      </c>
      <c r="F1085" s="36">
        <v>0.85</v>
      </c>
      <c r="G1085" s="10">
        <v>134716</v>
      </c>
      <c r="H1085" s="30" t="str">
        <f ca="1">IFERROR(__xludf.DUMMYFUNCTION("LOWER(REGEXREPLACE(B1085&amp;"" ""&amp;C1085,""[^а-яa-z0-9 ]"","" ""))")," абор демонстрационный для изучения электростатики типа  xperia     013  омплектация   кейс с крышкой   1шт    лоток со вставкой   1шт  изолирующие штативы   2 шт   экранирующая сетка   1 шт  конусообразный и шаровые кондукторы   1 шт   разборный конденса"&amp;"тор   1 шт   стеклянная и эбонитовая палочки   1 шт   электрометры   2 шт  палочка с шариком для переноса заряда   1 шт   электрические султаны   2 шт   электроскоп   1 шт   полые полуцилиндры   2 шт   шелковая и синтетическая ткань  оргстекло ")</f>
        <v xml:space="preserve"> абор демонстрационный для изучения электростатики типа  xperia     013  омплектация   кейс с крышкой   1шт    лоток со вставкой   1шт  изолирующие штативы   2 шт   экранирующая сетка   1 шт  конусообразный и шаровые кондукторы   1 шт   разборный конденсатор   1 шт   стеклянная и эбонитовая палочки   1 шт   электрометры   2 шт  палочка с шариком для переноса заряда   1 шт   электрические султаны   2 шт   электроскоп   1 шт   полые полуцилиндры   2 шт   шелковая и синтетическая ткань  оргстекло </v>
      </c>
    </row>
    <row r="1086" spans="1:8" ht="51" x14ac:dyDescent="0.2">
      <c r="A1086" s="31" t="s">
        <v>2453</v>
      </c>
      <c r="B1086" s="27" t="s">
        <v>2454</v>
      </c>
      <c r="C1086" s="27"/>
      <c r="D1086" s="33" t="s">
        <v>1506</v>
      </c>
      <c r="E1086" s="34">
        <v>2</v>
      </c>
      <c r="F1086" s="36">
        <v>8.19</v>
      </c>
      <c r="G1086" s="10">
        <v>1002118</v>
      </c>
      <c r="H1086" s="30" t="str">
        <f ca="1">IFERROR(__xludf.DUMMYFUNCTION("LOWER(REGEXREPLACE(B1086&amp;"" ""&amp;C1086,""[^а-яa-z0-9 ]"","" ""))")," абор демонстрационный для изучения электростатики в комплекте с источником напряжения высоковольтным типа  ornelsen  xperimenta 50332 44280  50315 44207 ")</f>
        <v xml:space="preserve"> абор демонстрационный для изучения электростатики в комплекте с источником напряжения высоковольтным типа  ornelsen  xperimenta 50332 44280  50315 44207 </v>
      </c>
    </row>
    <row r="1087" spans="1:8" ht="63.75" x14ac:dyDescent="0.2">
      <c r="A1087" s="31" t="s">
        <v>2455</v>
      </c>
      <c r="B1087" s="27" t="s">
        <v>2456</v>
      </c>
      <c r="C1087" s="27" t="s">
        <v>2457</v>
      </c>
      <c r="D1087" s="33" t="s">
        <v>1506</v>
      </c>
      <c r="E1087" s="34">
        <v>2</v>
      </c>
      <c r="F1087" s="35">
        <v>5.8</v>
      </c>
      <c r="G1087" s="10">
        <v>161993</v>
      </c>
      <c r="H1087" s="30" t="str">
        <f ca="1">IFERROR(__xludf.DUMMYFUNCTION("LOWER(REGEXREPLACE(B1087&amp;"" ""&amp;C1087,""[^а-яa-z0-9 ]"","" ""))")," абор демонстрационный для изучения электростатики   набор входят    электрометры с шаровыми кондукторами    электроскоп   кондуктор конусообразный   кондуктор цилиндрический   полый металлический шар   штатив изолирующий    конденсаторный диск    султаны"&amp;" шелковые    клетка  арадей   пластина из диэлектрика   пробный шар   палочка для переноса зарядов на изолирующей ручке   палочки из эбонита и стекла   шелковая ткань")</f>
        <v xml:space="preserve"> абор демонстрационный для изучения электростатики   набор входят    электрометры с шаровыми кондукторами    электроскоп   кондуктор конусообразный   кондуктор цилиндрический   полый металлический шар   штатив изолирующий    конденсаторный диск    султаны шелковые    клетка  арадей   пластина из диэлектрика   пробный шар   палочка для переноса зарядов на изолирующей ручке   палочки из эбонита и стекла   шелковая ткань</v>
      </c>
    </row>
    <row r="1088" spans="1:8" ht="12.75" x14ac:dyDescent="0.2">
      <c r="A1088" s="31" t="s">
        <v>2458</v>
      </c>
      <c r="B1088" s="27" t="s">
        <v>2459</v>
      </c>
      <c r="C1088" s="27"/>
      <c r="D1088" s="33" t="s">
        <v>68</v>
      </c>
      <c r="E1088" s="34">
        <v>2</v>
      </c>
      <c r="F1088" s="37">
        <v>0.184</v>
      </c>
      <c r="G1088" s="10">
        <v>3710</v>
      </c>
      <c r="H1088" s="30" t="str">
        <f ca="1">IFERROR(__xludf.DUMMYFUNCTION("LOWER(REGEXREPLACE(B1088&amp;"" ""&amp;C1088,""[^а-яa-z0-9 ]"","" ""))")," икролаборатория по изучению электростатики ")</f>
        <v xml:space="preserve"> икролаборатория по изучению электростатики </v>
      </c>
    </row>
    <row r="1089" spans="1:8" ht="12.75" x14ac:dyDescent="0.2">
      <c r="A1089" s="31" t="s">
        <v>2460</v>
      </c>
      <c r="B1089" s="27" t="s">
        <v>2461</v>
      </c>
      <c r="C1089" s="27"/>
      <c r="D1089" s="33" t="s">
        <v>1506</v>
      </c>
      <c r="E1089" s="9"/>
      <c r="F1089" s="32"/>
      <c r="G1089" s="10"/>
      <c r="H1089" s="30" t="str">
        <f ca="1">IFERROR(__xludf.DUMMYFUNCTION("LOWER(REGEXREPLACE(B1089&amp;"" ""&amp;C1089,""[^а-яa-z0-9 ]"","" ""))")," емонстрационный набор   татика  ")</f>
        <v xml:space="preserve"> емонстрационный набор   татика  </v>
      </c>
    </row>
    <row r="1090" spans="1:8" ht="25.5" x14ac:dyDescent="0.2">
      <c r="A1090" s="31" t="s">
        <v>2462</v>
      </c>
      <c r="B1090" s="27" t="s">
        <v>2463</v>
      </c>
      <c r="C1090" s="27" t="s">
        <v>2464</v>
      </c>
      <c r="D1090" s="33" t="s">
        <v>1506</v>
      </c>
      <c r="E1090" s="34">
        <v>2</v>
      </c>
      <c r="F1090" s="35">
        <v>1.7</v>
      </c>
      <c r="G1090" s="10">
        <v>143924</v>
      </c>
      <c r="H1090" s="30" t="str">
        <f ca="1">IFERROR(__xludf.DUMMYFUNCTION("LOWER(REGEXREPLACE(B1090&amp;"" ""&amp;C1090,""[^а-яa-z0-9 ]"","" ""))")," абор   татика  типа  ischertechnik   набор входит   татические компоненты  гловой кронштейн  аспорки  ружинный балансир")</f>
        <v xml:space="preserve"> абор   татика  типа  ischertechnik   набор входит   татические компоненты  гловой кронштейн  аспорки  ружинный балансир</v>
      </c>
    </row>
    <row r="1091" spans="1:8" ht="12.75" x14ac:dyDescent="0.2">
      <c r="A1091" s="31" t="s">
        <v>2465</v>
      </c>
      <c r="B1091" s="27" t="s">
        <v>2466</v>
      </c>
      <c r="C1091" s="27"/>
      <c r="D1091" s="33" t="s">
        <v>68</v>
      </c>
      <c r="E1091" s="34">
        <v>2</v>
      </c>
      <c r="F1091" s="35">
        <v>0.3</v>
      </c>
      <c r="G1091" s="10">
        <v>2924</v>
      </c>
      <c r="H1091" s="30" t="str">
        <f ca="1">IFERROR(__xludf.DUMMYFUNCTION("LOWER(REGEXREPLACE(B1091&amp;"" ""&amp;C1091,""[^а-яa-z0-9 ]"","" ""))")," икролаборатория по изучению гидростатики ")</f>
        <v xml:space="preserve"> икролаборатория по изучению гидростатики </v>
      </c>
    </row>
    <row r="1092" spans="1:8" ht="63.75" x14ac:dyDescent="0.2">
      <c r="A1092" s="31" t="s">
        <v>2467</v>
      </c>
      <c r="B1092" s="27" t="s">
        <v>2468</v>
      </c>
      <c r="C1092" s="27" t="s">
        <v>2469</v>
      </c>
      <c r="D1092" s="33" t="s">
        <v>68</v>
      </c>
      <c r="E1092" s="34">
        <v>2</v>
      </c>
      <c r="F1092" s="35">
        <v>1.6</v>
      </c>
      <c r="G1092" s="10">
        <v>7159</v>
      </c>
      <c r="H1092" s="30" t="str">
        <f ca="1">IFERROR(__xludf.DUMMYFUNCTION("LOWER(REGEXREPLACE(B1092&amp;"" ""&amp;C1092,""[^а-яa-z0-9 ]"","" ""))")," татив изолирующий  пара   татив изолирующий предназначен для опытов по электростатике и электродинамике  в которых используются токи и напряжения в режиме постоянного тока 15 к   10    в режиме переменного тока 36    0 3    при изучении курса физики   ом"&amp;"плектация   тойка изолирующая с основанием 2шт   одставка с винтами  3 и  62шт   оробка 1шт   тикетка 1экземпляр")</f>
        <v xml:space="preserve"> татив изолирующий  пара   татив изолирующий предназначен для опытов по электростатике и электродинамике  в которых используются токи и напряжения в режиме постоянного тока 15 к   10    в режиме переменного тока 36    0 3    при изучении курса физики   омплектация   тойка изолирующая с основанием 2шт   одставка с винтами  3 и  62шт   оробка 1шт   тикетка 1экземпляр</v>
      </c>
    </row>
    <row r="1093" spans="1:8" ht="12.75" x14ac:dyDescent="0.2">
      <c r="A1093" s="31" t="s">
        <v>2470</v>
      </c>
      <c r="B1093" s="27" t="s">
        <v>2471</v>
      </c>
      <c r="C1093" s="27"/>
      <c r="D1093" s="33" t="s">
        <v>1506</v>
      </c>
      <c r="E1093" s="9"/>
      <c r="F1093" s="32"/>
      <c r="G1093" s="10"/>
      <c r="H1093" s="30" t="str">
        <f ca="1">IFERROR(__xludf.DUMMYFUNCTION("LOWER(REGEXREPLACE(B1093&amp;"" ""&amp;C1093,""[^а-яa-z0-9 ]"","" ""))")," емонстрационный набор   лектроника  ")</f>
        <v xml:space="preserve"> емонстрационный набор   лектроника  </v>
      </c>
    </row>
    <row r="1094" spans="1:8" ht="38.25" x14ac:dyDescent="0.2">
      <c r="A1094" s="31" t="s">
        <v>2472</v>
      </c>
      <c r="B1094" s="27" t="s">
        <v>2473</v>
      </c>
      <c r="C1094" s="27" t="s">
        <v>2474</v>
      </c>
      <c r="D1094" s="33" t="s">
        <v>1506</v>
      </c>
      <c r="E1094" s="34">
        <v>2</v>
      </c>
      <c r="F1094" s="35">
        <v>1.9</v>
      </c>
      <c r="G1094" s="10">
        <v>305014</v>
      </c>
      <c r="H1094" s="30" t="str">
        <f ca="1">IFERROR(__xludf.DUMMYFUNCTION("LOWER(REGEXREPLACE(B1094&amp;"" ""&amp;C1094,""[^а-яa-z0-9 ]"","" ""))")," абор   лектроника  типа  ischertechnik   набор входит  мотор     кнопочные переключатели   2 шт   диоды   2 шт   транзисторы   2 шт   резисторы   3 шт   конденсаторы   2 шт   контейнер для батарейки 9  типа   рона  ")</f>
        <v xml:space="preserve"> абор   лектроника  типа  ischertechnik   набор входит  мотор     кнопочные переключатели   2 шт   диоды   2 шт   транзисторы   2 шт   резисторы   3 шт   конденсаторы   2 шт   контейнер для батарейки 9  типа   рона  </v>
      </c>
    </row>
    <row r="1095" spans="1:8" ht="216.75" x14ac:dyDescent="0.2">
      <c r="A1095" s="31" t="s">
        <v>2475</v>
      </c>
      <c r="B1095" s="27" t="s">
        <v>2476</v>
      </c>
      <c r="C1095" s="27" t="s">
        <v>2477</v>
      </c>
      <c r="D1095" s="33" t="s">
        <v>1506</v>
      </c>
      <c r="E1095" s="34">
        <v>2</v>
      </c>
      <c r="F1095" s="35">
        <v>6.5</v>
      </c>
      <c r="G1095" s="10">
        <v>1288997</v>
      </c>
      <c r="H1095" s="30" t="str">
        <f ca="1">IFERROR(__xludf.DUMMYFUNCTION("LOWER(REGEXREPLACE(B1095&amp;"" ""&amp;C1095,""[^а-яa-z0-9 ]"","" ""))")," льтернативная энергетика  анный набор позволит изучить концепцию энергии  ее использование и и генерация   co ower  du  it  состоит из   етренные турбины  6 наборов    ертикальные ветренные турбины  2 шт  в каждом наборе    оризонтальные ветренные турбин"&amp;"ы  2 шт  в каждом наборе    олнечные батареи  6 наборов    олнечные батареи  1 шт  в каждом наборе    змерительные приборы  номиналы    ультиметры   ультиметры для измерения напряжения  0 30     тока  0 5    и сопротивления  0 10 к м    лектронные компоне"&amp;"нты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оторез"&amp;"исторы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"&amp;"с разъемами для подключения компонентов и проводов ")</f>
        <v xml:space="preserve"> льтернативная энергетика  анный набор позволит изучить концепцию энергии  ее использование и и генерация   co ower  du  it  состоит из   етренные турбины  6 наборов    ертикальные ветренные турбины  2 шт  в каждом наборе    оризонтальные ветренные турбины  2 шт  в каждом наборе    олнечные батареи  6 наборов    олнечные батареи  1 шт  в каждом наборе    змерительные приборы  номиналы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v>
      </c>
    </row>
    <row r="1096" spans="1:8" ht="280.5" x14ac:dyDescent="0.2">
      <c r="A1096" s="31" t="s">
        <v>2478</v>
      </c>
      <c r="B1096" s="27" t="s">
        <v>2479</v>
      </c>
      <c r="C1096" s="27" t="s">
        <v>2480</v>
      </c>
      <c r="D1096" s="33" t="s">
        <v>1506</v>
      </c>
      <c r="E1096" s="34">
        <v>2</v>
      </c>
      <c r="F1096" s="35">
        <v>7.5</v>
      </c>
      <c r="G1096" s="10">
        <v>1319175</v>
      </c>
      <c r="H1096" s="30" t="str">
        <f ca="1">IFERROR(__xludf.DUMMYFUNCTION("LOWER(REGEXREPLACE(B1096&amp;"" ""&amp;C1096,""[^а-яa-z0-9 ]"","" ""))")," льтернативное образование   лаборатория ветра  солнца  воды и электричества  льтернативное образование   лаборатория ветра  солнца  воды и электричес ва   co ower  du  it  состоит из   етренные турбины   ертикальная ветренная турбина   одель вертикальной"&amp;" ветряной турбины   оризонтальная ветренная турбина   одель горизонтальной ветряной турбины   одная турбина   одная турбина   одель водной турбины для изучения принципов генерации энергии из потока воды   олнечные батареи   олнечная батарея   одель солнеч"&amp;"ной батареи для преобразования солнечной энергии в электричество   змерительные приборы  номиналы    ультиметр с возможностью измерения напряжения  0 30     тока  0 5    и сопротивления  0 10 к м    езисторы   абор резисторов с различными номиналами  вклю"&amp;"чая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характерис"&amp;"тиками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тот комплект предост"&amp;"авляет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разнообразными компонентами и измерительными приборами  он позволяет ученикам и исследователям"&amp;" исследовать принципы генерации энергии и проводить практические эксперименты ")</f>
        <v xml:space="preserve"> льтернативное образование   лаборатория ветра  солнца  воды и электричества  льтернативное образование   лаборатория ветра  солнца  воды и электричес ва   co ower  du  it  состоит из   етренные турбины   ертикальная ветренная турбина   одель вертикальной ветряной турбины   оризонтальная ветренная турбина   одель горизонтальной ветряной турбины   одная турбина   одная турбина   одель водной турбины для изучения принципов генерации энергии из потока воды   олнечные батареи   олнечная батарея   одель солнечной батареи для преобразования солнечной энергии в электричество   змерительные приборы  номиналы    ультиметр с возможностью измерения напряжения  0 30     тока  0 5    и сопротивления  0 10 к м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 </v>
      </c>
    </row>
    <row r="1097" spans="1:8" ht="255" x14ac:dyDescent="0.2">
      <c r="A1097" s="31" t="s">
        <v>2481</v>
      </c>
      <c r="B1097" s="27" t="s">
        <v>2482</v>
      </c>
      <c r="C1097" s="27" t="s">
        <v>2483</v>
      </c>
      <c r="D1097" s="33" t="s">
        <v>1506</v>
      </c>
      <c r="E1097" s="34">
        <v>2</v>
      </c>
      <c r="F1097" s="35">
        <v>6.5</v>
      </c>
      <c r="G1097" s="10">
        <v>1005621</v>
      </c>
      <c r="H1097" s="30" t="str">
        <f ca="1">IFERROR(__xludf.DUMMYFUNCTION("LOWER(REGEXREPLACE(B1097&amp;"" ""&amp;C1097,""[^а-яa-z0-9 ]"","" ""))")," бразовательные лаборатории вертикальных ветряных турбин        ертикальная ветренная турбина   одель вертикальной ветряной турбины для изучения принципов работы и производства энергии из ветра   оризонтальная ветренная турбина   одель горизонтальной ветр"&amp;"яной турбины для сравнительных исследований и экспериментов   ертикальная ветренная турбина с мотором постоянного тока   одель вертикальной турбины  оснащенной мотором постоянного тока для генерации электроэнергии   ертикальная турбина с набором магнитных"&amp;" полюсов   одель вертикальной турбины с возможностью экспериментирования с магнитными полюсами и их влиянием на производство энергии   оризонтальная ветренная турбина с мотором постоянного тока   одель горизонтальной турбины с мотором постоянного тока для"&amp;" изучения горизонтальных турбин и их эффективности   оризонтальная турбина с набором магнитных полюсов   одель горизонтальной турбины с возможностью настройки магнитных полюсов и изучения их влияния на энергопроизводство   змерительные приборы мультиметры"&amp;"   ультиметры для измерения электрических параметров и производительности турбин   лектронные компоненты    комплект входят различные электронные компоненты  такие как резисторы  конденсаторы  фоторезисторы  светодиоды  зуммеры и плата расширения  для про"&amp;"ведения различных экспериментов и настройки систем ")</f>
        <v xml:space="preserve"> бразовательные лаборатории вертикальных ветряных турбин        ертикальная ветренная турбина   одель вертикальной ветряной турбины для изучения принципов работы и производства энергии из ветра   оризонтальная ветренная турбина   одель горизонтальной ветряной турбины для сравнительных исследований и экспериментов   ертикальная ветренная турбина с мотором постоянного тока   одель вертикальной турбины  оснащенной мотором постоянного тока для генерации электроэнергии   ертикальная турбина с набором магнитных полюсов   одель вертикальной турбины с возможностью экспериментирования с магнитными полюсами и их влиянием на производство энергии   оризонтальная ветренная турбина с мотором постоянного тока   одель горизонтальной турбины с мотором постоянного тока для изучения горизонтальных турбин и их эффективности   оризонтальная турбина с набором магнитных полюсов   одель горизонтальной турбины с возможностью настройки магнитных полюсов и изучения их влияния на энергопроизводство   змерительные приборы мультиметры   ультиметры для измерения электрических параметров и производительности турбин   лектронные компоненты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 </v>
      </c>
    </row>
    <row r="1098" spans="1:8" ht="165.75" x14ac:dyDescent="0.2">
      <c r="A1098" s="31" t="s">
        <v>2484</v>
      </c>
      <c r="B1098" s="27" t="s">
        <v>2485</v>
      </c>
      <c r="C1098" s="27" t="s">
        <v>2486</v>
      </c>
      <c r="D1098" s="33" t="s">
        <v>1506</v>
      </c>
      <c r="E1098" s="34">
        <v>2</v>
      </c>
      <c r="F1098" s="36">
        <v>7.22</v>
      </c>
      <c r="G1098" s="10">
        <v>951494</v>
      </c>
      <c r="H1098" s="30" t="str">
        <f ca="1">IFERROR(__xludf.DUMMYFUNCTION("LOWER(REGEXREPLACE(B1098&amp;"" ""&amp;C1098,""[^а-яa-z0-9 ]"","" ""))")," ибридная система ветра и солнца  co ower  du  it состоит из   рылья турбины   ля сборки ветряной турбины   репление крылья   ля надежной фиксации крыльев   тержень   ля установки ветряной турбины   отор постоянного тока   вигатель  который преобразует эн"&amp;"ергию вращения турбины в электроэнергию   ультиметр   нструмент для измерения электрических параметров и производительности системы   ажимы бананы   ля соединения и проведения электрических измерений   езисторы   ля регулирования тока и напряжения в систе"&amp;"ме   онденсаторы   ля временного хранения и выпуска электрической энергии   лата расширения   ля подключения и управления компонентами системы   одшипники   ля обеспечения плавного вращения ветряной турбины   олнечная батарея   ля преобразования солнечной"&amp;" энергии в электроэнергию   лок управления солнечной батареи   ля контроля и регулирования производства энергии с помощью солнечной батареи   чебный материал")</f>
        <v xml:space="preserve"> ибридная система ветра и солнца  co ower  du  it состоит из   рылья турбины   ля сборки ветряной турбины   репление крылья   ля надежной фиксации крыльев   тержень   ля установки ветряной турбины   отор постоянного тока   вигатель  который преобразует энергию вращения турбины в электроэнергию   ультиметр   нструмент для измерения электрических параметров и производительности системы   ажимы бананы   ля соединения и проведения электрических измерений   езисторы   ля регулирования тока и напряжения в системе   онденсаторы   ля временного хранения и выпуска электрической энергии   лата расширения   ля подключения и управления компонентами системы   одшипники   ля обеспечения плавного вращения ветряной турбины   олнечная батарея   ля преобразования солнечной энергии в электроэнергию   лок управления солнечной батареи   ля контроля и регулирования производства энергии с помощью солнечной батареи   чебный материал</v>
      </c>
    </row>
    <row r="1099" spans="1:8" ht="127.5" x14ac:dyDescent="0.2">
      <c r="A1099" s="31" t="s">
        <v>2487</v>
      </c>
      <c r="B1099" s="27" t="s">
        <v>2488</v>
      </c>
      <c r="C1099" s="27" t="s">
        <v>2489</v>
      </c>
      <c r="D1099" s="33" t="s">
        <v>1506</v>
      </c>
      <c r="E1099" s="34">
        <v>2</v>
      </c>
      <c r="F1099" s="36">
        <v>4.93</v>
      </c>
      <c r="G1099" s="10">
        <v>347382</v>
      </c>
      <c r="H1099" s="30" t="str">
        <f ca="1">IFERROR(__xludf.DUMMYFUNCTION("LOWER(REGEXREPLACE(B1099&amp;"" ""&amp;C1099,""[^а-яa-z0-9 ]"","" ""))")," истема слежения за  олнцем  оторы и механизмы   строенные двигатели и механизмы для автоматического поворота солнечных панелей   енсоры   нтегрированные сенсоры для определения положения солнца и его движения   правляющая плата   лектронная плата для упр"&amp;"авления движением моторов и обработки данных от сенсоров   репления   омплект крепежных элементов для надежной установки системы на опору или стойку   нструкции   одробные руководства по сборке  подключению и настройке системы слежения   ополнительные ком"&amp;"поненты   ополнительные элементы и кабели для подключения и работы системы   рограммное обеспечение     для управления и настройки системы через компьютер или устройство ")</f>
        <v xml:space="preserve"> истема слежения за  олнцем  оторы и механизмы   строенные двигатели и механизмы для автоматического поворота солнечных панелей   енсоры   нтегрированные сенсоры для определения положения солнца и его движения   правляющая плата   лектронная плата для управления движением моторов и обработки данных от сенсоров   репления   омплект крепежных элементов для надежной установки системы на опору или стойку   нструкции   одробные руководства по сборке  подключению и настройке системы слежения   ополнительные компоненты   ополнительные элементы и кабели для подключения и работы системы   рограммное обеспечение     для управления и настройки системы через компьютер или устройство </v>
      </c>
    </row>
    <row r="1100" spans="1:8" ht="153" x14ac:dyDescent="0.2">
      <c r="A1100" s="31" t="s">
        <v>2490</v>
      </c>
      <c r="B1100" s="27" t="s">
        <v>2491</v>
      </c>
      <c r="C1100" s="27" t="s">
        <v>2492</v>
      </c>
      <c r="D1100" s="33" t="s">
        <v>1506</v>
      </c>
      <c r="E1100" s="34">
        <v>2</v>
      </c>
      <c r="F1100" s="36">
        <v>4.93</v>
      </c>
      <c r="G1100" s="10">
        <v>3649583</v>
      </c>
      <c r="H1100" s="30" t="str">
        <f ca="1">IFERROR(__xludf.DUMMYFUNCTION("LOWER(REGEXREPLACE(B1100&amp;"" ""&amp;C1100,""[^а-яa-z0-9 ]"","" ""))")," сновной комплект цифрового измерительного и лабораторного оборудования   комплект входит   1   ифровой мультиметр    апряжение          2     20    ок          20 м    200 м    2    опротивление  2 к    20 к    200 к    2       2 штук  2   ифровой функци"&amp;"ональный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дискр"&amp;"етизации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ц"&amp;"ифровых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f>
        <v xml:space="preserve"> сновной комплект цифрового измерительного и лабораторного оборудования   комплект входит   1   ифровой мультиметр    апряжение          2     20    ок          20 м    200 м    2    опротивление  2 к    20 к    200 к    2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v>
      </c>
    </row>
    <row r="1101" spans="1:8" ht="89.25" x14ac:dyDescent="0.2">
      <c r="A1101" s="31" t="s">
        <v>2493</v>
      </c>
      <c r="B1101" s="27" t="s">
        <v>2494</v>
      </c>
      <c r="C1101" s="27" t="s">
        <v>2495</v>
      </c>
      <c r="D1101" s="33" t="s">
        <v>1506</v>
      </c>
      <c r="E1101" s="34">
        <v>2</v>
      </c>
      <c r="F1101" s="36">
        <v>4.93</v>
      </c>
      <c r="G1101" s="10">
        <v>2593120</v>
      </c>
      <c r="H1101" s="30" t="str">
        <f ca="1">IFERROR(__xludf.DUMMYFUNCTION("LOWER(REGEXREPLACE(B1101&amp;"" ""&amp;C1101,""[^а-яa-z0-9 ]"","" ""))")," абор учебный   лектрические машины   кспериментальная плата к курсам    4      синхронные машины     инхронные машины  и   ашины постоянного тока   который имеют следующие характеристики   азмеры   ечатная плата  280   200 мм2  амка  296 5   354 мм2  апр"&amp;"яжение питания  15   постоянного тока   15   постоянного тока и  5   постоянного тока от главного блока  ащитные функци  омплект состоит из экспериментальной платы для курсов    4      синхронные машины     инхронные машины  и   ашины постоянного тока ")</f>
        <v xml:space="preserve"> абор учебный   лектрические машины   кспериментальная плата к курсам    4      синхронные машины     инхронные машины  и   ашины постоянного тока   который имеют следующие характеристики   азмеры   ечатная плата  280   200 мм2  амка  296 5   354 мм2  апряжение питания  15   постоянного тока   15   постоянного тока и  5   постоянного тока от главного блока  ащитные функци  омплект состоит из экспериментальной платы для курсов    4      синхронные машины     инхронные машины  и   ашины постоянного тока </v>
      </c>
    </row>
    <row r="1102" spans="1:8" ht="12.75" x14ac:dyDescent="0.2">
      <c r="A1102" s="31" t="s">
        <v>2496</v>
      </c>
      <c r="B1102" s="27" t="s">
        <v>2497</v>
      </c>
      <c r="C1102" s="27"/>
      <c r="D1102" s="33" t="s">
        <v>68</v>
      </c>
      <c r="E1102" s="9"/>
      <c r="F1102" s="32"/>
      <c r="G1102" s="10"/>
      <c r="H1102" s="30" t="str">
        <f ca="1">IFERROR(__xludf.DUMMYFUNCTION("LOWER(REGEXREPLACE(B1102&amp;"" ""&amp;C1102,""[^а-яa-z0-9 ]"","" ""))")," омплект учебный   олебания и волны  ")</f>
        <v xml:space="preserve"> омплект учебный   олебания и волны  </v>
      </c>
    </row>
    <row r="1103" spans="1:8" ht="51" x14ac:dyDescent="0.2">
      <c r="A1103" s="31" t="s">
        <v>2498</v>
      </c>
      <c r="B1103" s="8" t="s">
        <v>2499</v>
      </c>
      <c r="C1103" s="27" t="s">
        <v>2500</v>
      </c>
      <c r="D1103" s="33" t="s">
        <v>68</v>
      </c>
      <c r="E1103" s="34">
        <v>2</v>
      </c>
      <c r="F1103" s="36">
        <v>0.64</v>
      </c>
      <c r="G1103" s="10">
        <v>211717</v>
      </c>
      <c r="H1103" s="30" t="str">
        <f ca="1">IFERROR(__xludf.DUMMYFUNCTION("LOWER(REGEXREPLACE(B1103&amp;"" ""&amp;C1103,""[^а-яa-z0-9 ]"","" ""))")," омплект приборов для изучения электромагнитных волн   состав комплекта входят  высокочастотный передатчик с частотой колебания не менее 11   z мощностью излучения не менее 10 m   высокочастотный приемник   треугольная призма  три экрана на подставке  нео"&amp;"новая лампа на подставке   поглощающие тела ")</f>
        <v xml:space="preserve"> омплект приборов для изучения электромагнитных волн   состав комплекта входят  высокочастотный передатчик с частотой колебания не менее 11   z мощностью излучения не менее 10 m   высокочастотный приемник   треугольная призма  три экрана на подставке  неоновая лампа на подставке   поглощающие тела </v>
      </c>
    </row>
    <row r="1104" spans="1:8" ht="51" x14ac:dyDescent="0.2">
      <c r="A1104" s="31" t="s">
        <v>2501</v>
      </c>
      <c r="B1104" s="8" t="s">
        <v>2502</v>
      </c>
      <c r="C1104" s="27" t="s">
        <v>2503</v>
      </c>
      <c r="D1104" s="33" t="s">
        <v>68</v>
      </c>
      <c r="E1104" s="34">
        <v>2</v>
      </c>
      <c r="F1104" s="34">
        <v>5</v>
      </c>
      <c r="G1104" s="10">
        <v>112018</v>
      </c>
      <c r="H1104" s="30" t="str">
        <f ca="1">IFERROR(__xludf.DUMMYFUNCTION("LOWER(REGEXREPLACE(B1104&amp;"" ""&amp;C1104,""[^а-яa-z0-9 ]"","" ""))")," омплект для демонстрации волновых явлений   комплект входят   1   олновая ванна с встроенным экраном  2   светитель со стробоскопическим диском  3   сточник волн с комплектом насадок  4   омплект препятствий  5   етодические указания  абор не требует доп"&amp;"олнительного оборудования ")</f>
        <v xml:space="preserve"> омплект для демонстрации волновых явлений   комплект входят   1   олновая ванна с встроенным экраном  2   светитель со стробоскопическим диском  3   сточник волн с комплектом насадок  4   омплект препятствий  5   етодические указания  абор не требует дополнительного оборудования </v>
      </c>
    </row>
    <row r="1105" spans="1:8" ht="51" x14ac:dyDescent="0.2">
      <c r="A1105" s="31" t="s">
        <v>2504</v>
      </c>
      <c r="B1105" s="27" t="s">
        <v>2505</v>
      </c>
      <c r="C1105" s="27" t="s">
        <v>2506</v>
      </c>
      <c r="D1105" s="33" t="s">
        <v>1506</v>
      </c>
      <c r="E1105" s="34">
        <v>2</v>
      </c>
      <c r="F1105" s="36">
        <v>1.35</v>
      </c>
      <c r="G1105" s="10">
        <v>19213</v>
      </c>
      <c r="H1105" s="30" t="str">
        <f ca="1">IFERROR(__xludf.DUMMYFUNCTION("LOWER(REGEXREPLACE(B1105&amp;"" ""&amp;C1105,""[^а-яa-z0-9 ]"","" ""))")," абор механических колебаний и волн   набор входят  виброгенератор  стержень для крепления виброгенератора в штативе  пружину  три стальные пластины разной формы  резиновый жгут  груз 100 г   1 шт   речной песок фракции 0 2 0 4  соединительные провода  за"&amp;"жим крокодил на резьбовом соединении ")</f>
        <v xml:space="preserve"> абор механических колебаний и волн   набор входят  виброгенератор  стержень для крепления виброгенератора в штативе  пружину  три стальные пластины разной формы  резиновый жгут  груз 100 г   1 шт   речной песок фракции 0 2 0 4  соединительные провода  зажим крокодил на резьбовом соединении </v>
      </c>
    </row>
    <row r="1106" spans="1:8" ht="25.5" x14ac:dyDescent="0.2">
      <c r="A1106" s="31" t="s">
        <v>2507</v>
      </c>
      <c r="B1106" s="8" t="s">
        <v>2508</v>
      </c>
      <c r="C1106" s="27"/>
      <c r="D1106" s="32"/>
      <c r="E1106" s="9"/>
      <c r="F1106" s="32"/>
      <c r="G1106" s="10"/>
      <c r="H1106" s="30" t="str">
        <f ca="1">IFERROR(__xludf.DUMMYFUNCTION("LOWER(REGEXREPLACE(B1106&amp;"" ""&amp;C1106,""[^а-яa-z0-9 ]"","" ""))")," риборы и принадлежности для кабинета географии ")</f>
        <v xml:space="preserve"> риборы и принадлежности для кабинета географии </v>
      </c>
    </row>
    <row r="1107" spans="1:8" ht="12.75" x14ac:dyDescent="0.2">
      <c r="A1107" s="31" t="s">
        <v>2509</v>
      </c>
      <c r="B1107" s="27" t="s">
        <v>2510</v>
      </c>
      <c r="C1107" s="27"/>
      <c r="D1107" s="33" t="s">
        <v>14</v>
      </c>
      <c r="E1107" s="9"/>
      <c r="F1107" s="32"/>
      <c r="G1107" s="10"/>
      <c r="H1107" s="30" t="str">
        <f ca="1">IFERROR(__xludf.DUMMYFUNCTION("LOWER(REGEXREPLACE(B1107&amp;"" ""&amp;C1107,""[^а-яa-z0-9 ]"","" ""))")," немометр ")</f>
        <v xml:space="preserve"> немометр </v>
      </c>
    </row>
    <row r="1108" spans="1:8" ht="63.75" x14ac:dyDescent="0.2">
      <c r="A1108" s="31" t="s">
        <v>2511</v>
      </c>
      <c r="B1108" s="27" t="s">
        <v>2512</v>
      </c>
      <c r="C1108" s="27"/>
      <c r="D1108" s="33" t="s">
        <v>14</v>
      </c>
      <c r="E1108" s="34">
        <v>2</v>
      </c>
      <c r="F1108" s="35">
        <v>0.2</v>
      </c>
      <c r="G1108" s="10">
        <v>34983</v>
      </c>
      <c r="H1108" s="30" t="str">
        <f ca="1">IFERROR(__xludf.DUMMYFUNCTION("LOWER(REGEXREPLACE(B1108&amp;"" ""&amp;C1108,""[^а-яa-z0-9 ]"","" ""))")," немометр типа  cience ube      104   иапазон измерения скорости ветра  0 3 30 м с 0   90 км ч   очность измерения скорости ветра     5  с шагом 0 1 м с   иапазон измерения температуры   10 45    ")</f>
        <v xml:space="preserve"> немометр типа  cience ube      104   иапазон измерения скорости ветра  0 3 30 м с 0   90 км ч   очность измерения скорости ветра     5  с шагом 0 1 м с   иапазон измерения температуры   10 45    </v>
      </c>
    </row>
    <row r="1109" spans="1:8" ht="12.75" x14ac:dyDescent="0.2">
      <c r="A1109" s="31" t="s">
        <v>2513</v>
      </c>
      <c r="B1109" s="27" t="s">
        <v>2514</v>
      </c>
      <c r="C1109" s="27"/>
      <c r="D1109" s="33" t="s">
        <v>14</v>
      </c>
      <c r="E1109" s="34">
        <v>2</v>
      </c>
      <c r="F1109" s="35">
        <v>0.2</v>
      </c>
      <c r="G1109" s="10">
        <v>35891</v>
      </c>
      <c r="H1109" s="30" t="str">
        <f ca="1">IFERROR(__xludf.DUMMYFUNCTION("LOWER(REGEXREPLACE(B1109&amp;"" ""&amp;C1109,""[^а-яa-z0-9 ]"","" ""))")," немометр типа  nvicta 084059 42443 ")</f>
        <v xml:space="preserve"> немометр типа  nvicta 084059 42443 </v>
      </c>
    </row>
    <row r="1110" spans="1:8" ht="12.75" x14ac:dyDescent="0.2">
      <c r="A1110" s="31" t="s">
        <v>2515</v>
      </c>
      <c r="B1110" s="27" t="s">
        <v>2516</v>
      </c>
      <c r="C1110" s="27"/>
      <c r="D1110" s="33" t="s">
        <v>14</v>
      </c>
      <c r="E1110" s="9"/>
      <c r="F1110" s="32"/>
      <c r="G1110" s="10"/>
      <c r="H1110" s="30" t="str">
        <f ca="1">IFERROR(__xludf.DUMMYFUNCTION("LOWER(REGEXREPLACE(B1110&amp;"" ""&amp;C1110,""[^а-яa-z0-9 ]"","" ""))")," ождемер ")</f>
        <v xml:space="preserve"> ождемер </v>
      </c>
    </row>
    <row r="1111" spans="1:8" ht="25.5" x14ac:dyDescent="0.2">
      <c r="A1111" s="31" t="s">
        <v>2517</v>
      </c>
      <c r="B1111" s="27" t="s">
        <v>2518</v>
      </c>
      <c r="C1111" s="27" t="s">
        <v>2519</v>
      </c>
      <c r="D1111" s="33" t="s">
        <v>14</v>
      </c>
      <c r="E1111" s="34">
        <v>2</v>
      </c>
      <c r="F1111" s="36">
        <v>0.15</v>
      </c>
      <c r="G1111" s="10">
        <v>12404</v>
      </c>
      <c r="H1111" s="30" t="str">
        <f ca="1">IFERROR(__xludf.DUMMYFUNCTION("LOWER(REGEXREPLACE(B1111&amp;"" ""&amp;C1111,""[^а-яa-z0-9 ]"","" ""))")," ождемер типа  nvicta 084059 42443   комплекте  колба объемом 50 мл  со шкалой  цена деления которой 1мл  пластиковый штырь для установки в землю и пластиковая крышка ")</f>
        <v xml:space="preserve"> ождемер типа  nvicta 084059 42443   комплекте  колба объемом 50 мл  со шкалой  цена деления которой 1мл  пластиковый штырь для установки в землю и пластиковая крышка </v>
      </c>
    </row>
    <row r="1112" spans="1:8" ht="25.5" x14ac:dyDescent="0.2">
      <c r="A1112" s="31" t="s">
        <v>2520</v>
      </c>
      <c r="B1112" s="27" t="s">
        <v>2521</v>
      </c>
      <c r="C1112" s="27" t="s">
        <v>2522</v>
      </c>
      <c r="D1112" s="33" t="s">
        <v>14</v>
      </c>
      <c r="E1112" s="34">
        <v>2</v>
      </c>
      <c r="F1112" s="36">
        <v>0.13</v>
      </c>
      <c r="G1112" s="10">
        <v>27411</v>
      </c>
      <c r="H1112" s="30" t="str">
        <f ca="1">IFERROR(__xludf.DUMMYFUNCTION("LOWER(REGEXREPLACE(B1112&amp;"" ""&amp;C1112,""[^а-яa-z0-9 ]"","" ""))")," альномер электронный  альномер электронный лазерный   исплей с подсветкой для считывания информации   альность измерения не менее 20 метров ")</f>
        <v xml:space="preserve"> альномер электронный  альномер электронный лазерный   исплей с подсветкой для считывания информации   альность измерения не менее 20 метров </v>
      </c>
    </row>
    <row r="1113" spans="1:8" ht="12.75" x14ac:dyDescent="0.2">
      <c r="A1113" s="31" t="s">
        <v>2523</v>
      </c>
      <c r="B1113" s="27" t="s">
        <v>2524</v>
      </c>
      <c r="C1113" s="27"/>
      <c r="D1113" s="33" t="s">
        <v>14</v>
      </c>
      <c r="E1113" s="9"/>
      <c r="F1113" s="32"/>
      <c r="G1113" s="10"/>
      <c r="H1113" s="30" t="str">
        <f ca="1">IFERROR(__xludf.DUMMYFUNCTION("LOWER(REGEXREPLACE(B1113&amp;"" ""&amp;C1113,""[^а-яa-z0-9 ]"","" ""))")," урвиметр ")</f>
        <v xml:space="preserve"> урвиметр </v>
      </c>
    </row>
    <row r="1114" spans="1:8" ht="38.25" x14ac:dyDescent="0.2">
      <c r="A1114" s="31" t="s">
        <v>2525</v>
      </c>
      <c r="B1114" s="27" t="s">
        <v>2524</v>
      </c>
      <c r="C1114" s="27" t="s">
        <v>2526</v>
      </c>
      <c r="D1114" s="33" t="s">
        <v>14</v>
      </c>
      <c r="E1114" s="34">
        <v>2</v>
      </c>
      <c r="F1114" s="35">
        <v>0.7</v>
      </c>
      <c r="G1114" s="10">
        <v>1873</v>
      </c>
      <c r="H1114" s="30" t="str">
        <f ca="1">IFERROR(__xludf.DUMMYFUNCTION("LOWER(REGEXREPLACE(B1114&amp;"" ""&amp;C1114,""[^а-яa-z0-9 ]"","" ""))")," урвиметр  рибор для измерения длины извилистых линий на топографических картах  планах и чертежах   урвиметр состоит из зубчатого ролика известного диаметра на ручке и сч тчика пройденного количества зубцов ")</f>
        <v xml:space="preserve"> урвиметр  рибор для измерения длины извилистых линий на топографических картах  планах и чертежах   урвиметр состоит из зубчатого ролика известного диаметра на ручке и сч тчика пройденного количества зубцов </v>
      </c>
    </row>
    <row r="1115" spans="1:8" ht="12.75" x14ac:dyDescent="0.2">
      <c r="A1115" s="31" t="s">
        <v>2527</v>
      </c>
      <c r="B1115" s="27" t="s">
        <v>2528</v>
      </c>
      <c r="C1115" s="27"/>
      <c r="D1115" s="33" t="s">
        <v>14</v>
      </c>
      <c r="E1115" s="34">
        <v>2</v>
      </c>
      <c r="F1115" s="36">
        <v>0.75</v>
      </c>
      <c r="G1115" s="10">
        <v>36164</v>
      </c>
      <c r="H1115" s="30" t="str">
        <f ca="1">IFERROR(__xludf.DUMMYFUNCTION("LOWER(REGEXREPLACE(B1115&amp;"" ""&amp;C1115,""[^а-яa-z0-9 ]"","" ""))")," урвиметр типа  nvicta 050059 42411 ")</f>
        <v xml:space="preserve"> урвиметр типа  nvicta 050059 42411 </v>
      </c>
    </row>
    <row r="1116" spans="1:8" ht="12.75" x14ac:dyDescent="0.2">
      <c r="A1116" s="31" t="s">
        <v>2529</v>
      </c>
      <c r="B1116" s="27" t="s">
        <v>2530</v>
      </c>
      <c r="C1116" s="27"/>
      <c r="D1116" s="33" t="s">
        <v>14</v>
      </c>
      <c r="E1116" s="9"/>
      <c r="F1116" s="32"/>
      <c r="G1116" s="10"/>
      <c r="H1116" s="30" t="str">
        <f ca="1">IFERROR(__xludf.DUMMYFUNCTION("LOWER(REGEXREPLACE(B1116&amp;"" ""&amp;C1116,""[^а-яa-z0-9 ]"","" ""))")," люгер ")</f>
        <v xml:space="preserve"> люгер </v>
      </c>
    </row>
    <row r="1117" spans="1:8" ht="12.75" x14ac:dyDescent="0.2">
      <c r="A1117" s="31" t="s">
        <v>2531</v>
      </c>
      <c r="B1117" s="27" t="s">
        <v>2532</v>
      </c>
      <c r="C1117" s="27"/>
      <c r="D1117" s="33" t="s">
        <v>14</v>
      </c>
      <c r="E1117" s="34">
        <v>2</v>
      </c>
      <c r="F1117" s="36">
        <v>0.26</v>
      </c>
      <c r="G1117" s="10">
        <v>23506</v>
      </c>
      <c r="H1117" s="30" t="str">
        <f ca="1">IFERROR(__xludf.DUMMYFUNCTION("LOWER(REGEXREPLACE(B1117&amp;"" ""&amp;C1117,""[^а-яa-z0-9 ]"","" ""))")," люгер типа  nvicta 087559 42442 ")</f>
        <v xml:space="preserve"> люгер типа  nvicta 087559 42442 </v>
      </c>
    </row>
    <row r="1118" spans="1:8" ht="12.75" x14ac:dyDescent="0.2">
      <c r="A1118" s="31" t="s">
        <v>2533</v>
      </c>
      <c r="B1118" s="27" t="s">
        <v>2530</v>
      </c>
      <c r="C1118" s="27" t="s">
        <v>2534</v>
      </c>
      <c r="D1118" s="33" t="s">
        <v>14</v>
      </c>
      <c r="E1118" s="34">
        <v>2</v>
      </c>
      <c r="F1118" s="35">
        <v>0.4</v>
      </c>
      <c r="G1118" s="10">
        <v>10523</v>
      </c>
      <c r="H1118" s="30" t="str">
        <f ca="1">IFERROR(__xludf.DUMMYFUNCTION("LOWER(REGEXREPLACE(B1118&amp;"" ""&amp;C1118,""[^а-яa-z0-9 ]"","" ""))")," люгер  люгер  прибор д определения направления и скорости ветра ")</f>
        <v xml:space="preserve"> люгер  люгер  прибор д определения направления и скорости ветра </v>
      </c>
    </row>
    <row r="1119" spans="1:8" ht="25.5" x14ac:dyDescent="0.2">
      <c r="A1119" s="31" t="s">
        <v>2535</v>
      </c>
      <c r="B1119" s="27" t="s">
        <v>2536</v>
      </c>
      <c r="C1119" s="27"/>
      <c r="D1119" s="32"/>
      <c r="E1119" s="9"/>
      <c r="F1119" s="32"/>
      <c r="G1119" s="10"/>
      <c r="H1119" s="30" t="str">
        <f ca="1">IFERROR(__xludf.DUMMYFUNCTION("LOWER(REGEXREPLACE(B1119&amp;"" ""&amp;C1119,""[^а-яa-z0-9 ]"","" ""))")," одели объемные  приборы и реактивы для кабинета биологии ")</f>
        <v xml:space="preserve"> одели объемные  приборы и реактивы для кабинета биологии </v>
      </c>
    </row>
    <row r="1120" spans="1:8" ht="12.75" x14ac:dyDescent="0.2">
      <c r="A1120" s="31" t="s">
        <v>2537</v>
      </c>
      <c r="B1120" s="27" t="s">
        <v>2538</v>
      </c>
      <c r="C1120" s="27"/>
      <c r="D1120" s="33" t="s">
        <v>14</v>
      </c>
      <c r="E1120" s="9"/>
      <c r="F1120" s="32"/>
      <c r="G1120" s="10">
        <v>160089</v>
      </c>
      <c r="H1120" s="30" t="str">
        <f ca="1">IFERROR(__xludf.DUMMYFUNCTION("LOWER(REGEXREPLACE(B1120&amp;"" ""&amp;C1120,""[^а-яa-z0-9 ]"","" ""))")," келет человека 170 см на роликовой подставке ")</f>
        <v xml:space="preserve"> келет человека 170 см на роликовой подставке </v>
      </c>
    </row>
    <row r="1121" spans="1:8" ht="12.75" x14ac:dyDescent="0.2">
      <c r="A1121" s="31" t="s">
        <v>2539</v>
      </c>
      <c r="B1121" s="27" t="s">
        <v>2540</v>
      </c>
      <c r="C1121" s="27"/>
      <c r="D1121" s="33" t="s">
        <v>14</v>
      </c>
      <c r="E1121" s="9"/>
      <c r="F1121" s="32"/>
      <c r="G1121" s="10"/>
      <c r="H1121" s="30" t="str">
        <f ca="1">IFERROR(__xludf.DUMMYFUNCTION("LOWER(REGEXREPLACE(B1121&amp;"" ""&amp;C1121,""[^а-яa-z0-9 ]"","" ""))")," упа ручная ")</f>
        <v xml:space="preserve"> упа ручная </v>
      </c>
    </row>
    <row r="1122" spans="1:8" ht="12.75" x14ac:dyDescent="0.2">
      <c r="A1122" s="31" t="s">
        <v>2541</v>
      </c>
      <c r="B1122" s="27" t="s">
        <v>2542</v>
      </c>
      <c r="C1122" s="27" t="s">
        <v>2543</v>
      </c>
      <c r="D1122" s="33" t="s">
        <v>14</v>
      </c>
      <c r="E1122" s="9"/>
      <c r="F1122" s="32"/>
      <c r="G1122" s="10">
        <v>402</v>
      </c>
      <c r="H1122" s="30" t="str">
        <f ca="1">IFERROR(__xludf.DUMMYFUNCTION("LOWER(REGEXREPLACE(B1122&amp;"" ""&amp;C1122,""[^а-яa-z0-9 ]"","" ""))")," упа ручная d 60 мм  упа ручная  диаметр не менее 60 мм  увеличение не менее 5 крат ")</f>
        <v xml:space="preserve"> упа ручная d 60 мм  упа ручная  диаметр не менее 60 мм  увеличение не менее 5 крат </v>
      </c>
    </row>
    <row r="1123" spans="1:8" ht="38.25" x14ac:dyDescent="0.2">
      <c r="A1123" s="31" t="s">
        <v>2544</v>
      </c>
      <c r="B1123" s="27" t="s">
        <v>2545</v>
      </c>
      <c r="C1123" s="27" t="s">
        <v>2546</v>
      </c>
      <c r="D1123" s="33" t="s">
        <v>14</v>
      </c>
      <c r="E1123" s="9"/>
      <c r="F1123" s="37">
        <v>5.5E-2</v>
      </c>
      <c r="G1123" s="10">
        <v>346</v>
      </c>
      <c r="H1123" s="30" t="str">
        <f ca="1">IFERROR(__xludf.DUMMYFUNCTION("LOWER(REGEXREPLACE(B1123&amp;"" ""&amp;C1123,""[^а-яa-z0-9 ]"","" ""))")," упа ручная d 50 мм  набжена эргономичной ручкой изогнутой формы   величение трехкратное   иаметр линзы 50 мм   атериал оправы   пластик   атериал линзы   стекло ")</f>
        <v xml:space="preserve"> упа ручная d 50 мм  набжена эргономичной ручкой изогнутой формы   величение трехкратное   иаметр линзы 50 мм   атериал оправы   пластик   атериал линзы   стекло </v>
      </c>
    </row>
    <row r="1124" spans="1:8" ht="12.75" x14ac:dyDescent="0.2">
      <c r="A1124" s="31" t="s">
        <v>2547</v>
      </c>
      <c r="B1124" s="27" t="s">
        <v>2548</v>
      </c>
      <c r="C1124" s="27"/>
      <c r="D1124" s="33" t="s">
        <v>14</v>
      </c>
      <c r="E1124" s="34">
        <v>2</v>
      </c>
      <c r="F1124" s="36">
        <v>0.05</v>
      </c>
      <c r="G1124" s="10">
        <v>540</v>
      </c>
      <c r="H1124" s="30" t="str">
        <f ca="1">IFERROR(__xludf.DUMMYFUNCTION("LOWER(REGEXREPLACE(B1124&amp;"" ""&amp;C1124,""[^а-яa-z0-9 ]"","" ""))")," упа ручная d 80 мм ")</f>
        <v xml:space="preserve"> упа ручная d 80 мм </v>
      </c>
    </row>
    <row r="1125" spans="1:8" ht="12.75" x14ac:dyDescent="0.2">
      <c r="A1125" s="31" t="s">
        <v>2549</v>
      </c>
      <c r="B1125" s="27" t="s">
        <v>2550</v>
      </c>
      <c r="C1125" s="27"/>
      <c r="D1125" s="33" t="s">
        <v>14</v>
      </c>
      <c r="E1125" s="9"/>
      <c r="F1125" s="32"/>
      <c r="G1125" s="10"/>
      <c r="H1125" s="30" t="str">
        <f ca="1">IFERROR(__xludf.DUMMYFUNCTION("LOWER(REGEXREPLACE(B1125&amp;"" ""&amp;C1125,""[^а-яa-z0-9 ]"","" ""))")," икроскоп преподавателя ")</f>
        <v xml:space="preserve"> икроскоп преподавателя </v>
      </c>
    </row>
    <row r="1126" spans="1:8" ht="12.75" x14ac:dyDescent="0.2">
      <c r="A1126" s="31" t="s">
        <v>2551</v>
      </c>
      <c r="B1126" s="27" t="s">
        <v>2552</v>
      </c>
      <c r="C1126" s="27"/>
      <c r="D1126" s="33" t="s">
        <v>14</v>
      </c>
      <c r="E1126" s="9"/>
      <c r="F1126" s="32"/>
      <c r="G1126" s="10">
        <v>76875</v>
      </c>
      <c r="H1126" s="30" t="str">
        <f ca="1">IFERROR(__xludf.DUMMYFUNCTION("LOWER(REGEXREPLACE(B1126&amp;"" ""&amp;C1126,""[^а-яa-z0-9 ]"","" ""))")," икроскоп преподавателя 1600х ")</f>
        <v xml:space="preserve"> икроскоп преподавателя 1600х </v>
      </c>
    </row>
    <row r="1127" spans="1:8" ht="12.75" x14ac:dyDescent="0.2">
      <c r="A1127" s="31" t="s">
        <v>2553</v>
      </c>
      <c r="B1127" s="27" t="s">
        <v>2554</v>
      </c>
      <c r="C1127" s="27"/>
      <c r="D1127" s="33" t="s">
        <v>14</v>
      </c>
      <c r="E1127" s="9"/>
      <c r="F1127" s="32"/>
      <c r="G1127" s="10"/>
      <c r="H1127" s="30" t="str">
        <f ca="1">IFERROR(__xludf.DUMMYFUNCTION("LOWER(REGEXREPLACE(B1127&amp;"" ""&amp;C1127,""[^а-яa-z0-9 ]"","" ""))")," икроскоп ученический ")</f>
        <v xml:space="preserve"> икроскоп ученический </v>
      </c>
    </row>
    <row r="1128" spans="1:8" ht="76.5" x14ac:dyDescent="0.2">
      <c r="A1128" s="31" t="s">
        <v>2555</v>
      </c>
      <c r="B1128" s="27" t="s">
        <v>2556</v>
      </c>
      <c r="C1128" s="27" t="s">
        <v>2557</v>
      </c>
      <c r="D1128" s="33" t="s">
        <v>14</v>
      </c>
      <c r="E1128" s="34">
        <v>2</v>
      </c>
      <c r="F1128" s="35">
        <v>2.5</v>
      </c>
      <c r="G1128" s="10">
        <v>31494</v>
      </c>
      <c r="H1128" s="30" t="str">
        <f ca="1">IFERROR(__xludf.DUMMYFUNCTION("LOWER(REGEXREPLACE(B1128&amp;"" ""&amp;C1128,""[^а-яa-z0-9 ]"","" ""))")," икроскоп ученический 640х  икроскоп ученический   лассическая оптическая система   укоятки настройки резкости   куляры не менее 10х и 16х   бъективы не менее 4х 0 10  10  0 25 и 40   0 65   онокулярная головка   еркало в качестве источника света   евольв"&amp;"ерное устройство   еталлическое основание и стойка   редметный столик   леммы для закрепления исследуемых объектов   аксимальное увеличение не менее 640   кратное ")</f>
        <v xml:space="preserve"> икроскоп ученический 640х  икроскоп ученический   лассическая оптическая система   укоятки настройки резкости   куляры не менее 10х и 16х   бъективы не менее 4х 0 10  10  0 25 и 40   0 65   онокулярная головка   еркало в качестве источника света   евольверное устройство   еталлическое основание и стойка   редметный столик   леммы для закрепления исследуемых объектов   аксимальное увеличение не менее 640   кратное </v>
      </c>
    </row>
    <row r="1129" spans="1:8" ht="38.25" x14ac:dyDescent="0.2">
      <c r="A1129" s="31" t="s">
        <v>2558</v>
      </c>
      <c r="B1129" s="27" t="s">
        <v>2559</v>
      </c>
      <c r="C1129" s="27" t="s">
        <v>2560</v>
      </c>
      <c r="D1129" s="33" t="s">
        <v>14</v>
      </c>
      <c r="E1129" s="34">
        <v>2</v>
      </c>
      <c r="F1129" s="35">
        <v>2.5</v>
      </c>
      <c r="G1129" s="10">
        <v>34992</v>
      </c>
      <c r="H1129" s="30" t="str">
        <f ca="1">IFERROR(__xludf.DUMMYFUNCTION("LOWER(REGEXREPLACE(B1129&amp;"" ""&amp;C1129,""[^а-яa-z0-9 ]"","" ""))")," икроскоп ученический с тремя объективами 4 х  10 х  40 х  меет подвижный предметный столик  тубус с двумя сменными окулярами   10 х  16 х   три объектива  4 х  10 х  40 х   расположенные на вращающейся револьверной головке   величение 100 х   640 х крат")</f>
        <v xml:space="preserve"> икроскоп ученический с тремя объективами 4 х  10 х  40 х  меет подвижный предметный столик  тубус с двумя сменными окулярами   10 х  16 х   три объектива  4 х  10 х  40 х   расположенные на вращающейся револьверной головке   величение 100 х   640 х крат</v>
      </c>
    </row>
    <row r="1130" spans="1:8" ht="127.5" x14ac:dyDescent="0.2">
      <c r="A1130" s="31" t="s">
        <v>2561</v>
      </c>
      <c r="B1130" s="27" t="s">
        <v>2562</v>
      </c>
      <c r="C1130" s="27" t="s">
        <v>2563</v>
      </c>
      <c r="D1130" s="33" t="s">
        <v>14</v>
      </c>
      <c r="E1130" s="34">
        <v>2</v>
      </c>
      <c r="F1130" s="36">
        <v>3.48</v>
      </c>
      <c r="G1130" s="10">
        <v>93314</v>
      </c>
      <c r="H1130" s="30" t="str">
        <f ca="1">IFERROR(__xludf.DUMMYFUNCTION("LOWER(REGEXREPLACE(B1130&amp;"" ""&amp;C1130,""[^а-яa-z0-9 ]"","" ""))")," икроскоп монокулярный с электроподсветкой  тепень увеличения микроскопа со сменным окуляром   10   40  100  400 крат   тепень увеличения микроскопа со сменным окуляром   16   64  160  640 крат   пособ наблюдения  монокулярный  троение оптической схемы  п"&amp;"рямой   ип осветителя  светодиодный   икроскоп укомплектован объективами 4   10   40   револьверным барабаном для быстрой смены объективов  нижней и верхней подсветкой   оворотом барабана и сменой окуляров изменяется увеличение микроскопа  от 40 до 640 кр"&amp;"ат    омплектность  микроскоп   1 шт   окуляры сменные   10  и   16    2 шт   подсветка  нижняя и верхняя    2 шт   руководство по эксплуатации   1 шт ")</f>
        <v xml:space="preserve"> икроскоп монокулярный с электроподсветкой  тепень увеличения микроскопа со сменным окуляром   10   40  100  400 крат   тепень увеличения микроскопа со сменным окуляром   16   64  160  640 крат   пособ наблюдения  монокулярный  троение оптической схемы  прямой   ип осветителя  светодиодный   икроскоп укомплектован объективами 4   10   40   револьверным барабаном для быстрой смены объективов  нижней и верхней подсветкой   оворотом барабана и сменой окуляров изменяется увеличение микроскопа  от 40 до 640 крат    омплектность  микроскоп   1 шт   окуляры сменные   10  и   16    2 шт   подсветка  нижняя и верхняя    2 шт   руководство по эксплуатации   1 шт </v>
      </c>
    </row>
    <row r="1131" spans="1:8" ht="12.75" x14ac:dyDescent="0.2">
      <c r="A1131" s="31" t="s">
        <v>2564</v>
      </c>
      <c r="B1131" s="27" t="s">
        <v>2565</v>
      </c>
      <c r="C1131" s="27"/>
      <c r="D1131" s="33" t="s">
        <v>14</v>
      </c>
      <c r="E1131" s="34">
        <v>2</v>
      </c>
      <c r="F1131" s="36">
        <v>0.45</v>
      </c>
      <c r="G1131" s="10">
        <v>18987</v>
      </c>
      <c r="H1131" s="30" t="str">
        <f ca="1">IFERROR(__xludf.DUMMYFUNCTION("LOWER(REGEXREPLACE(B1131&amp;"" ""&amp;C1131,""[^а-яa-z0-9 ]"","" ""))")," икроскоп цифровой типа  arson   640 ")</f>
        <v xml:space="preserve"> икроскоп цифровой типа  arson   640 </v>
      </c>
    </row>
    <row r="1132" spans="1:8" ht="255" x14ac:dyDescent="0.2">
      <c r="A1132" s="31" t="s">
        <v>2566</v>
      </c>
      <c r="B1132" s="27" t="s">
        <v>2567</v>
      </c>
      <c r="C1132" s="27" t="s">
        <v>2568</v>
      </c>
      <c r="D1132" s="33" t="s">
        <v>68</v>
      </c>
      <c r="E1132" s="34">
        <v>2</v>
      </c>
      <c r="F1132" s="37">
        <v>6.5000000000000002E-2</v>
      </c>
      <c r="G1132" s="10">
        <v>12500</v>
      </c>
      <c r="H1132" s="30" t="str">
        <f ca="1">IFERROR(__xludf.DUMMYFUNCTION("LOWER(REGEXREPLACE(B1132&amp;"" ""&amp;C1132,""[^а-яa-z0-9 ]"","" ""))")," икроскоп типа  oldscope  линза из боросиликатного стекла  увеличение 140 1000 крат до 2мкм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многораз"&amp;"овое  не рвется  не мокнет  водоотталкивающий  линза из боросиликатного стекла  увеличение 140 1000 крат до 2мкм  заднее фокусное расстояние 0 5мм  глубина резкости 0 1мм  размеры   170х105х0 5мм   омплектация     икроскоп в развернутом виде    уководство"&amp;"   инструкция    арта путеводитель   1 линза 140х   5 магнитных адаптера   6 многоразовых предметных слайдов   1 лист с круглыми стикерами для линзы   2 листа с прозрачными стикерами   1     подсветка   2 дополнительные батарейки класса   10   1 ватный та"&amp;"мпон   1 наклейка с уникальным      1 фирменная наклейка   1 нейлоновая сумка")</f>
        <v xml:space="preserve"> икроскоп типа  oldscope  линза из боросиликатного стекла  увеличение 140 1000 крат до 2мкм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140 1000 крат до 2мкм  заднее фокусное расстояние 0 5мм  глубина резкости 0 1мм  размеры   170х105х0 5мм   омплектация     икроскоп в развернутом виде    уководство   инструкция    арта путеводитель   1 линза 140х   5 магнитных адаптера   6 многоразовых предметных слайдов   1 лист с круглыми стикерами для линзы   2 листа с прозрачными стикерами   1     подсветка   2 дополнительные батарейки класса   10   1 ватный тампон   1 наклейка с уникальным      1 фирменная наклейка   1 нейлоновая сумка</v>
      </c>
    </row>
    <row r="1133" spans="1:8" ht="242.25" x14ac:dyDescent="0.2">
      <c r="A1133" s="31" t="s">
        <v>2569</v>
      </c>
      <c r="B1133" s="27" t="s">
        <v>2570</v>
      </c>
      <c r="C1133" s="27" t="s">
        <v>2571</v>
      </c>
      <c r="D1133" s="33" t="s">
        <v>68</v>
      </c>
      <c r="E1133" s="34">
        <v>2</v>
      </c>
      <c r="F1133" s="37">
        <v>0.113</v>
      </c>
      <c r="G1133" s="10">
        <v>11601</v>
      </c>
      <c r="H1133" s="30" t="str">
        <f ca="1">IFERROR(__xludf.DUMMYFUNCTION("LOWER(REGEXREPLACE(B1133&amp;"" ""&amp;C1133,""[^а-яa-z0-9 ]"","" ""))")," икроскоп типа  oldscope  ini  линза из боросиликатного стекла  увеличение 140крат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"&amp;"рвется  не мокнет  водоотталкивающий  линза из боросиликатного стекла  увеличение 140 крат  заднее фокусное расстояние 0 5мм  глубина резкости 0 1мм  размеры комплекта 140х99х31мм  омплектация     еталлическая коробка    риветственное письмо    обранный м"&amp;"икроскоп с линзой 140    1 фирменная нашивка   1 пакет    2 листа с прозрачными стикерами   2 пустые коллекционные карты   1 коллекционная карта с микропринтом   1 лист с тонкими круглыми стикерами   1 фирменная наклейка   1 ватный тампон   1 пипетка  аст"&amp;"ера 0 2мл   1 пробирка  ппендорф 1 5мл")</f>
        <v xml:space="preserve"> икроскоп типа  oldscope  ini  линза из боросиликатного стекла  увеличение 140крат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140 крат  заднее фокусное расстояние 0 5мм  глубина резкости 0 1мм  размеры комплекта 140х99х31мм  омплектация     еталлическая коробка    риветственное письмо    обранный микроскоп с линзой 140    1 фирменная нашивка   1 пакет    2 листа с прозрачными стикерами   2 пустые коллекционные карты   1 коллекционная карта с микропринтом   1 лист с тонкими круглыми стикерами   1 фирменная наклейка   1 ватный тампон   1 пипетка  астера 0 2мл   1 пробирка  ппендорф 1 5мл</v>
      </c>
    </row>
    <row r="1134" spans="1:8" ht="204" x14ac:dyDescent="0.2">
      <c r="A1134" s="31" t="s">
        <v>2572</v>
      </c>
      <c r="B1134" s="8" t="s">
        <v>2573</v>
      </c>
      <c r="C1134" s="27" t="s">
        <v>2574</v>
      </c>
      <c r="D1134" s="33" t="s">
        <v>68</v>
      </c>
      <c r="E1134" s="34">
        <v>2</v>
      </c>
      <c r="F1134" s="37">
        <v>0.27200000000000002</v>
      </c>
      <c r="G1134" s="10">
        <v>28778</v>
      </c>
      <c r="H1134" s="30" t="str">
        <f ca="1">IFERROR(__xludf.DUMMYFUNCTION("LOWER(REGEXREPLACE(B1134&amp;"" ""&amp;C1134,""[^а-яa-z0-9 ]"","" ""))")," икроскоп типа  oldscope  линза из боросиликатного стекла  увеличение 340 3500 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не"&amp;" рвется  не мокнет  водоотталкивающий  линза из боросиликатного стекла  увеличение 340 3500 крат  заднее фокусное расстояние 0 5мм  глубина резкости 0 1мм  размеры   170х105х0 5мм  омплектация      еталлическая коробка    риветственное письмо    уководств"&amp;"о пользователя    обранный микроскоп   1 фирменная нашивка   3 линзы 50х  140х и 340х  линзы нового поколения  линза 340х может увеличить объект свыше 3000 крат    1     подсветка  новый уникальный световой модуль  имеющий 2 режима  проходящий свет  светл"&amp;"ый фон  и отраж нный свет  темный фон     1 футляр для предметных стекол на 3 шт    3 предметных стекла    1 подготовленный микропрепарат    2 пустых предметных стекла    1 пакет     1 коллекционная карта с микропринтом   2 пустые коллекционные карты   2 "&amp;"листа с прозрачными стикерами   1 лист с круглыми стикерами   1 магнитный адаптер для телефона   1 фирменная наклейка   1 ватный тампон   1 пакет с инструментами    1 пинцет   1 пипетка  астера 0 2мл   1 пробирка  ппендорф 1 5мл")</f>
        <v xml:space="preserve"> икроскоп типа  oldscope  линза из боросиликатного стекла  увеличение 340 3500 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340 3500 крат  заднее фокусное расстояние 0 5мм  глубина резкости 0 1мм  размеры   170х105х0 5мм  омплектация      еталлическая коробка    риветственное письмо    уководство пользователя    обранный микроскоп   1 фирменная нашивка   3 линзы 50х  140х и 340х  линзы нового поколения  линза 340х может увеличить объект свыше 3000 крат    1     подсветка  новый уникальный световой модуль  имеющий 2 режима  проходящий свет  светлый фон  и отраж нный свет  темный фон     1 футляр для предметных стекол на 3 шт    3 предметных стекла    1 подготовленный микропрепарат    2 пустых предметных стекла    1 пакет     1 коллекционная карта с микропринтом   2 пустые коллекционные карты   2 листа с прозрачными стикерами   1 лист с круглыми стикерами   1 магнитный адаптер для телефона   1 фирменная наклейка   1 ватный тампон   1 пакет с инструментами    1 пинцет   1 пипетка  астера 0 2мл   1 пробирка  ппендорф 1 5мл</v>
      </c>
    </row>
    <row r="1135" spans="1:8" ht="38.25" x14ac:dyDescent="0.2">
      <c r="A1135" s="31" t="s">
        <v>2575</v>
      </c>
      <c r="B1135" s="27" t="s">
        <v>2576</v>
      </c>
      <c r="C1135" s="27"/>
      <c r="D1135" s="32"/>
      <c r="E1135" s="9"/>
      <c r="F1135" s="32"/>
      <c r="G1135" s="10"/>
      <c r="H1135" s="30" t="str">
        <f ca="1">IFERROR(__xludf.DUMMYFUNCTION("LOWER(REGEXREPLACE(B1135&amp;"" ""&amp;C1135,""[^а-яa-z0-9 ]"","" ""))")," абораторная посуда  принадлежности  приборы для опытов  пособия и стенды для кабинета биологии ")</f>
        <v xml:space="preserve"> абораторная посуда  принадлежности  приборы для опытов  пособия и стенды для кабинета биологии </v>
      </c>
    </row>
    <row r="1136" spans="1:8" ht="25.5" x14ac:dyDescent="0.2">
      <c r="A1136" s="31" t="s">
        <v>2577</v>
      </c>
      <c r="B1136" s="27" t="s">
        <v>2578</v>
      </c>
      <c r="C1136" s="27"/>
      <c r="D1136" s="33" t="s">
        <v>68</v>
      </c>
      <c r="E1136" s="9"/>
      <c r="F1136" s="32"/>
      <c r="G1136" s="10">
        <v>11250</v>
      </c>
      <c r="H1136" s="30" t="str">
        <f ca="1">IFERROR(__xludf.DUMMYFUNCTION("LOWER(REGEXREPLACE(B1136&amp;"" ""&amp;C1136,""[^а-яa-z0-9 ]"","" ""))")," абораторные принадлежности для опытов по биологии ")</f>
        <v xml:space="preserve"> абораторные принадлежности для опытов по биологии </v>
      </c>
    </row>
    <row r="1137" spans="1:8" ht="12.75" x14ac:dyDescent="0.2">
      <c r="A1137" s="31" t="s">
        <v>2579</v>
      </c>
      <c r="B1137" s="27" t="s">
        <v>2580</v>
      </c>
      <c r="C1137" s="27"/>
      <c r="D1137" s="33" t="s">
        <v>14</v>
      </c>
      <c r="E1137" s="9"/>
      <c r="F1137" s="32"/>
      <c r="G1137" s="10"/>
      <c r="H1137" s="30" t="str">
        <f ca="1">IFERROR(__xludf.DUMMYFUNCTION("LOWER(REGEXREPLACE(B1137&amp;"" ""&amp;C1137,""[^а-яa-z0-9 ]"","" ""))")," игрометр ")</f>
        <v xml:space="preserve"> игрометр </v>
      </c>
    </row>
    <row r="1138" spans="1:8" ht="25.5" x14ac:dyDescent="0.2">
      <c r="A1138" s="31" t="s">
        <v>2581</v>
      </c>
      <c r="B1138" s="27" t="s">
        <v>2582</v>
      </c>
      <c r="C1138" s="27"/>
      <c r="D1138" s="33" t="s">
        <v>14</v>
      </c>
      <c r="E1138" s="34">
        <v>2</v>
      </c>
      <c r="F1138" s="36">
        <v>0.09</v>
      </c>
      <c r="G1138" s="10">
        <v>8813</v>
      </c>
      <c r="H1138" s="30" t="str">
        <f ca="1">IFERROR(__xludf.DUMMYFUNCTION("LOWER(REGEXREPLACE(B1138&amp;"" ""&amp;C1138,""[^а-яa-z0-9 ]"","" ""))")," игрометр типа  cience ube      105   иапазон    5   25   ")</f>
        <v xml:space="preserve"> игрометр типа  cience ube      105   иапазон    5   25   </v>
      </c>
    </row>
    <row r="1139" spans="1:8" ht="51" x14ac:dyDescent="0.2">
      <c r="A1139" s="31" t="s">
        <v>2583</v>
      </c>
      <c r="B1139" s="27" t="s">
        <v>2584</v>
      </c>
      <c r="C1139" s="27" t="s">
        <v>2585</v>
      </c>
      <c r="D1139" s="33" t="s">
        <v>14</v>
      </c>
      <c r="E1139" s="34">
        <v>2</v>
      </c>
      <c r="F1139" s="36">
        <v>0.09</v>
      </c>
      <c r="G1139" s="10">
        <v>2313</v>
      </c>
      <c r="H1139" s="30" t="str">
        <f ca="1">IFERROR(__xludf.DUMMYFUNCTION("LOWER(REGEXREPLACE(B1139&amp;"" ""&amp;C1139,""[^а-яa-z0-9 ]"","" ""))")," игрометр психрометрический  игрометр психрометрический предназначен для измерения относительной влажности и температуры воздуха   иапазон измерения относительной влажности от 10  до 100    иапазон измерения температуры от 0 до 50     ена деления шкал тер"&amp;"мометра 1     корость аспирации от 0 5 до 1 0 м сек ")</f>
        <v xml:space="preserve"> игрометр психрометрический  игрометр психрометрический предназначен для измерения относительной влажности и температуры воздуха   иапазон измерения относительной влажности от 10  до 100    иапазон измерения температуры от 0 до 50     ена деления шкал термометра 1     корость аспирации от 0 5 до 1 0 м сек </v>
      </c>
    </row>
    <row r="1140" spans="1:8" ht="12.75" x14ac:dyDescent="0.2">
      <c r="A1140" s="31" t="s">
        <v>2586</v>
      </c>
      <c r="B1140" s="27" t="s">
        <v>2587</v>
      </c>
      <c r="C1140" s="27"/>
      <c r="D1140" s="33" t="s">
        <v>68</v>
      </c>
      <c r="E1140" s="9"/>
      <c r="F1140" s="32"/>
      <c r="G1140" s="10">
        <v>278688</v>
      </c>
      <c r="H1140" s="30" t="str">
        <f ca="1">IFERROR(__xludf.DUMMYFUNCTION("LOWER(REGEXREPLACE(B1140&amp;"" ""&amp;C1140,""[^а-яa-z0-9 ]"","" ""))")," иологическая лаборатория в чемодане ")</f>
        <v xml:space="preserve"> иологическая лаборатория в чемодане </v>
      </c>
    </row>
    <row r="1141" spans="1:8" ht="12.75" x14ac:dyDescent="0.2">
      <c r="A1141" s="31" t="s">
        <v>2588</v>
      </c>
      <c r="B1141" s="27" t="s">
        <v>2589</v>
      </c>
      <c r="C1141" s="27"/>
      <c r="D1141" s="33" t="s">
        <v>68</v>
      </c>
      <c r="E1141" s="9"/>
      <c r="F1141" s="32"/>
      <c r="G1141" s="10"/>
      <c r="H1141" s="30" t="str">
        <f ca="1">IFERROR(__xludf.DUMMYFUNCTION("LOWER(REGEXREPLACE(B1141&amp;"" ""&amp;C1141,""[^а-яa-z0-9 ]"","" ""))")," ини лаборатория по гидропонике ")</f>
        <v xml:space="preserve"> ини лаборатория по гидропонике </v>
      </c>
    </row>
    <row r="1142" spans="1:8" ht="25.5" x14ac:dyDescent="0.2">
      <c r="A1142" s="31" t="s">
        <v>2590</v>
      </c>
      <c r="B1142" s="8" t="s">
        <v>2591</v>
      </c>
      <c r="C1142" s="27"/>
      <c r="D1142" s="33" t="s">
        <v>68</v>
      </c>
      <c r="E1142" s="34">
        <v>2</v>
      </c>
      <c r="F1142" s="35">
        <v>2.2999999999999998</v>
      </c>
      <c r="G1142" s="10">
        <v>382695</v>
      </c>
      <c r="H1142" s="30" t="str">
        <f ca="1">IFERROR(__xludf.DUMMYFUNCTION("LOWER(REGEXREPLACE(B1142&amp;"" ""&amp;C1142,""[^а-яa-z0-9 ]"","" ""))")," ини лаборатория по гидропонике типа  ydro en ")</f>
        <v xml:space="preserve"> ини лаборатория по гидропонике типа  ydro en </v>
      </c>
    </row>
    <row r="1143" spans="1:8" ht="25.5" x14ac:dyDescent="0.2">
      <c r="A1143" s="31" t="s">
        <v>2592</v>
      </c>
      <c r="B1143" s="8" t="s">
        <v>2593</v>
      </c>
      <c r="C1143" s="27"/>
      <c r="D1143" s="33" t="s">
        <v>68</v>
      </c>
      <c r="E1143" s="34">
        <v>2</v>
      </c>
      <c r="F1143" s="35">
        <v>2.8</v>
      </c>
      <c r="G1143" s="10">
        <v>112332</v>
      </c>
      <c r="H1143" s="30" t="str">
        <f ca="1">IFERROR(__xludf.DUMMYFUNCTION("LOWER(REGEXREPLACE(B1143&amp;"" ""&amp;C1143,""[^а-яa-z0-9 ]"","" ""))")," ини лаборатория по гидропонике типа  cience ube      103 ")</f>
        <v xml:space="preserve"> ини лаборатория по гидропонике типа  cience ube      103 </v>
      </c>
    </row>
    <row r="1144" spans="1:8" ht="25.5" x14ac:dyDescent="0.2">
      <c r="A1144" s="31" t="s">
        <v>2594</v>
      </c>
      <c r="B1144" s="8" t="s">
        <v>2595</v>
      </c>
      <c r="C1144" s="27"/>
      <c r="D1144" s="33" t="s">
        <v>1506</v>
      </c>
      <c r="E1144" s="9"/>
      <c r="F1144" s="32"/>
      <c r="G1144" s="10"/>
      <c r="H1144" s="30" t="str">
        <f ca="1">IFERROR(__xludf.DUMMYFUNCTION("LOWER(REGEXREPLACE(B1144&amp;"" ""&amp;C1144,""[^а-яa-z0-9 ]"","" ""))")," абор для исследований по естественным наукам ")</f>
        <v xml:space="preserve"> абор для исследований по естественным наукам </v>
      </c>
    </row>
    <row r="1145" spans="1:8" ht="63.75" x14ac:dyDescent="0.2">
      <c r="A1145" s="31" t="s">
        <v>2596</v>
      </c>
      <c r="B1145" s="8" t="s">
        <v>2597</v>
      </c>
      <c r="C1145" s="27" t="s">
        <v>2598</v>
      </c>
      <c r="D1145" s="33" t="s">
        <v>1506</v>
      </c>
      <c r="E1145" s="34">
        <v>2</v>
      </c>
      <c r="F1145" s="36">
        <v>4.8499999999999996</v>
      </c>
      <c r="G1145" s="10">
        <v>254338</v>
      </c>
      <c r="H1145" s="30" t="str">
        <f ca="1">IFERROR(__xludf.DUMMYFUNCTION("LOWER(REGEXREPLACE(B1145&amp;"" ""&amp;C1145,""[^а-яa-z0-9 ]"","" ""))")," абор для исследований по естественным наукам типа  ature ro  esearch  it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принципов"&amp;" магнетизма  комплект магнитов для научных экспериментов  комплект для изучения диамагнетизма")</f>
        <v xml:space="preserve"> абор для исследований по естественным наукам типа  ature ro  esearch  it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v>
      </c>
    </row>
    <row r="1146" spans="1:8" ht="306" x14ac:dyDescent="0.2">
      <c r="A1146" s="31" t="s">
        <v>2599</v>
      </c>
      <c r="B1146" s="27" t="s">
        <v>2600</v>
      </c>
      <c r="C1146" s="27" t="s">
        <v>2601</v>
      </c>
      <c r="D1146" s="33" t="s">
        <v>1506</v>
      </c>
      <c r="E1146" s="34">
        <v>2</v>
      </c>
      <c r="F1146" s="35">
        <v>1.9</v>
      </c>
      <c r="G1146" s="10">
        <v>221142</v>
      </c>
      <c r="H1146" s="30" t="str">
        <f ca="1">IFERROR(__xludf.DUMMYFUNCTION("LOWER(REGEXREPLACE(B1146&amp;"" ""&amp;C1146,""[^а-яa-z0-9 ]"","" ""))")," абор для исследований по естественным наукам типа  xperia    01 по темам сила и энергия  вода  электрический ток  магниты  воздух и звук  свет  тепло  растения  омплектация  2 шт   агнитный стержень  l i o  северный полюс помечен красным 1 шт   ейс с кры"&amp;"шкой 1 шт   оток со вставкой 1 шт   веча  теалайт  в металлическом контейнере 1 шт   езиновая пробка с отверстием диаметром 6 мм 1 шт   раситель  пищевой краситель   красный 1 шт   ыключатель ножной  однополюсный  однопозиционный 1 шт   едный провод с изо"&amp;"ляцией 1 шт   агревательный провод  обмотанный  диаметр 0 20 мм 1 шт   гнезащитная сетка 1 шт   пички 1 шт   тойки для весов  пластиковые 1 шт   есовая платформа  желтая 2 шт   кала для весов  желтая  с ободками 2 шт   есы пружинные  вместимость около 75 "&amp;"г 2 шт   иря латунная  10 г 1 шт   олба  500 мл  с двумя шкалами 1 шт   онарь 1 шт   пора для иглы 1 шт   приц с насадкой  30 мл 1 шт   ренога 1 шт   реугольные мосты 1 шт   луховая трубка 1 шт   арабанчик 1 шт   одяное колесо 1 шт   ычаг 1 шт   кив  немо"&amp;"нтированный  диаметр 58 мм 1 шт   кив с крючком 1 шт   омпасная карточка 1 шт   ири с двойным крючком  медь  50 г  10 шт  1 шт   еркало  плоское 1 шт   инза f   50 мм 1 шт   ластиковая колба  100 мл")</f>
        <v xml:space="preserve"> абор для исследований по естественным наукам типа  xperia    01 по темам сила и энергия  вода  электрический ток  магниты  воздух и звук  свет  тепло  растения  омплектация  2 шт   агнитный стержень  l i o  северный полюс помечен красным 1 шт   ейс с крышкой 1 шт   оток со вставкой 1 шт   веча  теалайт  в металлическом контейнере 1 шт   езиновая пробка с отверстием диаметром 6 мм 1 шт   раситель  пищевой краситель   красный 1 шт   ыключатель ножной  однополюсный  однопозиционный 1 шт   едный провод с изоляцией 1 шт   агревательный провод  обмотанный  диаметр 0 20 мм 1 шт   гнезащитная сетка 1 шт   пички 1 шт   тойки для весов  пластиковые 1 шт   есовая платформа  желтая 2 шт   кала для весов  желтая  с ободками 2 шт   есы пружинные  вместимость около 75 г 2 шт   иря латунная  10 г 1 шт   олба  500 мл  с двумя шкалами 1 шт   онарь 1 шт   пора для иглы 1 шт   приц с насадкой  30 мл 1 шт   ренога 1 шт   реугольные мосты 1 шт   луховая трубка 1 шт   арабанчик 1 шт   одяное колесо 1 шт   ычаг 1 шт   кив  немонтированный  диаметр 58 мм 1 шт   кив с крючком 1 шт   омпасная карточка 1 шт   ири с двойным крючком  медь  50 г  10 шт  1 шт   еркало  плоское 1 шт   инза f   50 мм 1 шт   ластиковая колба  100 мл</v>
      </c>
    </row>
    <row r="1147" spans="1:8" ht="140.25" x14ac:dyDescent="0.2">
      <c r="A1147" s="31" t="s">
        <v>2602</v>
      </c>
      <c r="B1147" s="27" t="s">
        <v>2603</v>
      </c>
      <c r="C1147" s="27" t="s">
        <v>2604</v>
      </c>
      <c r="D1147" s="33" t="s">
        <v>1506</v>
      </c>
      <c r="E1147" s="34">
        <v>2</v>
      </c>
      <c r="F1147" s="35">
        <v>1.5</v>
      </c>
      <c r="G1147" s="10">
        <v>26850</v>
      </c>
      <c r="H1147" s="30" t="str">
        <f ca="1">IFERROR(__xludf.DUMMYFUNCTION("LOWER(REGEXREPLACE(B1147&amp;"" ""&amp;C1147,""[^а-яa-z0-9 ]"","" ""))")," абор химической посуды и принадлежностей для лабораторных работ по биологии   набор входят  воронка   1 шт   колба коническая 100 мл   2 шт   чашка  етри   1 шт   капельница банка   1 шт   стакан    250 мл   2 шт   флакон с пробкой 30 мл  темное стекло  "&amp;"  6 шт   покровное стекло 18 18 мм   20 шт   предметное стекло 20 75 мм   6 шт   пробирка 14 120   10 шт   стеклянные палочки   2 шт   спиртовка лабораторная литая   1 шт   промывалка   1 шт   ложка шпатель   1 шт   зажим пробирочный   1 шт   пробка резин"&amp;"овая 12 5 мм   2 шт   комплект трубок соединительных   1 компл   штатив для пробирок на 10 гнезд   1 шт   набор инструментов препаровальных   1 шт   лоток для раздаточного материала   1 шт ")</f>
        <v xml:space="preserve"> абор химической посуды и принадлежностей для лабораторных работ по биологии   набор входят  воронка   1 шт   колба коническая 100 мл   2 шт   чашка  етри   1 шт   капельница банка   1 шт   стакан    250 мл   2 шт   флакон с пробкой 30 мл  темное стекло    6 шт   покровное стекло 18 18 мм   20 шт   предметное стекло 20 75 мм   6 шт   пробирка 14 120   10 шт   стеклянные палочки   2 шт   спиртовка лабораторная литая   1 шт   промывалка   1 шт   ложка шпатель   1 шт   зажим пробирочный   1 шт   пробка резиновая 12 5 мм   2 шт   комплект трубок соединительных   1 компл   штатив для пробирок на 10 гнезд   1 шт   набор инструментов препаровальных   1 шт   лоток для раздаточного материала   1 шт </v>
      </c>
    </row>
    <row r="1148" spans="1:8" ht="191.25" x14ac:dyDescent="0.2">
      <c r="A1148" s="31" t="s">
        <v>2605</v>
      </c>
      <c r="B1148" s="27" t="s">
        <v>2606</v>
      </c>
      <c r="C1148" s="27" t="s">
        <v>2607</v>
      </c>
      <c r="D1148" s="33" t="s">
        <v>1506</v>
      </c>
      <c r="E1148" s="34">
        <v>2</v>
      </c>
      <c r="F1148" s="34">
        <v>2</v>
      </c>
      <c r="G1148" s="10">
        <v>69659</v>
      </c>
      <c r="H1148" s="30" t="str">
        <f ca="1">IFERROR(__xludf.DUMMYFUNCTION("LOWER(REGEXREPLACE(B1148&amp;"" ""&amp;C1148,""[^а-яa-z0-9 ]"","" ""))")," абор химической посуды и принадлежностей по биологии для демонстрационных работ   набор входят   оронка d 56 80    ажим пробирочный   олба коническая 500 мл   олба круглодонная 250 мл   ожка для сжигания вещества   ожка пластмассовая   теклянная палочка "&amp;"  робирка 14 120  пиртовка лабораторная литая    такан химический с меткой 100 мл    игли  4  татив для пробирок на 20 гнезд    татив лабораторный комбинированный   б  ашка выпарительная  4    ипцы тигельные   илиндр мерный 250 мл  с носиком  олба коничес"&amp;"кая 100 мл     лакон с пробкой 30 мл   темное стекло   редметное стекло 26 76   окровное стекло 18 18   рш для мытья колб   ашка  етри   оска для сушки посуды   оток для раздаточного материала   толик подъемно поворотный с 2 мя плоскостями   абор инструме"&amp;"нтов препаровальных   ромывалка   ипетка химическая лабораторная")</f>
        <v xml:space="preserve"> абор химической посуды и принадлежностей по биологии для демонстрационных работ   набор входят   оронка d 56 80    ажим пробирочный   олба коническая 500 мл   олба круглодонная 250 мл   ожка для сжигания вещества   ожка пластмассовая   теклянная палочка   робирка 14 120  пиртовка лабораторная литая    такан химический с меткой 100 мл    игли  4  татив для пробирок на 20 гнезд    татив лабораторный комбинированный   б  ашка выпарительная  4    ипцы тигельные   илиндр мерный 250 мл  с носиком  олба коническая 100 мл     лакон с пробкой 30 мл   темное стекло   редметное стекло 26 76   окровное стекло 18 18   рш для мытья колб   ашка  етри   оска для сушки посуды   оток для раздаточного материала   толик подъемно поворотный с 2 мя плоскостями   абор инструментов препаровальных   ромывалка   ипетка химическая лабораторная</v>
      </c>
    </row>
    <row r="1149" spans="1:8" ht="25.5" x14ac:dyDescent="0.2">
      <c r="A1149" s="31" t="s">
        <v>2608</v>
      </c>
      <c r="B1149" s="27" t="s">
        <v>2609</v>
      </c>
      <c r="C1149" s="27"/>
      <c r="D1149" s="33" t="s">
        <v>1506</v>
      </c>
      <c r="E1149" s="9"/>
      <c r="F1149" s="32"/>
      <c r="G1149" s="10"/>
      <c r="H1149" s="30" t="str">
        <f ca="1">IFERROR(__xludf.DUMMYFUNCTION("LOWER(REGEXREPLACE(B1149&amp;"" ""&amp;C1149,""[^а-яa-z0-9 ]"","" ""))")," абор демонстрационный для изучения атмосферного давления ")</f>
        <v xml:space="preserve"> абор демонстрационный для изучения атмосферного давления </v>
      </c>
    </row>
    <row r="1150" spans="1:8" ht="242.25" x14ac:dyDescent="0.2">
      <c r="A1150" s="31" t="s">
        <v>2610</v>
      </c>
      <c r="B1150" s="27" t="s">
        <v>2611</v>
      </c>
      <c r="C1150" s="27" t="s">
        <v>2612</v>
      </c>
      <c r="D1150" s="33" t="s">
        <v>1506</v>
      </c>
      <c r="E1150" s="34">
        <v>2</v>
      </c>
      <c r="F1150" s="36">
        <v>1.49</v>
      </c>
      <c r="G1150" s="10">
        <v>149197</v>
      </c>
      <c r="H1150" s="30" t="str">
        <f ca="1">IFERROR(__xludf.DUMMYFUNCTION("LOWER(REGEXREPLACE(B1150&amp;"" ""&amp;C1150,""[^а-яa-z0-9 ]"","" ""))")," абор демонстрационный для изучения атмосферного давления типа  xperia     010  омплектация  1шт   кейс с крышкой 1шт   лоток со вставкой  2 шт  воздушных шаров 1 шт  сигнализатора 1 шт  звукопоглощающей панели 1 шт  комплекта магдебургских полушаров 1 шт"&amp;"  жесткой цилиндрической вакуумной камеры с кольцом 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объемо"&amp;"м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пластиково"&amp;"го  размером 300 х 6 мм  с внутренней трубкой диаметром 4 мм 1 шт  манометра для эксперимента  ойля  ариотта  с диапазоном  1000  3000 г а и четкой шкалой 1 шт  пластикового цилиндра с внутренним конусом для шприца 1 шт  вакуумной камеры объемом не менее "&amp;"1000 мл с манометром")</f>
        <v xml:space="preserve"> абор демонстрационный для изучения атмосферного давления типа  xperia     010  омплектация  1шт   кейс с крышкой 1шт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 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ойля  ариотта  с диапазоном  1000  3000 г а и четкой шкалой 1 шт  пластикового цилиндра с внутренним конусом для шприца 1 шт  вакуумной камеры объемом не менее 1000 мл с манометром</v>
      </c>
    </row>
    <row r="1151" spans="1:8" ht="382.5" x14ac:dyDescent="0.2">
      <c r="A1151" s="31" t="s">
        <v>2613</v>
      </c>
      <c r="B1151" s="27" t="s">
        <v>2614</v>
      </c>
      <c r="C1151" s="27" t="s">
        <v>2615</v>
      </c>
      <c r="D1151" s="33" t="s">
        <v>1506</v>
      </c>
      <c r="E1151" s="34">
        <v>2</v>
      </c>
      <c r="F1151" s="36">
        <v>6.69</v>
      </c>
      <c r="G1151" s="10">
        <v>623058</v>
      </c>
      <c r="H1151" s="30" t="str">
        <f ca="1">IFERROR(__xludf.DUMMYFUNCTION("LOWER(REGEXREPLACE(B1151&amp;"" ""&amp;C1151,""[^а-яa-z0-9 ]"","" ""))")," абор демонстрационный для изучения атмосферного давления типа  ornelsen  xperimenta 31710 44264  остав комплекта  тележка на колесах  пластик  99х63мм   6 шт   трубка полимерная  200 мм   12 шт   колба отсосная  конусообразной формы  диаметр 60 18 мм  90"&amp;" мл  со съемным дном  2 отверстиями в верхней части  прозрачный пластик  серый пластик   6 шт   шприц  10 мл  градуированный  цена деления 0 5мл  пластик   6 шт   крючок на присоске   6 шт   пластина 90х90 мм  пластик белый   6 шт   стекло увеличительное "&amp;"трехлинзовое  увеличение 3х  6х  10х  оргстекло  форма треугольная со сторонами 100х100х50 мм   6 шт   воронка  пластик  длина 50 мм  макс диаметр 60 мм   6 шт   стакан пластиковый  прозрачный  высота 55  диаметр 60 мм  100 мл   6 шт   емкость трапециевид"&amp;"ной формы  173 150 х132 110 х70 мм  пластик прозрачный   6 шт   диск для воздушной подушки  диаметр 110мм  пластик   6 шт   лента измерительная 1 м  двусторонняя  цена деления 1мм 1см  поливинил  1000х30мм   6 шт   фигурка парашютиста пластмассовая 90 мм "&amp;"на парашюте  диаметр парашюта 500 мм  нейлон    2 шт   надувные шары   48 шт   сухой спирт в таблетках  20 шт    1 уп   горелка для сухого топлива  никелированная   1 шт   трубка теплопроводная  металл  длина 150мм  диаметр 50 мм   1 шт   насос для воздуш"&amp;"ных шаров пластиковый  длина 260 мм  ширина 65 мм  толщина 35 мм   1 шт   насос воздушный с прозрачным цилиндром  длина 255 мм   3 шт   модель воздушного шара  полиэтилен   1 шт   модель ракеты   1 шт   в составе  направляющие стойки высотой 120 мм   3 шт"&amp;"   шланг 1500мм с клапанами  держатель кольцевой с прорезями  тарелка металлическая  высота 12мм  диаметр 145 мм   1 шт   шнур на катушке  нейлон   1 шт   секундомер электронный   1 шт  ")</f>
        <v xml:space="preserve"> абор демонстрационный для изучения атмосферного давления типа  ornelsen  xperimenta 31710 44264  остав комплекта  тележка на колесах  пластик  99х63мм   6 шт   трубка полимерная  200 мм   12 шт   колба отсосная  конусообразной формы  диаметр 60 18 мм  90 мл  со съемным дном  2 отверстиями в верхней части  прозрачный пластик  серый пластик   6 шт   шприц  10 мл  градуированный  цена деления 0 5мл  пластик   6 шт   крючок на присоске   6 шт   пластина 90х90 мм  пластик белый   6 шт   стекло увеличительное трехлинзовое  увеличение 3х  6х  10х  оргстекло  форма треугольная со сторонами 100х100х50 мм   6 шт   воронка  пластик  длина 50 мм  макс диаметр 60 мм   6 шт   стакан пластиковый  прозрачный  высота 55  диаметр 60 мм  100 мл   6 шт   емкость трапециевидной формы  173 150 х132 110 х70 мм  пластик прозрачный   6 шт   диск для воздушной подушки  диаметр 110мм  пластик   6 шт   лента измерительная 1 м  двусторонняя  цена деления 1мм 1см  поливинил  1000х30мм   6 шт   фигурка парашютиста пластмассовая 90 мм на парашюте  диаметр парашюта 500 мм  нейлон    2 шт   надувные шары   48 шт   сухой спирт в таблетках  20 шт    1 уп   горелка для сухого топлива  никелированная   1 шт   трубка теплопроводная  металл  длина 150мм  диаметр 50 мм   1 шт   насос для воздушных шаров пластиковый  длина 260 мм  ширина 65 мм  толщина 35 мм   1 шт   насос воздушный с прозрачным цилиндром  длина 255 мм   3 шт   модель воздушного шара  полиэтилен   1 шт   модель ракеты   1 шт   в составе  направляющие стойки высотой 120 мм   3 шт   шланг 1500мм с клапанами  держатель кольцевой с прорезями  тарелка металлическая  высота 12мм  диаметр 145 мм   1 шт   шнур на катушке  нейлон   1 шт   секундомер электронный   1 шт  </v>
      </c>
    </row>
    <row r="1152" spans="1:8" ht="51" x14ac:dyDescent="0.2">
      <c r="A1152" s="31" t="s">
        <v>2616</v>
      </c>
      <c r="B1152" s="27" t="s">
        <v>2617</v>
      </c>
      <c r="C1152" s="27" t="s">
        <v>2618</v>
      </c>
      <c r="D1152" s="33" t="s">
        <v>14</v>
      </c>
      <c r="E1152" s="34">
        <v>2</v>
      </c>
      <c r="F1152" s="36">
        <v>1.25</v>
      </c>
      <c r="G1152" s="10">
        <v>12496</v>
      </c>
      <c r="H1152" s="30" t="str">
        <f ca="1">IFERROR(__xludf.DUMMYFUNCTION("LOWER(REGEXREPLACE(B1152&amp;"" ""&amp;C1152,""[^а-яa-z0-9 ]"","" ""))")," рибор для демонстрации атмосферного давления   агдебурские полушария   рибор представляет собой два полушария с ручками и хорошо пришлифованными краями рантами   а одном из полушарий установлен кран со штуцером для подсоединения его с помощью резинового "&amp;"шланга к воздушному или вакуумному насосу ")</f>
        <v xml:space="preserve"> рибор для демонстрации атмосферного давления   агдебурские полушария   рибор представляет собой два полушария с ручками и хорошо пришлифованными краями рантами   а одном из полушарий установлен кран со штуцером для подсоединения его с помощью резинового шланга к воздушному или вакуумному насосу </v>
      </c>
    </row>
    <row r="1153" spans="1:8" ht="178.5" x14ac:dyDescent="0.2">
      <c r="A1153" s="31" t="s">
        <v>2619</v>
      </c>
      <c r="B1153" s="27" t="s">
        <v>2620</v>
      </c>
      <c r="C1153" s="27" t="s">
        <v>2621</v>
      </c>
      <c r="D1153" s="33" t="s">
        <v>68</v>
      </c>
      <c r="E1153" s="34">
        <v>2</v>
      </c>
      <c r="F1153" s="35">
        <v>4.5</v>
      </c>
      <c r="G1153" s="10">
        <v>61866</v>
      </c>
      <c r="H1153" s="30" t="str">
        <f ca="1">IFERROR(__xludf.DUMMYFUNCTION("LOWER(REGEXREPLACE(B1153&amp;"" ""&amp;C1153,""[^а-яa-z0-9 ]"","" ""))")," икролаборатория для проведения наблюдений  лабораторных и практических работ по биологии   комплект входят  1  ороб 1шт   2  рышка 1шт   становлена на коробе    3  оток 1шт   становлен в коробе   4  кладка 1шт   становлена в коробе   5  ъемный ложемент 1"&amp;"шт   становлена в коробе   6  упа ручная 1шт  7  пиртовка лабораторная малая  1шт  8  анка капельница с крышкой капельницей 1шт   9  такан лабораторный  вместимость 50 мл 2шт   10  такан лабораторный  вместимость 100 мл 1шт   11  оронка лабораторная   56 "&amp;"1шт   12  ашка  етри 1шт   13  робирка 6шт  14  текло предметное 4шт   15  текло покровное 10шт   16  лакон     вместимость 10 мл 7шт   17  рышка капельница     1 7шт  установлена на флаконе    18  ажим пробирочный 1шт   19  рш  пробирочный 1шт  20  инцет"&amp;" 1шт   21  ожницы 1шт   22  кальпель брюшистый 1шт  23  репаровальная игла 2шт   24  ильтр бумажный 5шт   25  етодические рекомендации 1шт   26  особие для учителя    1шт   27  омплект      стекло предметное 6шт   стекло покровное 40 шт   1шт   28  паково"&amp;"чная тара 1шт")</f>
        <v xml:space="preserve"> икролаборатория для проведения наблюдений  лабораторных и практических работ по биологии   комплект входят  1  ороб 1шт   2  рышка 1шт   становлена на коробе    3  оток 1шт   становлен в коробе   4  кладка 1шт   становлена в коробе   5  ъемный ложемент 1шт   становлена в коробе   6  упа ручная 1шт  7  пиртовка лабораторная малая  1шт  8  анка капельница с крышкой капельницей 1шт   9  такан лабораторный  вместимость 50 мл 2шт   10  такан лабораторный  вместимость 100 мл 1шт   11  оронка лабораторная   56 1шт   12  ашка  етри 1шт   13  робирка 6шт  14  текло предметное 4шт   15  текло покровное 10шт   16  лакон     вместимость 10 мл 7шт   17  рышка капельница     1 7шт  установлена на флаконе    18  ажим пробирочный 1шт   19  рш  пробирочный 1шт  20  инцет 1шт   21  ожницы 1шт   22  кальпель брюшистый 1шт  23  репаровальная игла 2шт   24  ильтр бумажный 5шт   25  етодические рекомендации 1шт   26  особие для учителя    1шт   27  омплект      стекло предметное 6шт   стекло покровное 40 шт   1шт   28  паковочная тара 1шт</v>
      </c>
    </row>
    <row r="1154" spans="1:8" ht="63.75" x14ac:dyDescent="0.2">
      <c r="A1154" s="31" t="s">
        <v>2622</v>
      </c>
      <c r="B1154" s="27" t="s">
        <v>2623</v>
      </c>
      <c r="C1154" s="27" t="s">
        <v>2624</v>
      </c>
      <c r="D1154" s="33" t="s">
        <v>1506</v>
      </c>
      <c r="E1154" s="34">
        <v>2</v>
      </c>
      <c r="F1154" s="36">
        <v>0.62</v>
      </c>
      <c r="G1154" s="10">
        <v>10524</v>
      </c>
      <c r="H1154" s="30" t="str">
        <f ca="1">IFERROR(__xludf.DUMMYFUNCTION("LOWER(REGEXREPLACE(B1154&amp;"" ""&amp;C1154,""[^а-яa-z0-9 ]"","" ""))")," абор для препарирования   набор входит  1  гла препаровальная 2шт   2  оток 1шт  3  упа ручная 1шт  4  кальпель брюшистый 1шт  5  текло предметное 10шт  6  текло покровное  упак  100 шт   1шт  7  алочка стеклянная 1шт  8  инцет 1шт  9  лакон с крышкой ка"&amp;"пельницей 2шт  10  ильтр бумажный  упак  100 шт   1шт  11  ашка  етри 1шт")</f>
        <v xml:space="preserve"> абор для препарирования   набор входит  1  гла препаровальная 2шт   2  оток 1шт  3  упа ручная 1шт  4  кальпель брюшистый 1шт  5  текло предметное 10шт  6  текло покровное  упак  100 шт   1шт  7  алочка стеклянная 1шт  8  инцет 1шт  9  лакон с крышкой капельницей 2шт  10  ильтр бумажный  упак  100 шт   1шт  11  ашка  етри 1шт</v>
      </c>
    </row>
    <row r="1155" spans="1:8" ht="25.5" x14ac:dyDescent="0.2">
      <c r="A1155" s="31" t="s">
        <v>2625</v>
      </c>
      <c r="B1155" s="27" t="s">
        <v>2626</v>
      </c>
      <c r="C1155" s="27"/>
      <c r="D1155" s="32"/>
      <c r="E1155" s="9"/>
      <c r="F1155" s="32"/>
      <c r="G1155" s="10"/>
      <c r="H1155" s="30" t="str">
        <f ca="1">IFERROR(__xludf.DUMMYFUNCTION("LOWER(REGEXREPLACE(B1155&amp;"" ""&amp;C1155,""[^а-яa-z0-9 ]"","" ""))")," ифровая интерактивная лаборатория для экспериментов по биологии и химии ")</f>
        <v xml:space="preserve"> ифровая интерактивная лаборатория для экспериментов по биологии и химии </v>
      </c>
    </row>
    <row r="1156" spans="1:8" ht="12.75" x14ac:dyDescent="0.2">
      <c r="A1156" s="31" t="s">
        <v>2627</v>
      </c>
      <c r="B1156" s="27" t="s">
        <v>2628</v>
      </c>
      <c r="C1156" s="27"/>
      <c r="D1156" s="33" t="s">
        <v>14</v>
      </c>
      <c r="E1156" s="9"/>
      <c r="F1156" s="32"/>
      <c r="G1156" s="10"/>
      <c r="H1156" s="30" t="str">
        <f ca="1">IFERROR(__xludf.DUMMYFUNCTION("LOWER(REGEXREPLACE(B1156&amp;"" ""&amp;C1156,""[^а-яa-z0-9 ]"","" ""))")," атчик газа  2 ")</f>
        <v xml:space="preserve"> атчик газа  2 </v>
      </c>
    </row>
    <row r="1157" spans="1:8" ht="89.25" x14ac:dyDescent="0.2">
      <c r="A1157" s="31" t="s">
        <v>2629</v>
      </c>
      <c r="B1157" s="27" t="s">
        <v>2630</v>
      </c>
      <c r="C1157" s="27"/>
      <c r="D1157" s="33" t="s">
        <v>14</v>
      </c>
      <c r="E1157" s="9"/>
      <c r="F1157" s="37">
        <v>0.115</v>
      </c>
      <c r="G1157" s="10">
        <v>333947</v>
      </c>
      <c r="H1157" s="30" t="str">
        <f ca="1">IFERROR(__xludf.DUMMYFUNCTION("LOWER(REGEXREPLACE(B1157&amp;"" ""&amp;C1157,""[^а-яa-z0-9 ]"","" ""))")," атчик уровня кислорода беспроводной  ata arvest 1170   иапазоны измерения  2  от 0 до 100     емпература  от  40 до 85     авление  от 30 до 110 к а   лажность  от 0 до 100   относительной влажности      соединительный провод     сбора и обработки данных"&amp;"  asysense2 на трех языках  каз   рус   англ  языке  ")</f>
        <v xml:space="preserve"> атчик уровня кислорода беспроводной  ata arvest 1170   иапазоны измерения  2  от 0 до 100     емпература  от  40 до 85     авление  от 30 до 110 к а   лажность  от 0 до 100   относительной влажности      соединительный провод     сбора и обработки данных  asysense2 на трех языках  каз   рус   англ  языке  </v>
      </c>
    </row>
    <row r="1158" spans="1:8" ht="63.75" x14ac:dyDescent="0.2">
      <c r="A1158" s="31" t="s">
        <v>2631</v>
      </c>
      <c r="B1158" s="8" t="s">
        <v>2632</v>
      </c>
      <c r="C1158" s="27"/>
      <c r="D1158" s="33" t="s">
        <v>14</v>
      </c>
      <c r="E1158" s="34">
        <v>2</v>
      </c>
      <c r="F1158" s="36">
        <v>0.06</v>
      </c>
      <c r="G1158" s="10">
        <v>288176</v>
      </c>
      <c r="H1158" s="30" t="str">
        <f ca="1">IFERROR(__xludf.DUMMYFUNCTION("LOWER(REGEXREPLACE(B1158&amp;"" ""&amp;C1158,""[^а-яa-z0-9 ]"","" ""))")," instein  атчик кислорода       температурная компенсация       422    иапазон  от 0 до 14 мг л   очность   5   по всему диапазону  после калибровки    азрешение  12 бит   0 003 мг л ")</f>
        <v xml:space="preserve"> instein  атчик кислорода       температурная компенсация       422    иапазон  от 0 до 14 мг л   очность   5   по всему диапазону  после калибровки    азрешение  12 бит   0 003 мг л </v>
      </c>
    </row>
    <row r="1159" spans="1:8" ht="51" x14ac:dyDescent="0.2">
      <c r="A1159" s="31" t="s">
        <v>2633</v>
      </c>
      <c r="B1159" s="27" t="s">
        <v>2634</v>
      </c>
      <c r="C1159" s="27"/>
      <c r="D1159" s="33" t="s">
        <v>14</v>
      </c>
      <c r="E1159" s="34">
        <v>2</v>
      </c>
      <c r="F1159" s="36">
        <v>0.06</v>
      </c>
      <c r="G1159" s="10">
        <v>328402</v>
      </c>
      <c r="H1159" s="30" t="str">
        <f ca="1">IFERROR(__xludf.DUMMYFUNCTION("LOWER(REGEXREPLACE(B1159&amp;"" ""&amp;C1159,""[^а-яa-z0-9 ]"","" ""))")," instein  атчик кислорода     газ         222   иапазон  от 0 до 14 мг л   очность   5   по всему диапазону  после калибровки    азрешение  12 бит   0 003 мг л ")</f>
        <v xml:space="preserve"> instein  атчик кислорода     газ         222   иапазон  от 0 до 14 мг л   очность   5   по всему диапазону  после калибровки    азрешение  12 бит   0 003 мг л </v>
      </c>
    </row>
    <row r="1160" spans="1:8" ht="63.75" x14ac:dyDescent="0.2">
      <c r="A1160" s="31" t="s">
        <v>2635</v>
      </c>
      <c r="B1160" s="8" t="s">
        <v>2636</v>
      </c>
      <c r="C1160" s="27"/>
      <c r="D1160" s="33" t="s">
        <v>14</v>
      </c>
      <c r="E1160" s="34">
        <v>2</v>
      </c>
      <c r="F1160" s="36">
        <v>0.14000000000000001</v>
      </c>
      <c r="G1160" s="10">
        <v>299508</v>
      </c>
      <c r="H1160" s="30" t="str">
        <f ca="1">IFERROR(__xludf.DUMMYFUNCTION("LOWER(REGEXREPLACE(B1160&amp;"" ""&amp;C1160,""[^а-яa-z0-9 ]"","" ""))")," атчик уровня кислорода беспроводной типа  hywe  obra      sense  xygen 12933 01   иапазон  0 20 мг л   азрешение  0 01 мг л   иапазон  0 100     азрешение  0 1     астота  10  ц ")</f>
        <v xml:space="preserve"> атчик уровня кислорода беспроводной типа  hywe  obra      sense  xygen 12933 01   иапазон  0 20 мг л   азрешение  0 01 мг л   иапазон  0 100     азрешение  0 1     астота  10  ц </v>
      </c>
    </row>
    <row r="1161" spans="1:8" ht="51" x14ac:dyDescent="0.2">
      <c r="A1161" s="31" t="s">
        <v>2637</v>
      </c>
      <c r="B1161" s="27" t="s">
        <v>2638</v>
      </c>
      <c r="C1161" s="27"/>
      <c r="D1161" s="33" t="s">
        <v>14</v>
      </c>
      <c r="E1161" s="34">
        <v>2</v>
      </c>
      <c r="F1161" s="35">
        <v>0.2</v>
      </c>
      <c r="G1161" s="10">
        <v>208329</v>
      </c>
      <c r="H1161" s="30" t="str">
        <f ca="1">IFERROR(__xludf.DUMMYFUNCTION("LOWER(REGEXREPLACE(B1161&amp;"" ""&amp;C1161,""[^а-яa-z0-9 ]"","" ""))")," атчик уровня кислорода беспроводной типа  cience ube    113 2  ireless  xygen  as   иапазон  0 25    азрешение  0 1 m    иапозон     5 м л ")</f>
        <v xml:space="preserve"> атчик уровня кислорода беспроводной типа  cience ube    113 2  ireless  xygen  as   иапазон  0 25    азрешение  0 1 m    иапозон     5 м л </v>
      </c>
    </row>
    <row r="1162" spans="1:8" ht="51" x14ac:dyDescent="0.2">
      <c r="A1162" s="31" t="s">
        <v>2639</v>
      </c>
      <c r="B1162" s="8" t="s">
        <v>2640</v>
      </c>
      <c r="C1162" s="27"/>
      <c r="D1162" s="33" t="s">
        <v>14</v>
      </c>
      <c r="E1162" s="34">
        <v>2</v>
      </c>
      <c r="F1162" s="36">
        <v>0.22</v>
      </c>
      <c r="G1162" s="10">
        <v>145685</v>
      </c>
      <c r="H1162" s="30" t="str">
        <f ca="1">IFERROR(__xludf.DUMMYFUNCTION("LOWER(REGEXREPLACE(B1162&amp;"" ""&amp;C1162,""[^а-яa-z0-9 ]"","" ""))")," атчик растворенного кислорода типа  ense disc  1005   иапазон  0 20 мг л  0 100    очность     0 5 мг л     2    азрешение  0 1 мг л     2  ")</f>
        <v xml:space="preserve"> атчик растворенного кислорода типа  ense disc  1005   иапазон  0 20 мг л  0 100    очность     0 5 мг л     2    азрешение  0 1 мг л     2  </v>
      </c>
    </row>
    <row r="1163" spans="1:8" ht="38.25" x14ac:dyDescent="0.2">
      <c r="A1163" s="31" t="s">
        <v>2641</v>
      </c>
      <c r="B1163" s="8" t="s">
        <v>2642</v>
      </c>
      <c r="C1163" s="27"/>
      <c r="D1163" s="33" t="s">
        <v>14</v>
      </c>
      <c r="E1163" s="34">
        <v>2</v>
      </c>
      <c r="F1163" s="35">
        <v>0.1</v>
      </c>
      <c r="G1163" s="10">
        <v>195145</v>
      </c>
      <c r="H1163" s="30" t="str">
        <f ca="1">IFERROR(__xludf.DUMMYFUNCTION("LOWER(REGEXREPLACE(B1163&amp;"" ""&amp;C1163,""[^а-яa-z0-9 ]"","" ""))")," атчик уровня кислорода типа  icro ab  lab o2   иапазон измерения 0 25    увствительность 0 05 0 15 м   в воздухе  ")</f>
        <v xml:space="preserve"> атчик уровня кислорода типа  icro ab  lab o2   иапазон измерения 0 25    увствительность 0 05 0 15 м   в воздухе  </v>
      </c>
    </row>
    <row r="1164" spans="1:8" ht="38.25" x14ac:dyDescent="0.2">
      <c r="A1164" s="31" t="s">
        <v>2643</v>
      </c>
      <c r="B1164" s="27" t="s">
        <v>2644</v>
      </c>
      <c r="C1164" s="27"/>
      <c r="D1164" s="33" t="s">
        <v>14</v>
      </c>
      <c r="E1164" s="34">
        <v>2</v>
      </c>
      <c r="F1164" s="35">
        <v>0.3</v>
      </c>
      <c r="G1164" s="10">
        <v>178352</v>
      </c>
      <c r="H1164" s="30" t="str">
        <f ca="1">IFERROR(__xludf.DUMMYFUNCTION("LOWER(REGEXREPLACE(B1164&amp;"" ""&amp;C1164,""[^а-яa-z0-9 ]"","" ""))")," атчик кислорода   иапазон измерения  от 0 до 12 5 мг л   2   очность     2  во всем диапазоне ")</f>
        <v xml:space="preserve"> атчик кислорода   иапазон измерения  от 0 до 12 5 мг л   2   очность     2  во всем диапазоне </v>
      </c>
    </row>
    <row r="1165" spans="1:8" ht="63.75" x14ac:dyDescent="0.2">
      <c r="A1165" s="31" t="s">
        <v>2645</v>
      </c>
      <c r="B1165" s="27" t="s">
        <v>2646</v>
      </c>
      <c r="C1165" s="27"/>
      <c r="D1165" s="33" t="s">
        <v>14</v>
      </c>
      <c r="E1165" s="34">
        <v>2</v>
      </c>
      <c r="F1165" s="35">
        <v>0.3</v>
      </c>
      <c r="G1165" s="10">
        <v>262281</v>
      </c>
      <c r="H1165" s="30" t="str">
        <f ca="1">IFERROR(__xludf.DUMMYFUNCTION("LOWER(REGEXREPLACE(B1165&amp;"" ""&amp;C1165,""[^а-яa-z0-9 ]"","" ""))")," атчик растворенного кислорода   иапазон измерения  0 20 мг л или 0 200  насыщенность  уровень защиты   68  диапазон рабочей температуры 0 50     точность температуры     0 2    ")</f>
        <v xml:space="preserve"> атчик растворенного кислорода   иапазон измерения  0 20 мг л или 0 200  насыщенность  уровень защиты   68  диапазон рабочей температуры 0 50     точность температуры     0 2    </v>
      </c>
    </row>
    <row r="1166" spans="1:8" ht="12.75" x14ac:dyDescent="0.2">
      <c r="A1166" s="31" t="s">
        <v>2647</v>
      </c>
      <c r="B1166" s="27" t="s">
        <v>2648</v>
      </c>
      <c r="C1166" s="27"/>
      <c r="D1166" s="33" t="s">
        <v>14</v>
      </c>
      <c r="E1166" s="9"/>
      <c r="F1166" s="32"/>
      <c r="G1166" s="10"/>
      <c r="H1166" s="30" t="str">
        <f ca="1">IFERROR(__xludf.DUMMYFUNCTION("LOWER(REGEXREPLACE(B1166&amp;"" ""&amp;C1166,""[^а-яa-z0-9 ]"","" ""))")," атчик газа   2 ")</f>
        <v xml:space="preserve"> атчик газа   2 </v>
      </c>
    </row>
    <row r="1167" spans="1:8" ht="89.25" x14ac:dyDescent="0.2">
      <c r="A1167" s="31" t="s">
        <v>2649</v>
      </c>
      <c r="B1167" s="8" t="s">
        <v>2650</v>
      </c>
      <c r="C1167" s="27"/>
      <c r="D1167" s="33" t="s">
        <v>14</v>
      </c>
      <c r="E1167" s="9"/>
      <c r="F1167" s="37">
        <v>0.122</v>
      </c>
      <c r="G1167" s="10">
        <v>333947</v>
      </c>
      <c r="H1167" s="30" t="str">
        <f ca="1">IFERROR(__xludf.DUMMYFUNCTION("LOWER(REGEXREPLACE(B1167&amp;"" ""&amp;C1167,""[^а-яa-z0-9 ]"","" ""))")," атчик уровня углекислого газа беспроводной  ata arvest 1180   иапазоны измерения от 0 до 100 000 частей на миллион   иапазон температур  40 85 градусов   иапазон давления 30 110к а   лажность 0 100      соединительный провод     сбора и обработки данных "&amp;" asysense2 на трех языках  каз   рус   англ  языке  ")</f>
        <v xml:space="preserve"> атчик уровня углекислого газа беспроводной  ata arvest 1180   иапазоны измерения от 0 до 100 000 частей на миллион   иапазон температур  40 85 градусов   иапазон давления 30 110к а   лажность 0 100      соединительный провод     сбора и обработки данных  asysense2 на трех языках  каз   рус   англ  языке  </v>
      </c>
    </row>
    <row r="1168" spans="1:8" ht="51" x14ac:dyDescent="0.2">
      <c r="A1168" s="31" t="s">
        <v>2651</v>
      </c>
      <c r="B1168" s="27" t="s">
        <v>2652</v>
      </c>
      <c r="C1168" s="27"/>
      <c r="D1168" s="33" t="s">
        <v>14</v>
      </c>
      <c r="E1168" s="34">
        <v>2</v>
      </c>
      <c r="F1168" s="36">
        <v>0.06</v>
      </c>
      <c r="G1168" s="10">
        <v>292268</v>
      </c>
      <c r="H1168" s="30" t="str">
        <f ca="1">IFERROR(__xludf.DUMMYFUNCTION("LOWER(REGEXREPLACE(B1168&amp;"" ""&amp;C1168,""[^а-яa-z0-9 ]"","" ""))")," instein   атчик углекислого газа     2 040    иапазон  от 350 до 10 000 частей на миллион   очность   50 частей на миллион     5  полной шкалы  ")</f>
        <v xml:space="preserve"> instein   атчик углекислого газа     2 040    иапазон  от 350 до 10 000 частей на миллион   очность   50 частей на миллион     5  полной шкалы  </v>
      </c>
    </row>
    <row r="1169" spans="1:8" ht="38.25" x14ac:dyDescent="0.2">
      <c r="A1169" s="31" t="s">
        <v>2653</v>
      </c>
      <c r="B1169" s="27" t="s">
        <v>2654</v>
      </c>
      <c r="C1169" s="27"/>
      <c r="D1169" s="33" t="s">
        <v>14</v>
      </c>
      <c r="E1169" s="34">
        <v>2</v>
      </c>
      <c r="F1169" s="35">
        <v>0.1</v>
      </c>
      <c r="G1169" s="10">
        <v>228244</v>
      </c>
      <c r="H1169" s="30" t="str">
        <f ca="1">IFERROR(__xludf.DUMMYFUNCTION("LOWER(REGEXREPLACE(B1169&amp;"" ""&amp;C1169,""[^а-яa-z0-9 ]"","" ""))")," нешний датчик углекислого газа  lobisense   иапазон от 0 до 5000 частей на миллион  коммуникация  50 частей на миллион ")</f>
        <v xml:space="preserve"> нешний датчик углекислого газа  lobisense   иапазон от 0 до 5000 частей на миллион  коммуникация  50 частей на миллион </v>
      </c>
    </row>
    <row r="1170" spans="1:8" ht="63.75" x14ac:dyDescent="0.2">
      <c r="A1170" s="31" t="s">
        <v>2655</v>
      </c>
      <c r="B1170" s="8" t="s">
        <v>2656</v>
      </c>
      <c r="C1170" s="27"/>
      <c r="D1170" s="33" t="s">
        <v>14</v>
      </c>
      <c r="E1170" s="34">
        <v>2</v>
      </c>
      <c r="F1170" s="36">
        <v>0.14000000000000001</v>
      </c>
      <c r="G1170" s="10">
        <v>294467</v>
      </c>
      <c r="H1170" s="30" t="str">
        <f ca="1">IFERROR(__xludf.DUMMYFUNCTION("LOWER(REGEXREPLACE(B1170&amp;"" ""&amp;C1170,""[^а-яa-z0-9 ]"","" ""))")," атчик уровня углекислого газа беспроводной типа  hywe  obra      sense   2 12932 01   иапазон  0 100000 ppm   азрешение  2 ppm   астота  1  ц ")</f>
        <v xml:space="preserve"> атчик уровня углекислого газа беспроводной типа  hywe  obra      sense   2 12932 01   иапазон  0 100000 ppm   азрешение  2 ppm   астота  1  ц </v>
      </c>
    </row>
    <row r="1171" spans="1:8" ht="51" x14ac:dyDescent="0.2">
      <c r="A1171" s="31" t="s">
        <v>2657</v>
      </c>
      <c r="B1171" s="27" t="s">
        <v>2658</v>
      </c>
      <c r="C1171" s="27"/>
      <c r="D1171" s="33" t="s">
        <v>14</v>
      </c>
      <c r="E1171" s="34">
        <v>2</v>
      </c>
      <c r="F1171" s="35">
        <v>0.2</v>
      </c>
      <c r="G1171" s="10">
        <v>237709</v>
      </c>
      <c r="H1171" s="30" t="str">
        <f ca="1">IFERROR(__xludf.DUMMYFUNCTION("LOWER(REGEXREPLACE(B1171&amp;"" ""&amp;C1171,""[^а-яa-z0-9 ]"","" ""))")," атчик уровня углекислого газа беспроводной типа  cience ube    111  2  ireless   2  as   иапазон  0 5 000 ч млн   азрешение  1 ч млн   иапазон     5 м л ")</f>
        <v xml:space="preserve"> атчик уровня углекислого газа беспроводной типа  cience ube    111  2  ireless   2  as   иапазон  0 5 000 ч млн   азрешение  1 ч млн   иапазон     5 м л </v>
      </c>
    </row>
    <row r="1172" spans="1:8" ht="38.25" x14ac:dyDescent="0.2">
      <c r="A1172" s="31" t="s">
        <v>2659</v>
      </c>
      <c r="B1172" s="8" t="s">
        <v>2660</v>
      </c>
      <c r="C1172" s="27"/>
      <c r="D1172" s="33" t="s">
        <v>14</v>
      </c>
      <c r="E1172" s="34">
        <v>2</v>
      </c>
      <c r="F1172" s="36">
        <v>0.23</v>
      </c>
      <c r="G1172" s="10">
        <v>125047</v>
      </c>
      <c r="H1172" s="30" t="str">
        <f ca="1">IFERROR(__xludf.DUMMYFUNCTION("LOWER(REGEXREPLACE(B1172&amp;"" ""&amp;C1172,""[^а-яa-z0-9 ]"","" ""))")," атчик углекислого газа   2 типа  ense disc  1007   иапазон  0 100000 ppm   азрешение  2 ppm ")</f>
        <v xml:space="preserve"> атчик углекислого газа   2 типа  ense disc  1007   иапазон  0 100000 ppm   азрешение  2 ppm </v>
      </c>
    </row>
    <row r="1173" spans="1:8" ht="63.75" x14ac:dyDescent="0.2">
      <c r="A1173" s="31" t="s">
        <v>2661</v>
      </c>
      <c r="B1173" s="8" t="s">
        <v>2662</v>
      </c>
      <c r="C1173" s="27"/>
      <c r="D1173" s="33" t="s">
        <v>14</v>
      </c>
      <c r="E1173" s="34">
        <v>2</v>
      </c>
      <c r="F1173" s="35">
        <v>0.1</v>
      </c>
      <c r="G1173" s="10">
        <v>205397</v>
      </c>
      <c r="H1173" s="30" t="str">
        <f ca="1">IFERROR(__xludf.DUMMYFUNCTION("LOWER(REGEXREPLACE(B1173&amp;"" ""&amp;C1173,""[^а-яa-z0-9 ]"","" ""))")," атчик уровня углекислого газа типа  icro ab  lab co2   змерение диапазона 0 2000 частей на миллион         азрешение 1     0 2000 частей на миллион         очность 200 частей на миллион ")</f>
        <v xml:space="preserve"> атчик уровня углекислого газа типа  icro ab  lab co2   змерение диапазона 0 2000 частей на миллион         азрешение 1     0 2000 частей на миллион         очность 200 частей на миллион </v>
      </c>
    </row>
    <row r="1174" spans="1:8" ht="25.5" x14ac:dyDescent="0.2">
      <c r="A1174" s="31" t="s">
        <v>2663</v>
      </c>
      <c r="B1174" s="27" t="s">
        <v>2664</v>
      </c>
      <c r="C1174" s="27"/>
      <c r="D1174" s="33" t="s">
        <v>14</v>
      </c>
      <c r="E1174" s="34">
        <v>2</v>
      </c>
      <c r="F1174" s="35">
        <v>0.3</v>
      </c>
      <c r="G1174" s="10">
        <v>220317</v>
      </c>
      <c r="H1174" s="30" t="str">
        <f ca="1">IFERROR(__xludf.DUMMYFUNCTION("LOWER(REGEXREPLACE(B1174&amp;"" ""&amp;C1174,""[^а-яa-z0-9 ]"","" ""))")," атчик углекислого газа   иапазон измерения  от 350 до 5000 мд  ppm    очность     20   ")</f>
        <v xml:space="preserve"> атчик углекислого газа   иапазон измерения  от 350 до 5000 мд  ppm    очность     20   </v>
      </c>
    </row>
    <row r="1175" spans="1:8" ht="12.75" x14ac:dyDescent="0.2">
      <c r="A1175" s="31" t="s">
        <v>2665</v>
      </c>
      <c r="B1175" s="27" t="s">
        <v>2666</v>
      </c>
      <c r="C1175" s="27"/>
      <c r="D1175" s="33" t="s">
        <v>14</v>
      </c>
      <c r="E1175" s="9"/>
      <c r="F1175" s="32"/>
      <c r="G1175" s="10"/>
      <c r="H1175" s="30" t="str">
        <f ca="1">IFERROR(__xludf.DUMMYFUNCTION("LOWER(REGEXREPLACE(B1175&amp;"" ""&amp;C1175,""[^а-яa-z0-9 ]"","" ""))")," атчик давления ")</f>
        <v xml:space="preserve"> атчик давления </v>
      </c>
    </row>
    <row r="1176" spans="1:8" ht="51" x14ac:dyDescent="0.2">
      <c r="A1176" s="31" t="s">
        <v>2667</v>
      </c>
      <c r="B1176" s="27" t="s">
        <v>2668</v>
      </c>
      <c r="C1176" s="27"/>
      <c r="D1176" s="33" t="s">
        <v>14</v>
      </c>
      <c r="E1176" s="9"/>
      <c r="F1176" s="32"/>
      <c r="G1176" s="10">
        <v>98697</v>
      </c>
      <c r="H1176" s="30" t="str">
        <f ca="1">IFERROR(__xludf.DUMMYFUNCTION("LOWER(REGEXREPLACE(B1176&amp;"" ""&amp;C1176,""[^а-яa-z0-9 ]"","" ""))")," атчик давления газа беспроводной  o  irect          иапазон  от 0 до 400 к а   ена деления  0 03 к а   очность   3 к а   нутренний объем  0 8 мл ")</f>
        <v xml:space="preserve"> атчик давления газа беспроводной  o  irect          иапазон  от 0 до 400 к а   ена деления  0 03 к а   очность   3 к а   нутренний объем  0 8 мл </v>
      </c>
    </row>
    <row r="1177" spans="1:8" ht="102" x14ac:dyDescent="0.2">
      <c r="A1177" s="31" t="s">
        <v>2669</v>
      </c>
      <c r="B1177" s="27" t="s">
        <v>2670</v>
      </c>
      <c r="C1177" s="27"/>
      <c r="D1177" s="33" t="s">
        <v>14</v>
      </c>
      <c r="E1177" s="9"/>
      <c r="F1177" s="36">
        <v>0.08</v>
      </c>
      <c r="G1177" s="10">
        <v>145722</v>
      </c>
      <c r="H1177" s="30" t="str">
        <f ca="1">IFERROR(__xludf.DUMMYFUNCTION("LOWER(REGEXREPLACE(B1177&amp;"" ""&amp;C1177,""[^а-яa-z0-9 ]"","" ""))")," атчик абсолютного давления газа беспроводной  ata arvest 1150   иапазоны измерения 400 к а   амая высокая скорость регистрации 40 000 выборок в секунду  25 мкс       соединительный провод  100 мм силиконовой трубки  2 штыревых и 1 гнездовой коннектор  юэ"&amp;"ра     сбора и обработки данных  asysense2 на трех языках  каз   рус   англ  языке  ")</f>
        <v xml:space="preserve"> атчик абсолютного давления газа беспроводной  ata arvest 1150   иапазоны измерения 400 к а   амая высокая скорость регистрации 40 000 выборок в секунду  25 мкс       соединительный провод  100 мм силиконовой трубки  2 штыревых и 1 гнездовой коннектор  юэра     сбора и обработки данных  asysense2 на трех языках  каз   рус   англ  языке  </v>
      </c>
    </row>
    <row r="1178" spans="1:8" ht="102" x14ac:dyDescent="0.2">
      <c r="A1178" s="31" t="s">
        <v>2671</v>
      </c>
      <c r="B1178" s="8" t="s">
        <v>2672</v>
      </c>
      <c r="C1178" s="27"/>
      <c r="D1178" s="33" t="s">
        <v>14</v>
      </c>
      <c r="E1178" s="9"/>
      <c r="F1178" s="36">
        <v>0.08</v>
      </c>
      <c r="G1178" s="10">
        <v>165379</v>
      </c>
      <c r="H1178" s="30" t="str">
        <f ca="1">IFERROR(__xludf.DUMMYFUNCTION("LOWER(REGEXREPLACE(B1178&amp;"" ""&amp;C1178,""[^а-яa-z0-9 ]"","" ""))")," атчик артериального давления беспроводной  ata arvest 1155   иапазоны измерения от 0 до 300 мм рт ст   очность  3  от показаний давления   азрешение 0 1 мм рт ст      соединительный провод  аналоговый манометр  универсальная манжета давления     сбора и "&amp;"обработки данных  asysense2 на трех языках  каз   рус   англ  языке  ")</f>
        <v xml:space="preserve"> атчик артериального давления беспроводной  ata arvest 1155   иапазоны измерения от 0 до 300 мм рт ст   очность  3  от показаний давления   азрешение 0 1 мм рт ст      соединительный провод  аналоговый манометр  универсальная манжета давления     сбора и обработки данных  asysense2 на трех языках  каз   рус   англ  языке  </v>
      </c>
    </row>
    <row r="1179" spans="1:8" ht="102" x14ac:dyDescent="0.2">
      <c r="A1179" s="31" t="s">
        <v>2673</v>
      </c>
      <c r="B1179" s="27" t="s">
        <v>2674</v>
      </c>
      <c r="C1179" s="27"/>
      <c r="D1179" s="33" t="s">
        <v>14</v>
      </c>
      <c r="E1179" s="9"/>
      <c r="F1179" s="36">
        <v>0.08</v>
      </c>
      <c r="G1179" s="10">
        <v>127249</v>
      </c>
      <c r="H1179" s="30" t="str">
        <f ca="1">IFERROR(__xludf.DUMMYFUNCTION("LOWER(REGEXREPLACE(B1179&amp;"" ""&amp;C1179,""[^а-яa-z0-9 ]"","" ""))")," атчик перепада давления газа беспроводной  ata arvest 1151   иапазоны измерения     25к а   амая высокая скорость регистрации 40 000 выборок в секунду  25 мкс       соединительный провод  2 силиконовых трубок на 100 мм  4 штыревых и 2 гнездовых разъема  "&amp;"юэра     сбора и обработки данных  asysense2 на трех языках  каз   рус   англ  языке  ")</f>
        <v xml:space="preserve"> атчик перепада давления газа беспроводной  ata arvest 1151   иапазоны измерения     25к а   амая высокая скорость регистрации 40 000 выборок в секунду  25 мкс       соединительный провод  2 силиконовых трубок на 100 мм  4 штыревых и 2 гнездовых разъема  юэра     сбора и обработки данных  asysense2 на трех языках  каз   рус   англ  языке  </v>
      </c>
    </row>
    <row r="1180" spans="1:8" ht="51" x14ac:dyDescent="0.2">
      <c r="A1180" s="31" t="s">
        <v>2675</v>
      </c>
      <c r="B1180" s="8" t="s">
        <v>2676</v>
      </c>
      <c r="C1180" s="27"/>
      <c r="D1180" s="33" t="s">
        <v>14</v>
      </c>
      <c r="E1180" s="34">
        <v>2</v>
      </c>
      <c r="F1180" s="36">
        <v>0.06</v>
      </c>
      <c r="G1180" s="10">
        <v>160994</v>
      </c>
      <c r="H1180" s="30" t="str">
        <f ca="1">IFERROR(__xludf.DUMMYFUNCTION("LOWER(REGEXREPLACE(B1180&amp;"" ""&amp;C1180,""[^а-яa-z0-9 ]"","" ""))")," instein   атчик давления газа  400 к а       015 4   иапазон  20 400 к а   очность   1 5   по всему диапазону   азрешение  12 бит   0 10 к а ")</f>
        <v xml:space="preserve"> instein   атчик давления газа  400 к а       015 4   иапазон  20 400 к а   очность   1 5   по всему диапазону   азрешение  12 бит   0 10 к а </v>
      </c>
    </row>
    <row r="1181" spans="1:8" ht="63.75" x14ac:dyDescent="0.2">
      <c r="A1181" s="31" t="s">
        <v>2677</v>
      </c>
      <c r="B1181" s="8" t="s">
        <v>2678</v>
      </c>
      <c r="C1181" s="27"/>
      <c r="D1181" s="33" t="s">
        <v>14</v>
      </c>
      <c r="E1181" s="9"/>
      <c r="F1181" s="36">
        <v>0.06</v>
      </c>
      <c r="G1181" s="10">
        <v>193435</v>
      </c>
      <c r="H1181" s="30" t="str">
        <f ca="1">IFERROR(__xludf.DUMMYFUNCTION("LOWER(REGEXREPLACE(B1181&amp;"" ""&amp;C1181,""[^а-яa-z0-9 ]"","" ""))")," instein   атчик давления  барометрическое давление       015   иапазон  от 150 до 1150 мбар   очность     1 5   по всему диапазону   азрешение  12 бит   0 27 мбар ")</f>
        <v xml:space="preserve"> instein   атчик давления  барометрическое давление       015   иапазон  от 150 до 1150 мбар   очность     1 5   по всему диапазону   азрешение  12 бит   0 27 мбар </v>
      </c>
    </row>
    <row r="1182" spans="1:8" ht="51" x14ac:dyDescent="0.2">
      <c r="A1182" s="31" t="s">
        <v>2679</v>
      </c>
      <c r="B1182" s="8" t="s">
        <v>2680</v>
      </c>
      <c r="C1182" s="27"/>
      <c r="D1182" s="33" t="s">
        <v>14</v>
      </c>
      <c r="E1182" s="34">
        <v>2</v>
      </c>
      <c r="F1182" s="36">
        <v>0.12</v>
      </c>
      <c r="G1182" s="10">
        <v>125361</v>
      </c>
      <c r="H1182" s="30" t="str">
        <f ca="1">IFERROR(__xludf.DUMMYFUNCTION("LOWER(REGEXREPLACE(B1182&amp;"" ""&amp;C1182,""[^а-яa-z0-9 ]"","" ""))")," атчик абсолютного давления беспроводной типа  hywe  obra      sense  bsolute  ressure 12905 01   иапазон  20 400 к а   азрешение  0 1 к а   астота измерений  500  ц ")</f>
        <v xml:space="preserve"> атчик абсолютного давления беспроводной типа  hywe  obra      sense  bsolute  ressure 12905 01   иапазон  20 400 к а   азрешение  0 1 к а   астота измерений  500  ц </v>
      </c>
    </row>
    <row r="1183" spans="1:8" ht="63.75" x14ac:dyDescent="0.2">
      <c r="A1183" s="31" t="s">
        <v>2681</v>
      </c>
      <c r="B1183" s="8" t="s">
        <v>2682</v>
      </c>
      <c r="C1183" s="27"/>
      <c r="D1183" s="33" t="s">
        <v>14</v>
      </c>
      <c r="E1183" s="34">
        <v>2</v>
      </c>
      <c r="F1183" s="36">
        <v>0.28999999999999998</v>
      </c>
      <c r="G1183" s="10">
        <v>186156</v>
      </c>
      <c r="H1183" s="30" t="str">
        <f ca="1">IFERROR(__xludf.DUMMYFUNCTION("LOWER(REGEXREPLACE(B1183&amp;"" ""&amp;C1183,""[^а-яa-z0-9 ]"","" ""))")," атчик для измерения артериального давления беспроводной типа  hywe  obra      sense  lood  ressure 12944 00   иапазон  0     375 мм рт  ст   азрешение  0 05 мм рт  ст   астота  500  ц ")</f>
        <v xml:space="preserve"> атчик для измерения артериального давления беспроводной типа  hywe  obra      sense  lood  ressure 12944 00   иапазон  0     375 мм рт  ст   азрешение  0 05 мм рт  ст   астота  500  ц </v>
      </c>
    </row>
    <row r="1184" spans="1:8" ht="51" x14ac:dyDescent="0.2">
      <c r="A1184" s="31" t="s">
        <v>2683</v>
      </c>
      <c r="B1184" s="8" t="s">
        <v>2684</v>
      </c>
      <c r="C1184" s="27"/>
      <c r="D1184" s="33" t="s">
        <v>14</v>
      </c>
      <c r="E1184" s="34">
        <v>2</v>
      </c>
      <c r="F1184" s="36">
        <v>0.16</v>
      </c>
      <c r="G1184" s="10">
        <v>97123</v>
      </c>
      <c r="H1184" s="30" t="str">
        <f ca="1">IFERROR(__xludf.DUMMYFUNCTION("LOWER(REGEXREPLACE(B1184&amp;"" ""&amp;C1184,""[^а-яa-z0-9 ]"","" ""))")," атчик давления газа беспроводной типа  cience ube   103      иапазон   1000  3000 г а  очность     1    азрешение  0 244 г а ")</f>
        <v xml:space="preserve"> атчик давления газа беспроводной типа  cience ube   103      иапазон   1000  3000 г а  очность     1    азрешение  0 244 г а </v>
      </c>
    </row>
    <row r="1185" spans="1:8" ht="38.25" x14ac:dyDescent="0.2">
      <c r="A1185" s="31" t="s">
        <v>2685</v>
      </c>
      <c r="B1185" s="27" t="s">
        <v>2686</v>
      </c>
      <c r="C1185" s="27"/>
      <c r="D1185" s="33" t="s">
        <v>14</v>
      </c>
      <c r="E1185" s="34">
        <v>2</v>
      </c>
      <c r="F1185" s="36">
        <v>0.18</v>
      </c>
      <c r="G1185" s="10">
        <v>97124</v>
      </c>
      <c r="H1185" s="30" t="str">
        <f ca="1">IFERROR(__xludf.DUMMYFUNCTION("LOWER(REGEXREPLACE(B1185&amp;"" ""&amp;C1185,""[^а-яa-z0-9 ]"","" ""))")," атчик атмосферного давления беспроводной типа   116   cience ube   иапазон   650 650   а   азрешение  0 355   а ")</f>
        <v xml:space="preserve"> атчик атмосферного давления беспроводной типа   116   cience ube   иапазон   650 650   а   азрешение  0 355   а </v>
      </c>
    </row>
    <row r="1186" spans="1:8" ht="38.25" x14ac:dyDescent="0.2">
      <c r="A1186" s="31" t="s">
        <v>2687</v>
      </c>
      <c r="B1186" s="8" t="s">
        <v>2688</v>
      </c>
      <c r="C1186" s="27"/>
      <c r="D1186" s="33" t="s">
        <v>14</v>
      </c>
      <c r="E1186" s="34">
        <v>2</v>
      </c>
      <c r="F1186" s="36">
        <v>0.16</v>
      </c>
      <c r="G1186" s="10">
        <v>36422</v>
      </c>
      <c r="H1186" s="30" t="str">
        <f ca="1">IFERROR(__xludf.DUMMYFUNCTION("LOWER(REGEXREPLACE(B1186&amp;"" ""&amp;C1186,""[^а-яa-z0-9 ]"","" ""))")," атчик абсолютного давления типа  ense disc  0024   иапазон  0 400 к а   очность     6 к а   азрешение  0 1 к а ")</f>
        <v xml:space="preserve"> атчик абсолютного давления типа  ense disc  0024   иапазон  0 400 к а   очность     6 к а   азрешение  0 1 к а </v>
      </c>
    </row>
    <row r="1187" spans="1:8" ht="38.25" x14ac:dyDescent="0.2">
      <c r="A1187" s="31" t="s">
        <v>2689</v>
      </c>
      <c r="B1187" s="8" t="s">
        <v>2690</v>
      </c>
      <c r="C1187" s="27"/>
      <c r="D1187" s="33" t="s">
        <v>14</v>
      </c>
      <c r="E1187" s="34">
        <v>2</v>
      </c>
      <c r="F1187" s="35">
        <v>0.2</v>
      </c>
      <c r="G1187" s="10">
        <v>41278</v>
      </c>
      <c r="H1187" s="30" t="str">
        <f ca="1">IFERROR(__xludf.DUMMYFUNCTION("LOWER(REGEXREPLACE(B1187&amp;"" ""&amp;C1187,""[^а-яa-z0-9 ]"","" ""))")," атчик относительного давления типа  ense disc  0025   иапазон   20 к а 20 к а   очность  0 01 к а   азрешение     5  ")</f>
        <v xml:space="preserve"> атчик относительного давления типа  ense disc  0025   иапазон   20 к а 20 к а   очность  0 01 к а   азрешение     5  </v>
      </c>
    </row>
    <row r="1188" spans="1:8" ht="25.5" x14ac:dyDescent="0.2">
      <c r="A1188" s="31" t="s">
        <v>2691</v>
      </c>
      <c r="B1188" s="27" t="s">
        <v>2692</v>
      </c>
      <c r="C1188" s="27"/>
      <c r="D1188" s="33" t="s">
        <v>14</v>
      </c>
      <c r="E1188" s="34">
        <v>2</v>
      </c>
      <c r="F1188" s="35">
        <v>0.1</v>
      </c>
      <c r="G1188" s="10">
        <v>85522</v>
      </c>
      <c r="H1188" s="30" t="str">
        <f ca="1">IFERROR(__xludf.DUMMYFUNCTION("LOWER(REGEXREPLACE(B1188&amp;"" ""&amp;C1188,""[^а-яa-z0-9 ]"","" ""))")," атчик давления газа типа  icro ab  lab gaspressure   иапазон от 15 к а до 700 к а ")</f>
        <v xml:space="preserve"> атчик давления газа типа  icro ab  lab gaspressure   иапазон от 15 к а до 700 к а </v>
      </c>
    </row>
    <row r="1189" spans="1:8" ht="38.25" x14ac:dyDescent="0.2">
      <c r="A1189" s="31" t="s">
        <v>2693</v>
      </c>
      <c r="B1189" s="27" t="s">
        <v>2694</v>
      </c>
      <c r="C1189" s="27"/>
      <c r="D1189" s="33" t="s">
        <v>14</v>
      </c>
      <c r="E1189" s="34">
        <v>2</v>
      </c>
      <c r="F1189" s="35">
        <v>0.1</v>
      </c>
      <c r="G1189" s="10">
        <v>55037</v>
      </c>
      <c r="H1189" s="30" t="str">
        <f ca="1">IFERROR(__xludf.DUMMYFUNCTION("LOWER(REGEXREPLACE(B1189&amp;"" ""&amp;C1189,""[^а-яa-z0-9 ]"","" ""))")," атчик атмосферного давления типа  icro ab  lab pressure   иапазон измерения 300 1100 г а  1 г а   сто  а  с точностью    1 0 г а ")</f>
        <v xml:space="preserve"> атчик атмосферного давления типа  icro ab  lab pressure   иапазон измерения 300 1100 г а  1 г а   сто  а  с точностью    1 0 г а </v>
      </c>
    </row>
    <row r="1190" spans="1:8" ht="63.75" x14ac:dyDescent="0.2">
      <c r="A1190" s="31" t="s">
        <v>2695</v>
      </c>
      <c r="B1190" s="27" t="s">
        <v>2696</v>
      </c>
      <c r="C1190" s="27"/>
      <c r="D1190" s="33" t="s">
        <v>14</v>
      </c>
      <c r="E1190" s="34">
        <v>2</v>
      </c>
      <c r="F1190" s="36">
        <v>0.08</v>
      </c>
      <c r="G1190" s="10">
        <v>210703</v>
      </c>
      <c r="H1190" s="30" t="str">
        <f ca="1">IFERROR(__xludf.DUMMYFUNCTION("LOWER(REGEXREPLACE(B1190&amp;"" ""&amp;C1190,""[^а-яa-z0-9 ]"","" ""))")," атчик атмосферного давления беспроводной типа  ata arvest 1148   иапазон давления составляет от 30 до 110 кпа     сбора и обработки данных  asysense2 на трех языках  каз   рус   англ  ")</f>
        <v xml:space="preserve"> атчик атмосферного давления беспроводной типа  ata arvest 1148   иапазон давления составляет от 30 до 110 кпа     сбора и обработки данных  asysense2 на трех языках  каз   рус   англ  </v>
      </c>
    </row>
    <row r="1191" spans="1:8" ht="25.5" x14ac:dyDescent="0.2">
      <c r="A1191" s="31" t="s">
        <v>2697</v>
      </c>
      <c r="B1191" s="27" t="s">
        <v>2698</v>
      </c>
      <c r="C1191" s="27"/>
      <c r="D1191" s="33" t="s">
        <v>14</v>
      </c>
      <c r="E1191" s="34">
        <v>2</v>
      </c>
      <c r="F1191" s="35">
        <v>0.3</v>
      </c>
      <c r="G1191" s="10">
        <v>89176</v>
      </c>
      <c r="H1191" s="30" t="str">
        <f ca="1">IFERROR(__xludf.DUMMYFUNCTION("LOWER(REGEXREPLACE(B1191&amp;"" ""&amp;C1191,""[^а-яa-z0-9 ]"","" ""))")," атчик атмосферного давления   иапазон измерения  0  2 068 г а   азрешение  0 6 г а ")</f>
        <v xml:space="preserve"> атчик атмосферного давления   иапазон измерения  0  2 068 г а   азрешение  0 6 г а </v>
      </c>
    </row>
    <row r="1192" spans="1:8" ht="12.75" x14ac:dyDescent="0.2">
      <c r="A1192" s="31" t="s">
        <v>2699</v>
      </c>
      <c r="B1192" s="27" t="s">
        <v>2700</v>
      </c>
      <c r="C1192" s="27"/>
      <c r="D1192" s="33" t="s">
        <v>14</v>
      </c>
      <c r="E1192" s="9"/>
      <c r="F1192" s="32"/>
      <c r="G1192" s="10"/>
      <c r="H1192" s="30" t="str">
        <f ca="1">IFERROR(__xludf.DUMMYFUNCTION("LOWER(REGEXREPLACE(B1192&amp;"" ""&amp;C1192,""[^а-яa-z0-9 ]"","" ""))")," атчик температуры ")</f>
        <v xml:space="preserve"> атчик температуры </v>
      </c>
    </row>
    <row r="1193" spans="1:8" ht="51" x14ac:dyDescent="0.2">
      <c r="A1193" s="31" t="s">
        <v>2701</v>
      </c>
      <c r="B1193" s="27" t="s">
        <v>2702</v>
      </c>
      <c r="C1193" s="27"/>
      <c r="D1193" s="33" t="s">
        <v>14</v>
      </c>
      <c r="E1193" s="9"/>
      <c r="F1193" s="32"/>
      <c r="G1193" s="10">
        <v>77761</v>
      </c>
      <c r="H1193" s="30" t="str">
        <f ca="1">IFERROR(__xludf.DUMMYFUNCTION("LOWER(REGEXREPLACE(B1193&amp;"" ""&amp;C1193,""[^а-яa-z0-9 ]"","" ""))")," атчик температуры беспроводной  o  irect           иапазон  от  40 до 125       орма для корпуса  10   45       ена деления  0 07       очность    0 3     ")</f>
        <v xml:space="preserve"> атчик температуры беспроводной  o  irect           иапазон  от  40 до 125       орма для корпуса  10   45       ена деления  0 07       очность    0 3     </v>
      </c>
    </row>
    <row r="1194" spans="1:8" ht="76.5" x14ac:dyDescent="0.2">
      <c r="A1194" s="31" t="s">
        <v>2703</v>
      </c>
      <c r="B1194" s="8" t="s">
        <v>2704</v>
      </c>
      <c r="C1194" s="27"/>
      <c r="D1194" s="33" t="s">
        <v>14</v>
      </c>
      <c r="E1194" s="9"/>
      <c r="F1194" s="37">
        <v>7.3999999999999996E-2</v>
      </c>
      <c r="G1194" s="10">
        <v>103220</v>
      </c>
      <c r="H1194" s="30" t="str">
        <f ca="1">IFERROR(__xludf.DUMMYFUNCTION("LOWER(REGEXREPLACE(B1194&amp;"" ""&amp;C1194,""[^а-яa-z0-9 ]"","" ""))")," атчик температуры быстродействующий беспроводной  ata arvest 1101   иапазоны измерения от  40   до 125        соединительный провод     сбора и обработки данных  asysense2 на трех языках  каз   рус   англ  языке  ")</f>
        <v xml:space="preserve"> атчик температуры быстродействующий беспроводной  ata arvest 1101   иапазоны измерения от  40   до 125        соединительный провод     сбора и обработки данных  asysense2 на трех языках  каз   рус   англ  языке  </v>
      </c>
    </row>
    <row r="1195" spans="1:8" ht="51" x14ac:dyDescent="0.2">
      <c r="A1195" s="31" t="s">
        <v>2705</v>
      </c>
      <c r="B1195" s="8" t="s">
        <v>2706</v>
      </c>
      <c r="C1195" s="27"/>
      <c r="D1195" s="33" t="s">
        <v>14</v>
      </c>
      <c r="E1195" s="34">
        <v>2</v>
      </c>
      <c r="F1195" s="36">
        <v>0.06</v>
      </c>
      <c r="G1195" s="10">
        <v>212391</v>
      </c>
      <c r="H1195" s="30" t="str">
        <f ca="1">IFERROR(__xludf.DUMMYFUNCTION("LOWER(REGEXREPLACE(B1195&amp;"" ""&amp;C1195,""[^а-яa-z0-9 ]"","" ""))")," instein   атчик солености   температуры         иапазон  24   52 000 ppm   очность     8   по всему диапазону   азрешение  12 бит   12 стр  мин ")</f>
        <v xml:space="preserve"> instein   атчик солености   температуры         иапазон  24   52 000 ppm   очность     8   по всему диапазону   азрешение  12 бит   12 стр  мин </v>
      </c>
    </row>
    <row r="1196" spans="1:8" ht="63.75" x14ac:dyDescent="0.2">
      <c r="A1196" s="31" t="s">
        <v>2707</v>
      </c>
      <c r="B1196" s="8" t="s">
        <v>2708</v>
      </c>
      <c r="C1196" s="27"/>
      <c r="D1196" s="33" t="s">
        <v>14</v>
      </c>
      <c r="E1196" s="34">
        <v>2</v>
      </c>
      <c r="F1196" s="36">
        <v>0.06</v>
      </c>
      <c r="G1196" s="10">
        <v>81695</v>
      </c>
      <c r="H1196" s="30" t="str">
        <f ca="1">IFERROR(__xludf.DUMMYFUNCTION("LOWER(REGEXREPLACE(B1196&amp;"" ""&amp;C1196,""[^а-яa-z0-9 ]"","" ""))")," instein   атчик температуры поверхности   40 to 140          060   иапазон  от  40 до 140     иапазон  от  40 до 284     очность   2  по всему диапазону   азрешение  12 бит   0 03  ")</f>
        <v xml:space="preserve"> instein   атчик температуры поверхности   40 to 140          060   иапазон  от  40 до 140     иапазон  от  40 до 284     очность   2  по всему диапазону   азрешение  12 бит   0 03  </v>
      </c>
    </row>
    <row r="1197" spans="1:8" ht="76.5" x14ac:dyDescent="0.2">
      <c r="A1197" s="31" t="s">
        <v>2709</v>
      </c>
      <c r="B1197" s="8" t="s">
        <v>2710</v>
      </c>
      <c r="C1197" s="27"/>
      <c r="D1197" s="33" t="s">
        <v>14</v>
      </c>
      <c r="E1197" s="34">
        <v>2</v>
      </c>
      <c r="F1197" s="36">
        <v>0.06</v>
      </c>
      <c r="G1197" s="10">
        <v>128687</v>
      </c>
      <c r="H1197" s="30" t="str">
        <f ca="1">IFERROR(__xludf.DUMMYFUNCTION("LOWER(REGEXREPLACE(B1197&amp;"" ""&amp;C1197,""[^а-яa-z0-9 ]"","" ""))")," instein   атчик универсальный температуры   40 to 140          029   иапазон  от  40 до 140    от  40 до 284    от 233 15 до 413 15     очность   2  по всему диапазону   азрешение  12 бит   0 03    ")</f>
        <v xml:space="preserve"> instein   атчик универсальный температуры   40 to 140          029   иапазон  от  40 до 140    от  40 до 284    от 233 15 до 413 15     очность   2  по всему диапазону   азрешение  12 бит   0 03    </v>
      </c>
    </row>
    <row r="1198" spans="1:8" ht="63.75" x14ac:dyDescent="0.2">
      <c r="A1198" s="31" t="s">
        <v>2711</v>
      </c>
      <c r="B1198" s="8" t="s">
        <v>2712</v>
      </c>
      <c r="C1198" s="27"/>
      <c r="D1198" s="33" t="s">
        <v>14</v>
      </c>
      <c r="E1198" s="34">
        <v>2</v>
      </c>
      <c r="F1198" s="36">
        <v>0.06</v>
      </c>
      <c r="G1198" s="10">
        <v>67447</v>
      </c>
      <c r="H1198" s="30" t="str">
        <f ca="1">IFERROR(__xludf.DUMMYFUNCTION("LOWER(REGEXREPLACE(B1198&amp;"" ""&amp;C1198,""[^а-яa-z0-9 ]"","" ""))")," instein   атчик температуры    100   200 to 400          027   иапазон  от  200 до 400     от  328 до 752     73 15 до 673 15 тыс   очность   2  по всему диапазону   азрешение  12 бит   0 15    ")</f>
        <v xml:space="preserve"> instein   атчик температуры    100   200 to 400          027   иапазон  от  200 до 400     от  328 до 752     73 15 до 673 15 тыс   очность   2  по всему диапазону   азрешение  12 бит   0 15    </v>
      </c>
    </row>
    <row r="1199" spans="1:8" ht="63.75" x14ac:dyDescent="0.2">
      <c r="A1199" s="31" t="s">
        <v>2713</v>
      </c>
      <c r="B1199" s="8" t="s">
        <v>2714</v>
      </c>
      <c r="C1199" s="27"/>
      <c r="D1199" s="33" t="s">
        <v>14</v>
      </c>
      <c r="E1199" s="34">
        <v>2</v>
      </c>
      <c r="F1199" s="36">
        <v>0.06</v>
      </c>
      <c r="G1199" s="10">
        <v>134561</v>
      </c>
      <c r="H1199" s="30" t="str">
        <f ca="1">IFERROR(__xludf.DUMMYFUNCTION("LOWER(REGEXREPLACE(B1199&amp;"" ""&amp;C1199,""[^а-яa-z0-9 ]"","" ""))")," instein   атчик температуры термопара      025   иапазон  от  40 до 140     от  40 до 284     233 15 до 413 15 тыс   очность     2  по всему диапазону   азрешение  12 бит   0 03    ")</f>
        <v xml:space="preserve"> instein   атчик температуры термопара      025   иапазон  от  40 до 140     от  40 до 284     233 15 до 413 15 тыс   очность     2  по всему диапазону   азрешение  12 бит   0 03    </v>
      </c>
    </row>
    <row r="1200" spans="1:8" ht="38.25" x14ac:dyDescent="0.2">
      <c r="A1200" s="31" t="s">
        <v>2715</v>
      </c>
      <c r="B1200" s="8" t="s">
        <v>2716</v>
      </c>
      <c r="C1200" s="27"/>
      <c r="D1200" s="33" t="s">
        <v>14</v>
      </c>
      <c r="E1200" s="34">
        <v>2</v>
      </c>
      <c r="F1200" s="35">
        <v>0.1</v>
      </c>
      <c r="G1200" s="10">
        <v>67995</v>
      </c>
      <c r="H1200" s="30" t="str">
        <f ca="1">IFERROR(__xludf.DUMMYFUNCTION("LOWER(REGEXREPLACE(B1200&amp;"" ""&amp;C1200,""[^а-яa-z0-9 ]"","" ""))")," нешний датчик температуры из нержавеющей стали  lobisense   иапазон  от  25 до  125     очность    2    ")</f>
        <v xml:space="preserve"> нешний датчик температуры из нержавеющей стали  lobisense   иапазон  от  25 до  125     очность    2    </v>
      </c>
    </row>
    <row r="1201" spans="1:8" ht="51" x14ac:dyDescent="0.2">
      <c r="A1201" s="31" t="s">
        <v>2717</v>
      </c>
      <c r="B1201" s="8" t="s">
        <v>2718</v>
      </c>
      <c r="C1201" s="27"/>
      <c r="D1201" s="33" t="s">
        <v>14</v>
      </c>
      <c r="E1201" s="34">
        <v>2</v>
      </c>
      <c r="F1201" s="36">
        <v>0.13</v>
      </c>
      <c r="G1201" s="10">
        <v>89796</v>
      </c>
      <c r="H1201" s="30" t="str">
        <f ca="1">IFERROR(__xludf.DUMMYFUNCTION("LOWER(REGEXREPLACE(B1201&amp;"" ""&amp;C1201,""[^а-яa-z0-9 ]"","" ""))")," атчик температуры беспроводной типа  hywe  obra      sense  emperature 12903 00   иапазон   40 120      азрешение  0 01    астота измерений  10  ц ")</f>
        <v xml:space="preserve"> атчик температуры беспроводной типа  hywe  obra      sense  emperature 12903 00   иапазон   40 120      азрешение  0 01    астота измерений  10  ц </v>
      </c>
    </row>
    <row r="1202" spans="1:8" ht="63.75" x14ac:dyDescent="0.2">
      <c r="A1202" s="31" t="s">
        <v>2719</v>
      </c>
      <c r="B1202" s="8" t="s">
        <v>2720</v>
      </c>
      <c r="C1202" s="27"/>
      <c r="D1202" s="33" t="s">
        <v>14</v>
      </c>
      <c r="E1202" s="34">
        <v>2</v>
      </c>
      <c r="F1202" s="37">
        <v>0.105</v>
      </c>
      <c r="G1202" s="10">
        <v>137411</v>
      </c>
      <c r="H1202" s="30" t="str">
        <f ca="1">IFERROR(__xludf.DUMMYFUNCTION("LOWER(REGEXREPLACE(B1202&amp;"" ""&amp;C1202,""[^а-яa-z0-9 ]"","" ""))")," атчик для измерения температуры высокочувствительный беспроводной типа  hywe  obra      sense  hermocouple 12938 01   иапазон   200   1200     азрешение  0 4     астота  10  ц ")</f>
        <v xml:space="preserve"> атчик для измерения температуры высокочувствительный беспроводной типа  hywe  obra      sense  hermocouple 12938 01   иапазон   200   1200     азрешение  0 4     астота  10  ц </v>
      </c>
    </row>
    <row r="1203" spans="1:8" ht="51" x14ac:dyDescent="0.2">
      <c r="A1203" s="31" t="s">
        <v>2721</v>
      </c>
      <c r="B1203" s="8" t="s">
        <v>2722</v>
      </c>
      <c r="C1203" s="27"/>
      <c r="D1203" s="33" t="s">
        <v>14</v>
      </c>
      <c r="E1203" s="34">
        <v>2</v>
      </c>
      <c r="F1203" s="36">
        <v>0.14000000000000001</v>
      </c>
      <c r="G1203" s="10">
        <v>68796</v>
      </c>
      <c r="H1203" s="30" t="str">
        <f ca="1">IFERROR(__xludf.DUMMYFUNCTION("LOWER(REGEXREPLACE(B1203&amp;"" ""&amp;C1203,""[^а-яa-z0-9 ]"","" ""))")," атчик температуры беспроводной типа  cience ube    100    иапазон  от  40   до  125     очность измерения     0 5     азрешение     0 625   ")</f>
        <v xml:space="preserve"> атчик температуры беспроводной типа  cience ube    100    иапазон  от  40   до  125     очность измерения     0 5     азрешение     0 625   </v>
      </c>
    </row>
    <row r="1204" spans="1:8" ht="38.25" x14ac:dyDescent="0.2">
      <c r="A1204" s="31" t="s">
        <v>2723</v>
      </c>
      <c r="B1204" s="27" t="s">
        <v>2724</v>
      </c>
      <c r="C1204" s="27"/>
      <c r="D1204" s="33" t="s">
        <v>14</v>
      </c>
      <c r="E1204" s="34">
        <v>2</v>
      </c>
      <c r="F1204" s="36">
        <v>0.15</v>
      </c>
      <c r="G1204" s="10">
        <v>46134</v>
      </c>
      <c r="H1204" s="30" t="str">
        <f ca="1">IFERROR(__xludf.DUMMYFUNCTION("LOWER(REGEXREPLACE(B1204&amp;"" ""&amp;C1204,""[^а-яa-z0-9 ]"","" ""))")," атчик инфракрасного термометра типа  ense disc  0010   иапазон   70  380    азрешение  0 1  ")</f>
        <v xml:space="preserve"> атчик инфракрасного термометра типа  ense disc  0010   иапазон   70  380    азрешение  0 1  </v>
      </c>
    </row>
    <row r="1205" spans="1:8" ht="51" x14ac:dyDescent="0.2">
      <c r="A1205" s="31" t="s">
        <v>2725</v>
      </c>
      <c r="B1205" s="8" t="s">
        <v>2726</v>
      </c>
      <c r="C1205" s="27"/>
      <c r="D1205" s="33" t="s">
        <v>14</v>
      </c>
      <c r="E1205" s="34">
        <v>2</v>
      </c>
      <c r="F1205" s="36">
        <v>0.18</v>
      </c>
      <c r="G1205" s="10">
        <v>23067</v>
      </c>
      <c r="H1205" s="30" t="str">
        <f ca="1">IFERROR(__xludf.DUMMYFUNCTION("LOWER(REGEXREPLACE(B1205&amp;"" ""&amp;C1205,""[^а-яa-z0-9 ]"","" ""))")," атчик температуры окружающей среды типа  ense disc  0012   иапазон   30  150    очность     0 8   0 100     азрешение  0 1  ")</f>
        <v xml:space="preserve"> атчик температуры окружающей среды типа  ense disc  0012   иапазон   30  150    очность     0 8   0 100     азрешение  0 1  </v>
      </c>
    </row>
    <row r="1206" spans="1:8" ht="38.25" x14ac:dyDescent="0.2">
      <c r="A1206" s="31" t="s">
        <v>2727</v>
      </c>
      <c r="B1206" s="27" t="s">
        <v>2728</v>
      </c>
      <c r="C1206" s="27"/>
      <c r="D1206" s="33" t="s">
        <v>14</v>
      </c>
      <c r="E1206" s="34">
        <v>2</v>
      </c>
      <c r="F1206" s="35">
        <v>0.1</v>
      </c>
      <c r="G1206" s="10">
        <v>40064</v>
      </c>
      <c r="H1206" s="30" t="str">
        <f ca="1">IFERROR(__xludf.DUMMYFUNCTION("LOWER(REGEXREPLACE(B1206&amp;"" ""&amp;C1206,""[^а-яa-z0-9 ]"","" ""))")," атчик  термопара типа  ense disc  0013   иапазон   200  1200    очность     6    азрешение  0 25  ")</f>
        <v xml:space="preserve"> атчик  термопара типа  ense disc  0013   иапазон   200  1200    очность     6    азрешение  0 25  </v>
      </c>
    </row>
    <row r="1207" spans="1:8" ht="25.5" x14ac:dyDescent="0.2">
      <c r="A1207" s="31" t="s">
        <v>2729</v>
      </c>
      <c r="B1207" s="27" t="s">
        <v>2730</v>
      </c>
      <c r="C1207" s="27"/>
      <c r="D1207" s="33" t="s">
        <v>14</v>
      </c>
      <c r="E1207" s="34">
        <v>2</v>
      </c>
      <c r="F1207" s="35">
        <v>0.1</v>
      </c>
      <c r="G1207" s="10">
        <v>55037</v>
      </c>
      <c r="H1207" s="30" t="str">
        <f ca="1">IFERROR(__xludf.DUMMYFUNCTION("LOWER(REGEXREPLACE(B1207&amp;"" ""&amp;C1207,""[^а-яa-z0-9 ]"","" ""))")," атчик температуры типа  icro ab  lab temp   иапазон измерения   50 600   ")</f>
        <v xml:space="preserve"> атчик температуры типа  icro ab  lab temp   иапазон измерения   50 600   </v>
      </c>
    </row>
    <row r="1208" spans="1:8" ht="63.75" x14ac:dyDescent="0.2">
      <c r="A1208" s="31" t="s">
        <v>2731</v>
      </c>
      <c r="B1208" s="8" t="s">
        <v>2732</v>
      </c>
      <c r="C1208" s="27"/>
      <c r="D1208" s="33" t="s">
        <v>14</v>
      </c>
      <c r="E1208" s="34">
        <v>2</v>
      </c>
      <c r="F1208" s="36">
        <v>0.08</v>
      </c>
      <c r="G1208" s="10">
        <v>227070</v>
      </c>
      <c r="H1208" s="30" t="str">
        <f ca="1">IFERROR(__xludf.DUMMYFUNCTION("LOWER(REGEXREPLACE(B1208&amp;"" ""&amp;C1208,""[^а-яa-z0-9 ]"","" ""))")," атчик термопары беспроводной типа  ata arvest 1102  иапазон температур от  200 до 1200   с точностью до 0 1   во всем диапазоне     сбора и обработки данных  asysense2 на трех языках  каз   рус   англ  ")</f>
        <v xml:space="preserve"> атчик термопары беспроводной типа  ata arvest 1102  иапазон температур от  200 до 1200   с точностью до 0 1   во всем диапазоне     сбора и обработки данных  asysense2 на трех языках  каз   рус   англ  </v>
      </c>
    </row>
    <row r="1209" spans="1:8" ht="38.25" x14ac:dyDescent="0.2">
      <c r="A1209" s="31" t="s">
        <v>2733</v>
      </c>
      <c r="B1209" s="27" t="s">
        <v>2734</v>
      </c>
      <c r="C1209" s="27"/>
      <c r="D1209" s="33" t="s">
        <v>14</v>
      </c>
      <c r="E1209" s="34">
        <v>2</v>
      </c>
      <c r="F1209" s="35">
        <v>0.3</v>
      </c>
      <c r="G1209" s="10">
        <v>31475</v>
      </c>
      <c r="H1209" s="30" t="str">
        <f ca="1">IFERROR(__xludf.DUMMYFUNCTION("LOWER(REGEXREPLACE(B1209&amp;"" ""&amp;C1209,""[^а-яa-z0-9 ]"","" ""))")," атчик термоэлектрический  термопара    иапазон измерения  от 0   до  1200     азрешение  0 3   ")</f>
        <v xml:space="preserve"> атчик термоэлектрический  термопара    иапазон измерения  от 0   до  1200     азрешение  0 3   </v>
      </c>
    </row>
    <row r="1210" spans="1:8" ht="12.75" x14ac:dyDescent="0.2">
      <c r="A1210" s="31" t="s">
        <v>2735</v>
      </c>
      <c r="B1210" s="27" t="s">
        <v>2736</v>
      </c>
      <c r="C1210" s="27"/>
      <c r="D1210" s="33" t="s">
        <v>14</v>
      </c>
      <c r="E1210" s="9"/>
      <c r="F1210" s="32"/>
      <c r="G1210" s="10"/>
      <c r="H1210" s="30" t="str">
        <f ca="1">IFERROR(__xludf.DUMMYFUNCTION("LOWER(REGEXREPLACE(B1210&amp;"" ""&amp;C1210,""[^а-яa-z0-9 ]"","" ""))")," атчик частоты сердечных сокращений ")</f>
        <v xml:space="preserve"> атчик частоты сердечных сокращений </v>
      </c>
    </row>
    <row r="1211" spans="1:8" ht="51" x14ac:dyDescent="0.2">
      <c r="A1211" s="31" t="s">
        <v>2737</v>
      </c>
      <c r="B1211" s="27" t="s">
        <v>2738</v>
      </c>
      <c r="C1211" s="27"/>
      <c r="D1211" s="33" t="s">
        <v>14</v>
      </c>
      <c r="E1211" s="34">
        <v>2</v>
      </c>
      <c r="F1211" s="36">
        <v>0.06</v>
      </c>
      <c r="G1211" s="10">
        <v>193301</v>
      </c>
      <c r="H1211" s="30" t="str">
        <f ca="1">IFERROR(__xludf.DUMMYFUNCTION("LOWER(REGEXREPLACE(B1211&amp;"" ""&amp;C1211,""[^а-яa-z0-9 ]"","" ""))")," instein   атчик частоты сердечных сокращений  при физических нагрузках        298   иапазон импульса  0   250 уд мин  ударов в минуту  ")</f>
        <v xml:space="preserve"> instein   атчик частоты сердечных сокращений  при физических нагрузках        298   иапазон импульса  0   250 уд мин  ударов в минуту  </v>
      </c>
    </row>
    <row r="1212" spans="1:8" ht="51" x14ac:dyDescent="0.2">
      <c r="A1212" s="31" t="s">
        <v>2739</v>
      </c>
      <c r="B1212" s="27" t="s">
        <v>2740</v>
      </c>
      <c r="C1212" s="27"/>
      <c r="D1212" s="33" t="s">
        <v>14</v>
      </c>
      <c r="E1212" s="34">
        <v>2</v>
      </c>
      <c r="F1212" s="36">
        <v>0.18</v>
      </c>
      <c r="G1212" s="10">
        <v>149804</v>
      </c>
      <c r="H1212" s="30" t="str">
        <f ca="1">IFERROR(__xludf.DUMMYFUNCTION("LOWER(REGEXREPLACE(B1212&amp;"" ""&amp;C1212,""[^а-яa-z0-9 ]"","" ""))")," атчик беспроводной для измерения частоты сердечных сокращений беспроводной типа  hywe  obra      sense  eart  ate 12935 01   иапазон  30 200 ударов в минуту ")</f>
        <v xml:space="preserve"> атчик беспроводной для измерения частоты сердечных сокращений беспроводной типа  hywe  obra      sense  eart  ate 12935 01   иапазон  30 200 ударов в минуту </v>
      </c>
    </row>
    <row r="1213" spans="1:8" ht="63.75" x14ac:dyDescent="0.2">
      <c r="A1213" s="31" t="s">
        <v>2741</v>
      </c>
      <c r="B1213" s="8" t="s">
        <v>2742</v>
      </c>
      <c r="C1213" s="27"/>
      <c r="D1213" s="33" t="s">
        <v>14</v>
      </c>
      <c r="E1213" s="34">
        <v>2</v>
      </c>
      <c r="F1213" s="35">
        <v>0.3</v>
      </c>
      <c r="G1213" s="10">
        <v>69444</v>
      </c>
      <c r="H1213" s="30" t="str">
        <f ca="1">IFERROR(__xludf.DUMMYFUNCTION("LOWER(REGEXREPLACE(B1213&amp;"" ""&amp;C1213,""[^а-яa-z0-9 ]"","" ""))")," атчик измерения частоты сердечных сокращений   орма волн  0   5     мпульсный  0   200 ударов в минуту   акс  частота дискретизации  100 образцов сек   адиус передатчика  80 см ")</f>
        <v xml:space="preserve"> атчик измерения частоты сердечных сокращений   орма волн  0   5     мпульсный  0   200 ударов в минуту   акс  частота дискретизации  100 образцов сек   адиус передатчика  80 см </v>
      </c>
    </row>
    <row r="1214" spans="1:8" ht="12.75" x14ac:dyDescent="0.2">
      <c r="A1214" s="31" t="s">
        <v>2743</v>
      </c>
      <c r="B1214" s="27" t="s">
        <v>2744</v>
      </c>
      <c r="C1214" s="27"/>
      <c r="D1214" s="33" t="s">
        <v>14</v>
      </c>
      <c r="E1214" s="9"/>
      <c r="F1214" s="32"/>
      <c r="G1214" s="10"/>
      <c r="H1214" s="30" t="str">
        <f ca="1">IFERROR(__xludf.DUMMYFUNCTION("LOWER(REGEXREPLACE(B1214&amp;"" ""&amp;C1214,""[^а-яa-z0-9 ]"","" ""))")," атчик электрокардиограммы ")</f>
        <v xml:space="preserve"> атчик электрокардиограммы </v>
      </c>
    </row>
    <row r="1215" spans="1:8" ht="51" x14ac:dyDescent="0.2">
      <c r="A1215" s="31" t="s">
        <v>2745</v>
      </c>
      <c r="B1215" s="27" t="s">
        <v>2746</v>
      </c>
      <c r="C1215" s="27"/>
      <c r="D1215" s="33" t="s">
        <v>14</v>
      </c>
      <c r="E1215" s="9"/>
      <c r="F1215" s="32"/>
      <c r="G1215" s="10">
        <v>168472</v>
      </c>
      <c r="H1215" s="30" t="str">
        <f ca="1">IFERROR(__xludf.DUMMYFUNCTION("LOWER(REGEXREPLACE(B1215&amp;"" ""&amp;C1215,""[^а-яa-z0-9 ]"","" ""))")," атчик электрокардиограммы беспроводной  o  irect           иапазон    200 м    очность  24 мк    аксимальная частота дискретизации  400 запросов с   астройка канала     ")</f>
        <v xml:space="preserve"> атчик электрокардиограммы беспроводной  o  irect           иапазон    200 м    очность  24 мк    аксимальная частота дискретизации  400 запросов с   астройка канала     </v>
      </c>
    </row>
    <row r="1216" spans="1:8" ht="76.5" x14ac:dyDescent="0.2">
      <c r="A1216" s="31" t="s">
        <v>2747</v>
      </c>
      <c r="B1216" s="27" t="s">
        <v>2748</v>
      </c>
      <c r="C1216" s="27"/>
      <c r="D1216" s="33" t="s">
        <v>14</v>
      </c>
      <c r="E1216" s="9"/>
      <c r="F1216" s="36">
        <v>0.13</v>
      </c>
      <c r="G1216" s="10">
        <v>253799</v>
      </c>
      <c r="H1216" s="30" t="str">
        <f ca="1">IFERROR(__xludf.DUMMYFUNCTION("LOWER(REGEXREPLACE(B1216&amp;"" ""&amp;C1216,""[^а-яa-z0-9 ]"","" ""))")," атчик электрокардиограммы беспроводной  ata arvest 1158   ривая      от 200 до 4000 мк    азрешение  1 мк       соединительный провод  одноразовые кожные электроды в упаковке     сбора и обработки данных  asysense2 на трех языках  каз   рус   англ  языке"&amp;"  ")</f>
        <v xml:space="preserve"> атчик электрокардиограммы беспроводной  ata arvest 1158   ривая      от 200 до 4000 мк    азрешение  1 мк       соединительный провод  одноразовые кожные электроды в упаковке     сбора и обработки данных  asysense2 на трех языках  каз   рус   англ  языке  </v>
      </c>
    </row>
    <row r="1217" spans="1:8" ht="25.5" x14ac:dyDescent="0.2">
      <c r="A1217" s="31" t="s">
        <v>2749</v>
      </c>
      <c r="B1217" s="27" t="s">
        <v>2750</v>
      </c>
      <c r="C1217" s="27"/>
      <c r="D1217" s="33" t="s">
        <v>14</v>
      </c>
      <c r="E1217" s="34">
        <v>2</v>
      </c>
      <c r="F1217" s="36">
        <v>0.06</v>
      </c>
      <c r="G1217" s="10">
        <v>241761</v>
      </c>
      <c r="H1217" s="30" t="str">
        <f ca="1">IFERROR(__xludf.DUMMYFUNCTION("LOWER(REGEXREPLACE(B1217&amp;"" ""&amp;C1217,""[^а-яa-z0-9 ]"","" ""))")," instein датчик          189   иапазон  от 0 до 3     азрешение  12 бит   732 мк  ")</f>
        <v xml:space="preserve"> instein датчик          189   иапазон  от 0 до 3     азрешение  12 бит   732 мк  </v>
      </c>
    </row>
    <row r="1218" spans="1:8" ht="51" x14ac:dyDescent="0.2">
      <c r="A1218" s="31" t="s">
        <v>2751</v>
      </c>
      <c r="B1218" s="8" t="s">
        <v>2752</v>
      </c>
      <c r="C1218" s="27"/>
      <c r="D1218" s="33" t="s">
        <v>14</v>
      </c>
      <c r="E1218" s="34">
        <v>2</v>
      </c>
      <c r="F1218" s="36">
        <v>0.19</v>
      </c>
      <c r="G1218" s="10">
        <v>224328</v>
      </c>
      <c r="H1218" s="30" t="str">
        <f ca="1">IFERROR(__xludf.DUMMYFUNCTION("LOWER(REGEXREPLACE(B1218&amp;"" ""&amp;C1218,""[^а-яa-z0-9 ]"","" ""))")," атчик электрокардиограммы беспроводной типа  hywe  obra      sense     12934 01   иапазон  0 4 5 м    азрешение  4 5 мк    астота измерений  1000  ц ")</f>
        <v xml:space="preserve"> атчик электрокардиограммы беспроводной типа  hywe  obra      sense     12934 01   иапазон  0 4 5 м    азрешение  4 5 мк    астота измерений  1000  ц </v>
      </c>
    </row>
    <row r="1219" spans="1:8" ht="38.25" x14ac:dyDescent="0.2">
      <c r="A1219" s="31" t="s">
        <v>2753</v>
      </c>
      <c r="B1219" s="27" t="s">
        <v>2754</v>
      </c>
      <c r="C1219" s="27"/>
      <c r="D1219" s="33" t="s">
        <v>14</v>
      </c>
      <c r="E1219" s="34">
        <v>2</v>
      </c>
      <c r="F1219" s="35">
        <v>0.2</v>
      </c>
      <c r="G1219" s="10">
        <v>187853</v>
      </c>
      <c r="H1219" s="30" t="str">
        <f ca="1">IFERROR(__xludf.DUMMYFUNCTION("LOWER(REGEXREPLACE(B1219&amp;"" ""&amp;C1219,""[^а-яa-z0-9 ]"","" ""))")," атчик электрокардиограммы беспроводной типа  cience ube    121      ireless             иапазон  0 5 м    азрешение  5u  ")</f>
        <v xml:space="preserve"> атчик электрокардиограммы беспроводной типа  cience ube    121      ireless             иапазон  0 5 м    азрешение  5u  </v>
      </c>
    </row>
    <row r="1220" spans="1:8" ht="25.5" x14ac:dyDescent="0.2">
      <c r="A1220" s="31" t="s">
        <v>2755</v>
      </c>
      <c r="B1220" s="27" t="s">
        <v>2756</v>
      </c>
      <c r="C1220" s="27"/>
      <c r="D1220" s="33" t="s">
        <v>14</v>
      </c>
      <c r="E1220" s="34">
        <v>2</v>
      </c>
      <c r="F1220" s="36">
        <v>0.18</v>
      </c>
      <c r="G1220" s="10">
        <v>35208</v>
      </c>
      <c r="H1220" s="30" t="str">
        <f ca="1">IFERROR(__xludf.DUMMYFUNCTION("LOWER(REGEXREPLACE(B1220&amp;"" ""&amp;C1220,""[^а-яa-z0-9 ]"","" ""))")," атчик     типа  ense disc  1011   иапазон   1 м  5 м  ")</f>
        <v xml:space="preserve"> атчик     типа  ense disc  1011   иапазон   1 м  5 м  </v>
      </c>
    </row>
    <row r="1221" spans="1:8" ht="38.25" x14ac:dyDescent="0.2">
      <c r="A1221" s="31" t="s">
        <v>2757</v>
      </c>
      <c r="B1221" s="27" t="s">
        <v>2758</v>
      </c>
      <c r="C1221" s="27"/>
      <c r="D1221" s="33" t="s">
        <v>14</v>
      </c>
      <c r="E1221" s="34">
        <v>2</v>
      </c>
      <c r="F1221" s="35">
        <v>0.1</v>
      </c>
      <c r="G1221" s="10">
        <v>147088</v>
      </c>
      <c r="H1221" s="30" t="str">
        <f ca="1">IFERROR(__xludf.DUMMYFUNCTION("LOWER(REGEXREPLACE(B1221&amp;"" ""&amp;C1221,""[^а-яa-z0-9 ]"","" ""))")," атчик электрокардиограммы типа  icro ab  lab ecg   иапазаон измерений 1 5    3 3     комплекте одноразовые кожные электроды ")</f>
        <v xml:space="preserve"> атчик электрокардиограммы типа  icro ab  lab ecg   иапазаон измерений 1 5    3 3     комплекте одноразовые кожные электроды </v>
      </c>
    </row>
    <row r="1222" spans="1:8" ht="12.75" x14ac:dyDescent="0.2">
      <c r="A1222" s="31" t="s">
        <v>2759</v>
      </c>
      <c r="B1222" s="27" t="s">
        <v>2760</v>
      </c>
      <c r="C1222" s="27"/>
      <c r="D1222" s="33" t="s">
        <v>14</v>
      </c>
      <c r="E1222" s="9"/>
      <c r="F1222" s="32"/>
      <c r="G1222" s="10"/>
      <c r="H1222" s="30" t="str">
        <f ca="1">IFERROR(__xludf.DUMMYFUNCTION("LOWER(REGEXREPLACE(B1222&amp;"" ""&amp;C1222,""[^а-яa-z0-9 ]"","" ""))")," атчик электропроводности ")</f>
        <v xml:space="preserve"> атчик электропроводности </v>
      </c>
    </row>
    <row r="1223" spans="1:8" ht="89.25" x14ac:dyDescent="0.2">
      <c r="A1223" s="31" t="s">
        <v>2761</v>
      </c>
      <c r="B1223" s="27" t="s">
        <v>2762</v>
      </c>
      <c r="C1223" s="27"/>
      <c r="D1223" s="33" t="s">
        <v>14</v>
      </c>
      <c r="E1223" s="9"/>
      <c r="F1223" s="32"/>
      <c r="G1223" s="10">
        <v>118625</v>
      </c>
      <c r="H1223" s="30" t="str">
        <f ca="1">IFERROR(__xludf.DUMMYFUNCTION("LOWER(REGEXREPLACE(B1223&amp;"" ""&amp;C1223,""[^а-яa-z0-9 ]"","" ""))")," атчик электропроводности беспроводной  o  irect           иапазон  от 0 до 20 000 мк м   см  от 0 до 10000 мг   л        емпературная компенсация   втоматическая 5   35      может быть отключена   иапазон температур  регулируется   0 80       татическая "&amp;"ячейки  1 0 см 1 ")</f>
        <v xml:space="preserve"> атчик электропроводности беспроводной  o  irect           иапазон  от 0 до 20 000 мк м   см  от 0 до 10000 мг   л        емпературная компенсация   втоматическая 5   35      может быть отключена   иапазон температур  регулируется   0 80       татическая ячейки  1 0 см 1 </v>
      </c>
    </row>
    <row r="1224" spans="1:8" ht="114.75" x14ac:dyDescent="0.2">
      <c r="A1224" s="31" t="s">
        <v>2763</v>
      </c>
      <c r="B1224" s="8" t="s">
        <v>2764</v>
      </c>
      <c r="C1224" s="27"/>
      <c r="D1224" s="33" t="s">
        <v>14</v>
      </c>
      <c r="E1224" s="9"/>
      <c r="F1224" s="37">
        <v>8.5000000000000006E-2</v>
      </c>
      <c r="G1224" s="10">
        <v>180938</v>
      </c>
      <c r="H1224" s="30" t="str">
        <f ca="1">IFERROR(__xludf.DUMMYFUNCTION("LOWER(REGEXREPLACE(B1224&amp;"" ""&amp;C1224,""[^а-яa-z0-9 ]"","" ""))")," атчик проводимости беспроводной  ata arvest 1112   иапазоны проводимости  100 000 мкс  разрешение 0 1 мкс  20 000 мкс  разрешение 0 01 мкс  1000 мкс  разрешение 0 001 мкс   нтеллектуальный беспроводной адаптер проводимости  электрод проводимости      сое"&amp;"динительный провод     сбора и обработки данных  asysense2 на трех языках  каз   рус   англ  языке  ")</f>
        <v xml:space="preserve"> атчик проводимости беспроводной  ata arvest 1112   иапазоны проводимости  100 000 мкс  разрешение 0 1 мкс  20 000 мкс  разрешение 0 01 мкс  1000 мкс  разрешение 0 001 мкс   нтеллектуальный беспроводной адаптер проводимости  электрод проводимости      соединительный провод     сбора и обработки данных  asysense2 на трех языках  каз   рус   англ  языке  </v>
      </c>
    </row>
    <row r="1225" spans="1:8" ht="51" x14ac:dyDescent="0.2">
      <c r="A1225" s="31" t="s">
        <v>2765</v>
      </c>
      <c r="B1225" s="27" t="s">
        <v>2766</v>
      </c>
      <c r="C1225" s="27"/>
      <c r="D1225" s="33" t="s">
        <v>14</v>
      </c>
      <c r="E1225" s="34">
        <v>2</v>
      </c>
      <c r="F1225" s="36">
        <v>0.06</v>
      </c>
      <c r="G1225" s="10">
        <v>144336</v>
      </c>
      <c r="H1225" s="30" t="str">
        <f ca="1">IFERROR(__xludf.DUMMYFUNCTION("LOWER(REGEXREPLACE(B1225&amp;"" ""&amp;C1225,""[^а-яa-z0-9 ]"","" ""))")," instein   атчик проводимости температуры      435    иапазон  0 05 80 мс   очность   8   по всему диапазону   азрешение  12 бит   5 мкс ")</f>
        <v xml:space="preserve"> instein   атчик проводимости температуры      435    иапазон  0 05 80 мс   очность   8   по всему диапазону   азрешение  12 бит   5 мкс </v>
      </c>
    </row>
    <row r="1226" spans="1:8" ht="76.5" x14ac:dyDescent="0.2">
      <c r="A1226" s="31" t="s">
        <v>2767</v>
      </c>
      <c r="B1226" s="8" t="s">
        <v>2768</v>
      </c>
      <c r="C1226" s="27"/>
      <c r="D1226" s="33" t="s">
        <v>14</v>
      </c>
      <c r="E1226" s="34">
        <v>2</v>
      </c>
      <c r="F1226" s="36">
        <v>0.19</v>
      </c>
      <c r="G1226" s="10">
        <v>160276</v>
      </c>
      <c r="H1226" s="30" t="str">
        <f ca="1">IFERROR(__xludf.DUMMYFUNCTION("LOWER(REGEXREPLACE(B1226&amp;"" ""&amp;C1226,""[^а-яa-z0-9 ]"","" ""))")," атчик электропроводности беспроводной типа  hywe  obra      sense    onductivity 12922 01   иапазон  0     20 000 мк м см   азрешение  0 1 мк м см   иапазон  0     60      азрешение  0 1      корость  10  ц ")</f>
        <v xml:space="preserve"> атчик электропроводности беспроводной типа  hywe  obra      sense    onductivity 12922 01   иапазон  0     20 000 мк м см   азрешение  0 1 мк м см   иапазон  0     60      азрешение  0 1      корость  10  ц </v>
      </c>
    </row>
    <row r="1227" spans="1:8" ht="38.25" x14ac:dyDescent="0.2">
      <c r="A1227" s="31" t="s">
        <v>2769</v>
      </c>
      <c r="B1227" s="27" t="s">
        <v>2770</v>
      </c>
      <c r="C1227" s="27"/>
      <c r="D1227" s="33" t="s">
        <v>14</v>
      </c>
      <c r="E1227" s="34">
        <v>2</v>
      </c>
      <c r="F1227" s="36">
        <v>0.18</v>
      </c>
      <c r="G1227" s="10">
        <v>114848</v>
      </c>
      <c r="H1227" s="30" t="str">
        <f ca="1">IFERROR(__xludf.DUMMYFUNCTION("LOWER(REGEXREPLACE(B1227&amp;"" ""&amp;C1227,""[^а-яa-z0-9 ]"","" ""))")," атчик проводимости беспроводной типа  cience ube    107     иапазон  0 20000 мк м   азрешение 0 3 мк м см ")</f>
        <v xml:space="preserve"> атчик проводимости беспроводной типа  cience ube    107     иапазон  0 20000 мк м   азрешение 0 3 мк м см </v>
      </c>
    </row>
    <row r="1228" spans="1:8" ht="38.25" x14ac:dyDescent="0.2">
      <c r="A1228" s="31" t="s">
        <v>2771</v>
      </c>
      <c r="B1228" s="27" t="s">
        <v>2772</v>
      </c>
      <c r="C1228" s="27"/>
      <c r="D1228" s="33" t="s">
        <v>14</v>
      </c>
      <c r="E1228" s="34">
        <v>2</v>
      </c>
      <c r="F1228" s="36">
        <v>0.17</v>
      </c>
      <c r="G1228" s="10">
        <v>46134</v>
      </c>
      <c r="H1228" s="30" t="str">
        <f ca="1">IFERROR(__xludf.DUMMYFUNCTION("LOWER(REGEXREPLACE(B1228&amp;"" ""&amp;C1228,""[^а-яa-z0-9 ]"","" ""))")," атчик проводимости типа  ense disc  1003   очность     4    иапазон  0 20000 мк м см   азрешение  6 мк м см ")</f>
        <v xml:space="preserve"> атчик проводимости типа  ense disc  1003   очность     4    иапазон  0 20000 мк м см   азрешение  6 мк м см </v>
      </c>
    </row>
    <row r="1229" spans="1:8" ht="63.75" x14ac:dyDescent="0.2">
      <c r="A1229" s="31" t="s">
        <v>2773</v>
      </c>
      <c r="B1229" s="8" t="s">
        <v>2774</v>
      </c>
      <c r="C1229" s="27"/>
      <c r="D1229" s="33" t="s">
        <v>14</v>
      </c>
      <c r="E1229" s="34">
        <v>2</v>
      </c>
      <c r="F1229" s="35">
        <v>0.1</v>
      </c>
      <c r="G1229" s="10">
        <v>98023</v>
      </c>
      <c r="H1229" s="30" t="str">
        <f ca="1">IFERROR(__xludf.DUMMYFUNCTION("LOWER(REGEXREPLACE(B1229&amp;"" ""&amp;C1229,""[^а-яa-z0-9 ]"","" ""))")," атчик проводимости типа  icro ab  lab conductivity   абочее напряжение 3 3  5    иапазон 0 2000 мкс см   азрешение    5          абочая температура 5 80  ")</f>
        <v xml:space="preserve"> атчик проводимости типа  icro ab  lab conductivity   абочее напряжение 3 3  5    иапазон 0 2000 мкс см   азрешение    5          абочая температура 5 80  </v>
      </c>
    </row>
    <row r="1230" spans="1:8" ht="89.25" x14ac:dyDescent="0.2">
      <c r="A1230" s="31" t="s">
        <v>2775</v>
      </c>
      <c r="B1230" s="27" t="s">
        <v>2776</v>
      </c>
      <c r="C1230" s="27"/>
      <c r="D1230" s="33" t="s">
        <v>14</v>
      </c>
      <c r="E1230" s="34">
        <v>2</v>
      </c>
      <c r="F1230" s="35">
        <v>0.3</v>
      </c>
      <c r="G1230" s="10">
        <v>57703</v>
      </c>
      <c r="H1230" s="30" t="str">
        <f ca="1">IFERROR(__xludf.DUMMYFUNCTION("LOWER(REGEXREPLACE(B1230&amp;"" ""&amp;C1230,""[^а-яa-z0-9 ]"","" ""))")," атчик измерения электропроводности   инимальный диапазон  от 0 до 200м  см  средний диапазон  от 0 до 2000м  см  максимальный диапазон  от 0 до 20000м  см   увствительность  минимального диапазона  0 1м  см  среднего диапазона  1м  см  максимального диап"&amp;"азона  10м  см ")</f>
        <v xml:space="preserve"> атчик измерения электропроводности   инимальный диапазон  от 0 до 200м  см  средний диапазон  от 0 до 2000м  см  максимальный диапазон  от 0 до 20000м  см   увствительность  минимального диапазона  0 1м  см  среднего диапазона  1м  см  максимального диапазона  10м  см </v>
      </c>
    </row>
    <row r="1231" spans="1:8" ht="12.75" x14ac:dyDescent="0.2">
      <c r="A1231" s="31" t="s">
        <v>2777</v>
      </c>
      <c r="B1231" s="27" t="s">
        <v>2778</v>
      </c>
      <c r="C1231" s="27"/>
      <c r="D1231" s="33" t="s">
        <v>14</v>
      </c>
      <c r="E1231" s="9"/>
      <c r="F1231" s="32"/>
      <c r="G1231" s="10"/>
      <c r="H1231" s="30" t="str">
        <f ca="1">IFERROR(__xludf.DUMMYFUNCTION("LOWER(REGEXREPLACE(B1231&amp;"" ""&amp;C1231,""[^а-яa-z0-9 ]"","" ""))")," олориметр ")</f>
        <v xml:space="preserve"> олориметр </v>
      </c>
    </row>
    <row r="1232" spans="1:8" ht="63.75" x14ac:dyDescent="0.2">
      <c r="A1232" s="31" t="s">
        <v>2779</v>
      </c>
      <c r="B1232" s="8" t="s">
        <v>2780</v>
      </c>
      <c r="C1232" s="27"/>
      <c r="D1232" s="33" t="s">
        <v>14</v>
      </c>
      <c r="E1232" s="9"/>
      <c r="F1232" s="32"/>
      <c r="G1232" s="10">
        <v>128598</v>
      </c>
      <c r="H1232" s="30" t="str">
        <f ca="1">IFERROR(__xludf.DUMMYFUNCTION("LOWER(REGEXREPLACE(B1232&amp;"" ""&amp;C1232,""[^а-яa-z0-9 ]"","" ""))")," олориметр беспроводной  o  irect           иапазон  0   3  абсорбция    олезный диапазон  0 05 1 0   оэффициент пропускания от 90  до 10          лины волн  430 нм  470 нм  565 нм  635 нм ")</f>
        <v xml:space="preserve"> олориметр беспроводной  o  irect           иапазон  0   3  абсорбция    олезный диапазон  0 05 1 0   оэффициент пропускания от 90  до 10          лины волн  430 нм  470 нм  565 нм  635 нм </v>
      </c>
    </row>
    <row r="1233" spans="1:8" ht="76.5" x14ac:dyDescent="0.2">
      <c r="A1233" s="31" t="s">
        <v>2781</v>
      </c>
      <c r="B1233" s="8" t="s">
        <v>2782</v>
      </c>
      <c r="C1233" s="27"/>
      <c r="D1233" s="33" t="s">
        <v>14</v>
      </c>
      <c r="E1233" s="9"/>
      <c r="F1233" s="37">
        <v>8.5000000000000006E-2</v>
      </c>
      <c r="G1233" s="10">
        <v>227691</v>
      </c>
      <c r="H1233" s="30" t="str">
        <f ca="1">IFERROR(__xludf.DUMMYFUNCTION("LOWER(REGEXREPLACE(B1233&amp;"" ""&amp;C1233,""[^а-яa-z0-9 ]"","" ""))")," атчик колориметр беспроводной  ata arvest 1220  5 длин волн колориметра  470 нм  520 нм  573 нм  625 нм  660 нм  850 нм    для мутности   паковка из 3 адаптеров     сбора и обработки данных  asysense2 на трех языках  каз   рус   англ  языке  ")</f>
        <v xml:space="preserve"> атчик колориметр беспроводной  ata arvest 1220  5 длин волн колориметра  470 нм  520 нм  573 нм  625 нм  660 нм  850 нм    для мутности   паковка из 3 адаптеров     сбора и обработки данных  asysense2 на трех языках  каз   рус   англ  языке  </v>
      </c>
    </row>
    <row r="1234" spans="1:8" ht="51" x14ac:dyDescent="0.2">
      <c r="A1234" s="31" t="s">
        <v>2783</v>
      </c>
      <c r="B1234" s="27" t="s">
        <v>2784</v>
      </c>
      <c r="C1234" s="27"/>
      <c r="D1234" s="33" t="s">
        <v>14</v>
      </c>
      <c r="E1234" s="34">
        <v>2</v>
      </c>
      <c r="F1234" s="36">
        <v>0.13</v>
      </c>
      <c r="G1234" s="10">
        <v>204318</v>
      </c>
      <c r="H1234" s="30" t="str">
        <f ca="1">IFERROR(__xludf.DUMMYFUNCTION("LOWER(REGEXREPLACE(B1234&amp;"" ""&amp;C1234,""[^а-яa-z0-9 ]"","" ""))")," атчик колориметр беспроводной типа  hywe  obra      sense  olorimeter 12924 01   иапазон измерения  0     400       азрешение  0 1     ")</f>
        <v xml:space="preserve"> атчик колориметр беспроводной типа  hywe  obra      sense  olorimeter 12924 01   иапазон измерения  0     400       азрешение  0 1     </v>
      </c>
    </row>
    <row r="1235" spans="1:8" ht="76.5" x14ac:dyDescent="0.2">
      <c r="A1235" s="31" t="s">
        <v>2785</v>
      </c>
      <c r="B1235" s="8" t="s">
        <v>2786</v>
      </c>
      <c r="C1235" s="27"/>
      <c r="D1235" s="33" t="s">
        <v>14</v>
      </c>
      <c r="E1235" s="34">
        <v>2</v>
      </c>
      <c r="F1235" s="36">
        <v>0.25</v>
      </c>
      <c r="G1235" s="10">
        <v>111288</v>
      </c>
      <c r="H1235" s="30" t="str">
        <f ca="1">IFERROR(__xludf.DUMMYFUNCTION("LOWER(REGEXREPLACE(B1235&amp;"" ""&amp;C1235,""[^а-яa-z0-9 ]"","" ""))")," атчик колориметр беспроводной типа  cience ube    128     иапазоны длин волн  красный 635 нм или 6350    зеленый 565 нм или 5650    синий 470 нм или 4700    фиолетовый 430 нм или 4300     азрешение  0 035    ")</f>
        <v xml:space="preserve"> атчик колориметр беспроводной типа  cience ube    128     иапазоны длин волн  красный 635 нм или 6350    зеленый 565 нм или 5650    синий 470 нм или 4700    фиолетовый 430 нм или 4300     азрешение  0 035    </v>
      </c>
    </row>
    <row r="1236" spans="1:8" ht="51" x14ac:dyDescent="0.2">
      <c r="A1236" s="31" t="s">
        <v>2787</v>
      </c>
      <c r="B1236" s="27" t="s">
        <v>2788</v>
      </c>
      <c r="C1236" s="27"/>
      <c r="D1236" s="33" t="s">
        <v>14</v>
      </c>
      <c r="E1236" s="34">
        <v>2</v>
      </c>
      <c r="F1236" s="35">
        <v>0.1</v>
      </c>
      <c r="G1236" s="10">
        <v>112272</v>
      </c>
      <c r="H1236" s="30" t="str">
        <f ca="1">IFERROR(__xludf.DUMMYFUNCTION("LOWER(REGEXREPLACE(B1236&amp;"" ""&amp;C1236,""[^а-яa-z0-9 ]"","" ""))")," атчик колориметр типа  icro ab  lab colorimeter   оэффициент пропускания  20 90     очность    10     азрешение  12 бит   0 03   ")</f>
        <v xml:space="preserve"> атчик колориметр типа  icro ab  lab colorimeter   оэффициент пропускания  20 90     очность    10     азрешение  12 бит   0 03   </v>
      </c>
    </row>
    <row r="1237" spans="1:8" ht="63.75" x14ac:dyDescent="0.2">
      <c r="A1237" s="31" t="s">
        <v>2789</v>
      </c>
      <c r="B1237" s="8" t="s">
        <v>2790</v>
      </c>
      <c r="C1237" s="27"/>
      <c r="D1237" s="33" t="s">
        <v>14</v>
      </c>
      <c r="E1237" s="34">
        <v>2</v>
      </c>
      <c r="F1237" s="36">
        <v>0.06</v>
      </c>
      <c r="G1237" s="10">
        <v>214030</v>
      </c>
      <c r="H1237" s="30" t="str">
        <f ca="1">IFERROR(__xludf.DUMMYFUNCTION("LOWER(REGEXREPLACE(B1237&amp;"" ""&amp;C1237,""[^а-яa-z0-9 ]"","" ""))")," атчик колориметр типа  instein        185   оэффициент пропускания  20 90    очность    10   азрешение  12 бит   0 03    бъем ячейки  3 5 куб см   ирина ячейки  1 см ")</f>
        <v xml:space="preserve"> атчик колориметр типа  instein        185   оэффициент пропускания  20 90    очность    10   азрешение  12 бит   0 03    бъем ячейки  3 5 куб см   ирина ячейки  1 см </v>
      </c>
    </row>
    <row r="1238" spans="1:8" ht="12.75" x14ac:dyDescent="0.2">
      <c r="A1238" s="31" t="s">
        <v>2791</v>
      </c>
      <c r="B1238" s="27" t="s">
        <v>2792</v>
      </c>
      <c r="C1238" s="27" t="s">
        <v>2792</v>
      </c>
      <c r="D1238" s="33" t="s">
        <v>14</v>
      </c>
      <c r="E1238" s="9"/>
      <c r="F1238" s="32"/>
      <c r="G1238" s="10">
        <v>56786</v>
      </c>
      <c r="H1238" s="30" t="str">
        <f ca="1">IFERROR(__xludf.DUMMYFUNCTION("LOWER(REGEXREPLACE(B1238&amp;"" ""&amp;C1238,""[^а-яa-z0-9 ]"","" ""))")," икроскоп цифровой портативный      икроскоп цифровой портативный    ")</f>
        <v xml:space="preserve"> икроскоп цифровой портативный      икроскоп цифровой портативный    </v>
      </c>
    </row>
    <row r="1239" spans="1:8" ht="12.75" x14ac:dyDescent="0.2">
      <c r="A1239" s="31" t="s">
        <v>2793</v>
      </c>
      <c r="B1239" s="27" t="s">
        <v>2794</v>
      </c>
      <c r="C1239" s="27"/>
      <c r="D1239" s="33" t="s">
        <v>14</v>
      </c>
      <c r="E1239" s="9"/>
      <c r="F1239" s="32"/>
      <c r="G1239" s="10"/>
      <c r="H1239" s="30" t="str">
        <f ca="1">IFERROR(__xludf.DUMMYFUNCTION("LOWER(REGEXREPLACE(B1239&amp;"" ""&amp;C1239,""[^а-яa-z0-9 ]"","" ""))")," пирометр ")</f>
        <v xml:space="preserve"> пирометр </v>
      </c>
    </row>
    <row r="1240" spans="1:8" ht="25.5" x14ac:dyDescent="0.2">
      <c r="A1240" s="31" t="s">
        <v>2795</v>
      </c>
      <c r="B1240" s="27" t="s">
        <v>2796</v>
      </c>
      <c r="C1240" s="27"/>
      <c r="D1240" s="33" t="s">
        <v>14</v>
      </c>
      <c r="E1240" s="34">
        <v>2</v>
      </c>
      <c r="F1240" s="35">
        <v>0.1</v>
      </c>
      <c r="G1240" s="10">
        <v>138027</v>
      </c>
      <c r="H1240" s="30" t="str">
        <f ca="1">IFERROR(__xludf.DUMMYFUNCTION("LOWER(REGEXREPLACE(B1240&amp;"" ""&amp;C1240,""[^а-яa-z0-9 ]"","" ""))")," нешний датчик дыхания  lobisense   иапазон    200 л мин ")</f>
        <v xml:space="preserve"> нешний датчик дыхания  lobisense   иапазон    200 л мин </v>
      </c>
    </row>
    <row r="1241" spans="1:8" ht="76.5" x14ac:dyDescent="0.2">
      <c r="A1241" s="31" t="s">
        <v>2797</v>
      </c>
      <c r="B1241" s="8" t="s">
        <v>2798</v>
      </c>
      <c r="C1241" s="27"/>
      <c r="D1241" s="33" t="s">
        <v>14</v>
      </c>
      <c r="E1241" s="34">
        <v>2</v>
      </c>
      <c r="F1241" s="36">
        <v>0.22</v>
      </c>
      <c r="G1241" s="10">
        <v>271990</v>
      </c>
      <c r="H1241" s="30" t="str">
        <f ca="1">IFERROR(__xludf.DUMMYFUNCTION("LOWER(REGEXREPLACE(B1241&amp;"" ""&amp;C1241,""[^а-яa-z0-9 ]"","" ""))")," атчик для измерения дыхательного объема беспроводной типа  hywe  obra      sense  pirometer 12936 01   корость потока   иапазон     10 л с   азрешение  0 01л с   бъем   иапазон     15 л   азрешение  0 01л ")</f>
        <v xml:space="preserve"> атчик для измерения дыхательного объема беспроводной типа  hywe  obra      sense  pirometer 12936 01   корость потока   иапазон     10 л с   азрешение  0 01л с   бъем   иапазон     15 л   азрешение  0 01л </v>
      </c>
    </row>
    <row r="1242" spans="1:8" ht="38.25" x14ac:dyDescent="0.2">
      <c r="A1242" s="31" t="s">
        <v>2799</v>
      </c>
      <c r="B1242" s="27" t="s">
        <v>2800</v>
      </c>
      <c r="C1242" s="27"/>
      <c r="D1242" s="33" t="s">
        <v>14</v>
      </c>
      <c r="E1242" s="34">
        <v>2</v>
      </c>
      <c r="F1242" s="35">
        <v>0.2</v>
      </c>
      <c r="G1242" s="10">
        <v>70415</v>
      </c>
      <c r="H1242" s="30" t="str">
        <f ca="1">IFERROR(__xludf.DUMMYFUNCTION("LOWER(REGEXREPLACE(B1242&amp;"" ""&amp;C1242,""[^а-яa-z0-9 ]"","" ""))")," атчик спирометр типа  ense disc  1012   иапазон   10 л с 10 л с   очность     3    азрешение  0 01 л с ")</f>
        <v xml:space="preserve"> атчик спирометр типа  ense disc  1012   иапазон   10 л с 10 л с   очность     3    азрешение  0 01 л с </v>
      </c>
    </row>
    <row r="1243" spans="1:8" ht="12.75" x14ac:dyDescent="0.2">
      <c r="A1243" s="31" t="s">
        <v>2801</v>
      </c>
      <c r="B1243" s="27" t="s">
        <v>2802</v>
      </c>
      <c r="C1243" s="27"/>
      <c r="D1243" s="33" t="s">
        <v>14</v>
      </c>
      <c r="E1243" s="9"/>
      <c r="F1243" s="32"/>
      <c r="G1243" s="10"/>
      <c r="H1243" s="30" t="str">
        <f ca="1">IFERROR(__xludf.DUMMYFUNCTION("LOWER(REGEXREPLACE(B1243&amp;"" ""&amp;C1243,""[^а-яa-z0-9 ]"","" ""))")," атчик р  ")</f>
        <v xml:space="preserve"> атчик р  </v>
      </c>
    </row>
    <row r="1244" spans="1:8" ht="114.75" x14ac:dyDescent="0.2">
      <c r="A1244" s="31" t="s">
        <v>2803</v>
      </c>
      <c r="B1244" s="8" t="s">
        <v>2804</v>
      </c>
      <c r="C1244" s="27"/>
      <c r="D1244" s="33" t="s">
        <v>14</v>
      </c>
      <c r="E1244" s="9"/>
      <c r="F1244" s="37">
        <v>8.5000000000000006E-2</v>
      </c>
      <c r="G1244" s="10">
        <v>139650</v>
      </c>
      <c r="H1244" s="30" t="str">
        <f ca="1">IFERROR(__xludf.DUMMYFUNCTION("LOWER(REGEXREPLACE(B1244&amp;"" ""&amp;C1244,""[^а-яa-z0-9 ]"","" ""))")," атчик измерений качества воды  p   беспроводной  ata arvest 1110     иапазон 1  p   от 0 00 до 14 00 p    иапазон 2   1000 м    иапазон 3   ользовательский p   от 0 00 до 14 00 p    азрешение 0 01 р  1 м    еспроводной адаптер p   p  электрод  мини     к"&amp;"абель     сбора и обработки данных  asysense2 на трех языках  каз   рус   англ  языке  ")</f>
        <v xml:space="preserve"> атчик измерений качества воды  p   беспроводной  ata arvest 1110     иапазон 1  p   от 0 00 до 14 00 p    иапазон 2   1000 м    иапазон 3   ользовательский p   от 0 00 до 14 00 p    азрешение 0 01 р  1 м    еспроводной адаптер p   p  электрод  мини     кабель     сбора и обработки данных  asysense2 на трех языках  каз   рус   англ  языке  </v>
      </c>
    </row>
    <row r="1245" spans="1:8" ht="51" x14ac:dyDescent="0.2">
      <c r="A1245" s="31" t="s">
        <v>2805</v>
      </c>
      <c r="B1245" s="27" t="s">
        <v>2806</v>
      </c>
      <c r="C1245" s="27"/>
      <c r="D1245" s="33" t="s">
        <v>14</v>
      </c>
      <c r="E1245" s="34">
        <v>2</v>
      </c>
      <c r="F1245" s="36">
        <v>0.06</v>
      </c>
      <c r="G1245" s="10">
        <v>137498</v>
      </c>
      <c r="H1245" s="30" t="str">
        <f ca="1">IFERROR(__xludf.DUMMYFUNCTION("LOWER(REGEXREPLACE(B1245&amp;"" ""&amp;C1245,""[^а-яa-z0-9 ]"","" ""))")," instein   атчик    с обычным электродом       016   иапазон  от 0 до 14 p    очность   2   по всему диапазону после температурной компенсации   азрешение  12 бит   0 004 p  ")</f>
        <v xml:space="preserve"> instein   атчик    с обычным электродом       016   иапазон  от 0 до 14 p    очность   2   по всему диапазону после температурной компенсации   азрешение  12 бит   0 004 p  </v>
      </c>
    </row>
    <row r="1246" spans="1:8" ht="51" x14ac:dyDescent="0.2">
      <c r="A1246" s="31" t="s">
        <v>2807</v>
      </c>
      <c r="B1246" s="8" t="s">
        <v>2808</v>
      </c>
      <c r="C1246" s="27"/>
      <c r="D1246" s="33" t="s">
        <v>14</v>
      </c>
      <c r="E1246" s="34">
        <v>2</v>
      </c>
      <c r="F1246" s="36">
        <v>0.18</v>
      </c>
      <c r="G1246" s="10">
        <v>119885</v>
      </c>
      <c r="H1246" s="30" t="str">
        <f ca="1">IFERROR(__xludf.DUMMYFUNCTION("LOWER(REGEXREPLACE(B1246&amp;"" ""&amp;C1246,""[^а-яa-z0-9 ]"","" ""))")," атчик измерений качества воды беспроводной p  типа  hywe  obra      sense p  12921 00   иапазон  0 14   азрешение  0 01   астота измерений  100  ц ")</f>
        <v xml:space="preserve"> атчик измерений качества воды беспроводной p  типа  hywe  obra      sense p  12921 00   иапазон  0 14   азрешение  0 01   астота измерений  100  ц </v>
      </c>
    </row>
    <row r="1247" spans="1:8" ht="51" x14ac:dyDescent="0.2">
      <c r="A1247" s="31" t="s">
        <v>2809</v>
      </c>
      <c r="B1247" s="8" t="s">
        <v>2810</v>
      </c>
      <c r="C1247" s="27"/>
      <c r="D1247" s="33" t="s">
        <v>14</v>
      </c>
      <c r="E1247" s="34">
        <v>2</v>
      </c>
      <c r="F1247" s="36">
        <v>0.22</v>
      </c>
      <c r="G1247" s="10">
        <v>102385</v>
      </c>
      <c r="H1247" s="30" t="str">
        <f ca="1">IFERROR(__xludf.DUMMYFUNCTION("LOWER(REGEXREPLACE(B1247&amp;"" ""&amp;C1247,""[^а-яa-z0-9 ]"","" ""))")," атчик измерений качества воды беспроводной  p   типа  cience ube    104     иапазон  от 0 до 14   очность     0 1 p    азрешение  0 01 p  ")</f>
        <v xml:space="preserve"> атчик измерений качества воды беспроводной  p   типа  cience ube    104     иапазон  от 0 до 14   очность     0 1 p    азрешение  0 01 p  </v>
      </c>
    </row>
    <row r="1248" spans="1:8" ht="25.5" x14ac:dyDescent="0.2">
      <c r="A1248" s="31" t="s">
        <v>2811</v>
      </c>
      <c r="B1248" s="8" t="s">
        <v>2812</v>
      </c>
      <c r="C1248" s="27"/>
      <c r="D1248" s="33" t="s">
        <v>14</v>
      </c>
      <c r="E1248" s="34">
        <v>2</v>
      </c>
      <c r="F1248" s="36">
        <v>0.21</v>
      </c>
      <c r="G1248" s="10">
        <v>31566</v>
      </c>
      <c r="H1248" s="30" t="str">
        <f ca="1">IFERROR(__xludf.DUMMYFUNCTION("LOWER(REGEXREPLACE(B1248&amp;"" ""&amp;C1248,""[^а-яa-z0-9 ]"","" ""))")," атчик p  типа  ense disc  1002   иапазон  0 14   очность     0 2p    азрешение  0 01 ")</f>
        <v xml:space="preserve"> атчик p  типа  ense disc  1002   иапазон  0 14   очность     0 2p    азрешение  0 01 </v>
      </c>
    </row>
    <row r="1249" spans="1:8" ht="51" x14ac:dyDescent="0.2">
      <c r="A1249" s="31" t="s">
        <v>2813</v>
      </c>
      <c r="B1249" s="8" t="s">
        <v>2814</v>
      </c>
      <c r="C1249" s="27"/>
      <c r="D1249" s="33" t="s">
        <v>14</v>
      </c>
      <c r="E1249" s="34">
        <v>2</v>
      </c>
      <c r="F1249" s="35">
        <v>0.1</v>
      </c>
      <c r="G1249" s="10">
        <v>81584</v>
      </c>
      <c r="H1249" s="30" t="str">
        <f ca="1">IFERROR(__xludf.DUMMYFUNCTION("LOWER(REGEXREPLACE(B1249&amp;"" ""&amp;C1249,""[^а-яa-z0-9 ]"","" ""))")," атчик измерений качества воды  p   типа  icro ab  lab ph   абочее напряжение 3 3   5     иапазон 0 14     азрешение    0 15         ")</f>
        <v xml:space="preserve"> атчик измерений качества воды  p   типа  icro ab  lab ph   абочее напряжение 3 3   5     иапазон 0 14     азрешение    0 15         </v>
      </c>
    </row>
    <row r="1250" spans="1:8" ht="25.5" x14ac:dyDescent="0.2">
      <c r="A1250" s="31" t="s">
        <v>2815</v>
      </c>
      <c r="B1250" s="27" t="s">
        <v>2816</v>
      </c>
      <c r="C1250" s="27"/>
      <c r="D1250" s="33" t="s">
        <v>14</v>
      </c>
      <c r="E1250" s="34">
        <v>2</v>
      </c>
      <c r="F1250" s="35">
        <v>0.3</v>
      </c>
      <c r="G1250" s="10">
        <v>57703</v>
      </c>
      <c r="H1250" s="30" t="str">
        <f ca="1">IFERROR(__xludf.DUMMYFUNCTION("LOWER(REGEXREPLACE(B1250&amp;"" ""&amp;C1250,""[^а-яa-z0-9 ]"","" ""))")," атчик р    иапазон измерения  от 0 до 14 р    очность      2    азрешение  0 004 р  ")</f>
        <v xml:space="preserve"> атчик р    иапазон измерения  от 0 до 14 р    очность      2    азрешение  0 004 р  </v>
      </c>
    </row>
    <row r="1251" spans="1:8" ht="12.75" x14ac:dyDescent="0.2">
      <c r="A1251" s="31" t="s">
        <v>2817</v>
      </c>
      <c r="B1251" s="27" t="s">
        <v>2818</v>
      </c>
      <c r="C1251" s="27"/>
      <c r="D1251" s="33" t="s">
        <v>14</v>
      </c>
      <c r="E1251" s="9"/>
      <c r="F1251" s="32"/>
      <c r="G1251" s="10"/>
      <c r="H1251" s="30" t="str">
        <f ca="1">IFERROR(__xludf.DUMMYFUNCTION("LOWER(REGEXREPLACE(B1251&amp;"" ""&amp;C1251,""[^а-яa-z0-9 ]"","" ""))")," атчик пульса ")</f>
        <v xml:space="preserve"> атчик пульса </v>
      </c>
    </row>
    <row r="1252" spans="1:8" ht="76.5" x14ac:dyDescent="0.2">
      <c r="A1252" s="31" t="s">
        <v>2819</v>
      </c>
      <c r="B1252" s="27" t="s">
        <v>2820</v>
      </c>
      <c r="C1252" s="27"/>
      <c r="D1252" s="33" t="s">
        <v>14</v>
      </c>
      <c r="E1252" s="9"/>
      <c r="F1252" s="37">
        <v>6.8000000000000005E-2</v>
      </c>
      <c r="G1252" s="10">
        <v>144508</v>
      </c>
      <c r="H1252" s="30" t="str">
        <f ca="1">IFERROR(__xludf.DUMMYFUNCTION("LOWER(REGEXREPLACE(B1252&amp;"" ""&amp;C1252,""[^а-яa-z0-9 ]"","" ""))")," атчик пульса беспроводной  ata arvest 1156   иапазоны измерения 0 200 ударов в минуту и  2000 м    азрешение 1 удар в минуту и 1 м       соединительный провод     сбора и обработки данных  asysense2 на трех языках  каз   рус   англ  языке  ")</f>
        <v xml:space="preserve"> атчик пульса беспроводной  ata arvest 1156   иапазоны измерения 0 200 ударов в минуту и  2000 м    азрешение 1 удар в минуту и 1 м       соединительный провод     сбора и обработки данных  asysense2 на трех языках  каз   рус   англ  языке  </v>
      </c>
    </row>
    <row r="1253" spans="1:8" ht="63.75" x14ac:dyDescent="0.2">
      <c r="A1253" s="31" t="s">
        <v>2821</v>
      </c>
      <c r="B1253" s="8" t="s">
        <v>2822</v>
      </c>
      <c r="C1253" s="27"/>
      <c r="D1253" s="33" t="s">
        <v>14</v>
      </c>
      <c r="E1253" s="34">
        <v>2</v>
      </c>
      <c r="F1253" s="37">
        <v>0.14499999999999999</v>
      </c>
      <c r="G1253" s="10">
        <v>187497</v>
      </c>
      <c r="H1253" s="30" t="str">
        <f ca="1">IFERROR(__xludf.DUMMYFUNCTION("LOWER(REGEXREPLACE(B1253&amp;"" ""&amp;C1253,""[^а-яa-z0-9 ]"","" ""))")," атчик пульса беспроводной типа  hywe  obra      sense  eart  ate 12935 01   иапазон  30 200 ударов в минуту   азрешение  1  ударов в минуту   астота измерений  10  ц ")</f>
        <v xml:space="preserve"> атчик пульса беспроводной типа  hywe  obra      sense  eart  ate 12935 01   иапазон  30 200 ударов в минуту   азрешение  1  ударов в минуту   астота измерений  10  ц </v>
      </c>
    </row>
    <row r="1254" spans="1:8" ht="38.25" x14ac:dyDescent="0.2">
      <c r="A1254" s="31" t="s">
        <v>2823</v>
      </c>
      <c r="B1254" s="27" t="s">
        <v>2824</v>
      </c>
      <c r="C1254" s="27"/>
      <c r="D1254" s="33" t="s">
        <v>14</v>
      </c>
      <c r="E1254" s="34">
        <v>2</v>
      </c>
      <c r="F1254" s="36">
        <v>0.16</v>
      </c>
      <c r="G1254" s="10">
        <v>27923</v>
      </c>
      <c r="H1254" s="30" t="str">
        <f ca="1">IFERROR(__xludf.DUMMYFUNCTION("LOWER(REGEXREPLACE(B1254&amp;"" ""&amp;C1254,""[^а-яa-z0-9 ]"","" ""))")," атчик пульса типа  ense disc  1024   иапазон  0 200 уд мин   очность     2 уд мин   азрешение  1 уд мин ")</f>
        <v xml:space="preserve"> атчик пульса типа  ense disc  1024   иапазон  0 200 уд мин   очность     2 уд мин   азрешение  1 уд мин </v>
      </c>
    </row>
    <row r="1255" spans="1:8" ht="51" x14ac:dyDescent="0.2">
      <c r="A1255" s="31" t="s">
        <v>2825</v>
      </c>
      <c r="B1255" s="27" t="s">
        <v>2826</v>
      </c>
      <c r="C1255" s="27"/>
      <c r="D1255" s="33" t="s">
        <v>14</v>
      </c>
      <c r="E1255" s="34">
        <v>2</v>
      </c>
      <c r="F1255" s="35">
        <v>0.1</v>
      </c>
      <c r="G1255" s="10">
        <v>55037</v>
      </c>
      <c r="H1255" s="30" t="str">
        <f ca="1">IFERROR(__xludf.DUMMYFUNCTION("LOWER(REGEXREPLACE(B1255&amp;"" ""&amp;C1255,""[^а-яa-z0-9 ]"","" ""))")," атчик пульса типа  icro ab  lab pulse   абочая температура   20 60     ходящая частота 6 8  ц   астота измерений  fps  до 3000   иапазон измерений 30 210 ударов в минуту ")</f>
        <v xml:space="preserve"> атчик пульса типа  icro ab  lab pulse   абочая температура   20 60     ходящая частота 6 8  ц   астота измерений  fps  до 3000   иапазон измерений 30 210 ударов в минуту </v>
      </c>
    </row>
    <row r="1256" spans="1:8" ht="38.25" x14ac:dyDescent="0.2">
      <c r="A1256" s="31" t="s">
        <v>2827</v>
      </c>
      <c r="B1256" s="27" t="s">
        <v>2828</v>
      </c>
      <c r="C1256" s="27"/>
      <c r="D1256" s="33" t="s">
        <v>14</v>
      </c>
      <c r="E1256" s="34">
        <v>2</v>
      </c>
      <c r="F1256" s="35">
        <v>0.3</v>
      </c>
      <c r="G1256" s="10">
        <v>89988</v>
      </c>
      <c r="H1256" s="30" t="str">
        <f ca="1">IFERROR(__xludf.DUMMYFUNCTION("LOWER(REGEXREPLACE(B1256&amp;"" ""&amp;C1256,""[^а-яa-z0-9 ]"","" ""))")," атчик пульса   иапазон измерения частоты пульса от 40 до 200 ударов мин   иапазон рабочих температур от 10 до 35 градусов ")</f>
        <v xml:space="preserve"> атчик пульса   иапазон измерения частоты пульса от 40 до 200 ударов мин   иапазон рабочих температур от 10 до 35 градусов </v>
      </c>
    </row>
    <row r="1257" spans="1:8" ht="12.75" x14ac:dyDescent="0.2">
      <c r="A1257" s="31" t="s">
        <v>2829</v>
      </c>
      <c r="B1257" s="27" t="s">
        <v>2830</v>
      </c>
      <c r="C1257" s="27"/>
      <c r="D1257" s="33" t="s">
        <v>14</v>
      </c>
      <c r="E1257" s="9"/>
      <c r="F1257" s="32"/>
      <c r="G1257" s="10"/>
      <c r="H1257" s="30" t="str">
        <f ca="1">IFERROR(__xludf.DUMMYFUNCTION("LOWER(REGEXREPLACE(B1257&amp;"" ""&amp;C1257,""[^а-яa-z0-9 ]"","" ""))")," атчик влажности ")</f>
        <v xml:space="preserve"> атчик влажности </v>
      </c>
    </row>
    <row r="1258" spans="1:8" ht="76.5" x14ac:dyDescent="0.2">
      <c r="A1258" s="31" t="s">
        <v>2831</v>
      </c>
      <c r="B1258" s="8" t="s">
        <v>2832</v>
      </c>
      <c r="C1258" s="27"/>
      <c r="D1258" s="33" t="s">
        <v>14</v>
      </c>
      <c r="E1258" s="9"/>
      <c r="F1258" s="37">
        <v>7.6999999999999999E-2</v>
      </c>
      <c r="G1258" s="10">
        <v>139929</v>
      </c>
      <c r="H1258" s="30" t="str">
        <f ca="1">IFERROR(__xludf.DUMMYFUNCTION("LOWER(REGEXREPLACE(B1258&amp;"" ""&amp;C1258,""[^а-яa-z0-9 ]"","" ""))")," атчик влажности беспроводной  ata arvest 1210   тносительная влажность  от 0 до 100   относительной влажности      соединительный провод     сбора и обработки данных  asysense2 на трех языках  каз   рус   англ  языке  ")</f>
        <v xml:space="preserve"> атчик влажности беспроводной  ata arvest 1210   тносительная влажность  от 0 до 100   относительной влажности      соединительный провод     сбора и обработки данных  asysense2 на трех языках  каз   рус   англ  языке  </v>
      </c>
    </row>
    <row r="1259" spans="1:8" ht="51" x14ac:dyDescent="0.2">
      <c r="A1259" s="31" t="s">
        <v>2833</v>
      </c>
      <c r="B1259" s="27" t="s">
        <v>2834</v>
      </c>
      <c r="C1259" s="27"/>
      <c r="D1259" s="33" t="s">
        <v>14</v>
      </c>
      <c r="E1259" s="34">
        <v>2</v>
      </c>
      <c r="F1259" s="36">
        <v>0.06</v>
      </c>
      <c r="G1259" s="10">
        <v>121344</v>
      </c>
      <c r="H1259" s="30" t="str">
        <f ca="1">IFERROR(__xludf.DUMMYFUNCTION("LOWER(REGEXREPLACE(B1259&amp;"" ""&amp;C1259,""[^а-яa-z0-9 ]"","" ""))")," instein   атчик влажности      014   иапазон  от 0 до 100   относительной влажности   очность   3    от 10 до 90   относительной влажности ")</f>
        <v xml:space="preserve"> instein   атчик влажности      014   иапазон  от 0 до 100   относительной влажности   очность   3    от 10 до 90   относительной влажности </v>
      </c>
    </row>
    <row r="1260" spans="1:8" ht="51" x14ac:dyDescent="0.2">
      <c r="A1260" s="31" t="s">
        <v>2835</v>
      </c>
      <c r="B1260" s="27" t="s">
        <v>2836</v>
      </c>
      <c r="C1260" s="27"/>
      <c r="D1260" s="33" t="s">
        <v>14</v>
      </c>
      <c r="E1260" s="34">
        <v>2</v>
      </c>
      <c r="F1260" s="36">
        <v>0.06</v>
      </c>
      <c r="G1260" s="10">
        <v>169805</v>
      </c>
      <c r="H1260" s="30" t="str">
        <f ca="1">IFERROR(__xludf.DUMMYFUNCTION("LOWER(REGEXREPLACE(B1260&amp;"" ""&amp;C1260,""[^а-яa-z0-9 ]"","" ""))")," instein   атчик влажности   температуры      041   иапазон  от 0 до 100   относительной влажности   очность   3    от 10 до 90   относительной влажности ")</f>
        <v xml:space="preserve"> instein   атчик влажности   температуры      041   иапазон  от 0 до 100   относительной влажности   очность   3    от 10 до 90   относительной влажности </v>
      </c>
    </row>
    <row r="1261" spans="1:8" ht="51" x14ac:dyDescent="0.2">
      <c r="A1261" s="31" t="s">
        <v>2837</v>
      </c>
      <c r="B1261" s="8" t="s">
        <v>2838</v>
      </c>
      <c r="C1261" s="27"/>
      <c r="D1261" s="33" t="s">
        <v>14</v>
      </c>
      <c r="E1261" s="34">
        <v>2</v>
      </c>
      <c r="F1261" s="36">
        <v>0.06</v>
      </c>
      <c r="G1261" s="10">
        <v>121404</v>
      </c>
      <c r="H1261" s="30" t="str">
        <f ca="1">IFERROR(__xludf.DUMMYFUNCTION("LOWER(REGEXREPLACE(B1261&amp;"" ""&amp;C1261,""[^а-яa-z0-9 ]"","" ""))")," instein   атчик влажности почвы        171   иапазон  от 0 до 200 кбар  от 0 до 200 к а   очность     2   по всему диапазону   азрешение  12 бит   0 05 cbar ")</f>
        <v xml:space="preserve"> instein   атчик влажности почвы        171   иапазон  от 0 до 200 кбар  от 0 до 200 к а   очность     2   по всему диапазону   азрешение  12 бит   0 05 cbar </v>
      </c>
    </row>
    <row r="1262" spans="1:8" ht="51" x14ac:dyDescent="0.2">
      <c r="A1262" s="31" t="s">
        <v>2839</v>
      </c>
      <c r="B1262" s="8" t="s">
        <v>2840</v>
      </c>
      <c r="C1262" s="27"/>
      <c r="D1262" s="33" t="s">
        <v>14</v>
      </c>
      <c r="E1262" s="34">
        <v>2</v>
      </c>
      <c r="F1262" s="37">
        <v>0.125</v>
      </c>
      <c r="G1262" s="10">
        <v>121705</v>
      </c>
      <c r="H1262" s="30" t="str">
        <f ca="1">IFERROR(__xludf.DUMMYFUNCTION("LOWER(REGEXREPLACE(B1262&amp;"" ""&amp;C1262,""[^а-яa-z0-9 ]"","" ""))")," атчик влажности почвы беспроводной типа  hywe  obra      sense  elative  umidity 12931 01  0 100     азрешение  0 1     астота измерений  10 ")</f>
        <v xml:space="preserve"> атчик влажности почвы беспроводной типа  hywe  obra      sense  elative  umidity 12931 01  0 100     азрешение  0 1     астота измерений  10 </v>
      </c>
    </row>
    <row r="1263" spans="1:8" ht="51" x14ac:dyDescent="0.2">
      <c r="A1263" s="31" t="s">
        <v>2841</v>
      </c>
      <c r="B1263" s="8" t="s">
        <v>2842</v>
      </c>
      <c r="C1263" s="27"/>
      <c r="D1263" s="33" t="s">
        <v>14</v>
      </c>
      <c r="E1263" s="34">
        <v>2</v>
      </c>
      <c r="F1263" s="35">
        <v>0.2</v>
      </c>
      <c r="G1263" s="10">
        <v>97124</v>
      </c>
      <c r="H1263" s="30" t="str">
        <f ca="1">IFERROR(__xludf.DUMMYFUNCTION("LOWER(REGEXREPLACE(B1263&amp;"" ""&amp;C1263,""[^а-яa-z0-9 ]"","" ""))")," атчик влажности почвы беспроводной типа  cience ube    117    иапазон  от 0  до 100  относительной влажности   азрешение  2  ")</f>
        <v xml:space="preserve"> атчик влажности почвы беспроводной типа  cience ube    117    иапазон  от 0  до 100  относительной влажности   азрешение  2  </v>
      </c>
    </row>
    <row r="1264" spans="1:8" ht="38.25" x14ac:dyDescent="0.2">
      <c r="A1264" s="31" t="s">
        <v>2843</v>
      </c>
      <c r="B1264" s="8" t="s">
        <v>2844</v>
      </c>
      <c r="C1264" s="27"/>
      <c r="D1264" s="33" t="s">
        <v>14</v>
      </c>
      <c r="E1264" s="34">
        <v>2</v>
      </c>
      <c r="F1264" s="36">
        <v>0.21</v>
      </c>
      <c r="G1264" s="10">
        <v>26710</v>
      </c>
      <c r="H1264" s="30" t="str">
        <f ca="1">IFERROR(__xludf.DUMMYFUNCTION("LOWER(REGEXREPLACE(B1264&amp;"" ""&amp;C1264,""[^а-яa-z0-9 ]"","" ""))")," атчик влажности типа  ense disc  1008   иапазон  0 100    очность     4    азрешение  0 1  ")</f>
        <v xml:space="preserve"> атчик влажности типа  ense disc  1008   иапазон  0 100    очность     4    азрешение  0 1  </v>
      </c>
    </row>
    <row r="1265" spans="1:8" ht="63.75" x14ac:dyDescent="0.2">
      <c r="A1265" s="31" t="s">
        <v>2845</v>
      </c>
      <c r="B1265" s="27" t="s">
        <v>2846</v>
      </c>
      <c r="C1265" s="27"/>
      <c r="D1265" s="33" t="s">
        <v>14</v>
      </c>
      <c r="E1265" s="34">
        <v>2</v>
      </c>
      <c r="F1265" s="35">
        <v>0.1</v>
      </c>
      <c r="G1265" s="10">
        <v>55037</v>
      </c>
      <c r="H1265" s="30" t="str">
        <f ca="1">IFERROR(__xludf.DUMMYFUNCTION("LOWER(REGEXREPLACE(B1265&amp;"" ""&amp;C1265,""[^а-яa-z0-9 ]"","" ""))")," атчик влажности почвы типа  icro ab  lab moisture   очность     2   по всему диапазону   азрешение  12 бит   0 05 сбар   астота дискретизации по умолчанию  10 выборок в секунду ")</f>
        <v xml:space="preserve"> атчик влажности почвы типа  icro ab  lab moisture   очность     2   по всему диапазону   азрешение  12 бит   0 05 сбар   астота дискретизации по умолчанию  10 выборок в секунду </v>
      </c>
    </row>
    <row r="1266" spans="1:8" ht="63.75" x14ac:dyDescent="0.2">
      <c r="A1266" s="31" t="s">
        <v>2847</v>
      </c>
      <c r="B1266" s="27" t="s">
        <v>2848</v>
      </c>
      <c r="C1266" s="27"/>
      <c r="D1266" s="33" t="s">
        <v>14</v>
      </c>
      <c r="E1266" s="34">
        <v>2</v>
      </c>
      <c r="F1266" s="35">
        <v>0.1</v>
      </c>
      <c r="G1266" s="10">
        <v>267898</v>
      </c>
      <c r="H1266" s="30" t="str">
        <f ca="1">IFERROR(__xludf.DUMMYFUNCTION("LOWER(REGEXREPLACE(B1266&amp;"" ""&amp;C1266,""[^а-яa-z0-9 ]"","" ""))")," атчик влажности почвы беспроводной типа  ata arvest 1215  иапазон измерения  от 0 до 100  относительной влажности     сбора и обработки данных  asysense2 на трех языках  каз   рус   англ  ")</f>
        <v xml:space="preserve"> атчик влажности почвы беспроводной типа  ata arvest 1215  иапазон измерения  от 0 до 100  относительной влажности     сбора и обработки данных  asysense2 на трех языках  каз   рус   англ  </v>
      </c>
    </row>
    <row r="1267" spans="1:8" ht="12.75" x14ac:dyDescent="0.2">
      <c r="A1267" s="31" t="s">
        <v>2849</v>
      </c>
      <c r="B1267" s="27" t="s">
        <v>2850</v>
      </c>
      <c r="C1267" s="27"/>
      <c r="D1267" s="33" t="s">
        <v>68</v>
      </c>
      <c r="E1267" s="9"/>
      <c r="F1267" s="32"/>
      <c r="G1267" s="10"/>
      <c r="H1267" s="30" t="str">
        <f ca="1">IFERROR(__xludf.DUMMYFUNCTION("LOWER(REGEXREPLACE(B1267&amp;"" ""&amp;C1267,""[^а-яa-z0-9 ]"","" ""))")," ифровая лаборатория по естественным наукам ")</f>
        <v xml:space="preserve"> ифровая лаборатория по естественным наукам </v>
      </c>
    </row>
    <row r="1268" spans="1:8" ht="114.75" x14ac:dyDescent="0.2">
      <c r="A1268" s="31" t="s">
        <v>2851</v>
      </c>
      <c r="B1268" s="27" t="s">
        <v>2852</v>
      </c>
      <c r="C1268" s="27" t="s">
        <v>2853</v>
      </c>
      <c r="D1268" s="33" t="s">
        <v>68</v>
      </c>
      <c r="E1268" s="34">
        <v>2</v>
      </c>
      <c r="F1268" s="36">
        <v>0.72</v>
      </c>
      <c r="G1268" s="10">
        <v>1066203</v>
      </c>
      <c r="H1268" s="30" t="str">
        <f ca="1">IFERROR(__xludf.DUMMYFUNCTION("LOWER(REGEXREPLACE(B1268&amp;"" ""&amp;C1268,""[^а-яa-z0-9 ]"","" ""))")," ифровая лаборатория по естественным наукам с методическими материалами  состоящая из беспроводных датчиков  ata arvest  гальванометрический  движения  звука  магнитного поля   света и цвета  силы и ускорения  1 х беспроводной датчик напряжения и тока 5  "&amp;"   1131  1 х беспроводной датчик движения   1190  1 х умный беспроводной датчик уровня звука   1145  1 х интеллектуальный беспроводной датчик магнитного поля   1140  1   беспроводной датчик света и цвета   1160  1 х интеллектуальный беспроводной датчик си"&amp;"лы и ускорения   1120  6 х     соединительный провод   рограммное обеспечение сбора и обработки данных  asysense2 на трех языках  каз   рус   англ  языке   етодические пособия ")</f>
        <v xml:space="preserve"> ифровая лаборатория по естественным наукам с методическими материалами  состоящая из беспроводных датчиков  ata arvest  гальванометрический  движения  звука  магнитного поля   света и цвета  силы и ускорения  1 х беспроводной датчик напряжения и тока 5     1131  1 х беспроводной датчик движения   1190  1 х умный беспроводной датчик уровня звука   1145  1 х интеллектуальный беспроводной датчик магнитного поля   1140  1   беспроводной датчик света и цвета   1160  1 х интеллектуальный беспроводной датчик силы и ускорения   1120  6 х     соединительный провод   рограммное обеспечение сбора и обработки данных  asysense2 на трех языках  каз   рус   англ  языке   етодические пособия </v>
      </c>
    </row>
    <row r="1269" spans="1:8" ht="216.75" x14ac:dyDescent="0.2">
      <c r="A1269" s="31" t="s">
        <v>2854</v>
      </c>
      <c r="B1269" s="27" t="s">
        <v>2855</v>
      </c>
      <c r="C1269" s="27" t="s">
        <v>2856</v>
      </c>
      <c r="D1269" s="33" t="s">
        <v>68</v>
      </c>
      <c r="E1269" s="34">
        <v>2</v>
      </c>
      <c r="F1269" s="36">
        <v>1.77</v>
      </c>
      <c r="G1269" s="10">
        <v>821699</v>
      </c>
      <c r="H1269" s="30" t="str">
        <f ca="1">IFERROR(__xludf.DUMMYFUNCTION("LOWER(REGEXREPLACE(B1269&amp;"" ""&amp;C1269,""[^а-яa-z0-9 ]"","" ""))")," ифровая лаборатория по естественным наукам с методическими материалами  состоящая из беспроводных датчиков типа       12910 00  температуры  силы  ускорения и наклона  света  движения  звука    комплект входят   еспроводной цифровой датчик температуры ти"&amp;"па         иапазон   40     120      азрешение  0 01     еспроводной цифровой датчик силы  ускорения и наклона типа         иапазон   50     азрешение  30 м     еспроводной цифровой датчик света типа         иапазон  0     200 к к   азрешение  1  к    есп"&amp;"роводной цифровой датчик движения типа         иапазон  0 2     2 м   азрешение  1 мм    атчик звука беспроводной типа         иапазон  55     110 д       азрешение  0 1 д        даптер      luetooth 4 0   ксессуары   арядное устройство с кабелем mini    "&amp;"      даптер  luetooth 4 1  раткое руководство по эксплуатации цифровой лаборатории  рограммное обеспечение  етодические пособие")</f>
        <v xml:space="preserve"> ифровая лаборатория по естественным наукам с методическими материалами  состоящая из беспроводных датчиков типа       12910 00  температуры  силы  ускорения и наклона  света  движения  звука    комплект входят   еспроводной цифровой датчик температуры типа         иапазон   40     120      азрешение  0 01     еспроводной цифровой датчик силы  ускорения и наклона типа         иапазон   50     азрешение  30 м     еспроводной цифровой датчик света типа         иапазон  0     200 к к   азрешение  1  к    еспроводной цифровой датчик движения типа         иапазон  0 2     2 м   азрешение  1 мм    атчик звука беспроводной типа         иапазон  55     110 д       азрешение  0 1 д        даптер      luetooth 4 0   ксессуары   арядное устройство с кабелем mini          даптер  luetooth 4 1  раткое руководство по эксплуатации цифровой лаборатории  рограммное обеспечение  етодические пособие</v>
      </c>
    </row>
    <row r="1270" spans="1:8" ht="76.5" x14ac:dyDescent="0.2">
      <c r="A1270" s="31" t="s">
        <v>2857</v>
      </c>
      <c r="B1270" s="27" t="s">
        <v>2858</v>
      </c>
      <c r="C1270" s="27" t="s">
        <v>2859</v>
      </c>
      <c r="D1270" s="33" t="s">
        <v>68</v>
      </c>
      <c r="E1270" s="34">
        <v>2</v>
      </c>
      <c r="F1270" s="36">
        <v>2.35</v>
      </c>
      <c r="G1270" s="10">
        <v>759906</v>
      </c>
      <c r="H1270" s="30" t="str">
        <f ca="1">IFERROR(__xludf.DUMMYFUNCTION("LOWER(REGEXREPLACE(B1270&amp;"" ""&amp;C1270,""[^а-яa-z0-9 ]"","" ""))")," аборатория цифровая мобильная по естественным наукам с методическими материалами типа  cience ube  ro в комплекте с датчиками  омплектация набора   ro  nterface  ro  nterface     1002   1 шт  атчик температуры     1001   1 шт  атчик давления газа     103"&amp;"4   1 шт  атчик влажности     1008   1 шт  атчик мутности     1017   1 шт  атчик света     1033   1 шт  атчик кислорода   1 шт  атчик р      1005   1 шт  атчик электропроводности     1038   1 шт")</f>
        <v xml:space="preserve"> аборатория цифровая мобильная по естественным наукам с методическими материалами типа  cience ube  ro в комплекте с датчиками  омплектация набора   ro  nterface  ro  nterface     1002   1 шт  атчик температуры     1001   1 шт  атчик давления газа     1034   1 шт  атчик влажности     1008   1 шт  атчик мутности     1017   1 шт  атчик света     1033   1 шт  атчик кислорода   1 шт  атчик р      1005   1 шт  атчик электропроводности     1038   1 шт</v>
      </c>
    </row>
    <row r="1271" spans="1:8" ht="12.75" x14ac:dyDescent="0.2">
      <c r="A1271" s="31" t="s">
        <v>2860</v>
      </c>
      <c r="B1271" s="27" t="s">
        <v>2510</v>
      </c>
      <c r="C1271" s="27"/>
      <c r="D1271" s="32"/>
      <c r="E1271" s="9"/>
      <c r="F1271" s="32"/>
      <c r="G1271" s="10"/>
      <c r="H1271" s="30" t="str">
        <f ca="1">IFERROR(__xludf.DUMMYFUNCTION("LOWER(REGEXREPLACE(B1271&amp;"" ""&amp;C1271,""[^а-яa-z0-9 ]"","" ""))")," немометр ")</f>
        <v xml:space="preserve"> немометр </v>
      </c>
    </row>
    <row r="1272" spans="1:8" ht="38.25" x14ac:dyDescent="0.2">
      <c r="A1272" s="31" t="s">
        <v>2861</v>
      </c>
      <c r="B1272" s="27" t="s">
        <v>2862</v>
      </c>
      <c r="C1272" s="27"/>
      <c r="D1272" s="33" t="s">
        <v>14</v>
      </c>
      <c r="E1272" s="34">
        <v>2</v>
      </c>
      <c r="F1272" s="36">
        <v>0.06</v>
      </c>
      <c r="G1272" s="10">
        <v>372336</v>
      </c>
      <c r="H1272" s="30" t="str">
        <f ca="1">IFERROR(__xludf.DUMMYFUNCTION("LOWER(REGEXREPLACE(B1272&amp;"" ""&amp;C1272,""[^а-яa-z0-9 ]"","" ""))")," instein   немометр      012    корость ветра   апас хода  от 1 до 322 км ч  от 1 до 174 миль в час   азрешение  0 1 км ч   очность    5  ")</f>
        <v xml:space="preserve"> instein   немометр      012    корость ветра   апас хода  от 1 до 322 км ч  от 1 до 174 миль в час   азрешение  0 1 км ч   очность    5  </v>
      </c>
    </row>
    <row r="1273" spans="1:8" ht="12.75" x14ac:dyDescent="0.2">
      <c r="A1273" s="31" t="s">
        <v>2863</v>
      </c>
      <c r="B1273" s="27" t="s">
        <v>2864</v>
      </c>
      <c r="C1273" s="27"/>
      <c r="D1273" s="32"/>
      <c r="E1273" s="9"/>
      <c r="F1273" s="32"/>
      <c r="G1273" s="10"/>
      <c r="H1273" s="30" t="str">
        <f ca="1">IFERROR(__xludf.DUMMYFUNCTION("LOWER(REGEXREPLACE(B1273&amp;"" ""&amp;C1273,""[^а-яa-z0-9 ]"","" ""))")," атчик сердечного ритма ")</f>
        <v xml:space="preserve"> атчик сердечного ритма </v>
      </c>
    </row>
    <row r="1274" spans="1:8" ht="38.25" x14ac:dyDescent="0.2">
      <c r="A1274" s="31" t="s">
        <v>2865</v>
      </c>
      <c r="B1274" s="27" t="s">
        <v>2866</v>
      </c>
      <c r="C1274" s="27"/>
      <c r="D1274" s="33" t="s">
        <v>14</v>
      </c>
      <c r="E1274" s="34">
        <v>2</v>
      </c>
      <c r="F1274" s="36">
        <v>0.06</v>
      </c>
      <c r="G1274" s="10">
        <v>138966</v>
      </c>
      <c r="H1274" s="30" t="str">
        <f ca="1">IFERROR(__xludf.DUMMYFUNCTION("LOWER(REGEXREPLACE(B1274&amp;"" ""&amp;C1274,""[^а-яa-z0-9 ]"","" ""))")," instein   атчик сердечного ритма  пульс         155   мпульс диапазона  0   250 ударов в минуту    орма сигнала диапазона  0   3   ")</f>
        <v xml:space="preserve"> instein   атчик сердечного ритма  пульс         155   мпульс диапазона  0   250 ударов в минуту    орма сигнала диапазона  0   3   </v>
      </c>
    </row>
    <row r="1275" spans="1:8" ht="25.5" x14ac:dyDescent="0.2">
      <c r="A1275" s="31" t="s">
        <v>2867</v>
      </c>
      <c r="B1275" s="27" t="s">
        <v>2868</v>
      </c>
      <c r="C1275" s="27"/>
      <c r="D1275" s="33" t="s">
        <v>14</v>
      </c>
      <c r="E1275" s="34">
        <v>2</v>
      </c>
      <c r="F1275" s="35">
        <v>0.1</v>
      </c>
      <c r="G1275" s="10">
        <v>73931</v>
      </c>
      <c r="H1275" s="30" t="str">
        <f ca="1">IFERROR(__xludf.DUMMYFUNCTION("LOWER(REGEXREPLACE(B1275&amp;"" ""&amp;C1275,""[^а-яa-z0-9 ]"","" ""))")," нешний датчик сердечного ритма  lobisense   иапазон  от 0 до 5    очность    2   ")</f>
        <v xml:space="preserve"> нешний датчик сердечного ритма  lobisense   иапазон  от 0 до 5    очность    2   </v>
      </c>
    </row>
    <row r="1276" spans="1:8" ht="38.25" x14ac:dyDescent="0.2">
      <c r="A1276" s="31" t="s">
        <v>2869</v>
      </c>
      <c r="B1276" s="8" t="s">
        <v>2870</v>
      </c>
      <c r="C1276" s="27"/>
      <c r="D1276" s="33" t="s">
        <v>14</v>
      </c>
      <c r="E1276" s="34">
        <v>2</v>
      </c>
      <c r="F1276" s="36">
        <v>0.18</v>
      </c>
      <c r="G1276" s="10">
        <v>111062</v>
      </c>
      <c r="H1276" s="30" t="str">
        <f ca="1">IFERROR(__xludf.DUMMYFUNCTION("LOWER(REGEXREPLACE(B1276&amp;"" ""&amp;C1276,""[^а-яa-z0-9 ]"","" ""))")," атчик сердечного ритма типа  cience ube      1070  eart  ate  onitor   иапазон  0 250 уд мин   азрешение  1 уд мин ")</f>
        <v xml:space="preserve"> атчик сердечного ритма типа  cience ube      1070  eart  ate  onitor   иапазон  0 250 уд мин   азрешение  1 уд мин </v>
      </c>
    </row>
    <row r="1277" spans="1:8" ht="12.75" x14ac:dyDescent="0.2">
      <c r="A1277" s="31" t="s">
        <v>2871</v>
      </c>
      <c r="B1277" s="27" t="s">
        <v>2872</v>
      </c>
      <c r="C1277" s="27"/>
      <c r="D1277" s="32"/>
      <c r="E1277" s="9"/>
      <c r="F1277" s="32"/>
      <c r="G1277" s="10"/>
      <c r="H1277" s="30" t="str">
        <f ca="1">IFERROR(__xludf.DUMMYFUNCTION("LOWER(REGEXREPLACE(B1277&amp;"" ""&amp;C1277,""[^а-яa-z0-9 ]"","" ""))")," атчик мутности ")</f>
        <v xml:space="preserve"> атчик мутности </v>
      </c>
    </row>
    <row r="1278" spans="1:8" ht="38.25" x14ac:dyDescent="0.2">
      <c r="A1278" s="31" t="s">
        <v>2873</v>
      </c>
      <c r="B1278" s="27" t="s">
        <v>2874</v>
      </c>
      <c r="C1278" s="27"/>
      <c r="D1278" s="33" t="s">
        <v>14</v>
      </c>
      <c r="E1278" s="34">
        <v>2</v>
      </c>
      <c r="F1278" s="36">
        <v>0.06</v>
      </c>
      <c r="G1278" s="10">
        <v>193927</v>
      </c>
      <c r="H1278" s="30" t="str">
        <f ca="1">IFERROR(__xludf.DUMMYFUNCTION("LOWER(REGEXREPLACE(B1278&amp;"" ""&amp;C1278,""[^а-яa-z0-9 ]"","" ""))")," instein   атчик мутности        095   иапазон  от 0 до 200       очность  20  по всему диапазону   азрешение  12 бит   0 25     ")</f>
        <v xml:space="preserve"> instein   атчик мутности        095   иапазон  от 0 до 200       очность  20  по всему диапазону   азрешение  12 бит   0 25     </v>
      </c>
    </row>
    <row r="1279" spans="1:8" ht="38.25" x14ac:dyDescent="0.2">
      <c r="A1279" s="31" t="s">
        <v>2875</v>
      </c>
      <c r="B1279" s="27" t="s">
        <v>2876</v>
      </c>
      <c r="C1279" s="27"/>
      <c r="D1279" s="33" t="s">
        <v>14</v>
      </c>
      <c r="E1279" s="34">
        <v>2</v>
      </c>
      <c r="F1279" s="36">
        <v>0.22</v>
      </c>
      <c r="G1279" s="10">
        <v>83814</v>
      </c>
      <c r="H1279" s="30" t="str">
        <f ca="1">IFERROR(__xludf.DUMMYFUNCTION("LOWER(REGEXREPLACE(B1279&amp;"" ""&amp;C1279,""[^а-яa-z0-9 ]"","" ""))")," атчик мутности растворов типа  cience ube    128    urbidity  ensor   иапазон  0 до 200       азрешение  0 25       очность     2     ")</f>
        <v xml:space="preserve"> атчик мутности растворов типа  cience ube    128    urbidity  ensor   иапазон  0 до 200       азрешение  0 25       очность     2     </v>
      </c>
    </row>
    <row r="1280" spans="1:8" ht="25.5" x14ac:dyDescent="0.2">
      <c r="A1280" s="31" t="s">
        <v>2877</v>
      </c>
      <c r="B1280" s="27" t="s">
        <v>2878</v>
      </c>
      <c r="C1280" s="27"/>
      <c r="D1280" s="33" t="s">
        <v>14</v>
      </c>
      <c r="E1280" s="34">
        <v>2</v>
      </c>
      <c r="F1280" s="35">
        <v>0.1</v>
      </c>
      <c r="G1280" s="10">
        <v>78058</v>
      </c>
      <c r="H1280" s="30" t="str">
        <f ca="1">IFERROR(__xludf.DUMMYFUNCTION("LOWER(REGEXREPLACE(B1280&amp;"" ""&amp;C1280,""[^а-яa-z0-9 ]"","" ""))")," атчик мутности растворов типа  icro ab  lab turbidity   иапазон измерений 0 4500     ")</f>
        <v xml:space="preserve"> атчик мутности растворов типа  icro ab  lab turbidity   иапазон измерений 0 4500     </v>
      </c>
    </row>
    <row r="1281" spans="1:8" ht="38.25" x14ac:dyDescent="0.2">
      <c r="A1281" s="31" t="s">
        <v>2879</v>
      </c>
      <c r="B1281" s="27" t="s">
        <v>2880</v>
      </c>
      <c r="C1281" s="27"/>
      <c r="D1281" s="33" t="s">
        <v>14</v>
      </c>
      <c r="E1281" s="34">
        <v>2</v>
      </c>
      <c r="F1281" s="36">
        <v>0.72</v>
      </c>
      <c r="G1281" s="10">
        <v>494097</v>
      </c>
      <c r="H1281" s="30" t="str">
        <f ca="1">IFERROR(__xludf.DUMMYFUNCTION("LOWER(REGEXREPLACE(B1281&amp;"" ""&amp;C1281,""[^а-яa-z0-9 ]"","" ""))")," ифровая лаборатория по естествознанию  lobisense  abdisc            12 general science со встроенными датчиками ")</f>
        <v xml:space="preserve"> ифровая лаборатория по естествознанию  lobisense  abdisc            12 general science со встроенными датчиками </v>
      </c>
    </row>
    <row r="1282" spans="1:8" ht="38.25" x14ac:dyDescent="0.2">
      <c r="A1282" s="31" t="s">
        <v>2881</v>
      </c>
      <c r="B1282" s="27" t="s">
        <v>2882</v>
      </c>
      <c r="C1282" s="27"/>
      <c r="D1282" s="33" t="s">
        <v>14</v>
      </c>
      <c r="E1282" s="34">
        <v>2</v>
      </c>
      <c r="F1282" s="36">
        <v>0.68</v>
      </c>
      <c r="G1282" s="10">
        <v>482227</v>
      </c>
      <c r="H1282" s="30" t="str">
        <f ca="1">IFERROR(__xludf.DUMMYFUNCTION("LOWER(REGEXREPLACE(B1282&amp;"" ""&amp;C1282,""[^а-яa-z0-9 ]"","" ""))")," ифровая лаборатория по биологии химии  lobisense   abdisc              9 12  hemistry со встроенными датчиками ")</f>
        <v xml:space="preserve"> ифровая лаборатория по биологии химии  lobisense   abdisc              9 12  hemistry со встроенными датчиками </v>
      </c>
    </row>
    <row r="1283" spans="1:8" ht="12.75" x14ac:dyDescent="0.2">
      <c r="A1283" s="31" t="s">
        <v>2883</v>
      </c>
      <c r="B1283" s="27" t="s">
        <v>2884</v>
      </c>
      <c r="C1283" s="27"/>
      <c r="D1283" s="33" t="s">
        <v>14</v>
      </c>
      <c r="E1283" s="9"/>
      <c r="F1283" s="32"/>
      <c r="G1283" s="10"/>
      <c r="H1283" s="30" t="str">
        <f ca="1">IFERROR(__xludf.DUMMYFUNCTION("LOWER(REGEXREPLACE(B1283&amp;"" ""&amp;C1283,""[^а-яa-z0-9 ]"","" ""))")," аборатория цифровая по экологии ")</f>
        <v xml:space="preserve"> аборатория цифровая по экологии </v>
      </c>
    </row>
    <row r="1284" spans="1:8" ht="51" x14ac:dyDescent="0.2">
      <c r="A1284" s="31" t="s">
        <v>2885</v>
      </c>
      <c r="B1284" s="27" t="s">
        <v>2886</v>
      </c>
      <c r="C1284" s="27"/>
      <c r="D1284" s="33" t="s">
        <v>14</v>
      </c>
      <c r="E1284" s="34">
        <v>2</v>
      </c>
      <c r="F1284" s="35">
        <v>0.7</v>
      </c>
      <c r="G1284" s="10">
        <v>494097</v>
      </c>
      <c r="H1284" s="30" t="str">
        <f ca="1">IFERROR(__xludf.DUMMYFUNCTION("LOWER(REGEXREPLACE(B1284&amp;"" ""&amp;C1284,""[^а-яa-z0-9 ]"","" ""))")," аборатория цифровая по науке об окружающей среде типа  lobisense  abdisc            12  nvironmental science со встроенными датчиками ")</f>
        <v xml:space="preserve"> аборатория цифровая по науке об окружающей среде типа  lobisense  abdisc            12  nvironmental science со встроенными датчиками </v>
      </c>
    </row>
    <row r="1285" spans="1:8" ht="89.25" x14ac:dyDescent="0.2">
      <c r="A1285" s="31" t="s">
        <v>2887</v>
      </c>
      <c r="B1285" s="27" t="s">
        <v>2888</v>
      </c>
      <c r="C1285" s="27"/>
      <c r="D1285" s="33" t="s">
        <v>14</v>
      </c>
      <c r="E1285" s="34">
        <v>2</v>
      </c>
      <c r="F1285" s="35">
        <v>0.5</v>
      </c>
      <c r="G1285" s="10">
        <v>103420</v>
      </c>
      <c r="H1285" s="30" t="str">
        <f ca="1">IFERROR(__xludf.DUMMYFUNCTION("LOWER(REGEXREPLACE(B1285&amp;"" ""&amp;C1285,""[^а-яa-z0-9 ]"","" ""))")," аборатория цифровая по экологии с 10 встроенными датчиками  нитрат ионов  хлорид ионов  электрод сравнения  р   влажность  освещенность  температура  электропроводимость  температура окружающей среды   оптическая плотность и мутность типа  рхимед ")</f>
        <v xml:space="preserve"> аборатория цифровая по экологии с 10 встроенными датчиками  нитрат ионов  хлорид ионов  электрод сравнения  р   влажность  освещенность  температура  электропроводимость  температура окружающей среды   оптическая плотность и мутность типа  рхимед </v>
      </c>
    </row>
    <row r="1286" spans="1:8" ht="12.75" x14ac:dyDescent="0.2">
      <c r="A1286" s="31" t="s">
        <v>2889</v>
      </c>
      <c r="B1286" s="27" t="s">
        <v>2890</v>
      </c>
      <c r="C1286" s="27"/>
      <c r="D1286" s="32"/>
      <c r="E1286" s="9"/>
      <c r="F1286" s="32"/>
      <c r="G1286" s="10"/>
      <c r="H1286" s="30" t="str">
        <f ca="1">IFERROR(__xludf.DUMMYFUNCTION("LOWER(REGEXREPLACE(B1286&amp;"" ""&amp;C1286,""[^а-яa-z0-9 ]"","" ""))")," огодная станция ")</f>
        <v xml:space="preserve"> огодная станция </v>
      </c>
    </row>
    <row r="1287" spans="1:8" ht="25.5" x14ac:dyDescent="0.2">
      <c r="A1287" s="31" t="s">
        <v>2891</v>
      </c>
      <c r="B1287" s="27" t="s">
        <v>2892</v>
      </c>
      <c r="C1287" s="27"/>
      <c r="D1287" s="33" t="s">
        <v>14</v>
      </c>
      <c r="E1287" s="34">
        <v>2</v>
      </c>
      <c r="F1287" s="36">
        <v>0.24</v>
      </c>
      <c r="G1287" s="10">
        <v>520689</v>
      </c>
      <c r="H1287" s="30" t="str">
        <f ca="1">IFERROR(__xludf.DUMMYFUNCTION("LOWER(REGEXREPLACE(B1287&amp;"" ""&amp;C1287,""[^а-яa-z0-9 ]"","" ""))")," огодная станция беспроводная типа  hywe  obra      sense  eatherstation 12946 00 ")</f>
        <v xml:space="preserve"> огодная станция беспроводная типа  hywe  obra      sense  eatherstation 12946 00 </v>
      </c>
    </row>
    <row r="1288" spans="1:8" ht="89.25" x14ac:dyDescent="0.2">
      <c r="A1288" s="31" t="s">
        <v>2893</v>
      </c>
      <c r="B1288" s="8" t="s">
        <v>2894</v>
      </c>
      <c r="C1288" s="27"/>
      <c r="D1288" s="33" t="s">
        <v>14</v>
      </c>
      <c r="E1288" s="34">
        <v>2</v>
      </c>
      <c r="F1288" s="35">
        <v>0.1</v>
      </c>
      <c r="G1288" s="10">
        <v>72950</v>
      </c>
      <c r="H1288" s="30" t="str">
        <f ca="1">IFERROR(__xludf.DUMMYFUNCTION("LOWER(REGEXREPLACE(B1288&amp;"" ""&amp;C1288,""[^а-яa-z0-9 ]"","" ""))")," огодная станция типа  icro ab  lab weather   иапазон измерения 300 1100 г а  1 г а   сто  а  с точностью    1 0 г а   иапазон измерения датчика температуры  40 85    с точностью     1 0       атчик влажности 0  100  относительной влажности  с точностью  "&amp;"  3  ")</f>
        <v xml:space="preserve"> огодная станция типа  icro ab  lab weather   иапазон измерения 300 1100 г а  1 г а   сто  а  с точностью    1 0 г а   иапазон измерения датчика температуры  40 85    с точностью     1 0       атчик влажности 0  100  относительной влажности  с точностью    3  </v>
      </c>
    </row>
    <row r="1289" spans="1:8" ht="12.75" x14ac:dyDescent="0.2">
      <c r="A1289" s="31" t="s">
        <v>2895</v>
      </c>
      <c r="B1289" s="27" t="s">
        <v>2896</v>
      </c>
      <c r="C1289" s="27"/>
      <c r="D1289" s="32"/>
      <c r="E1289" s="9"/>
      <c r="F1289" s="32"/>
      <c r="G1289" s="10"/>
      <c r="H1289" s="30" t="str">
        <f ca="1">IFERROR(__xludf.DUMMYFUNCTION("LOWER(REGEXREPLACE(B1289&amp;"" ""&amp;C1289,""[^а-яa-z0-9 ]"","" ""))")," аборатория цифровая по химии ")</f>
        <v xml:space="preserve"> аборатория цифровая по химии </v>
      </c>
    </row>
    <row r="1290" spans="1:8" ht="63.75" x14ac:dyDescent="0.2">
      <c r="A1290" s="31" t="s">
        <v>2897</v>
      </c>
      <c r="B1290" s="27" t="s">
        <v>2898</v>
      </c>
      <c r="C1290" s="27"/>
      <c r="D1290" s="33" t="s">
        <v>14</v>
      </c>
      <c r="E1290" s="34">
        <v>2</v>
      </c>
      <c r="F1290" s="35">
        <v>0.4</v>
      </c>
      <c r="G1290" s="10">
        <v>562055</v>
      </c>
      <c r="H1290" s="30" t="str">
        <f ca="1">IFERROR(__xludf.DUMMYFUNCTION("LOWER(REGEXREPLACE(B1290&amp;"" ""&amp;C1290,""[^а-яa-z0-9 ]"","" ""))")," аборатория цифровая по химии с 6 встроенными датчиками  р    температура  электропроводимость  датчик температуры платиновый   датчик температуры окружающей среды   оптическая плотность типа  рхимед ")</f>
        <v xml:space="preserve"> аборатория цифровая по химии с 6 встроенными датчиками  р    температура  электропроводимость  датчик температуры платиновый   датчик температуры окружающей среды   оптическая плотность типа  рхимед </v>
      </c>
    </row>
    <row r="1291" spans="1:8" ht="12.75" x14ac:dyDescent="0.2">
      <c r="A1291" s="31" t="s">
        <v>2899</v>
      </c>
      <c r="B1291" s="27" t="s">
        <v>2900</v>
      </c>
      <c r="C1291" s="27"/>
      <c r="D1291" s="32"/>
      <c r="E1291" s="9"/>
      <c r="F1291" s="32"/>
      <c r="G1291" s="10"/>
      <c r="H1291" s="30" t="str">
        <f ca="1">IFERROR(__xludf.DUMMYFUNCTION("LOWER(REGEXREPLACE(B1291&amp;"" ""&amp;C1291,""[^а-яa-z0-9 ]"","" ""))")," аборатория цифровая по биологии ")</f>
        <v xml:space="preserve"> аборатория цифровая по биологии </v>
      </c>
    </row>
    <row r="1292" spans="1:8" ht="51" x14ac:dyDescent="0.2">
      <c r="A1292" s="31" t="s">
        <v>2901</v>
      </c>
      <c r="B1292" s="27" t="s">
        <v>2902</v>
      </c>
      <c r="C1292" s="27"/>
      <c r="D1292" s="33" t="s">
        <v>14</v>
      </c>
      <c r="E1292" s="34">
        <v>2</v>
      </c>
      <c r="F1292" s="35">
        <v>0.5</v>
      </c>
      <c r="G1292" s="10">
        <v>562056</v>
      </c>
      <c r="H1292" s="30" t="str">
        <f ca="1">IFERROR(__xludf.DUMMYFUNCTION("LOWER(REGEXREPLACE(B1292&amp;"" ""&amp;C1292,""[^а-яa-z0-9 ]"","" ""))")," аборатория цифровая по биологии с 6 встроенными датчиками  влажность  освещение  р   акселерометр  температура окружающей среды  температура типа  рхимед ")</f>
        <v xml:space="preserve"> аборатория цифровая по биологии с 6 встроенными датчиками  влажность  освещение  р   акселерометр  температура окружающей среды  температура типа  рхимед </v>
      </c>
    </row>
    <row r="1293" spans="1:8" ht="63.75" x14ac:dyDescent="0.2">
      <c r="A1293" s="31" t="s">
        <v>2903</v>
      </c>
      <c r="B1293" s="27" t="s">
        <v>2904</v>
      </c>
      <c r="C1293" s="27"/>
      <c r="D1293" s="33" t="s">
        <v>14</v>
      </c>
      <c r="E1293" s="34">
        <v>2</v>
      </c>
      <c r="F1293" s="35">
        <v>0.5</v>
      </c>
      <c r="G1293" s="10">
        <v>854323</v>
      </c>
      <c r="H1293" s="30" t="str">
        <f ca="1">IFERROR(__xludf.DUMMYFUNCTION("LOWER(REGEXREPLACE(B1293&amp;"" ""&amp;C1293,""[^а-яa-z0-9 ]"","" ""))")," аборатория цифровая по физиологии с 7 встроенными датчиками  артериальное давление   температура тела  р   освещенность  акселерометр  пульс  частота дыхания типа  рхимед ")</f>
        <v xml:space="preserve"> аборатория цифровая по физиологии с 7 встроенными датчиками  артериальное давление   температура тела  р   освещенность  акселерометр  пульс  частота дыхания типа  рхимед </v>
      </c>
    </row>
    <row r="1294" spans="1:8" ht="12.75" x14ac:dyDescent="0.2">
      <c r="A1294" s="31" t="s">
        <v>2905</v>
      </c>
      <c r="B1294" s="27" t="s">
        <v>2906</v>
      </c>
      <c r="C1294" s="27"/>
      <c r="D1294" s="33" t="s">
        <v>14</v>
      </c>
      <c r="E1294" s="9"/>
      <c r="F1294" s="32"/>
      <c r="G1294" s="10"/>
      <c r="H1294" s="30" t="str">
        <f ca="1">IFERROR(__xludf.DUMMYFUNCTION("LOWER(REGEXREPLACE(B1294&amp;"" ""&amp;C1294,""[^а-яa-z0-9 ]"","" ""))")," атчик счетчика капель ")</f>
        <v xml:space="preserve"> атчик счетчика капель </v>
      </c>
    </row>
    <row r="1295" spans="1:8" ht="76.5" x14ac:dyDescent="0.2">
      <c r="A1295" s="31" t="s">
        <v>2907</v>
      </c>
      <c r="B1295" s="27" t="s">
        <v>2908</v>
      </c>
      <c r="C1295" s="27"/>
      <c r="D1295" s="33" t="s">
        <v>14</v>
      </c>
      <c r="E1295" s="34">
        <v>2</v>
      </c>
      <c r="F1295" s="36">
        <v>0.15</v>
      </c>
      <c r="G1295" s="10">
        <v>253150</v>
      </c>
      <c r="H1295" s="30" t="str">
        <f ca="1">IFERROR(__xludf.DUMMYFUNCTION("LOWER(REGEXREPLACE(B1295&amp;"" ""&amp;C1295,""[^а-яa-z0-9 ]"","" ""))")," атчик капель и пузырьков беспроводной типа  ata arvest 1240   атчик оснащен инфракрасным излучателем и приемником  разделенными воздушным зазором в 83 мм     сбора и обработки данных  asysense2 на трех языках  каз   рус   англ  ")</f>
        <v xml:space="preserve"> атчик капель и пузырьков беспроводной типа  ata arvest 1240   атчик оснащен инфракрасным излучателем и приемником  разделенными воздушным зазором в 83 мм     сбора и обработки данных  asysense2 на трех языках  каз   рус   англ  </v>
      </c>
    </row>
    <row r="1296" spans="1:8" ht="12.75" x14ac:dyDescent="0.2">
      <c r="A1296" s="31" t="s">
        <v>2909</v>
      </c>
      <c r="B1296" s="27" t="s">
        <v>2910</v>
      </c>
      <c r="C1296" s="27"/>
      <c r="D1296" s="32"/>
      <c r="E1296" s="9"/>
      <c r="F1296" s="32"/>
      <c r="G1296" s="10"/>
      <c r="H1296" s="30" t="str">
        <f ca="1">IFERROR(__xludf.DUMMYFUNCTION("LOWER(REGEXREPLACE(B1296&amp;"" ""&amp;C1296,""[^а-яa-z0-9 ]"","" ""))")," абинет химии и лаборантская ")</f>
        <v xml:space="preserve"> абинет химии и лаборантская </v>
      </c>
    </row>
    <row r="1297" spans="1:8" ht="12.75" x14ac:dyDescent="0.2">
      <c r="A1297" s="31" t="s">
        <v>2911</v>
      </c>
      <c r="B1297" s="27" t="s">
        <v>2912</v>
      </c>
      <c r="C1297" s="27"/>
      <c r="D1297" s="33" t="s">
        <v>14</v>
      </c>
      <c r="E1297" s="9"/>
      <c r="F1297" s="32"/>
      <c r="G1297" s="10"/>
      <c r="H1297" s="30" t="str">
        <f ca="1">IFERROR(__xludf.DUMMYFUNCTION("LOWER(REGEXREPLACE(B1297&amp;"" ""&amp;C1297,""[^а-яa-z0-9 ]"","" ""))")," каф вытяжной демонстрационный ")</f>
        <v xml:space="preserve"> каф вытяжной демонстрационный </v>
      </c>
    </row>
    <row r="1298" spans="1:8" ht="165.75" x14ac:dyDescent="0.2">
      <c r="A1298" s="31" t="s">
        <v>2913</v>
      </c>
      <c r="B1298" s="27" t="s">
        <v>2914</v>
      </c>
      <c r="C1298" s="27" t="s">
        <v>2915</v>
      </c>
      <c r="D1298" s="33" t="s">
        <v>14</v>
      </c>
      <c r="E1298" s="9"/>
      <c r="F1298" s="32"/>
      <c r="G1298" s="10">
        <v>386083</v>
      </c>
      <c r="H1298" s="30" t="str">
        <f ca="1">IFERROR(__xludf.DUMMYFUNCTION("LOWER(REGEXREPLACE(B1298&amp;"" ""&amp;C1298,""[^а-яa-z0-9 ]"","" ""))")," каф вытяжной демонстрационный с защитным экраном  раковиной и смесителем 1200х690х2200мм  каф вытяжной демонстрационный с защитным экраном  раковиной и смесителем   азмеры 1200х690х2200мм   ельнометаллическая сварная конструкция с полимерно порошковым по"&amp;"крытием   одъемный экран выполнен из оконного стекла для усиления механической прочности помещен в металлическую рамку    одъемный экран уравновешивается противовесами  благодаря которым экран может быть зафиксирован в любом положении    верхнему горизонт"&amp;"у крепится патрубок для подключения к системе общей вентиляции   ижняя часть   металлическая тумба с панелью для оборудования электропитания   умба оснащена 3 мя дверьми    а металлической дверью имеется несъемная полка   аждая дверь закрывается на врезно"&amp;"й замок   омплектация  смеситель для воды с гибкой подводкой  сливная раковина d150мм из полипропилена со сливом   становлена люминесцентная лампа   переди шкафа имеются    электрические розетки  прикрываемые пластиковой крышкой")</f>
        <v xml:space="preserve"> каф вытяжной демонстрационный с защитным экраном  раковиной и смесителем 1200х690х2200мм  каф вытяжной демонстрационный с защитным экраном  раковиной и смесителем   азмеры 1200х690х2200мм   ельнометаллическая сварная конструкция с полимерно порошковым покрытием   одъемный экран выполнен из оконного стекла для усиления механической прочности помещен в металлическую рамку    одъемный экран уравновешивается противовесами  благодаря которым экран может быть зафиксирован в любом положении    верхнему горизонту крепится патрубок для подключения к системе общей вентиляции   ижняя часть   металлическая тумба с панелью для оборудования электропитания   умба оснащена 3 мя дверьми    а металлической дверью имеется несъемная полка   аждая дверь закрывается на врезной замок   омплектация  смеситель для воды с гибкой подводкой  сливная раковина d150мм из полипропилена со сливом   становлена люминесцентная лампа   переди шкафа имеются    электрические розетки  прикрываемые пластиковой крышкой</v>
      </c>
    </row>
    <row r="1299" spans="1:8" ht="89.25" x14ac:dyDescent="0.2">
      <c r="A1299" s="31" t="s">
        <v>2916</v>
      </c>
      <c r="B1299" s="27" t="s">
        <v>2917</v>
      </c>
      <c r="C1299" s="27" t="s">
        <v>2918</v>
      </c>
      <c r="D1299" s="33" t="s">
        <v>14</v>
      </c>
      <c r="E1299" s="34">
        <v>2</v>
      </c>
      <c r="F1299" s="34">
        <v>25</v>
      </c>
      <c r="G1299" s="10">
        <v>928891</v>
      </c>
      <c r="H1299" s="30" t="str">
        <f ca="1">IFERROR(__xludf.DUMMYFUNCTION("LOWER(REGEXREPLACE(B1299&amp;"" ""&amp;C1299,""[^а-яa-z0-9 ]"","" ""))")," каф вытяжной демонстрационный с защитным экраном  раковиной и смесителем 900х640х2087мм  каф вытяжной  900 640 2087 на металлическом основании  каркас которого нижняя часть изготовлен из лдсп  а ноги из квадратной трубы 30х30 толщина стенки не менее 1 5 "&amp;"мм   ерхняя часть шкафа выполнена из трубы прямоугольного сечения по задней части 60 30мм и 60 60мм по передней части  дополнительно из профиля  2 в которое вставляется оргстекло   каф оборудован вытяжкой и предназначен для проведения опытов с более летуч"&amp;"ими веществами   меется 2 розетки и раковина 300 150мм")</f>
        <v xml:space="preserve"> каф вытяжной демонстрационный с защитным экраном  раковиной и смесителем 900х640х2087мм  каф вытяжной  900 640 2087 на металлическом основании  каркас которого нижняя часть изготовлен из лдсп  а ноги из квадратной трубы 30х30 толщина стенки не менее 1 5 мм   ерхняя часть шкафа выполнена из трубы прямоугольного сечения по задней части 60 30мм и 60 60мм по передней части  дополнительно из профиля  2 в которое вставляется оргстекло   каф оборудован вытяжкой и предназначен для проведения опытов с более летучими веществами   меется 2 розетки и раковина 300 150мм</v>
      </c>
    </row>
    <row r="1300" spans="1:8" ht="191.25" x14ac:dyDescent="0.2">
      <c r="A1300" s="31" t="s">
        <v>2919</v>
      </c>
      <c r="B1300" s="27" t="s">
        <v>2920</v>
      </c>
      <c r="C1300" s="27" t="s">
        <v>2921</v>
      </c>
      <c r="D1300" s="33" t="s">
        <v>14</v>
      </c>
      <c r="E1300" s="9"/>
      <c r="F1300" s="34">
        <v>130</v>
      </c>
      <c r="G1300" s="10">
        <v>1558036</v>
      </c>
      <c r="H1300" s="30" t="str">
        <f ca="1">IFERROR(__xludf.DUMMYFUNCTION("LOWER(REGEXREPLACE(B1300&amp;"" ""&amp;C1300,""[^а-яa-z0-9 ]"","" ""))")," каф вытяжной демонстрационный с защитным экраном  раковиной и смесителем 1200х700х2200мм  аркас шкафа изготовлен из стали с покрытием   абочая зона со столешницей выполнена из керамогранита   на снабжена двухуровневой вытяжкой  подъемным экраном из трипл"&amp;"екса  светодиодным светильником   становлена на опорную тумбу с дверцами и вытяжкой   теклянный экран фиксируется в любом положении от  полностью закрыт  до  полностью открыт     столешницу допускается встраивание раковины с кранами   аружная и внутренняя"&amp;" поверхности шкафа окрашены порошковой  эпоксиполиэфирной краской   одъемный защитный экран покрыт противоударной пленкой и фиксируется на любой высоте   омплектация   ветильник размещен вне зоны воздействия агрессивных сред   лектророзетки 16  250   3шт "&amp;"   ыключатель освещения 10   250    ифференциальный автомат  двухполюсный 16  250    атрубок для подключения к системе вентиляции  250мм   умбы в нижней части шкафа  полки  двери    ран для подачи воды в рабочей зоне   ливная полипропиленовая чаша не мене"&amp;"е 120 100мм")</f>
        <v xml:space="preserve"> каф вытяжной демонстрационный с защитным экраном  раковиной и смесителем 1200х700х2200мм  аркас шкафа изготовлен из стали с покрытием   абочая зона со столешницей выполнена из керамогранита   на снабжена двухуровневой вытяжкой  подъемным экраном из триплекса  светодиодным светильником   становлена на опорную тумбу с дверцами и вытяжкой   теклянный экран фиксируется в любом положении от  полностью закрыт  до  полностью открыт     столешницу допускается встраивание раковины с кранами   аружная и внутренняя поверхности шкафа окрашены порошковой  эпоксиполиэфирной краской   одъемный защитный экран покрыт противоударной пленкой и фиксируется на любой высоте   омплектация   ветильник размещен вне зоны воздействия агрессивных сред   лектророзетки 16  250   3шт    ыключатель освещения 10   250    ифференциальный автомат  двухполюсный 16  250    атрубок для подключения к системе вентиляции  250мм   умбы в нижней части шкафа  полки  двери    ран для подачи воды в рабочей зоне   ливная полипропиленовая чаша не менее 120 100мм</v>
      </c>
    </row>
    <row r="1301" spans="1:8" ht="165.75" x14ac:dyDescent="0.2">
      <c r="A1301" s="31" t="s">
        <v>2922</v>
      </c>
      <c r="B1301" s="27" t="s">
        <v>2923</v>
      </c>
      <c r="C1301" s="27" t="s">
        <v>2924</v>
      </c>
      <c r="D1301" s="33" t="s">
        <v>14</v>
      </c>
      <c r="E1301" s="34">
        <v>2</v>
      </c>
      <c r="F1301" s="34">
        <v>140</v>
      </c>
      <c r="G1301" s="10">
        <v>423208</v>
      </c>
      <c r="H1301" s="30" t="str">
        <f ca="1">IFERROR(__xludf.DUMMYFUNCTION("LOWER(REGEXREPLACE(B1301&amp;"" ""&amp;C1301,""[^а-яa-z0-9 ]"","" ""))")," каф вытяжной демонстрационный с защитным экраном  раковиной и смесителем 1200х600х2200мм  каф вытяжной демонстрационный с системой вентиляции  размеры  1200х600х2000мм   орпус металлический  шкаф двухсекционный   асадная часть с дверцей открываются верти"&amp;"кально и фиксируются в трех положениях с помощью кнопочных фиксаторов   отолок и нижний отсек изготовлены из      толщиной 16мм и имеет вытяжной вентилятор   толешница толщиной 22 мм с химически термоустойчивым пластиковым покрытием толщиной 0 6мм  цвет б"&amp;"елый   ромка столешницы изготовлена из     толщиной 2мм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смеситель лабораторный   1 шт "&amp;" полипропиленовая раковина лабораторная   1 шт  сифон канализационный бытовой   1 шт  вентилятор вытяжной электрический   1 шт  розетка    56 с защитной шторкой   2шт")</f>
        <v xml:space="preserve"> каф вытяжной демонстрационный с защитным экраном  раковиной и смесителем 1200х600х2200мм  каф вытяжной демонстрационный с системой вентиляции  размеры  1200х600х2000мм   орпус металлический  шкаф двухсекционный   асадная часть с дверцей открываются вертикально и фиксируются в трех положениях с помощью кнопочных фиксаторов   отолок и нижний отсек изготовлены из      толщиной 16мм и имеет вытяжной вентилятор   толешница толщиной 22 мм с химически термоустойчивым пластиковым покрытием толщиной 0 6мм  цвет белый   ромка столешницы изготовлена из     толщиной 2мм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смеситель лабораторный   1 шт  полипропиленовая раковина лабораторная   1 шт  сифон канализационный бытовой   1 шт  вентилятор вытяжной электрический   1 шт  розетка    56 с защитной шторкой   2шт</v>
      </c>
    </row>
    <row r="1302" spans="1:8" ht="153" x14ac:dyDescent="0.2">
      <c r="A1302" s="31" t="s">
        <v>2925</v>
      </c>
      <c r="B1302" s="27" t="s">
        <v>2926</v>
      </c>
      <c r="C1302" s="27" t="s">
        <v>2927</v>
      </c>
      <c r="D1302" s="33" t="s">
        <v>14</v>
      </c>
      <c r="E1302" s="34">
        <v>2</v>
      </c>
      <c r="F1302" s="34">
        <v>75</v>
      </c>
      <c r="G1302" s="10">
        <v>358207</v>
      </c>
      <c r="H1302" s="30" t="str">
        <f ca="1">IFERROR(__xludf.DUMMYFUNCTION("LOWER(REGEXREPLACE(B1302&amp;"" ""&amp;C1302,""[^а-яa-z0-9 ]"","" ""))")," каф вытяжной демонстрационный с защитным экраном  раковиной и смесителем 1200х600х2000мм  есущая часть состоит из      16мм   асадная часть со стеклом открываются горизонтально и фиксируются в двух положениях с помощью кнопочных фиксаторов   отолок и ниж"&amp;"ний отсек изготовлены из      белого цвета толщиной 16 мм и имеет вытяжной вентилятор   толешница толщиной 22 мм из химически термоустойчивого пластикового покрытия толщиной 0 6 мм  цвет белый   ромка столешницы изготовлена из     толщиной 2 мм   а краю с"&amp;"толешницы вмонтированы раковина и кран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кран излива   1 шт  раковина лабораторная   1 шт"&amp;"  сифон канализационный бытовой   1шт  вентилятор вытяжной электрический   1 шт   озетка двойная 220в")</f>
        <v xml:space="preserve"> каф вытяжной демонстрационный с защитным экраном  раковиной и смесителем 1200х600х2000мм  есущая часть состоит из      16мм   асадная часть со стеклом открываются горизонтально и фиксируются в двух положениях с помощью кнопочных фиксаторов   отолок и нижний отсек изготовлены из      белого цвета толщиной 16 мм и имеет вытяжной вентилятор   толешница толщиной 22 мм из химически термоустойчивого пластикового покрытия толщиной 0 6 мм  цвет белый   ромка столешницы изготовлена из     толщиной 2 мм   а краю столешницы вмонтированы раковина и кран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кран излива   1 шт  раковина лабораторная   1 шт  сифон канализационный бытовой   1шт  вентилятор вытяжной электрический   1 шт   озетка двойная 220в</v>
      </c>
    </row>
    <row r="1303" spans="1:8" ht="76.5" x14ac:dyDescent="0.2">
      <c r="A1303" s="31" t="s">
        <v>2928</v>
      </c>
      <c r="B1303" s="27" t="s">
        <v>2929</v>
      </c>
      <c r="C1303" s="27" t="s">
        <v>2930</v>
      </c>
      <c r="D1303" s="33" t="s">
        <v>14</v>
      </c>
      <c r="E1303" s="34">
        <v>2</v>
      </c>
      <c r="F1303" s="34">
        <v>139</v>
      </c>
      <c r="G1303" s="10">
        <v>329229</v>
      </c>
      <c r="H1303" s="30" t="str">
        <f ca="1">IFERROR(__xludf.DUMMYFUNCTION("LOWER(REGEXREPLACE(B1303&amp;"" ""&amp;C1303,""[^а-яa-z0-9 ]"","" ""))")," каф вытяжной демонстрационный с защитным экраном и раковиной  размер 1100х600х2400мм  атериал       16 мм  столешница постформинг 25 мм    верхней части за остеклением столешница с мойкой  диаметром 14 см  глубиной до сливного отверстия 12 см   и лаборат"&amp;"орным краном    нижней части   вставная полка за двумя глухими дверями   ромки деталей облицованы полимерным кромочным материалом        толщиной 1 5 мм   меется раковина и лабораторный кран   урнитура  стяжка типа       навес типа       ручки")</f>
        <v xml:space="preserve"> каф вытяжной демонстрационный с защитным экраном и раковиной  размер 1100х600х2400мм  атериал       16 мм  столешница постформинг 25 мм    верхней части за остеклением столешница с мойкой  диаметром 14 см  глубиной до сливного отверстия 12 см   и лабораторным краном    нижней части   вставная полка за двумя глухими дверями   ромки деталей облицованы полимерным кромочным материалом        толщиной 1 5 мм   меется раковина и лабораторный кран   урнитура  стяжка типа       навес типа       ручки</v>
      </c>
    </row>
    <row r="1304" spans="1:8" ht="255" x14ac:dyDescent="0.2">
      <c r="A1304" s="31" t="s">
        <v>2931</v>
      </c>
      <c r="B1304" s="27" t="s">
        <v>2932</v>
      </c>
      <c r="C1304" s="27" t="s">
        <v>2933</v>
      </c>
      <c r="D1304" s="33" t="s">
        <v>14</v>
      </c>
      <c r="E1304" s="34">
        <v>2</v>
      </c>
      <c r="F1304" s="34">
        <v>300</v>
      </c>
      <c r="G1304" s="10">
        <v>1709809</v>
      </c>
      <c r="H1304" s="30" t="str">
        <f ca="1">IFERROR(__xludf.DUMMYFUNCTION("LOWER(REGEXREPLACE(B1304&amp;"" ""&amp;C1304,""[^а-яa-z0-9 ]"","" ""))")," каф вытяжной металлический демонстрационный с защитным экраном  раковиной и смесителем 1500х850х2350мм  абораторный шкаф имеет разборную конструкцию  состоящую из верхней части   вытяжной камеры и нижней части   шкафа с двумя отделениями   каф  основой и"&amp;"зделия является сборно разборный металлический каркас  окрашенный порошковой краской     7035   ытяжка воздуха осуществляется из верхней и средней части камеры  чтобы удалить из рабочей зоны газ и пары   нутренний каркас изготовлен из кислостойкого       "&amp;"толешница выполнена из монолитного химически стойкого материала        устойчивого к сильным ударам  кислотам и щелочам   меется встроенная шести зонная вентиляция в рабочем пространстве шкафа   а циркуляцию воздуха отвечает осевой вентилятор мощностью 40"&amp;"  т  диаметром 160 мм  напряжением 220    скоростью вращения 1450 об мин и уровнем шума 30 д    рызгозащищенные электророзетки  2 шт   с заземлением   акже имеется автоматическое устройство аварийного отключения питания   ветодиодный светильник 30  т разм"&amp;"ещен на верхней панели вытяжной камеры над рабочей зоной   кран изготовлен из закаленного стекла толщиной 5 мм и алюминиевой рамы   еханизм подъема расположен вне рабочей зоны   ри полностью открытом рабочем пространстве экраны не выходят за габариты вытя"&amp;"жного шкафа   одъемный механизм обеспечивает легкое перемещение и надежное фиксирование экрана на любой заданной высоте    комплектацию входят мойка  стойкая к кислотам  из    материала  1 шт   и лабораторный медный кран  1 шт   ")</f>
        <v xml:space="preserve"> каф вытяжной металлический демонстрационный с защитным экраном  раковиной и смесителем 1500х850х2350мм  абораторный шкаф имеет разборную конструкцию  состоящую из верхней части   вытяжной камеры и нижней части   шкафа с двумя отделениями   каф  основой изделия является сборно разборный металлический каркас  окрашенный порошковой краской     7035   ытяжка воздуха осуществляется из верхней и средней части камеры  чтобы удалить из рабочей зоны газ и пары   нутренний каркас изготовлен из кислостойкого       толешница выполнена из монолитного химически стойкого материала        устойчивого к сильным ударам  кислотам и щелочам   меется встроенная шести зонная вентиляция в рабочем пространстве шкафа   а циркуляцию воздуха отвечает осевой вентилятор мощностью 40  т  диаметром 160 мм  напряжением 220    скоростью вращения 1450 об мин и уровнем шума 30 д    рызгозащищенные электророзетки  2 шт   с заземлением   акже имеется автоматическое устройство аварийного отключения питания   ветодиодный светильник 30  т размещен на верхней панели вытяжной камеры над рабочей зоной   кран изготовлен из закаленного стекла толщиной 5 мм и алюминиевой рамы   еханизм подъема расположен вне рабочей зоны   ри полностью открытом рабочем пространстве экраны не выходят за габариты вытяжного шкафа   одъемный механизм обеспечивает легкое перемещение и надежное фиксирование экрана на любой заданной высоте    комплектацию входят мойка  стойкая к кислотам  из    материала  1 шт   и лабораторный медный кран  1 шт   </v>
      </c>
    </row>
    <row r="1305" spans="1:8" ht="51" x14ac:dyDescent="0.2">
      <c r="A1305" s="31" t="s">
        <v>2934</v>
      </c>
      <c r="B1305" s="27" t="s">
        <v>2935</v>
      </c>
      <c r="C1305" s="27" t="s">
        <v>2936</v>
      </c>
      <c r="D1305" s="33" t="s">
        <v>14</v>
      </c>
      <c r="E1305" s="34">
        <v>2</v>
      </c>
      <c r="F1305" s="34">
        <v>5</v>
      </c>
      <c r="G1305" s="10">
        <v>128770</v>
      </c>
      <c r="H1305" s="30" t="str">
        <f ca="1">IFERROR(__xludf.DUMMYFUNCTION("LOWER(REGEXREPLACE(B1305&amp;"" ""&amp;C1305,""[^а-яa-z0-9 ]"","" ""))")," ележка пластиковая с 4 лотками  ележка пластиковая с 4 лотками изготовлена из пластика   ередвижная  оснащена 4 колесиками    азмеры 430х354х645 мм    комплекте 4 пластиковых лотка яркого цвета разной высоты  размер лотка 312 х 427 х 75 мм   2 штуки  раз"&amp;"мер лотка 312 х 427 х 150 мм   2 штуки   отки должны быть изготовлены из прочного полипропилена ")</f>
        <v xml:space="preserve"> ележка пластиковая с 4 лотками  ележка пластиковая с 4 лотками изготовлена из пластика   ередвижная  оснащена 4 колесиками    азмеры 430х354х645 мм    комплекте 4 пластиковых лотка яркого цвета разной высоты  размер лотка 312 х 427 х 75 мм   2 штуки  размер лотка 312 х 427 х 150 мм   2 штуки   отки должны быть изготовлены из прочного полипропилена </v>
      </c>
    </row>
    <row r="1306" spans="1:8" ht="12.75" x14ac:dyDescent="0.2">
      <c r="A1306" s="31" t="s">
        <v>2937</v>
      </c>
      <c r="B1306" s="27" t="s">
        <v>2938</v>
      </c>
      <c r="C1306" s="27"/>
      <c r="D1306" s="33" t="s">
        <v>14</v>
      </c>
      <c r="E1306" s="9"/>
      <c r="F1306" s="32"/>
      <c r="G1306" s="10"/>
      <c r="H1306" s="30" t="str">
        <f ca="1">IFERROR(__xludf.DUMMYFUNCTION("LOWER(REGEXREPLACE(B1306&amp;"" ""&amp;C1306,""[^а-яa-z0-9 ]"","" ""))")," каф металлический для реактивов ")</f>
        <v xml:space="preserve"> каф металлический для реактивов </v>
      </c>
    </row>
    <row r="1307" spans="1:8" ht="51" x14ac:dyDescent="0.2">
      <c r="A1307" s="31" t="s">
        <v>2939</v>
      </c>
      <c r="B1307" s="27" t="s">
        <v>2940</v>
      </c>
      <c r="C1307" s="27" t="s">
        <v>2941</v>
      </c>
      <c r="D1307" s="33" t="s">
        <v>14</v>
      </c>
      <c r="E1307" s="9"/>
      <c r="F1307" s="32"/>
      <c r="G1307" s="10">
        <v>115889</v>
      </c>
      <c r="H1307" s="30" t="str">
        <f ca="1">IFERROR(__xludf.DUMMYFUNCTION("LOWER(REGEXREPLACE(B1307&amp;"" ""&amp;C1307,""[^а-яa-z0-9 ]"","" ""))")," каф для химических реактивов 800 500 1800  каф металлический окрашен полимерной краской   олки не съемные   верцы двустворчатые    равые двери верхние и нижние  оборудованы замком  без ручек   евые двери   шпингалетом   азмеры  800х500х1800 мм    верхнем"&amp;"у горизонту крепится патрубок  высота патрубка 100мм ")</f>
        <v xml:space="preserve"> каф для химических реактивов 800 500 1800  каф металлический окрашен полимерной краской   олки не съемные   верцы двустворчатые    равые двери верхние и нижние  оборудованы замком  без ручек   евые двери   шпингалетом   азмеры  800х500х1800 мм    верхнему горизонту крепится патрубок  высота патрубка 100мм </v>
      </c>
    </row>
    <row r="1308" spans="1:8" ht="76.5" x14ac:dyDescent="0.2">
      <c r="A1308" s="31" t="s">
        <v>2942</v>
      </c>
      <c r="B1308" s="27" t="s">
        <v>2943</v>
      </c>
      <c r="C1308" s="27" t="s">
        <v>2944</v>
      </c>
      <c r="D1308" s="33" t="s">
        <v>14</v>
      </c>
      <c r="E1308" s="9"/>
      <c r="F1308" s="34">
        <v>75</v>
      </c>
      <c r="G1308" s="10">
        <v>328571</v>
      </c>
      <c r="H1308" s="30" t="str">
        <f ca="1">IFERROR(__xludf.DUMMYFUNCTION("LOWER(REGEXREPLACE(B1308&amp;"" ""&amp;C1308,""[^а-яa-z0-9 ]"","" ""))")," каф для химических реактивов 900х420х1920  онструкция изготовленная из листовой стали   каф оборудован внизу   двумя металлическими дверями  регулируемой полкой внутри  вверху   двумя металлическими дверями  двумя регулируемыми полками внутри  вверху   х"&amp;"имически стойким патрубком диаметром 100 мм для подключения к центральной вытяжной системе   етыре распашные двери оборудованы замками    азмеры 900х420х1970мм   амок ключ")</f>
        <v xml:space="preserve"> каф для химических реактивов 900х420х1920  онструкция изготовленная из листовой стали   каф оборудован внизу   двумя металлическими дверями  регулируемой полкой внутри  вверху   двумя металлическими дверями  двумя регулируемыми полками внутри  вверху   химически стойким патрубком диаметром 100 мм для подключения к центральной вытяжной системе   етыре распашные двери оборудованы замками    азмеры 900х420х1970мм   амок ключ</v>
      </c>
    </row>
    <row r="1309" spans="1:8" ht="63.75" x14ac:dyDescent="0.2">
      <c r="A1309" s="31" t="s">
        <v>2945</v>
      </c>
      <c r="B1309" s="27" t="s">
        <v>2946</v>
      </c>
      <c r="C1309" s="27" t="s">
        <v>2947</v>
      </c>
      <c r="D1309" s="33" t="s">
        <v>14</v>
      </c>
      <c r="E1309" s="9"/>
      <c r="F1309" s="34">
        <v>40</v>
      </c>
      <c r="G1309" s="10">
        <v>700893</v>
      </c>
      <c r="H1309" s="30" t="str">
        <f ca="1">IFERROR(__xludf.DUMMYFUNCTION("LOWER(REGEXREPLACE(B1309&amp;"" ""&amp;C1309,""[^а-яa-z0-9 ]"","" ""))")," каф для химических реактивов пожарозащищенный 500х500х900  каф для хранения реактивов  пожарозащищенный    азмеры 500х500х900мм   гнестойкость не менее 60 минут  патрубок для       азделен на два закрытых отдела    верхнем имеется перегородка  с каждой с"&amp;"тороны по 2 полки    нижнем имеется перегородка  с каждой стороны по 1 полке   о середине этих отделов имеются 2 выдвижные полки ")</f>
        <v xml:space="preserve"> каф для химических реактивов пожарозащищенный 500х500х900  каф для хранения реактивов  пожарозащищенный    азмеры 500х500х900мм   гнестойкость не менее 60 минут  патрубок для       азделен на два закрытых отдела    верхнем имеется перегородка  с каждой стороны по 2 полки    нижнем имеется перегородка  с каждой стороны по 1 полке   о середине этих отделов имеются 2 выдвижные полки </v>
      </c>
    </row>
    <row r="1310" spans="1:8" ht="89.25" x14ac:dyDescent="0.2">
      <c r="A1310" s="31" t="s">
        <v>2948</v>
      </c>
      <c r="B1310" s="27" t="s">
        <v>2949</v>
      </c>
      <c r="C1310" s="27" t="s">
        <v>2950</v>
      </c>
      <c r="D1310" s="33" t="s">
        <v>14</v>
      </c>
      <c r="E1310" s="34">
        <v>2</v>
      </c>
      <c r="F1310" s="34">
        <v>65</v>
      </c>
      <c r="G1310" s="10">
        <v>162124</v>
      </c>
      <c r="H1310" s="30" t="str">
        <f ca="1">IFERROR(__xludf.DUMMYFUNCTION("LOWER(REGEXREPLACE(B1310&amp;"" ""&amp;C1310,""[^а-яa-z0-9 ]"","" ""))")," каф для химических реактивов 800х400х1750мм  каф изготовлен из стали  толщина корпуса 0 6мм  толщина двери 0 7мм  комплектуются ключевыми замками  замок устанавливается на верхнюю и на нижнюю дверь   учка пластиковая   аксимальная нагрузка на металлическ"&amp;"ую полку   30 кг   бщее количество полок 5шт   олки имеют перфорацию для вентилирования   верху крепиться патрубок диаметром 100 мм  металлический    ижняя часть задней стенки оснащена вентиляционными отверстиями   ожки  100мм ")</f>
        <v xml:space="preserve"> каф для химических реактивов 800х400х1750мм  каф изготовлен из стали  толщина корпуса 0 6мм  толщина двери 0 7мм  комплектуются ключевыми замками  замок устанавливается на верхнюю и на нижнюю дверь   учка пластиковая   аксимальная нагрузка на металлическую полку   30 кг   бщее количество полок 5шт   олки имеют перфорацию для вентилирования   верху крепиться патрубок диаметром 100 мм  металлический    ижняя часть задней стенки оснащена вентиляционными отверстиями   ожки  100мм </v>
      </c>
    </row>
    <row r="1311" spans="1:8" ht="12.75" x14ac:dyDescent="0.2">
      <c r="A1311" s="31" t="s">
        <v>2951</v>
      </c>
      <c r="B1311" s="27" t="s">
        <v>2952</v>
      </c>
      <c r="C1311" s="27"/>
      <c r="D1311" s="33" t="s">
        <v>14</v>
      </c>
      <c r="E1311" s="9"/>
      <c r="F1311" s="32"/>
      <c r="G1311" s="10"/>
      <c r="H1311" s="30" t="str">
        <f ca="1">IFERROR(__xludf.DUMMYFUNCTION("LOWER(REGEXREPLACE(B1311&amp;"" ""&amp;C1311,""[^а-яa-z0-9 ]"","" ""))")," тол демонстрационный с раковиной ")</f>
        <v xml:space="preserve"> тол демонстрационный с раковиной </v>
      </c>
    </row>
    <row r="1312" spans="1:8" ht="89.25" x14ac:dyDescent="0.2">
      <c r="A1312" s="31" t="s">
        <v>2953</v>
      </c>
      <c r="B1312" s="8" t="s">
        <v>2954</v>
      </c>
      <c r="C1312" s="27" t="s">
        <v>2955</v>
      </c>
      <c r="D1312" s="33" t="s">
        <v>14</v>
      </c>
      <c r="E1312" s="9"/>
      <c r="F1312" s="32"/>
      <c r="G1312" s="10">
        <v>353205</v>
      </c>
      <c r="H1312" s="30" t="str">
        <f ca="1">IFERROR(__xludf.DUMMYFUNCTION("LOWER(REGEXREPLACE(B1312&amp;"" ""&amp;C1312,""[^а-яa-z0-9 ]"","" ""))")," тол демонстрационный с раковиной  составной из двух столов  2400 750 750мм  тол демонстрационный состоит из двух частей с бортом  однотумбовый в каждой части   аркас цельносварная рамочная конструкция  окрашеная стойкой порошковой краской   толешница изг"&amp;"отовлена из     с декоративно пластиковым покрытием тумбы и стенки   надстройки изготовлены из      16мм   од крышкой на лицевой панели закреплена электрическая розетка на 220   и 42     комплекте стола имеются раковина лабораторная с краном  сифон канали"&amp;"зационный   азмеры  2400х750х750мм")</f>
        <v xml:space="preserve"> тол демонстрационный с раковиной  составной из двух столов  2400 750 750мм  тол демонстрационный состоит из двух частей с бортом  однотумбовый в каждой части   аркас цельносварная рамочная конструкция  окрашеная стойкой порошковой краской   толешница изготовлена из     с декоративно пластиковым покрытием тумбы и стенки   надстройки изготовлены из      16мм   од крышкой на лицевой панели закреплена электрическая розетка на 220   и 42     комплекте стола имеются раковина лабораторная с краном  сифон канализационный   азмеры  2400х750х750мм</v>
      </c>
    </row>
    <row r="1313" spans="1:8" ht="89.25" x14ac:dyDescent="0.2">
      <c r="A1313" s="31" t="s">
        <v>2956</v>
      </c>
      <c r="B1313" s="8" t="s">
        <v>2957</v>
      </c>
      <c r="C1313" s="27" t="s">
        <v>2958</v>
      </c>
      <c r="D1313" s="33" t="s">
        <v>14</v>
      </c>
      <c r="E1313" s="9"/>
      <c r="F1313" s="32"/>
      <c r="G1313" s="10">
        <v>179838</v>
      </c>
      <c r="H1313" s="30" t="str">
        <f ca="1">IFERROR(__xludf.DUMMYFUNCTION("LOWER(REGEXREPLACE(B1313&amp;"" ""&amp;C1313,""[^а-яa-z0-9 ]"","" ""))")," тол демонстрационный с раковиной 2800 600 900мм столешница постформинг  тол демонстрационный имеет электрические розетки на 220   и 42    тол тумба с моечной раковиной   аркас цельносварная рамочную конструкцию  окрашеная стойкой к химическим и механичес"&amp;"ким воздействиям порошковой краской   толешница выполнена из постформинга28мм  ящики и стенки   надстройки   изготовлены из ламинированной     16мм     комплекте имеются лабораторная раковина с краном  сифон канализационный   азмеры  2800х600х900мм")</f>
        <v xml:space="preserve"> тол демонстрационный с раковиной 2800 600 900мм столешница постформинг  тол демонстрационный имеет электрические розетки на 220   и 42    тол тумба с моечной раковиной   аркас цельносварная рамочную конструкцию  окрашеная стойкой к химическим и механическим воздействиям порошковой краской   толешница выполнена из постформинга28мм  ящики и стенки   надстройки   изготовлены из ламинированной     16мм     комплекте имеются лабораторная раковина с краном  сифон канализационный   азмеры  2800х600х900мм</v>
      </c>
    </row>
    <row r="1314" spans="1:8" ht="89.25" x14ac:dyDescent="0.2">
      <c r="A1314" s="31" t="s">
        <v>2959</v>
      </c>
      <c r="B1314" s="8" t="s">
        <v>2960</v>
      </c>
      <c r="C1314" s="27" t="s">
        <v>2961</v>
      </c>
      <c r="D1314" s="33" t="s">
        <v>14</v>
      </c>
      <c r="E1314" s="9"/>
      <c r="F1314" s="32"/>
      <c r="G1314" s="10">
        <v>203945</v>
      </c>
      <c r="H1314" s="30" t="str">
        <f ca="1">IFERROR(__xludf.DUMMYFUNCTION("LOWER(REGEXREPLACE(B1314&amp;"" ""&amp;C1314,""[^а-яa-z0-9 ]"","" ""))")," тол демонстрационный с раковиной 2800 700 900мм столешница керамо плитка  тол демонстрационный состоит из трех частей с бортом  тумбой   толешница  шлифованное     16мм  с керамической плиткой   а лицевой панели закреплена электрическая розетка на 220   "&amp;"и 42    умба с моечной раковиной   аркас цельносварная рамочную конструкцию  окрашеная стойкой к химическим и механическим воздействиям порошковой краской   щики и стенки   надстройки   изготовлены из      16мм     комплекте имеются раковина с краном  сиф"&amp;"он канализационный   азмеры  2800х700х900мм")</f>
        <v xml:space="preserve"> тол демонстрационный с раковиной 2800 700 900мм столешница керамо плитка  тол демонстрационный состоит из трех частей с бортом  тумбой   толешница  шлифованное     16мм  с керамической плиткой   а лицевой панели закреплена электрическая розетка на 220   и 42    умба с моечной раковиной   аркас цельносварная рамочную конструкцию  окрашеная стойкой к химическим и механическим воздействиям порошковой краской   щики и стенки   надстройки   изготовлены из      16мм     комплекте имеются раковина с краном  сифон канализационный   азмеры  2800х700х900мм</v>
      </c>
    </row>
    <row r="1315" spans="1:8" ht="178.5" x14ac:dyDescent="0.2">
      <c r="A1315" s="31" t="s">
        <v>2962</v>
      </c>
      <c r="B1315" s="27" t="s">
        <v>2963</v>
      </c>
      <c r="C1315" s="27" t="s">
        <v>2964</v>
      </c>
      <c r="D1315" s="33" t="s">
        <v>14</v>
      </c>
      <c r="E1315" s="9"/>
      <c r="F1315" s="34">
        <v>80</v>
      </c>
      <c r="G1315" s="10">
        <v>823214</v>
      </c>
      <c r="H1315" s="30" t="str">
        <f ca="1">IFERROR(__xludf.DUMMYFUNCTION("LOWER(REGEXREPLACE(B1315&amp;"" ""&amp;C1315,""[^а-яa-z0-9 ]"","" ""))")," тол демонстрационный лабораторный c раковиной  смесителем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и"&amp;"з слоистого пластика высокого давления  устойчивых к воздействию щелочей  органических растворителей  концентрированных кислот     рабочую поверхность стола вмонтирована раковина   а сервисной панели стола расположены автомат отключения питания     16   и"&amp;" 4 электророзетки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окр"&amp;"ашенного порошковым методом эпоксиполиэфирной краской пепельного цвета     7040   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эпоксиполиэ"&amp;"фирной краской пепельного цвета     7040   азмеры 2000 мм х 750 мм ")</f>
        <v xml:space="preserve"> тол демонстрационный лабораторный c раковиной  смесителем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рабочую поверхность стола вмонтирована раковина   а сервисной панели стола расположены автомат отключения питания     16   и 4 электророзетки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7040   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7040   азмеры 2000 мм х 750 мм </v>
      </c>
    </row>
    <row r="1316" spans="1:8" ht="114.75" x14ac:dyDescent="0.2">
      <c r="A1316" s="31" t="s">
        <v>2965</v>
      </c>
      <c r="B1316" s="8" t="s">
        <v>2966</v>
      </c>
      <c r="C1316" s="27" t="s">
        <v>2967</v>
      </c>
      <c r="D1316" s="33" t="s">
        <v>14</v>
      </c>
      <c r="E1316" s="34">
        <v>2</v>
      </c>
      <c r="F1316" s="34">
        <v>22</v>
      </c>
      <c r="G1316" s="10">
        <v>378364</v>
      </c>
      <c r="H1316" s="30" t="str">
        <f ca="1">IFERROR(__xludf.DUMMYFUNCTION("LOWER(REGEXREPLACE(B1316&amp;"" ""&amp;C1316,""[^а-яa-z0-9 ]"","" ""))")," тол демонстрационный лабораторный с раковиной и  встроенными тумбами   толешница из химического стойкого пластика 16мм  основание металлокаркас  размер 1800х750х900мм   аличие крана и раковины  без розеток   тол на 2 х боковых опорах  соединенных между с"&amp;"обой царгой   тол на 2 х боковых опорах  соединенных между собой царгой    аковина из полипропилена  размером 300х150мм   толешница из химического стойкого пластика 16мм  должна быть устойчива к различным воздействиям  нагрев  кислоты  растворители и пр  "&amp;"   орцы закатаны кромочным материалом     не менее 1 0 мм   орпус состоит из металокаркаса  окрашенного в полимерно порошковую краску   толешница должна быть антивандальной и устойчивой к царапинам и повреждениями ")</f>
        <v xml:space="preserve"> тол демонстрационный лабораторный с раковиной и  встроенными тумбами   толешница из химического стойкого пластика 16мм  основание металлокаркас  размер 1800х750х900мм   аличие крана и раковины  без розеток   тол на 2 х боковых опорах  соединенных между собой царгой   тол на 2 х боковых опорах  соединенных между собой царгой    аковина из полипропилена  размером 300х150мм   толешница из химического стойкого пластика 16мм  должна быть устойчива к различным воздействиям  нагрев  кислоты  растворители и пр     орцы закатаны кромочным материалом     не менее 1 0 мм   орпус состоит из металокаркаса  окрашенного в полимерно порошковую краску   толешница должна быть антивандальной и устойчивой к царапинам и повреждениями </v>
      </c>
    </row>
    <row r="1317" spans="1:8" ht="114.75" x14ac:dyDescent="0.2">
      <c r="A1317" s="31" t="s">
        <v>2968</v>
      </c>
      <c r="B1317" s="8" t="s">
        <v>2969</v>
      </c>
      <c r="C1317" s="27" t="s">
        <v>2970</v>
      </c>
      <c r="D1317" s="33" t="s">
        <v>14</v>
      </c>
      <c r="E1317" s="34">
        <v>2</v>
      </c>
      <c r="F1317" s="34">
        <v>145</v>
      </c>
      <c r="G1317" s="10">
        <v>441214</v>
      </c>
      <c r="H1317" s="30" t="str">
        <f ca="1">IFERROR(__xludf.DUMMYFUNCTION("LOWER(REGEXREPLACE(B1317&amp;"" ""&amp;C1317,""[^а-яa-z0-9 ]"","" ""))")," тол демонстрационный лабораторный c раковиной  смесителем и розетками   толешница из химически стойкой плиты постформинг 25мм  основание металлокаркас  размер 1800х750х900  аркас металлический   азмер 1800х750х900мм   толешница стола постформинг  изготов"&amp;"лена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ромка     2мм   оковые опоры  глухая  передняя панель изготовлена из квадратн"&amp;"ого перфорационного листа  толщиной 1 2мм  ящики и дверцы изготовлены из        орцы закатаны кромкой     2мм   к столу подведены все коммуникации  розетки   56 с защитной шторкой  с краном и раковиной ")</f>
        <v xml:space="preserve"> тол демонстрационный лабораторный c раковиной  смесителем и розетками   толешница из химически стойкой плиты постформинг 25мм  основание металлокаркас  размер 1800х750х900  аркас металлический   азмер 1800х750х900мм   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ромка     2мм   оковые опоры  глухая  передняя панель изготовлена из квадратного перфорационного листа  толщиной 1 2мм  ящики и дверцы изготовлены из        орцы закатаны кромкой     2мм   к столу подведены все коммуникации  розетки   56 с защитной шторкой  с краном и раковиной </v>
      </c>
    </row>
    <row r="1318" spans="1:8" ht="89.25" x14ac:dyDescent="0.2">
      <c r="A1318" s="31" t="s">
        <v>2971</v>
      </c>
      <c r="B1318" s="27" t="s">
        <v>2972</v>
      </c>
      <c r="C1318" s="27" t="s">
        <v>2973</v>
      </c>
      <c r="D1318" s="33" t="s">
        <v>14</v>
      </c>
      <c r="E1318" s="34">
        <v>2</v>
      </c>
      <c r="F1318" s="34">
        <v>42</v>
      </c>
      <c r="G1318" s="10">
        <v>346568</v>
      </c>
      <c r="H1318" s="30" t="str">
        <f ca="1">IFERROR(__xludf.DUMMYFUNCTION("LOWER(REGEXREPLACE(B1318&amp;"" ""&amp;C1318,""[^а-яa-z0-9 ]"","" ""))")," тол демонстрационный с раковиной  розетками  размер 2000 750 900мм  снование металлический каркас  выполнен из трубы квадратного сечения   ожки с регулировкой высоты   а лицевой панели расположены розетки ip56 с защитой в количестве 6 штук   ойка из поли"&amp;"пропилена  квадратная   ран металический   абариты 2000 750 900мм   тол имеет 3 выдвижные полки  2 встроенные тумбы размером 656х639мм с двумя ящиками под формуляры   тол выполнен из      16 мм  торцы обрамлены кантом     1мм   толешница из      16мм ")</f>
        <v xml:space="preserve"> тол демонстрационный с раковиной  розетками  размер 2000 750 900мм  снование металлический каркас  выполнен из трубы квадратного сечения   ожки с регулировкой высоты   а лицевой панели расположены розетки ip56 с защитой в количестве 6 штук   ойка из полипропилена  квадратная   ран металический   абариты 2000 750 900мм   тол имеет 3 выдвижные полки  2 встроенные тумбы размером 656х639мм с двумя ящиками под формуляры   тол выполнен из      16 мм  торцы обрамлены кантом     1мм   толешница из      16мм </v>
      </c>
    </row>
    <row r="1319" spans="1:8" ht="114.75" x14ac:dyDescent="0.2">
      <c r="A1319" s="31" t="s">
        <v>2974</v>
      </c>
      <c r="B1319" s="27" t="s">
        <v>2975</v>
      </c>
      <c r="C1319" s="27" t="s">
        <v>2976</v>
      </c>
      <c r="D1319" s="33" t="s">
        <v>14</v>
      </c>
      <c r="E1319" s="34">
        <v>2</v>
      </c>
      <c r="F1319" s="34">
        <v>96</v>
      </c>
      <c r="G1319" s="10">
        <v>282569</v>
      </c>
      <c r="H1319" s="30" t="str">
        <f ca="1">IFERROR(__xludf.DUMMYFUNCTION("LOWER(REGEXREPLACE(B1319&amp;"" ""&amp;C1319,""[^а-яa-z0-9 ]"","" ""))")," тол демонстрационный с раковиной и письменным столом в комплекте  столешница постформинг 25мм  размер 2400х600х900 750  мм  тол состоит из двух частей       толщиной 16 мм  столешница выполнена из химически стойкой плиты постформинг 25 мм    левой части "&amp;"стола оборудована тумба стационарная  за глухим фасадом   1 вставная полка    левой стороны лабораторный кран с раковиной   аковина из химически стойкого пластика  диаметром 140мм  глубиной  до сливного отверстия  120мм    правой части стола оборудована с"&amp;"тационарная тумба с четырьмя выдвижными ящиками   урнитура  конфирматы  стяжка       полкодержатель металлический  без пластиковых элементов   роликовые направляющие  ручки  навес мебельный      ")</f>
        <v xml:space="preserve"> тол демонстрационный с раковиной и письменным столом в комплекте  столешница постформинг 25мм  размер 2400х600х900 750  мм  тол состоит из двух частей       толщиной 16 мм  столешница выполнена из химически стойкой плиты постформинг 25 мм    левой части стола оборудована тумба стационарная  за глухим фасадом   1 вставная полка    левой стороны лабораторный кран с раковиной   аковина из химически стойкого пластика  диаметром 140мм  глубиной  до сливного отверстия  120мм    правой части стола оборудована стационарная тумба с четырьмя выдвижными ящиками   урнитура  конфирматы  стяжка       полкодержатель металлический  без пластиковых элементов   роликовые направляющие  ручки  навес мебельный      </v>
      </c>
    </row>
    <row r="1320" spans="1:8" ht="165.75" x14ac:dyDescent="0.2">
      <c r="A1320" s="31" t="s">
        <v>2977</v>
      </c>
      <c r="B1320" s="8" t="s">
        <v>2978</v>
      </c>
      <c r="C1320" s="27" t="s">
        <v>2979</v>
      </c>
      <c r="D1320" s="33" t="s">
        <v>14</v>
      </c>
      <c r="E1320" s="34">
        <v>2</v>
      </c>
      <c r="F1320" s="34">
        <v>86</v>
      </c>
      <c r="G1320" s="10">
        <v>139778</v>
      </c>
      <c r="H1320" s="30" t="str">
        <f ca="1">IFERROR(__xludf.DUMMYFUNCTION("LOWER(REGEXREPLACE(B1320&amp;"" ""&amp;C1320,""[^а-яa-z0-9 ]"","" ""))")," тол демонстрационный с раковиной  размеры 1600х750х900 мм   толешница из      22 мм  покрытая пластиком  кромка      раковина полипропиленовая размером 300х300мм  атериал столешницы должен быть      толщиной не менее 22 мм  покрытая пластиком толщиной не"&amp;" менее 0 5 мм   ромка должна быть из     не менее 2 мм   а столешнице должен располагаться вырез для установки мойки полипропиленовой с левой стороны  размером 300х300   тол состоит из двух боковых опор  глухой передней панели  крышки и дна   нутренние по"&amp;"лки должны быть изготовлены из      толщиной не менее 16мм   верцы должны быть изготовлены из цветного      толщиной не менее 16мм   нутри стола должна быть полка и вертикальная перегородки на всю высоту   нутреннее пространство стола должно быть поделено"&amp;" на 2 отдела  один из которых закрыт глухой дверью для скрытия коммуникаций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f>
        <v xml:space="preserve"> тол демонстрационный с раковиной  размеры 1600х750х900 мм   толешница из      22 мм  покрытая пластиком  кромка      раковина полипропиленовая размером 300х300мм  атериал столешницы должен быть      толщиной не менее 22 мм  покрытая пластиком толщиной не менее 0 5 мм   ромка должна быть из     не менее 2 мм   а столешнице должен располагаться вырез для установки мойки полипропиленовой с левой стороны  размером 300х300   тол состоит из двух боковых опор  глухой передней панели  крышки и дна   нутренние полки должны быть изготовлены из      толщиной не менее 16мм   верцы должны быть изготовлены из цветного      толщиной не менее 16мм   нутри стола должна быть полка и вертикальная перегородки на всю высоту   нутреннее пространство стола должно быть поделено на 2 отдела  один из которых закрыт глухой дверью для скрытия коммуникаций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v>
      </c>
    </row>
    <row r="1321" spans="1:8" ht="25.5" x14ac:dyDescent="0.2">
      <c r="A1321" s="31" t="s">
        <v>2980</v>
      </c>
      <c r="B1321" s="27" t="s">
        <v>2981</v>
      </c>
      <c r="C1321" s="27"/>
      <c r="D1321" s="33" t="s">
        <v>14</v>
      </c>
      <c r="E1321" s="9"/>
      <c r="F1321" s="32"/>
      <c r="G1321" s="10"/>
      <c r="H1321" s="30" t="str">
        <f ca="1">IFERROR(__xludf.DUMMYFUNCTION("LOWER(REGEXREPLACE(B1321&amp;"" ""&amp;C1321,""[^а-яa-z0-9 ]"","" ""))")," каф лабораторный для хранения методических материалов  наборов и посуды ")</f>
        <v xml:space="preserve"> каф лабораторный для хранения методических материалов  наборов и посуды </v>
      </c>
    </row>
    <row r="1322" spans="1:8" ht="114.75" x14ac:dyDescent="0.2">
      <c r="A1322" s="31" t="s">
        <v>2982</v>
      </c>
      <c r="B1322" s="27" t="s">
        <v>2983</v>
      </c>
      <c r="C1322" s="27" t="s">
        <v>2984</v>
      </c>
      <c r="D1322" s="33" t="s">
        <v>14</v>
      </c>
      <c r="E1322" s="9"/>
      <c r="F1322" s="34">
        <v>42</v>
      </c>
      <c r="G1322" s="10">
        <v>250001</v>
      </c>
      <c r="H1322" s="30" t="str">
        <f ca="1">IFERROR(__xludf.DUMMYFUNCTION("LOWER(REGEXREPLACE(B1322&amp;"" ""&amp;C1322,""[^а-яa-z0-9 ]"","" ""))")," каф для хранения методических материалов   азмеры 900 600 1970мм   ерхний топ из      22 мм  боковые и фасадные из      18мм  полки съ мные из листового металла   снование металлический каркас   низу глухие двери с замком и ключом  сверху стеклянные двер"&amp;"и в алюминиевом профиле  стекло бесцветное  каф для хранения методических материалов   азмеры 900 600 1970мм   ерхний топ из      22 мм   оковые и фасадные части из      18 мм  полки съ мные из листового металла и покрашены в полимерно порошковую краску п"&amp;"о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стеклянные двери в алюминиевом профиле  стекло бесцветное  2 полками в"&amp;"нутри ")</f>
        <v xml:space="preserve"> каф для хранения методических материалов   азмеры 900 600 1970мм   ерхний топ из      22 мм  боковые и фасадные из      18мм  полки съ мные из листового металла   снование металлический каркас   низу глухие двери с замком и ключом  сверху стеклянные двери в алюминиевом профиле  стекло бесцветное  каф для хранения методических материалов   азмеры 900 600 1970мм   ерхний топ из      22 мм   оковые и фасадные части из      18 мм  полки съ 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стеклянные двери в алюминиевом профиле  стекло бесцветное  2 полками внутри </v>
      </c>
    </row>
    <row r="1323" spans="1:8" ht="114.75" x14ac:dyDescent="0.2">
      <c r="A1323" s="31" t="s">
        <v>2985</v>
      </c>
      <c r="B1323" s="27" t="s">
        <v>2986</v>
      </c>
      <c r="C1323" s="27" t="s">
        <v>2987</v>
      </c>
      <c r="D1323" s="33" t="s">
        <v>14</v>
      </c>
      <c r="E1323" s="9"/>
      <c r="F1323" s="34">
        <v>45</v>
      </c>
      <c r="G1323" s="10">
        <v>241908</v>
      </c>
      <c r="H1323" s="30" t="str">
        <f ca="1">IFERROR(__xludf.DUMMYFUNCTION("LOWER(REGEXREPLACE(B1323&amp;"" ""&amp;C1323,""[^а-яa-z0-9 ]"","" ""))")," каф для хранения наборов  лабораторной посуды   азмеры 900 600 1970мм   ерхний топ из      22 мм  боковые и фасадные из      18мм  полки съ мные из листового металла   снование металлический каркас   низу   двумя дверями  регулируемыми полками внутри  св"&amp;"ерху   двумя дверями  регулируемыми полками внутри   се двери имеют замок ключ  каф для хранения наборов  лабораторной посуды   азмеры 900 600 1970мм   ерхний топ из      22 мм   оковые и фасадные части из      18 мм  полки съемные из листового металла и "&amp;"покрашены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вну"&amp;"три ")</f>
        <v xml:space="preserve"> каф для хранения наборов  лабораторной посуды   азмеры 900 600 1970мм   ерхний топ из      22 мм  боковые и фасадные из      18мм  полки съ мные из листового металла   снование металлический каркас   низу   двумя дверями  регулируемыми полками внутри  сверху   двумя дверями  регулируемыми полками внутри   се двери имеют замок ключ  каф для хранения наборов  лабораторной посуды   азмеры 900 600 1970мм   ерхний топ из      22 мм   оковые и фасадные части из      18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внутри </v>
      </c>
    </row>
    <row r="1324" spans="1:8" ht="89.25" x14ac:dyDescent="0.2">
      <c r="A1324" s="31" t="s">
        <v>2988</v>
      </c>
      <c r="B1324" s="8" t="s">
        <v>2989</v>
      </c>
      <c r="C1324" s="27" t="s">
        <v>2990</v>
      </c>
      <c r="D1324" s="33" t="s">
        <v>14</v>
      </c>
      <c r="E1324" s="34">
        <v>2</v>
      </c>
      <c r="F1324" s="34">
        <v>84</v>
      </c>
      <c r="G1324" s="10">
        <v>236797</v>
      </c>
      <c r="H1324" s="30" t="str">
        <f ca="1">IFERROR(__xludf.DUMMYFUNCTION("LOWER(REGEXREPLACE(B1324&amp;"" ""&amp;C1324,""[^а-яa-z0-9 ]"","" ""))")," каф для хранения методических материалов и наборов   азмеры 900х600х1970мм   ерхний топ  боковые и фасадные части из      16мм  полки съ мные из листового металла   снование металлический каркас  ерхний топ из      16 мм   оковые и фасадные части из     "&amp;" 16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д"&amp;"вумя дверями  двумя регулируемыми полками внутри   азмеры 900х600х1970мм ")</f>
        <v xml:space="preserve"> каф для хранения методических материалов и наборов   азмеры 900х600х1970мм   ерхний топ  боковые и фасадные части из      16мм  полки съ мные из листового металла   снование металлический каркас  ерхний топ из      16 мм   оковые и фасадные части из      16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внутри   азмеры 900х600х1970мм </v>
      </c>
    </row>
    <row r="1325" spans="1:8" ht="191.25" x14ac:dyDescent="0.2">
      <c r="A1325" s="31" t="s">
        <v>2991</v>
      </c>
      <c r="B1325" s="27" t="s">
        <v>2992</v>
      </c>
      <c r="C1325" s="27" t="s">
        <v>2993</v>
      </c>
      <c r="D1325" s="33" t="s">
        <v>68</v>
      </c>
      <c r="E1325" s="34">
        <v>2</v>
      </c>
      <c r="F1325" s="34">
        <v>66</v>
      </c>
      <c r="G1325" s="10">
        <v>368323</v>
      </c>
      <c r="H1325" s="30" t="str">
        <f ca="1">IFERROR(__xludf.DUMMYFUNCTION("LOWER(REGEXREPLACE(B1325&amp;"" ""&amp;C1325,""[^а-яa-z0-9 ]"","" ""))")," истема для хранения лотков мобильная  19 лотков для хранения из     пластика  размерами 312x427х75 мм  столешница      22 мм  кромка     2 мм  размеры 1190х580х850 мм  абаритные размеры столешницы должны быть  не менее 1190х580 мм   ысота верхнего края с"&amp;"толешницы над уровнем пола должна быть 850 мм   атериал столешницы      должен быть толщиной не менее 22мм   ромка должна быть из     не менее 2мм   аркас стола должен состоять из двух боковых опор  изготовленных из труб квадратного сечения 40х40  толщино"&amp;"й не менее 1 2 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оковы"&amp;"е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менее"&amp;" 16 мм   нутреннее пространство стола должно быть поделено на отделы двумя вертикальными перегородками на всю высоту    средней секции находится выдвижной ящик  высотой 156 мм  с эргономичным вырезом вместо ручки ")</f>
        <v xml:space="preserve"> истема для хранения лотков мобильная  19 лотков для хранения из     пластика  размерами 312x427х75 мм  столешница      22 мм  кромка     2 мм  размеры 1190х580х850 мм  абаритные размеры столешницы должны быть  не менее 1190х580 мм   ысота верхнего края столешницы над уровнем пола должна быть 850 мм   атериал столешницы      должен быть толщиной не менее 22мм   ромка должна быть из     не менее 2мм   аркас стола должен состоять из двух боковых опор  изготовленных из труб квадратного сечения 40х40  толщиной не менее 1 2 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вертикальными перегородками на всю высоту    средней секции находится выдвижной ящик  высотой 156 мм  с эргономичным вырезом вместо ручки </v>
      </c>
    </row>
    <row r="1326" spans="1:8" ht="25.5" x14ac:dyDescent="0.2">
      <c r="A1326" s="31" t="s">
        <v>2994</v>
      </c>
      <c r="B1326" s="27" t="s">
        <v>2995</v>
      </c>
      <c r="C1326" s="27"/>
      <c r="D1326" s="32"/>
      <c r="E1326" s="9"/>
      <c r="F1326" s="32"/>
      <c r="G1326" s="10"/>
      <c r="H1326" s="30" t="str">
        <f ca="1">IFERROR(__xludf.DUMMYFUNCTION("LOWER(REGEXREPLACE(B1326&amp;"" ""&amp;C1326,""[^а-яa-z0-9 ]"","" ""))")," оллекции и модели демонстрационные для кабинета химии ")</f>
        <v xml:space="preserve"> оллекции и модели демонстрационные для кабинета химии </v>
      </c>
    </row>
    <row r="1327" spans="1:8" ht="12.75" x14ac:dyDescent="0.2">
      <c r="A1327" s="31" t="s">
        <v>2996</v>
      </c>
      <c r="B1327" s="27" t="s">
        <v>2997</v>
      </c>
      <c r="C1327" s="27"/>
      <c r="D1327" s="33" t="s">
        <v>68</v>
      </c>
      <c r="E1327" s="9"/>
      <c r="F1327" s="32"/>
      <c r="G1327" s="10">
        <v>23214</v>
      </c>
      <c r="H1327" s="30" t="str">
        <f ca="1">IFERROR(__xludf.DUMMYFUNCTION("LOWER(REGEXREPLACE(B1327&amp;"" ""&amp;C1327,""[^а-яa-z0-9 ]"","" ""))")," абор моделей масштабных молекул ")</f>
        <v xml:space="preserve"> абор моделей масштабных молекул </v>
      </c>
    </row>
    <row r="1328" spans="1:8" ht="25.5" x14ac:dyDescent="0.2">
      <c r="A1328" s="31" t="s">
        <v>2998</v>
      </c>
      <c r="B1328" s="27" t="s">
        <v>2999</v>
      </c>
      <c r="C1328" s="27"/>
      <c r="D1328" s="33" t="s">
        <v>1506</v>
      </c>
      <c r="E1328" s="9"/>
      <c r="F1328" s="32"/>
      <c r="G1328" s="10"/>
      <c r="H1328" s="30" t="str">
        <f ca="1">IFERROR(__xludf.DUMMYFUNCTION("LOWER(REGEXREPLACE(B1328&amp;"" ""&amp;C1328,""[^а-яa-z0-9 ]"","" ""))")," абор моделей молекул по органике и неорганике для учащегося ")</f>
        <v xml:space="preserve"> абор моделей молекул по органике и неорганике для учащегося </v>
      </c>
    </row>
    <row r="1329" spans="1:8" ht="25.5" x14ac:dyDescent="0.2">
      <c r="A1329" s="31" t="s">
        <v>3000</v>
      </c>
      <c r="B1329" s="27" t="s">
        <v>2999</v>
      </c>
      <c r="C1329" s="27"/>
      <c r="D1329" s="33" t="s">
        <v>1506</v>
      </c>
      <c r="E1329" s="9"/>
      <c r="F1329" s="32"/>
      <c r="G1329" s="10">
        <v>24038</v>
      </c>
      <c r="H1329" s="30" t="str">
        <f ca="1">IFERROR(__xludf.DUMMYFUNCTION("LOWER(REGEXREPLACE(B1329&amp;"" ""&amp;C1329,""[^а-яa-z0-9 ]"","" ""))")," абор моделей молекул по органике и неорганике для учащегося ")</f>
        <v xml:space="preserve"> абор моделей молекул по органике и неорганике для учащегося </v>
      </c>
    </row>
    <row r="1330" spans="1:8" ht="38.25" x14ac:dyDescent="0.2">
      <c r="A1330" s="31" t="s">
        <v>3001</v>
      </c>
      <c r="B1330" s="27" t="s">
        <v>3002</v>
      </c>
      <c r="C1330" s="27"/>
      <c r="D1330" s="33" t="s">
        <v>1506</v>
      </c>
      <c r="E1330" s="34">
        <v>2</v>
      </c>
      <c r="F1330" s="35">
        <v>7.8</v>
      </c>
      <c r="G1330" s="10">
        <v>484168</v>
      </c>
      <c r="H1330" s="30" t="str">
        <f ca="1">IFERROR(__xludf.DUMMYFUNCTION("LOWER(REGEXREPLACE(B1330&amp;"" ""&amp;C1330,""[^а-яa-z0-9 ]"","" ""))")," абор моделей молекул по органике и неорганике для учащихся типа  ornelsen  xperimenta 36685 44237 ")</f>
        <v xml:space="preserve"> абор моделей молекул по органике и неорганике для учащихся типа  ornelsen  xperimenta 36685 44237 </v>
      </c>
    </row>
    <row r="1331" spans="1:8" ht="25.5" x14ac:dyDescent="0.2">
      <c r="A1331" s="31" t="s">
        <v>3003</v>
      </c>
      <c r="B1331" s="27" t="s">
        <v>3004</v>
      </c>
      <c r="C1331" s="27"/>
      <c r="D1331" s="33" t="s">
        <v>1506</v>
      </c>
      <c r="E1331" s="9"/>
      <c r="F1331" s="32"/>
      <c r="G1331" s="10"/>
      <c r="H1331" s="30" t="str">
        <f ca="1">IFERROR(__xludf.DUMMYFUNCTION("LOWER(REGEXREPLACE(B1331&amp;"" ""&amp;C1331,""[^а-яa-z0-9 ]"","" ""))")," абор моделей молекул по органике и неорганике для учителя ")</f>
        <v xml:space="preserve"> абор моделей молекул по органике и неорганике для учителя </v>
      </c>
    </row>
    <row r="1332" spans="1:8" ht="25.5" x14ac:dyDescent="0.2">
      <c r="A1332" s="31" t="s">
        <v>3005</v>
      </c>
      <c r="B1332" s="27" t="s">
        <v>3004</v>
      </c>
      <c r="C1332" s="27"/>
      <c r="D1332" s="33" t="s">
        <v>1506</v>
      </c>
      <c r="E1332" s="9"/>
      <c r="F1332" s="32"/>
      <c r="G1332" s="10">
        <v>43975</v>
      </c>
      <c r="H1332" s="30" t="str">
        <f ca="1">IFERROR(__xludf.DUMMYFUNCTION("LOWER(REGEXREPLACE(B1332&amp;"" ""&amp;C1332,""[^а-яa-z0-9 ]"","" ""))")," абор моделей молекул по органике и неорганике для учителя ")</f>
        <v xml:space="preserve"> абор моделей молекул по органике и неорганике для учителя </v>
      </c>
    </row>
    <row r="1333" spans="1:8" ht="12.75" x14ac:dyDescent="0.2">
      <c r="A1333" s="31" t="s">
        <v>3006</v>
      </c>
      <c r="B1333" s="27" t="s">
        <v>3007</v>
      </c>
      <c r="C1333" s="27"/>
      <c r="D1333" s="33" t="s">
        <v>1506</v>
      </c>
      <c r="E1333" s="9"/>
      <c r="F1333" s="32"/>
      <c r="G1333" s="10"/>
      <c r="H1333" s="30" t="str">
        <f ca="1">IFERROR(__xludf.DUMMYFUNCTION("LOWER(REGEXREPLACE(B1333&amp;"" ""&amp;C1333,""[^а-яa-z0-9 ]"","" ""))")," абор моделей образования p и s связей ")</f>
        <v xml:space="preserve"> абор моделей образования p и s связей </v>
      </c>
    </row>
    <row r="1334" spans="1:8" ht="12.75" x14ac:dyDescent="0.2">
      <c r="A1334" s="31" t="s">
        <v>3008</v>
      </c>
      <c r="B1334" s="27" t="s">
        <v>3007</v>
      </c>
      <c r="C1334" s="27"/>
      <c r="D1334" s="33" t="s">
        <v>1506</v>
      </c>
      <c r="E1334" s="9"/>
      <c r="F1334" s="32"/>
      <c r="G1334" s="10">
        <v>66907</v>
      </c>
      <c r="H1334" s="30" t="str">
        <f ca="1">IFERROR(__xludf.DUMMYFUNCTION("LOWER(REGEXREPLACE(B1334&amp;"" ""&amp;C1334,""[^а-яa-z0-9 ]"","" ""))")," абор моделей образования p и s связей ")</f>
        <v xml:space="preserve"> абор моделей образования p и s связей </v>
      </c>
    </row>
    <row r="1335" spans="1:8" ht="38.25" x14ac:dyDescent="0.2">
      <c r="A1335" s="31" t="s">
        <v>3009</v>
      </c>
      <c r="B1335" s="27" t="s">
        <v>3010</v>
      </c>
      <c r="C1335" s="27"/>
      <c r="D1335" s="33" t="s">
        <v>1506</v>
      </c>
      <c r="E1335" s="34">
        <v>2</v>
      </c>
      <c r="F1335" s="35">
        <v>1.6</v>
      </c>
      <c r="G1335" s="10">
        <v>41592</v>
      </c>
      <c r="H1335" s="30" t="str">
        <f ca="1">IFERROR(__xludf.DUMMYFUNCTION("LOWER(REGEXREPLACE(B1335&amp;"" ""&amp;C1335,""[^а-яa-z0-9 ]"","" ""))")," абор моделей образования p и s связей типа                                      303      304      301 ")</f>
        <v xml:space="preserve"> абор моделей образования p и s связей типа                                      303      304      301 </v>
      </c>
    </row>
    <row r="1336" spans="1:8" ht="25.5" x14ac:dyDescent="0.2">
      <c r="A1336" s="31" t="s">
        <v>3011</v>
      </c>
      <c r="B1336" s="27" t="s">
        <v>3012</v>
      </c>
      <c r="C1336" s="27"/>
      <c r="D1336" s="33" t="s">
        <v>1506</v>
      </c>
      <c r="E1336" s="9"/>
      <c r="F1336" s="32"/>
      <c r="G1336" s="10"/>
      <c r="H1336" s="30" t="str">
        <f ca="1">IFERROR(__xludf.DUMMYFUNCTION("LOWER(REGEXREPLACE(B1336&amp;"" ""&amp;C1336,""[^а-яa-z0-9 ]"","" ""))")," абор моделей р и d облаков и шаростержневых молекул ")</f>
        <v xml:space="preserve"> абор моделей р и d облаков и шаростержневых молекул </v>
      </c>
    </row>
    <row r="1337" spans="1:8" ht="25.5" x14ac:dyDescent="0.2">
      <c r="A1337" s="31" t="s">
        <v>3013</v>
      </c>
      <c r="B1337" s="27" t="s">
        <v>3012</v>
      </c>
      <c r="C1337" s="27"/>
      <c r="D1337" s="33" t="s">
        <v>1506</v>
      </c>
      <c r="E1337" s="9"/>
      <c r="F1337" s="32"/>
      <c r="G1337" s="10">
        <v>45576</v>
      </c>
      <c r="H1337" s="30" t="str">
        <f ca="1">IFERROR(__xludf.DUMMYFUNCTION("LOWER(REGEXREPLACE(B1337&amp;"" ""&amp;C1337,""[^а-яa-z0-9 ]"","" ""))")," абор моделей р и d облаков и шаростержневых молекул ")</f>
        <v xml:space="preserve"> абор моделей р и d облаков и шаростержневых молекул </v>
      </c>
    </row>
    <row r="1338" spans="1:8" ht="51" x14ac:dyDescent="0.2">
      <c r="A1338" s="31" t="s">
        <v>3014</v>
      </c>
      <c r="B1338" s="8" t="s">
        <v>3015</v>
      </c>
      <c r="C1338" s="27"/>
      <c r="D1338" s="33" t="s">
        <v>1506</v>
      </c>
      <c r="E1338" s="34">
        <v>2</v>
      </c>
      <c r="F1338" s="35">
        <v>0.5</v>
      </c>
      <c r="G1338" s="10">
        <v>16275</v>
      </c>
      <c r="H1338" s="30" t="str">
        <f ca="1">IFERROR(__xludf.DUMMYFUNCTION("LOWER(REGEXREPLACE(B1338&amp;"" ""&amp;C1338,""[^а-яa-z0-9 ]"","" ""))")," абор моделей р и d облаков и шаростержневых молекул типа                                      301 ")</f>
        <v xml:space="preserve"> абор моделей р и d облаков и шаростержневых молекул типа                                      301 </v>
      </c>
    </row>
    <row r="1339" spans="1:8" ht="25.5" x14ac:dyDescent="0.2">
      <c r="A1339" s="31" t="s">
        <v>3016</v>
      </c>
      <c r="B1339" s="27" t="s">
        <v>3017</v>
      </c>
      <c r="C1339" s="27"/>
      <c r="D1339" s="33" t="s">
        <v>1506</v>
      </c>
      <c r="E1339" s="9"/>
      <c r="F1339" s="32"/>
      <c r="G1339" s="10"/>
      <c r="H1339" s="30" t="str">
        <f ca="1">IFERROR(__xludf.DUMMYFUNCTION("LOWER(REGEXREPLACE(B1339&amp;"" ""&amp;C1339,""[^а-яa-z0-9 ]"","" ""))")," абор моделей электронных облаков и химических связей ")</f>
        <v xml:space="preserve"> абор моделей электронных облаков и химических связей </v>
      </c>
    </row>
    <row r="1340" spans="1:8" ht="25.5" x14ac:dyDescent="0.2">
      <c r="A1340" s="31" t="s">
        <v>3018</v>
      </c>
      <c r="B1340" s="27" t="s">
        <v>3017</v>
      </c>
      <c r="C1340" s="27"/>
      <c r="D1340" s="33" t="s">
        <v>1506</v>
      </c>
      <c r="E1340" s="9"/>
      <c r="F1340" s="32"/>
      <c r="G1340" s="10">
        <v>60315</v>
      </c>
      <c r="H1340" s="30" t="str">
        <f ca="1">IFERROR(__xludf.DUMMYFUNCTION("LOWER(REGEXREPLACE(B1340&amp;"" ""&amp;C1340,""[^а-яa-z0-9 ]"","" ""))")," абор моделей электронных облаков и химических связей ")</f>
        <v xml:space="preserve"> абор моделей электронных облаков и химических связей </v>
      </c>
    </row>
    <row r="1341" spans="1:8" ht="38.25" x14ac:dyDescent="0.2">
      <c r="A1341" s="31" t="s">
        <v>3019</v>
      </c>
      <c r="B1341" s="27" t="s">
        <v>3020</v>
      </c>
      <c r="C1341" s="27"/>
      <c r="D1341" s="33" t="s">
        <v>1506</v>
      </c>
      <c r="E1341" s="34">
        <v>2</v>
      </c>
      <c r="F1341" s="34">
        <v>1</v>
      </c>
      <c r="G1341" s="10">
        <v>22605</v>
      </c>
      <c r="H1341" s="30" t="str">
        <f ca="1">IFERROR(__xludf.DUMMYFUNCTION("LOWER(REGEXREPLACE(B1341&amp;"" ""&amp;C1341,""[^а-яa-z0-9 ]"","" ""))")," абор моделей электронных облаков и химических связей типа                                      304 ")</f>
        <v xml:space="preserve"> абор моделей электронных облаков и химических связей типа                                      304 </v>
      </c>
    </row>
    <row r="1342" spans="1:8" ht="12.75" x14ac:dyDescent="0.2">
      <c r="A1342" s="31" t="s">
        <v>3021</v>
      </c>
      <c r="B1342" s="27" t="s">
        <v>3022</v>
      </c>
      <c r="C1342" s="27"/>
      <c r="D1342" s="32"/>
      <c r="E1342" s="9"/>
      <c r="F1342" s="32"/>
      <c r="G1342" s="10"/>
      <c r="H1342" s="30" t="str">
        <f ca="1">IFERROR(__xludf.DUMMYFUNCTION("LOWER(REGEXREPLACE(B1342&amp;"" ""&amp;C1342,""[^а-яa-z0-9 ]"","" ""))")," аборы химических реактивов ")</f>
        <v xml:space="preserve"> аборы химических реактивов </v>
      </c>
    </row>
    <row r="1343" spans="1:8" ht="12.75" x14ac:dyDescent="0.2">
      <c r="A1343" s="31" t="s">
        <v>3023</v>
      </c>
      <c r="B1343" s="27" t="s">
        <v>3024</v>
      </c>
      <c r="C1343" s="27"/>
      <c r="D1343" s="33" t="s">
        <v>68</v>
      </c>
      <c r="E1343" s="9"/>
      <c r="F1343" s="32"/>
      <c r="G1343" s="10">
        <v>8848</v>
      </c>
      <c r="H1343" s="30" t="str">
        <f ca="1">IFERROR(__xludf.DUMMYFUNCTION("LOWER(REGEXREPLACE(B1343&amp;"" ""&amp;C1343,""[^а-яa-z0-9 ]"","" ""))")," абор   ислоты  ")</f>
        <v xml:space="preserve"> абор   ислоты  </v>
      </c>
    </row>
    <row r="1344" spans="1:8" ht="12.75" x14ac:dyDescent="0.2">
      <c r="A1344" s="31" t="s">
        <v>3025</v>
      </c>
      <c r="B1344" s="27" t="s">
        <v>3026</v>
      </c>
      <c r="C1344" s="27"/>
      <c r="D1344" s="33" t="s">
        <v>68</v>
      </c>
      <c r="E1344" s="9"/>
      <c r="F1344" s="32"/>
      <c r="G1344" s="10">
        <v>14777</v>
      </c>
      <c r="H1344" s="30" t="str">
        <f ca="1">IFERROR(__xludf.DUMMYFUNCTION("LOWER(REGEXREPLACE(B1344&amp;"" ""&amp;C1344,""[^а-яa-z0-9 ]"","" ""))")," абор   идроксиды  ")</f>
        <v xml:space="preserve"> абор   идроксиды  </v>
      </c>
    </row>
    <row r="1345" spans="1:8" ht="12.75" x14ac:dyDescent="0.2">
      <c r="A1345" s="31" t="s">
        <v>3027</v>
      </c>
      <c r="B1345" s="27" t="s">
        <v>3028</v>
      </c>
      <c r="C1345" s="27"/>
      <c r="D1345" s="33" t="s">
        <v>68</v>
      </c>
      <c r="E1345" s="9"/>
      <c r="F1345" s="32"/>
      <c r="G1345" s="10">
        <v>44955</v>
      </c>
      <c r="H1345" s="30" t="str">
        <f ca="1">IFERROR(__xludf.DUMMYFUNCTION("LOWER(REGEXREPLACE(B1345&amp;"" ""&amp;C1345,""[^а-яa-z0-9 ]"","" ""))")," абор   ксиды металлов  ")</f>
        <v xml:space="preserve"> абор   ксиды металлов  </v>
      </c>
    </row>
    <row r="1346" spans="1:8" ht="12.75" x14ac:dyDescent="0.2">
      <c r="A1346" s="31" t="s">
        <v>3029</v>
      </c>
      <c r="B1346" s="27" t="s">
        <v>3030</v>
      </c>
      <c r="C1346" s="27"/>
      <c r="D1346" s="33" t="s">
        <v>68</v>
      </c>
      <c r="E1346" s="9"/>
      <c r="F1346" s="32"/>
      <c r="G1346" s="10"/>
      <c r="H1346" s="30" t="str">
        <f ca="1">IFERROR(__xludf.DUMMYFUNCTION("LOWER(REGEXREPLACE(B1346&amp;"" ""&amp;C1346,""[^а-яa-z0-9 ]"","" ""))")," абор   еталлы  ")</f>
        <v xml:space="preserve"> абор   еталлы  </v>
      </c>
    </row>
    <row r="1347" spans="1:8" ht="12.75" x14ac:dyDescent="0.2">
      <c r="A1347" s="31" t="s">
        <v>3031</v>
      </c>
      <c r="B1347" s="27" t="s">
        <v>3032</v>
      </c>
      <c r="C1347" s="27"/>
      <c r="D1347" s="33" t="s">
        <v>68</v>
      </c>
      <c r="E1347" s="9"/>
      <c r="F1347" s="32"/>
      <c r="G1347" s="10">
        <v>38946</v>
      </c>
      <c r="H1347" s="30" t="str">
        <f ca="1">IFERROR(__xludf.DUMMYFUNCTION("LOWER(REGEXREPLACE(B1347&amp;"" ""&amp;C1347,""[^а-яa-z0-9 ]"","" ""))")," абор   еталлы   малый ")</f>
        <v xml:space="preserve"> абор   еталлы   малый </v>
      </c>
    </row>
    <row r="1348" spans="1:8" ht="12.75" x14ac:dyDescent="0.2">
      <c r="A1348" s="31" t="s">
        <v>3033</v>
      </c>
      <c r="B1348" s="27" t="s">
        <v>3034</v>
      </c>
      <c r="C1348" s="27"/>
      <c r="D1348" s="33" t="s">
        <v>68</v>
      </c>
      <c r="E1348" s="9"/>
      <c r="F1348" s="32"/>
      <c r="G1348" s="10">
        <v>17830</v>
      </c>
      <c r="H1348" s="30" t="str">
        <f ca="1">IFERROR(__xludf.DUMMYFUNCTION("LOWER(REGEXREPLACE(B1348&amp;"" ""&amp;C1348,""[^а-яa-z0-9 ]"","" ""))")," абор   инеральные удобрения  ")</f>
        <v xml:space="preserve"> абор   инеральные удобрения  </v>
      </c>
    </row>
    <row r="1349" spans="1:8" ht="12.75" x14ac:dyDescent="0.2">
      <c r="A1349" s="31" t="s">
        <v>3035</v>
      </c>
      <c r="B1349" s="27" t="s">
        <v>3036</v>
      </c>
      <c r="C1349" s="27"/>
      <c r="D1349" s="33" t="s">
        <v>68</v>
      </c>
      <c r="E1349" s="9"/>
      <c r="F1349" s="32"/>
      <c r="G1349" s="10">
        <v>6063</v>
      </c>
      <c r="H1349" s="30" t="str">
        <f ca="1">IFERROR(__xludf.DUMMYFUNCTION("LOWER(REGEXREPLACE(B1349&amp;"" ""&amp;C1349,""[^а-яa-z0-9 ]"","" ""))")," абор   ониты  ")</f>
        <v xml:space="preserve"> абор   ониты  </v>
      </c>
    </row>
    <row r="1350" spans="1:8" ht="12.75" x14ac:dyDescent="0.2">
      <c r="A1350" s="31" t="s">
        <v>3037</v>
      </c>
      <c r="B1350" s="27" t="s">
        <v>3038</v>
      </c>
      <c r="C1350" s="27"/>
      <c r="D1350" s="33" t="s">
        <v>68</v>
      </c>
      <c r="E1350" s="9"/>
      <c r="F1350" s="32"/>
      <c r="G1350" s="10">
        <v>24446</v>
      </c>
      <c r="H1350" s="30" t="str">
        <f ca="1">IFERROR(__xludf.DUMMYFUNCTION("LOWER(REGEXREPLACE(B1350&amp;"" ""&amp;C1350,""[^а-яa-z0-9 ]"","" ""))")," абор   бразцы неорганических веществ  ")</f>
        <v xml:space="preserve"> абор   бразцы неорганических веществ  </v>
      </c>
    </row>
    <row r="1351" spans="1:8" ht="12.75" x14ac:dyDescent="0.2">
      <c r="A1351" s="31" t="s">
        <v>3039</v>
      </c>
      <c r="B1351" s="27" t="s">
        <v>3040</v>
      </c>
      <c r="C1351" s="27"/>
      <c r="D1351" s="33" t="s">
        <v>68</v>
      </c>
      <c r="E1351" s="9"/>
      <c r="F1351" s="32"/>
      <c r="G1351" s="10">
        <v>63679</v>
      </c>
      <c r="H1351" s="30" t="str">
        <f ca="1">IFERROR(__xludf.DUMMYFUNCTION("LOWER(REGEXREPLACE(B1351&amp;"" ""&amp;C1351,""[^а-яa-z0-9 ]"","" ""))")," абор   алогениды  ")</f>
        <v xml:space="preserve"> абор   алогениды  </v>
      </c>
    </row>
    <row r="1352" spans="1:8" ht="12.75" x14ac:dyDescent="0.2">
      <c r="A1352" s="31" t="s">
        <v>3041</v>
      </c>
      <c r="B1352" s="27" t="s">
        <v>3042</v>
      </c>
      <c r="C1352" s="27"/>
      <c r="D1352" s="33" t="s">
        <v>68</v>
      </c>
      <c r="E1352" s="9"/>
      <c r="F1352" s="32"/>
      <c r="G1352" s="10">
        <v>49804</v>
      </c>
      <c r="H1352" s="30" t="str">
        <f ca="1">IFERROR(__xludf.DUMMYFUNCTION("LOWER(REGEXREPLACE(B1352&amp;"" ""&amp;C1352,""[^а-яa-z0-9 ]"","" ""))")," абор   ульфаты  сульфиды  сульфиты  ")</f>
        <v xml:space="preserve"> абор   ульфаты  сульфиды  сульфиты  </v>
      </c>
    </row>
    <row r="1353" spans="1:8" ht="12.75" x14ac:dyDescent="0.2">
      <c r="A1353" s="31" t="s">
        <v>3043</v>
      </c>
      <c r="B1353" s="27" t="s">
        <v>3044</v>
      </c>
      <c r="C1353" s="27"/>
      <c r="D1353" s="33" t="s">
        <v>68</v>
      </c>
      <c r="E1353" s="9"/>
      <c r="F1353" s="32"/>
      <c r="G1353" s="10">
        <v>26580</v>
      </c>
      <c r="H1353" s="30" t="str">
        <f ca="1">IFERROR(__xludf.DUMMYFUNCTION("LOWER(REGEXREPLACE(B1353&amp;"" ""&amp;C1353,""[^а-яa-z0-9 ]"","" ""))")," абор   оли для демонстрационных опытов  ")</f>
        <v xml:space="preserve"> абор   оли для демонстрационных опытов  </v>
      </c>
    </row>
    <row r="1354" spans="1:8" ht="12.75" x14ac:dyDescent="0.2">
      <c r="A1354" s="31" t="s">
        <v>3045</v>
      </c>
      <c r="B1354" s="27" t="s">
        <v>3046</v>
      </c>
      <c r="C1354" s="27"/>
      <c r="D1354" s="33" t="s">
        <v>68</v>
      </c>
      <c r="E1354" s="9"/>
      <c r="F1354" s="32"/>
      <c r="G1354" s="10">
        <v>26875</v>
      </c>
      <c r="H1354" s="30" t="str">
        <f ca="1">IFERROR(__xludf.DUMMYFUNCTION("LOWER(REGEXREPLACE(B1354&amp;"" ""&amp;C1354,""[^а-яa-z0-9 ]"","" ""))")," абор   осфаты  силикаты  ")</f>
        <v xml:space="preserve"> абор   осфаты  силикаты  </v>
      </c>
    </row>
    <row r="1355" spans="1:8" ht="12.75" x14ac:dyDescent="0.2">
      <c r="A1355" s="31" t="s">
        <v>3047</v>
      </c>
      <c r="B1355" s="27" t="s">
        <v>3048</v>
      </c>
      <c r="C1355" s="27"/>
      <c r="D1355" s="33" t="s">
        <v>68</v>
      </c>
      <c r="E1355" s="9"/>
      <c r="F1355" s="32"/>
      <c r="G1355" s="10">
        <v>27429</v>
      </c>
      <c r="H1355" s="30" t="str">
        <f ca="1">IFERROR(__xludf.DUMMYFUNCTION("LOWER(REGEXREPLACE(B1355&amp;"" ""&amp;C1355,""[^а-яa-z0-9 ]"","" ""))")," абор   оединения марганца  ")</f>
        <v xml:space="preserve"> абор   оединения марганца  </v>
      </c>
    </row>
    <row r="1356" spans="1:8" ht="12.75" x14ac:dyDescent="0.2">
      <c r="A1356" s="31" t="s">
        <v>3049</v>
      </c>
      <c r="B1356" s="27" t="s">
        <v>3050</v>
      </c>
      <c r="C1356" s="27"/>
      <c r="D1356" s="33" t="s">
        <v>68</v>
      </c>
      <c r="E1356" s="9"/>
      <c r="F1356" s="32"/>
      <c r="G1356" s="10">
        <v>44786</v>
      </c>
      <c r="H1356" s="30" t="str">
        <f ca="1">IFERROR(__xludf.DUMMYFUNCTION("LOWER(REGEXREPLACE(B1356&amp;"" ""&amp;C1356,""[^а-яa-z0-9 ]"","" ""))")," абор   итраты  ")</f>
        <v xml:space="preserve"> абор   итраты  </v>
      </c>
    </row>
    <row r="1357" spans="1:8" ht="12.75" x14ac:dyDescent="0.2">
      <c r="A1357" s="31" t="s">
        <v>3051</v>
      </c>
      <c r="B1357" s="27" t="s">
        <v>3052</v>
      </c>
      <c r="C1357" s="27"/>
      <c r="D1357" s="33" t="s">
        <v>68</v>
      </c>
      <c r="E1357" s="9"/>
      <c r="F1357" s="32"/>
      <c r="G1357" s="10">
        <v>41964</v>
      </c>
      <c r="H1357" s="30" t="str">
        <f ca="1">IFERROR(__xludf.DUMMYFUNCTION("LOWER(REGEXREPLACE(B1357&amp;"" ""&amp;C1357,""[^а-яa-z0-9 ]"","" ""))")," абор   ндикаторы  ")</f>
        <v xml:space="preserve"> абор   ндикаторы  </v>
      </c>
    </row>
    <row r="1358" spans="1:8" ht="12.75" x14ac:dyDescent="0.2">
      <c r="A1358" s="31" t="s">
        <v>3053</v>
      </c>
      <c r="B1358" s="27" t="s">
        <v>3054</v>
      </c>
      <c r="C1358" s="27"/>
      <c r="D1358" s="33" t="s">
        <v>68</v>
      </c>
      <c r="E1358" s="9"/>
      <c r="F1358" s="32"/>
      <c r="G1358" s="10">
        <v>26857</v>
      </c>
      <c r="H1358" s="30" t="str">
        <f ca="1">IFERROR(__xludf.DUMMYFUNCTION("LOWER(REGEXREPLACE(B1358&amp;"" ""&amp;C1358,""[^а-яa-z0-9 ]"","" ""))")," абор   оединения хрома  ")</f>
        <v xml:space="preserve"> абор   оединения хрома  </v>
      </c>
    </row>
    <row r="1359" spans="1:8" ht="12.75" x14ac:dyDescent="0.2">
      <c r="A1359" s="31" t="s">
        <v>3055</v>
      </c>
      <c r="B1359" s="27" t="s">
        <v>3056</v>
      </c>
      <c r="C1359" s="27"/>
      <c r="D1359" s="33" t="s">
        <v>68</v>
      </c>
      <c r="E1359" s="9"/>
      <c r="F1359" s="32"/>
      <c r="G1359" s="10">
        <v>9911</v>
      </c>
      <c r="H1359" s="30" t="str">
        <f ca="1">IFERROR(__xludf.DUMMYFUNCTION("LOWER(REGEXREPLACE(B1359&amp;"" ""&amp;C1359,""[^а-яa-z0-9 ]"","" ""))")," абор   атериалы  ")</f>
        <v xml:space="preserve"> абор   атериалы  </v>
      </c>
    </row>
    <row r="1360" spans="1:8" ht="12.75" x14ac:dyDescent="0.2">
      <c r="A1360" s="31" t="s">
        <v>3057</v>
      </c>
      <c r="B1360" s="27" t="s">
        <v>3058</v>
      </c>
      <c r="C1360" s="27"/>
      <c r="D1360" s="33" t="s">
        <v>1506</v>
      </c>
      <c r="E1360" s="9"/>
      <c r="F1360" s="32"/>
      <c r="G1360" s="10"/>
      <c r="H1360" s="30" t="str">
        <f ca="1">IFERROR(__xludf.DUMMYFUNCTION("LOWER(REGEXREPLACE(B1360&amp;"" ""&amp;C1360,""[^а-яa-z0-9 ]"","" ""))")," абор для экспериментов   лектрохимия  ")</f>
        <v xml:space="preserve"> абор для экспериментов   лектрохимия  </v>
      </c>
    </row>
    <row r="1361" spans="1:8" ht="25.5" x14ac:dyDescent="0.2">
      <c r="A1361" s="31" t="s">
        <v>3059</v>
      </c>
      <c r="B1361" s="27" t="s">
        <v>3060</v>
      </c>
      <c r="C1361" s="27"/>
      <c r="D1361" s="33" t="s">
        <v>1506</v>
      </c>
      <c r="E1361" s="34">
        <v>2</v>
      </c>
      <c r="F1361" s="35">
        <v>2.2999999999999998</v>
      </c>
      <c r="G1361" s="10">
        <v>273314</v>
      </c>
      <c r="H1361" s="30" t="str">
        <f ca="1">IFERROR(__xludf.DUMMYFUNCTION("LOWER(REGEXREPLACE(B1361&amp;"" ""&amp;C1361,""[^а-яa-z0-9 ]"","" ""))")," абор для экспериментов по электрохимии типа  ornelsen  xperimenta 51901 ")</f>
        <v xml:space="preserve"> абор для экспериментов по электрохимии типа  ornelsen  xperimenta 51901 </v>
      </c>
    </row>
    <row r="1362" spans="1:8" ht="25.5" x14ac:dyDescent="0.2">
      <c r="A1362" s="31" t="s">
        <v>3061</v>
      </c>
      <c r="B1362" s="27" t="s">
        <v>3062</v>
      </c>
      <c r="C1362" s="27"/>
      <c r="D1362" s="32"/>
      <c r="E1362" s="9"/>
      <c r="F1362" s="32"/>
      <c r="G1362" s="10"/>
      <c r="H1362" s="30" t="str">
        <f ca="1">IFERROR(__xludf.DUMMYFUNCTION("LOWER(REGEXREPLACE(B1362&amp;"" ""&amp;C1362,""[^а-яa-z0-9 ]"","" ""))")," осуда лабораторная и принадлежности для кабинета химии ")</f>
        <v xml:space="preserve"> осуда лабораторная и принадлежности для кабинета химии </v>
      </c>
    </row>
    <row r="1363" spans="1:8" ht="25.5" x14ac:dyDescent="0.2">
      <c r="A1363" s="31" t="s">
        <v>3063</v>
      </c>
      <c r="B1363" s="27" t="s">
        <v>3064</v>
      </c>
      <c r="C1363" s="27"/>
      <c r="D1363" s="33" t="s">
        <v>68</v>
      </c>
      <c r="E1363" s="9"/>
      <c r="F1363" s="32"/>
      <c r="G1363" s="10"/>
      <c r="H1363" s="30" t="str">
        <f ca="1">IFERROR(__xludf.DUMMYFUNCTION("LOWER(REGEXREPLACE(B1363&amp;"" ""&amp;C1363,""[^а-яa-z0-9 ]"","" ""))")," абор посуды и принадлежностей для химических опытов ")</f>
        <v xml:space="preserve"> абор посуды и принадлежностей для химических опытов </v>
      </c>
    </row>
    <row r="1364" spans="1:8" ht="204" x14ac:dyDescent="0.2">
      <c r="A1364" s="31" t="s">
        <v>3065</v>
      </c>
      <c r="B1364" s="27" t="s">
        <v>3066</v>
      </c>
      <c r="C1364" s="27" t="s">
        <v>3067</v>
      </c>
      <c r="D1364" s="33" t="s">
        <v>1506</v>
      </c>
      <c r="E1364" s="34">
        <v>2</v>
      </c>
      <c r="F1364" s="36">
        <v>1.94</v>
      </c>
      <c r="G1364" s="10">
        <v>29189</v>
      </c>
      <c r="H1364" s="30" t="str">
        <f ca="1">IFERROR(__xludf.DUMMYFUNCTION("LOWER(REGEXREPLACE(B1364&amp;"" ""&amp;C1364,""[^а-яa-z0-9 ]"","" ""))")," абор химической посуды и принадлежностей для лабораторных работ   набор входят   олба круглодонная  50 мл  олба плоскодонная  50 мл  олба коническая  50 мл  олба коническая  100 мл  такан высокий с носиком и шкалой  50 мл  такан высокий со шкалой  100 мл"&amp;"  ензурка коническая  50 мл  илиндр мерный с носиком на подставке 100 мл  тупка с пестиком  фарфор  d  60 мм   игли низкие c крышкой  фарфор  50 м  ашка выпарительная с носиком  фарфор  50 мл  оронка 56 80  робирка 12 100  робирка 15 150  рубка стеклянная"&amp;"  d  5 мм    5 см  робка резиновые с отверстием 14 5 м  пиртовка лабораторная  150 мл  рубка   образная  оток для раздаточного материала  ромывала  250 мл  татив для пробирок на 10 гнезд  d  18 мм  ажим пробирочный  ипцы тигельные  ластины для капельного "&amp;"анализа  фарфор  12 гн зд  ожка шпатель  алочка стеклянная  d  6 мм    30 см  рубка резиновая  1 м  ипетка пластиковая 6")</f>
        <v xml:space="preserve"> абор химической посуды и принадлежностей для лабораторных работ   набор входят   олба круглодонная  50 мл  олба плоскодонная  50 мл  олба коническая  50 мл  олба коническая  100 мл  такан высокий с носиком и шкалой  50 мл  такан высокий со шкалой  100 мл  ензурка коническая  50 мл  илиндр мерный с носиком на подставке 100 мл  тупка с пестиком  фарфор  d  60 мм   игли низкие c крышкой  фарфор  50 м  ашка выпарительная с носиком  фарфор  50 мл  оронка 56 80  робирка 12 100  робирка 15 150  рубка стеклянная  d  5 мм    5 см  робка резиновые с отверстием 14 5 м  пиртовка лабораторная  150 мл  рубка   образная  оток для раздаточного материала  ромывала  250 мл  татив для пробирок на 10 гнезд  d  18 мм  ажим пробирочный  ипцы тигельные  ластины для капельного анализа  фарфор  12 гн зд  ожка шпатель  алочка стеклянная  d  6 мм    30 см  рубка резиновая  1 м  ипетка пластиковая 6</v>
      </c>
    </row>
    <row r="1365" spans="1:8" ht="76.5" x14ac:dyDescent="0.2">
      <c r="A1365" s="31" t="s">
        <v>3068</v>
      </c>
      <c r="B1365" s="27" t="s">
        <v>3069</v>
      </c>
      <c r="C1365" s="27" t="s">
        <v>3070</v>
      </c>
      <c r="D1365" s="33" t="s">
        <v>1506</v>
      </c>
      <c r="E1365" s="34">
        <v>2</v>
      </c>
      <c r="F1365" s="35">
        <v>1.2</v>
      </c>
      <c r="G1365" s="10">
        <v>52991</v>
      </c>
      <c r="H1365" s="30" t="str">
        <f ca="1">IFERROR(__xludf.DUMMYFUNCTION("LOWER(REGEXREPLACE(B1365&amp;"" ""&amp;C1365,""[^а-яa-z0-9 ]"","" ""))")," абор химической посуды и принадлежностей для кабинета физики  омплектность  1  оронка d 75 110 2 шт  2  олба коническая 250мл 2 шт  3  олба плоскодонная 250 мл 2 шт  4  олба плоскодонная 500 мл 1 шт  5  такан с меткой 50 мл 15 шт  6  такан с делением 600"&amp;" мл 2 шт  7  такан с делением 250мл 15 шт  8  илиндр измерительный  250 мл 2 шт  9  илиндр 50 мл 5 шт  10  аша кристаллизационная 180 мм  термостойкое стекло  1 шт  11  абор трубок  15 20 см  5 шт   1шт  12  ажим винтовой 5 шт  13  ажим пружинный 2 шт ")</f>
        <v xml:space="preserve"> абор химической посуды и принадлежностей для кабинета физики  омплектность  1  оронка d 75 110 2 шт  2  олба коническая 250мл 2 шт  3  олба плоскодонная 250 мл 2 шт  4  олба плоскодонная 500 мл 1 шт  5  такан с меткой 50 мл 15 шт  6  такан с делением 600 мл 2 шт  7  такан с делением 250мл 15 шт  8  илиндр измерительный  250 мл 2 шт  9  илиндр 50 мл 5 шт  10  аша кристаллизационная 180 мм  термостойкое стекло  1 шт  11  абор трубок  15 20 см  5 шт   1шт  12  ажим винтовой 5 шт  13  ажим пружинный 2 шт </v>
      </c>
    </row>
    <row r="1366" spans="1:8" ht="12.75" x14ac:dyDescent="0.2">
      <c r="A1366" s="31" t="s">
        <v>3071</v>
      </c>
      <c r="B1366" s="27" t="s">
        <v>3072</v>
      </c>
      <c r="C1366" s="27"/>
      <c r="D1366" s="33" t="s">
        <v>14</v>
      </c>
      <c r="E1366" s="9"/>
      <c r="F1366" s="32"/>
      <c r="G1366" s="10"/>
      <c r="H1366" s="30" t="str">
        <f ca="1">IFERROR(__xludf.DUMMYFUNCTION("LOWER(REGEXREPLACE(B1366&amp;"" ""&amp;C1366,""[^а-яa-z0-9 ]"","" ""))")," ппарат для проведения химических реакций ")</f>
        <v xml:space="preserve"> ппарат для проведения химических реакций </v>
      </c>
    </row>
    <row r="1367" spans="1:8" ht="12.75" x14ac:dyDescent="0.2">
      <c r="A1367" s="31" t="s">
        <v>3073</v>
      </c>
      <c r="B1367" s="27" t="s">
        <v>3072</v>
      </c>
      <c r="C1367" s="27"/>
      <c r="D1367" s="33" t="s">
        <v>14</v>
      </c>
      <c r="E1367" s="9"/>
      <c r="F1367" s="32"/>
      <c r="G1367" s="10">
        <v>50261</v>
      </c>
      <c r="H1367" s="30" t="str">
        <f ca="1">IFERROR(__xludf.DUMMYFUNCTION("LOWER(REGEXREPLACE(B1367&amp;"" ""&amp;C1367,""[^а-яa-z0-9 ]"","" ""))")," ппарат для проведения химических реакций ")</f>
        <v xml:space="preserve"> ппарат для проведения химических реакций </v>
      </c>
    </row>
    <row r="1368" spans="1:8" ht="25.5" x14ac:dyDescent="0.2">
      <c r="A1368" s="31" t="s">
        <v>3074</v>
      </c>
      <c r="B1368" s="27" t="s">
        <v>3075</v>
      </c>
      <c r="C1368" s="27" t="s">
        <v>3076</v>
      </c>
      <c r="D1368" s="33" t="s">
        <v>14</v>
      </c>
      <c r="E1368" s="34">
        <v>2</v>
      </c>
      <c r="F1368" s="35">
        <v>0.8</v>
      </c>
      <c r="G1368" s="10">
        <v>28016</v>
      </c>
      <c r="H1368" s="30" t="str">
        <f ca="1">IFERROR(__xludf.DUMMYFUNCTION("LOWER(REGEXREPLACE(B1368&amp;"" ""&amp;C1368,""[^а-яa-z0-9 ]"","" ""))")," ппарат для проведения химических реакций   мкость колбы реактора 500 мл  мкость колбы реактора 500 мл ")</f>
        <v xml:space="preserve"> ппарат для проведения химических реакций   мкость колбы реактора 500 мл  мкость колбы реактора 500 мл </v>
      </c>
    </row>
    <row r="1369" spans="1:8" ht="12.75" x14ac:dyDescent="0.2">
      <c r="A1369" s="31" t="s">
        <v>3077</v>
      </c>
      <c r="B1369" s="27" t="s">
        <v>3078</v>
      </c>
      <c r="C1369" s="27"/>
      <c r="D1369" s="33" t="s">
        <v>14</v>
      </c>
      <c r="E1369" s="34">
        <v>2</v>
      </c>
      <c r="F1369" s="36">
        <v>0.84</v>
      </c>
      <c r="G1369" s="10">
        <v>18288</v>
      </c>
      <c r="H1369" s="30" t="str">
        <f ca="1">IFERROR(__xludf.DUMMYFUNCTION("LOWER(REGEXREPLACE(B1369&amp;"" ""&amp;C1369,""[^а-яa-z0-9 ]"","" ""))")," ппарат  иппа   бьем   250мл ")</f>
        <v xml:space="preserve"> ппарат  иппа   бьем   250мл </v>
      </c>
    </row>
    <row r="1370" spans="1:8" ht="38.25" x14ac:dyDescent="0.2">
      <c r="A1370" s="31" t="s">
        <v>3079</v>
      </c>
      <c r="B1370" s="27" t="s">
        <v>3080</v>
      </c>
      <c r="C1370" s="27" t="s">
        <v>3081</v>
      </c>
      <c r="D1370" s="33" t="s">
        <v>14</v>
      </c>
      <c r="E1370" s="34">
        <v>2</v>
      </c>
      <c r="F1370" s="34">
        <v>1</v>
      </c>
      <c r="G1370" s="10">
        <v>24426</v>
      </c>
      <c r="H1370" s="30" t="str">
        <f ca="1">IFERROR(__xludf.DUMMYFUNCTION("LOWER(REGEXREPLACE(B1370&amp;"" ""&amp;C1370,""[^а-яa-z0-9 ]"","" ""))")," олбонагреватель  редставляет собой устройство  предназначенное для нагрева различных растворов  смесей  проб и образцов в колбах в лабораторных условиях   бъем нагревательной колбы 250 1000 мл ")</f>
        <v xml:space="preserve"> олбонагреватель  редставляет собой устройство  предназначенное для нагрева различных растворов  смесей  проб и образцов в колбах в лабораторных условиях   бъем нагревательной колбы 250 1000 мл </v>
      </c>
    </row>
    <row r="1371" spans="1:8" ht="25.5" x14ac:dyDescent="0.2">
      <c r="A1371" s="31" t="s">
        <v>3082</v>
      </c>
      <c r="B1371" s="27" t="s">
        <v>3083</v>
      </c>
      <c r="C1371" s="27" t="s">
        <v>3084</v>
      </c>
      <c r="D1371" s="33" t="s">
        <v>1506</v>
      </c>
      <c r="E1371" s="34">
        <v>2</v>
      </c>
      <c r="F1371" s="37">
        <v>0.745</v>
      </c>
      <c r="G1371" s="10">
        <v>56186</v>
      </c>
      <c r="H1371" s="30" t="str">
        <f ca="1">IFERROR(__xludf.DUMMYFUNCTION("LOWER(REGEXREPLACE(B1371&amp;"" ""&amp;C1371,""[^а-яa-z0-9 ]"","" ""))")," абор ареометров  19 шт   редназначены для изучения устройства ареометра и измерения плотности жидкостей   иапазон от 700 до 1840 кг м3    наборе 19 штук")</f>
        <v xml:space="preserve"> абор ареометров  19 шт   редназначены для изучения устройства ареометра и измерения плотности жидкостей   иапазон от 700 до 1840 кг м3    наборе 19 штук</v>
      </c>
    </row>
    <row r="1372" spans="1:8" ht="12.75" x14ac:dyDescent="0.2">
      <c r="A1372" s="31" t="s">
        <v>3085</v>
      </c>
      <c r="B1372" s="27" t="s">
        <v>3086</v>
      </c>
      <c r="C1372" s="27"/>
      <c r="D1372" s="33" t="s">
        <v>14</v>
      </c>
      <c r="E1372" s="9"/>
      <c r="F1372" s="32"/>
      <c r="G1372" s="10"/>
      <c r="H1372" s="30" t="str">
        <f ca="1">IFERROR(__xludf.DUMMYFUNCTION("LOWER(REGEXREPLACE(B1372&amp;"" ""&amp;C1372,""[^а-яa-z0-9 ]"","" ""))")," агреватель пробирок ")</f>
        <v xml:space="preserve"> агреватель пробирок </v>
      </c>
    </row>
    <row r="1373" spans="1:8" ht="25.5" x14ac:dyDescent="0.2">
      <c r="A1373" s="31" t="s">
        <v>3087</v>
      </c>
      <c r="B1373" s="27" t="s">
        <v>3088</v>
      </c>
      <c r="C1373" s="27" t="s">
        <v>3089</v>
      </c>
      <c r="D1373" s="33" t="s">
        <v>14</v>
      </c>
      <c r="E1373" s="9"/>
      <c r="F1373" s="32"/>
      <c r="G1373" s="10">
        <v>16754</v>
      </c>
      <c r="H1373" s="30" t="str">
        <f ca="1">IFERROR(__xludf.DUMMYFUNCTION("LOWER(REGEXREPLACE(B1373&amp;"" ""&amp;C1373,""[^а-яa-z0-9 ]"","" ""))")," агреватель пробирок универсальный  агреватель пробирок   олжен обеспечивать нагрев не менее 5 см3 воды в пробирке от температуры 20      5    до кипения ")</f>
        <v xml:space="preserve"> агреватель пробирок универсальный  агреватель пробирок   олжен обеспечивать нагрев не менее 5 см3 воды в пробирке от температуры 20      5    до кипения </v>
      </c>
    </row>
    <row r="1374" spans="1:8" ht="89.25" x14ac:dyDescent="0.2">
      <c r="A1374" s="31" t="s">
        <v>3090</v>
      </c>
      <c r="B1374" s="27" t="s">
        <v>3091</v>
      </c>
      <c r="C1374" s="27" t="s">
        <v>3092</v>
      </c>
      <c r="D1374" s="33" t="s">
        <v>14</v>
      </c>
      <c r="E1374" s="34">
        <v>2</v>
      </c>
      <c r="F1374" s="36">
        <v>0.23</v>
      </c>
      <c r="G1374" s="10">
        <v>13940</v>
      </c>
      <c r="H1374" s="30" t="str">
        <f ca="1">IFERROR(__xludf.DUMMYFUNCTION("LOWER(REGEXREPLACE(B1374&amp;"" ""&amp;C1374,""[^а-яa-z0-9 ]"","" ""))")," агреватель пробирок электрический  редназначен для нагревания различных веществ в пробирках 14 120  кроме горючих и легко воспламеняющихся жидкостей    сточник напряжения 42    зделие состоит из пластмассовых основания и кольца  скрепленных между собой т"&amp;"ремя стяжками    круговой прорези основания и кольца вставлен защитный экран  выполненный в виде металлического цилиндра   ащитный экран предотвращает от случайного прикосновения к нагретым поверхностям изделия   а основании установлен нагреватель ")</f>
        <v xml:space="preserve"> агреватель пробирок электрический  редназначен для нагревания различных веществ в пробирках 14 120  кроме горючих и легко воспламеняющихся жидкостей    сточник напряжения 42    зделие состоит из пластмассовых основания и кольца  скрепленных между собой тремя стяжками    круговой прорези основания и кольца вставлен защитный экран  выполненный в виде металлического цилиндра   ащитный экран предотвращает от случайного прикосновения к нагретым поверхностям изделия   а основании установлен нагреватель </v>
      </c>
    </row>
    <row r="1375" spans="1:8" ht="51" x14ac:dyDescent="0.2">
      <c r="A1375" s="31" t="s">
        <v>3093</v>
      </c>
      <c r="B1375" s="27" t="s">
        <v>3094</v>
      </c>
      <c r="C1375" s="27" t="s">
        <v>3095</v>
      </c>
      <c r="D1375" s="33" t="s">
        <v>14</v>
      </c>
      <c r="E1375" s="9"/>
      <c r="F1375" s="32"/>
      <c r="G1375" s="10">
        <v>4346</v>
      </c>
      <c r="H1375" s="30" t="str">
        <f ca="1">IFERROR(__xludf.DUMMYFUNCTION("LOWER(REGEXREPLACE(B1375&amp;"" ""&amp;C1375,""[^а-яa-z0-9 ]"","" ""))")," рибор для сбора газов  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п"&amp;"олучение аммиака и изучение его свойств")</f>
        <v xml:space="preserve"> рибор для сбора газов  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v>
      </c>
    </row>
    <row r="1376" spans="1:8" ht="12.75" x14ac:dyDescent="0.2">
      <c r="A1376" s="31" t="s">
        <v>3096</v>
      </c>
      <c r="B1376" s="27" t="s">
        <v>3097</v>
      </c>
      <c r="C1376" s="27"/>
      <c r="D1376" s="33" t="s">
        <v>14</v>
      </c>
      <c r="E1376" s="9"/>
      <c r="F1376" s="32"/>
      <c r="G1376" s="10">
        <v>11732</v>
      </c>
      <c r="H1376" s="30" t="str">
        <f ca="1">IFERROR(__xludf.DUMMYFUNCTION("LOWER(REGEXREPLACE(B1376&amp;"" ""&amp;C1376,""[^а-яa-z0-9 ]"","" ""))")," татив лабораторный химический ")</f>
        <v xml:space="preserve"> татив лабораторный химический </v>
      </c>
    </row>
    <row r="1377" spans="1:8" ht="12.75" x14ac:dyDescent="0.2">
      <c r="A1377" s="31" t="s">
        <v>3098</v>
      </c>
      <c r="B1377" s="27" t="s">
        <v>3099</v>
      </c>
      <c r="C1377" s="27"/>
      <c r="D1377" s="32"/>
      <c r="E1377" s="9"/>
      <c r="F1377" s="32"/>
      <c r="G1377" s="10"/>
      <c r="H1377" s="30" t="str">
        <f ca="1">IFERROR(__xludf.DUMMYFUNCTION("LOWER(REGEXREPLACE(B1377&amp;"" ""&amp;C1377,""[^а-яa-z0-9 ]"","" ""))")," истиллятор ")</f>
        <v xml:space="preserve"> истиллятор </v>
      </c>
    </row>
    <row r="1378" spans="1:8" ht="25.5" x14ac:dyDescent="0.2">
      <c r="A1378" s="31" t="s">
        <v>3100</v>
      </c>
      <c r="B1378" s="27" t="s">
        <v>3101</v>
      </c>
      <c r="C1378" s="27" t="s">
        <v>3102</v>
      </c>
      <c r="D1378" s="33" t="s">
        <v>14</v>
      </c>
      <c r="E1378" s="34">
        <v>2</v>
      </c>
      <c r="F1378" s="35">
        <v>2.7</v>
      </c>
      <c r="G1378" s="10">
        <v>76000</v>
      </c>
      <c r="H1378" s="30" t="str">
        <f ca="1">IFERROR(__xludf.DUMMYFUNCTION("LOWER(REGEXREPLACE(B1378&amp;"" ""&amp;C1378,""[^а-яa-z0-9 ]"","" ""))")," ппарат для дистилляции воды  ппарат для дистилляции воды   роизводства дистиллированной воды 5 л ч  выход воды 5 л  потребляемая мощность 4 5 к т  входная мощность 220  ")</f>
        <v xml:space="preserve"> ппарат для дистилляции воды  ппарат для дистилляции воды   роизводства дистиллированной воды 5 л ч  выход воды 5 л  потребляемая мощность 4 5 к т  входная мощность 220  </v>
      </c>
    </row>
    <row r="1379" spans="1:8" ht="63.75" x14ac:dyDescent="0.2">
      <c r="A1379" s="31" t="s">
        <v>3103</v>
      </c>
      <c r="B1379" s="8" t="s">
        <v>3104</v>
      </c>
      <c r="C1379" s="27"/>
      <c r="D1379" s="33" t="s">
        <v>14</v>
      </c>
      <c r="E1379" s="34">
        <v>2</v>
      </c>
      <c r="F1379" s="35">
        <v>3.5</v>
      </c>
      <c r="G1379" s="10">
        <v>82028</v>
      </c>
      <c r="H1379" s="30" t="str">
        <f ca="1">IFERROR(__xludf.DUMMYFUNCTION("LOWER(REGEXREPLACE(B1379&amp;"" ""&amp;C1379,""[^а-яa-z0-9 ]"","" ""))")," истиллятор воды типа  cience ube      102   роизводительность  1 л ч   одосборник  пластик  объ м 3 6 л   мкость  нержавеющая сталь   отребляемая мощность  750  т ")</f>
        <v xml:space="preserve"> истиллятор воды типа  cience ube      102   роизводительность  1 л ч   одосборник  пластик  объ м 3 6 л   мкость  нержавеющая сталь   отребляемая мощность  750  т </v>
      </c>
    </row>
    <row r="1380" spans="1:8" ht="12.75" x14ac:dyDescent="0.2">
      <c r="A1380" s="31" t="s">
        <v>3105</v>
      </c>
      <c r="B1380" s="27" t="s">
        <v>3106</v>
      </c>
      <c r="C1380" s="27"/>
      <c r="D1380" s="32"/>
      <c r="E1380" s="9"/>
      <c r="F1380" s="32"/>
      <c r="G1380" s="10"/>
      <c r="H1380" s="30" t="str">
        <f ca="1">IFERROR(__xludf.DUMMYFUNCTION("LOWER(REGEXREPLACE(B1380&amp;"" ""&amp;C1380,""[^а-яa-z0-9 ]"","" ""))")," ушильный шкаф ")</f>
        <v xml:space="preserve"> ушильный шкаф </v>
      </c>
    </row>
    <row r="1381" spans="1:8" ht="153" x14ac:dyDescent="0.2">
      <c r="A1381" s="31" t="s">
        <v>3107</v>
      </c>
      <c r="B1381" s="27" t="s">
        <v>3106</v>
      </c>
      <c r="C1381" s="27" t="s">
        <v>3108</v>
      </c>
      <c r="D1381" s="33" t="s">
        <v>14</v>
      </c>
      <c r="E1381" s="34">
        <v>2</v>
      </c>
      <c r="F1381" s="34">
        <v>18</v>
      </c>
      <c r="G1381" s="10">
        <v>174981</v>
      </c>
      <c r="H1381" s="30" t="str">
        <f ca="1">IFERROR(__xludf.DUMMYFUNCTION("LOWER(REGEXREPLACE(B1381&amp;"" ""&amp;C1381,""[^а-яa-z0-9 ]"","" ""))")," ушильный шкаф  агрев не выше 200 градусов   редставляет собой термокамеру с электрообогревом  в которой установлены полки для материалов и принадлежностей   орпус коробки состоит из стальной пластины и стальной конструкции  теплоизоляционный слой выполне"&amp;"н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становлена дверь в электрическую рубку управления  приборы  электроприборы  электрическая схем"&amp;"а   тудийный нижний обогреватель   абаритные размеры рабочей камеры  250 260 250мм  внешний размер 530 480 420мм  мощность 450 т   бъем рабочей камеры 16л   сточник питания  переменный ток 220  50 ц   ппарат снабжен системой защиты от перегрева  имеет циф"&amp;"ровой дисплей и настройку ")</f>
        <v xml:space="preserve"> ушильный шкаф  агрев не выше 200 градусов   редставляет собой термокамеру с электрообогревом  в которой установлены полки для материалов и принадлежностей   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становлена дверь в электрическую рубку управления  приборы  электроприборы  электрическая схема   тудийный нижний обогреватель   абаритные размеры рабочей камеры  250 260 250мм  внешний размер 530 480 420мм  мощность 450 т   бъем рабочей камеры 16л   сточник питания  переменный ток 220  50 ц   ппарат снабжен системой защиты от перегрева  имеет цифровой дисплей и настройку </v>
      </c>
    </row>
    <row r="1382" spans="1:8" ht="12.75" x14ac:dyDescent="0.2">
      <c r="A1382" s="31" t="s">
        <v>3109</v>
      </c>
      <c r="B1382" s="27" t="s">
        <v>3110</v>
      </c>
      <c r="C1382" s="27"/>
      <c r="D1382" s="32"/>
      <c r="E1382" s="9"/>
      <c r="F1382" s="32"/>
      <c r="G1382" s="10"/>
      <c r="H1382" s="30" t="str">
        <f ca="1">IFERROR(__xludf.DUMMYFUNCTION("LOWER(REGEXREPLACE(B1382&amp;"" ""&amp;C1382,""[^а-яa-z0-9 ]"","" ""))")," орелка ")</f>
        <v xml:space="preserve"> орелка </v>
      </c>
    </row>
    <row r="1383" spans="1:8" ht="51" x14ac:dyDescent="0.2">
      <c r="A1383" s="31" t="s">
        <v>3111</v>
      </c>
      <c r="B1383" s="27" t="s">
        <v>3112</v>
      </c>
      <c r="C1383" s="27" t="s">
        <v>3113</v>
      </c>
      <c r="D1383" s="33" t="s">
        <v>14</v>
      </c>
      <c r="E1383" s="34">
        <v>2</v>
      </c>
      <c r="F1383" s="35">
        <v>0.1</v>
      </c>
      <c r="G1383" s="10">
        <v>8139</v>
      </c>
      <c r="H1383" s="30" t="str">
        <f ca="1">IFERROR(__xludf.DUMMYFUNCTION("LOWER(REGEXREPLACE(B1383&amp;"" ""&amp;C1383,""[^а-яa-z0-9 ]"","" ""))")," орелка универсальная  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а верхней части внутренней трубки через резинов"&amp;"ый патрубок закреплен отрезок кварцевой термостойкой трубки ")</f>
        <v xml:space="preserve"> орелка универсальная  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а верхней части внутренней трубки через резиновый патрубок закреплен отрезок кварцевой термостойкой трубки </v>
      </c>
    </row>
    <row r="1384" spans="1:8" ht="102" x14ac:dyDescent="0.2">
      <c r="A1384" s="31" t="s">
        <v>3114</v>
      </c>
      <c r="B1384" s="8" t="s">
        <v>3115</v>
      </c>
      <c r="C1384" s="27" t="s">
        <v>3116</v>
      </c>
      <c r="D1384" s="33" t="s">
        <v>14</v>
      </c>
      <c r="E1384" s="34">
        <v>2</v>
      </c>
      <c r="F1384" s="36">
        <v>0.98</v>
      </c>
      <c r="G1384" s="10">
        <v>30355</v>
      </c>
      <c r="H1384" s="30" t="str">
        <f ca="1">IFERROR(__xludf.DUMMYFUNCTION("LOWER(REGEXREPLACE(B1384&amp;"" ""&amp;C1384,""[^а-яa-z0-9 ]"","" ""))")," рибор для получения растворимых веществ в твердом виде  бъем колбы реактора 500 мл   омплектность  колба   1 шт   сосуд для жидких веществ   2 шт   воронка делительная   1 шт   воронка капельная   1 шт   колпачок   2 шт   колонка реакционная   1 шт   сос"&amp;"уд для твердых веществ   1 шт   ринцип работы прибора основан на образовании твердых растворимых веществ в результате химических реакций ")</f>
        <v xml:space="preserve"> рибор для получения растворимых веществ в твердом виде  бъем колбы реактора 500 мл   омплектность  колба   1 шт   сосуд для жидких веществ   2 шт   воронка делительная   1 шт   воронка капельная   1 шт   колпачок   2 шт   колонка реакционная   1 шт   сосуд для твердых веществ   1 шт   ринцип работы прибора основан на образовании твердых растворимых веществ в результате химических реакций </v>
      </c>
    </row>
    <row r="1385" spans="1:8" ht="140.25" x14ac:dyDescent="0.2">
      <c r="A1385" s="31" t="s">
        <v>3117</v>
      </c>
      <c r="B1385" s="27" t="s">
        <v>3118</v>
      </c>
      <c r="C1385" s="27" t="s">
        <v>3119</v>
      </c>
      <c r="D1385" s="33" t="s">
        <v>14</v>
      </c>
      <c r="E1385" s="34">
        <v>2</v>
      </c>
      <c r="F1385" s="35">
        <v>0.2</v>
      </c>
      <c r="G1385" s="10">
        <v>8139</v>
      </c>
      <c r="H1385" s="30" t="str">
        <f ca="1">IFERROR(__xludf.DUMMYFUNCTION("LOWER(REGEXREPLACE(B1385&amp;"" ""&amp;C1385,""[^а-яa-z0-9 ]"","" ""))")," вдиометр  рибор состоит из стеклянной трубки   корпуса с двумя отводами  в которые через резиновые пробки вставлены электроды   ерхняя и нижняя части корпуса закрыты резиновыми пробками со стеклянными трубками   а корпус нанесены метки  которые делят его"&amp;" объем на 7 равных частей   омплектность  стеклянная трубка корпус с двумя отводами   1 шт   резиновые пробки со стеклянными трубками   2 шт   резиновые пробки с электродами   2 шт    рибор состоит из стеклянной трубки корпуса с двумя отводами  в которые "&amp;"через резиновые пробки вставлены электроды   ерхняя и нижняя части трубки закрыты резиновыми пробками со стеклянными трубками   а корпус нанесены метки  делящие его объем на несколько частей ")</f>
        <v xml:space="preserve"> вдиометр  рибор состоит из стеклянной трубки   корпуса с двумя отводами  в которые через резиновые пробки вставлены электроды   ерхняя и нижняя части корпуса закрыты резиновыми пробками со стеклянными трубками   а корпус нанесены метки  которые делят его объем на 7 равных частей   омплектность  стеклянная трубка корпус с двумя отводами   1 шт   резиновые пробки со стеклянными трубками   2 шт   резиновые пробки с электродами   2 шт    рибор состоит из стеклянной трубки корпуса с двумя отводами  в которые через резиновые пробки вставлены электроды   ерхняя и нижняя части трубки закрыты резиновыми пробками со стеклянными трубками   а корпус нанесены метки  делящие его объем на несколько частей </v>
      </c>
    </row>
    <row r="1386" spans="1:8" ht="38.25" x14ac:dyDescent="0.2">
      <c r="A1386" s="31" t="s">
        <v>3120</v>
      </c>
      <c r="B1386" s="27" t="s">
        <v>3121</v>
      </c>
      <c r="C1386" s="27" t="s">
        <v>3122</v>
      </c>
      <c r="D1386" s="33" t="s">
        <v>14</v>
      </c>
      <c r="E1386" s="34">
        <v>2</v>
      </c>
      <c r="F1386" s="36">
        <v>0.63</v>
      </c>
      <c r="G1386" s="10">
        <v>8141</v>
      </c>
      <c r="H1386" s="30" t="str">
        <f ca="1">IFERROR(__xludf.DUMMYFUNCTION("LOWER(REGEXREPLACE(B1386&amp;"" ""&amp;C1386,""[^а-яa-z0-9 ]"","" ""))")," ппарат для электролиза  редназначен для демонстрации опытов по исследованию электропроводности и электролизу различных веществ    образная стеклянная трубка   двумя газоотводами 1 шт ")</f>
        <v xml:space="preserve"> ппарат для электролиза  редназначен для демонстрации опытов по исследованию электропроводности и электролизу различных веществ    образная стеклянная трубка   двумя газоотводами 1 шт </v>
      </c>
    </row>
    <row r="1387" spans="1:8" ht="63.75" x14ac:dyDescent="0.2">
      <c r="A1387" s="31" t="s">
        <v>3123</v>
      </c>
      <c r="B1387" s="27" t="s">
        <v>3124</v>
      </c>
      <c r="C1387" s="27" t="s">
        <v>3125</v>
      </c>
      <c r="D1387" s="33" t="s">
        <v>14</v>
      </c>
      <c r="E1387" s="34">
        <v>2</v>
      </c>
      <c r="F1387" s="37">
        <v>0.157</v>
      </c>
      <c r="G1387" s="10">
        <v>7015</v>
      </c>
      <c r="H1387" s="30" t="str">
        <f ca="1">IFERROR(__xludf.DUMMYFUNCTION("LOWER(REGEXREPLACE(B1387&amp;"" ""&amp;C1387,""[^а-яa-z0-9 ]"","" ""))")," олонка адсорбционная  редставляет собой тонкостенный сосуд из стекла стубулусами и небольшой перетяжкой в средней его части   рибор представляет собой тонкостенный сосуд с тремя впаянными патрубками  один   в верхней части и два   в нижней   и кольцевым "&amp;"перехватом на расстоянии 40 мм от основания ")</f>
        <v xml:space="preserve"> олонка адсорбционная  редставляет собой тонкостенный сосуд из стекла стубулусами и небольшой перетяжкой в средней его части   рибор представляет собой тонкостенный сосуд с тремя впаянными патрубками  один   в верхней части и два   в нижней   и кольцевым перехватом на расстоянии 40 мм от основания </v>
      </c>
    </row>
    <row r="1388" spans="1:8" ht="89.25" x14ac:dyDescent="0.2">
      <c r="A1388" s="31" t="s">
        <v>3126</v>
      </c>
      <c r="B1388" s="8" t="s">
        <v>3127</v>
      </c>
      <c r="C1388" s="27" t="s">
        <v>3128</v>
      </c>
      <c r="D1388" s="33" t="s">
        <v>14</v>
      </c>
      <c r="E1388" s="34">
        <v>2</v>
      </c>
      <c r="F1388" s="37">
        <v>0.157</v>
      </c>
      <c r="G1388" s="10">
        <v>3508</v>
      </c>
      <c r="H1388" s="30" t="str">
        <f ca="1">IFERROR(__xludf.DUMMYFUNCTION("LOWER(REGEXREPLACE(B1388&amp;"" ""&amp;C1388,""[^а-яa-z0-9 ]"","" ""))")," рибор для иллюстрации сохранения массы веществ  рибор состоит из двух колб с принадлежностями  одна изкоторых используется для проведения реакций без выделения газа  другая   с выделением газа   омплектность  колба плоскодонная 50 мл   2 шт   пипетка хим"&amp;"ическая лабораторная на пробке резиновой   2 шт   воронка   1 шт   шарик надувной резиновый   1шт   нитка швейная      40 см    1шт   руководство по эксплуатации   1 шт ")</f>
        <v xml:space="preserve"> рибор для иллюстрации сохранения массы веществ  рибор состоит из двух колб с принадлежностями  одна изкоторых используется для проведения реакций без выделения газа  другая   с выделением газа   омплектность  колба плоскодонная 50 мл   2 шт   пипетка химическая лабораторная на пробке резиновой   2 шт   воронка   1 шт   шарик надувной резиновый   1шт   нитка швейная      40 см    1шт   руководство по эксплуатации   1 шт </v>
      </c>
    </row>
    <row r="1389" spans="1:8" ht="89.25" x14ac:dyDescent="0.2">
      <c r="A1389" s="31" t="s">
        <v>3129</v>
      </c>
      <c r="B1389" s="27" t="s">
        <v>3130</v>
      </c>
      <c r="C1389" s="27" t="s">
        <v>3131</v>
      </c>
      <c r="D1389" s="33" t="s">
        <v>14</v>
      </c>
      <c r="E1389" s="34">
        <v>2</v>
      </c>
      <c r="F1389" s="35">
        <v>0.2</v>
      </c>
      <c r="G1389" s="10">
        <v>13985</v>
      </c>
      <c r="H1389" s="30" t="str">
        <f ca="1">IFERROR(__xludf.DUMMYFUNCTION("LOWER(REGEXREPLACE(B1389&amp;"" ""&amp;C1389,""[^а-яa-z0-9 ]"","" ""))")," рибор для опытов с электрическим током  омплектность  пластмассовый сосуд   1 шт   крышка с тремя клеммами  двумя зажимами и индикатором   1 шт   электроды из графита   2 шт   контактор   1 шт   руководство по эксплуатации   1 шт   дин из зажимов на крыш"&amp;"ке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 ")</f>
        <v xml:space="preserve"> рибор для опытов с электрическим током  омплектность  пластмассовый сосуд   1 шт   крышка с тремя клеммами  двумя зажимами и индикатором   1 шт   электроды из графита   2 шт   контактор   1 шт   руководство по эксплуатации   1 шт   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 </v>
      </c>
    </row>
    <row r="1390" spans="1:8" ht="127.5" x14ac:dyDescent="0.2">
      <c r="A1390" s="31" t="s">
        <v>3132</v>
      </c>
      <c r="B1390" s="27" t="s">
        <v>3133</v>
      </c>
      <c r="C1390" s="27" t="s">
        <v>3134</v>
      </c>
      <c r="D1390" s="33" t="s">
        <v>14</v>
      </c>
      <c r="E1390" s="34">
        <v>2</v>
      </c>
      <c r="F1390" s="37">
        <v>0.58499999999999996</v>
      </c>
      <c r="G1390" s="10">
        <v>29184</v>
      </c>
      <c r="H1390" s="30" t="str">
        <f ca="1">IFERROR(__xludf.DUMMYFUNCTION("LOWER(REGEXREPLACE(B1390&amp;"" ""&amp;C1390,""[^а-яa-z0-9 ]"","" ""))")," танция для промывки глаз  спользуется при попадании в глаза инородных тел  металлической или древесной стружки  пыли  грязи    лаконы содержат стерильный раствор хлорида натрия  0 9      комплект входит пиктограмма  инструкция по применению  на внешней с"&amp;"тороне крышки и зеркало на внутренней   лакон p   eutra 200 мл содержит стерильный буферный раствор фосфата концентрацией 4 9    лакон  lum  ye  ash 500 мл содержит 0 9  стерильный раствор хлорида натрия   се флаконы имеют колпачок эргономичной формы  пыл"&amp;"езащитную крышку и подробную инструкцию на этикетке   родукты предназначены для оказания первой помощи ")</f>
        <v xml:space="preserve"> танция для промывки глаз  спользуется при попадании в глаза инородных тел  металлической или древесной стружки  пыли  грязи    лаконы содержат стерильный раствор хлорида натрия  0 9      комплект входит пиктограмма  инструкция по применению  на внешней стороне крышки и зеркало на внутренней   лакон p   eutra 200 мл содержит стерильный буферный раствор фосфата концентрацией 4 9    лакон  lum  ye  ash 500 мл содержит 0 9  стерильный раствор хлорида натрия   се флаконы имеют колпачок эргономичной формы  пылезащитную крышку и подробную инструкцию на этикетке   родукты предназначены для оказания первой помощи </v>
      </c>
    </row>
    <row r="1391" spans="1:8" ht="25.5" x14ac:dyDescent="0.2">
      <c r="A1391" s="31" t="s">
        <v>3135</v>
      </c>
      <c r="B1391" s="8" t="s">
        <v>3136</v>
      </c>
      <c r="C1391" s="27"/>
      <c r="D1391" s="33" t="s">
        <v>14</v>
      </c>
      <c r="E1391" s="34">
        <v>2</v>
      </c>
      <c r="F1391" s="36">
        <v>0.18</v>
      </c>
      <c r="G1391" s="10">
        <v>78239</v>
      </c>
      <c r="H1391" s="30" t="str">
        <f ca="1">IFERROR(__xludf.DUMMYFUNCTION("LOWER(REGEXREPLACE(B1391&amp;"" ""&amp;C1391,""[^а-яa-z0-9 ]"","" ""))"),"   тестер кондуктивный со встроенным электродом ")</f>
        <v xml:space="preserve">   тестер кондуктивный со встроенным электродом </v>
      </c>
    </row>
    <row r="1392" spans="1:8" ht="12.75" x14ac:dyDescent="0.2">
      <c r="A1392" s="31" t="s">
        <v>3137</v>
      </c>
      <c r="B1392" s="27" t="s">
        <v>3138</v>
      </c>
      <c r="C1392" s="27"/>
      <c r="D1392" s="32"/>
      <c r="E1392" s="9"/>
      <c r="F1392" s="32"/>
      <c r="G1392" s="10"/>
      <c r="H1392" s="30" t="str">
        <f ca="1">IFERROR(__xludf.DUMMYFUNCTION("LOWER(REGEXREPLACE(B1392&amp;"" ""&amp;C1392,""[^а-яa-z0-9 ]"","" ""))")," ешалка магнитная ")</f>
        <v xml:space="preserve"> ешалка магнитная </v>
      </c>
    </row>
    <row r="1393" spans="1:8" ht="38.25" x14ac:dyDescent="0.2">
      <c r="A1393" s="31" t="s">
        <v>3139</v>
      </c>
      <c r="B1393" s="27" t="s">
        <v>3140</v>
      </c>
      <c r="C1393" s="27"/>
      <c r="D1393" s="33" t="s">
        <v>14</v>
      </c>
      <c r="E1393" s="34">
        <v>2</v>
      </c>
      <c r="F1393" s="35">
        <v>2.1</v>
      </c>
      <c r="G1393" s="10">
        <v>65206</v>
      </c>
      <c r="H1393" s="30" t="str">
        <f ca="1">IFERROR(__xludf.DUMMYFUNCTION("LOWER(REGEXREPLACE(B1393&amp;"" ""&amp;C1393,""[^а-яa-z0-9 ]"","" ""))")," ешалка магнитная типа  cience ube      101   ощность  5  т   корость  200 2000 об мин   азмер рабочей платформы  135 мм ")</f>
        <v xml:space="preserve"> ешалка магнитная типа  cience ube      101   ощность  5  т   корость  200 2000 об мин   азмер рабочей платформы  135 мм </v>
      </c>
    </row>
    <row r="1394" spans="1:8" ht="51" x14ac:dyDescent="0.2">
      <c r="A1394" s="31" t="s">
        <v>3141</v>
      </c>
      <c r="B1394" s="8" t="s">
        <v>3142</v>
      </c>
      <c r="C1394" s="27" t="s">
        <v>3143</v>
      </c>
      <c r="D1394" s="33" t="s">
        <v>14</v>
      </c>
      <c r="E1394" s="34">
        <v>2</v>
      </c>
      <c r="F1394" s="36">
        <v>1.85</v>
      </c>
      <c r="G1394" s="10">
        <v>41655</v>
      </c>
      <c r="H1394" s="30" t="str">
        <f ca="1">IFERROR(__xludf.DUMMYFUNCTION("LOWER(REGEXREPLACE(B1394&amp;"" ""&amp;C1394,""[^а-яa-z0-9 ]"","" ""))")," агнитная мешалка   ощность  10 т   корость  100 600 оборотов мин  апряжение питающей сети переменного тока частотой 50  ц    220   отребляемая мощность не более 10 т   корость вращения  оборотов мин 100   600   ежим работы непрерывный   омплектация  меша"&amp;"лка магнитная   1 шт   стержни перемешивающие   3 шт   вставка плавкая   1 0 25  1 шт ")</f>
        <v xml:space="preserve"> агнитная мешалка   ощность  10 т   корость  100 600 оборотов мин  апряжение питающей сети переменного тока частотой 50  ц    220   отребляемая мощность не более 10 т   корость вращения  оборотов мин 100   600   ежим работы непрерывный   омплектация  мешалка магнитная   1 шт   стержни перемешивающие   3 шт   вставка плавкая   1 0 25  1 шт </v>
      </c>
    </row>
    <row r="1395" spans="1:8" ht="51" x14ac:dyDescent="0.2">
      <c r="A1395" s="31" t="s">
        <v>3144</v>
      </c>
      <c r="B1395" s="8" t="s">
        <v>3145</v>
      </c>
      <c r="C1395" s="27" t="s">
        <v>3146</v>
      </c>
      <c r="D1395" s="33" t="s">
        <v>14</v>
      </c>
      <c r="E1395" s="34">
        <v>2</v>
      </c>
      <c r="F1395" s="36">
        <v>1.79</v>
      </c>
      <c r="G1395" s="10">
        <v>29944</v>
      </c>
      <c r="H1395" s="30" t="str">
        <f ca="1">IFERROR(__xludf.DUMMYFUNCTION("LOWER(REGEXREPLACE(B1395&amp;"" ""&amp;C1395,""[^а-яa-z0-9 ]"","" ""))")," агнитная мешалка с подогревом   корость  от 120 до 1500 об мин  редназначена для перемешивания жидкостей с помощью вращающегося в магнитном поле якоря   аксимальный перемешиваемый объем 1000 ml   лектропитание от сети переменного тока напряжением 220    "&amp;"иапазон вращения якоря от 120 до 1500 об мин")</f>
        <v xml:space="preserve"> агнитная мешалка с подогревом   корость  от 120 до 1500 об мин  редназначена для перемешивания жидкостей с помощью вращающегося в магнитном поле якоря   аксимальный перемешиваемый объем 1000 ml   лектропитание от сети переменного тока напряжением 220    иапазон вращения якоря от 120 до 1500 об мин</v>
      </c>
    </row>
    <row r="1396" spans="1:8" ht="51" x14ac:dyDescent="0.2">
      <c r="A1396" s="31" t="s">
        <v>3147</v>
      </c>
      <c r="B1396" s="27" t="s">
        <v>3148</v>
      </c>
      <c r="C1396" s="27" t="s">
        <v>3149</v>
      </c>
      <c r="D1396" s="33" t="s">
        <v>14</v>
      </c>
      <c r="E1396" s="34">
        <v>2</v>
      </c>
      <c r="F1396" s="34">
        <v>9</v>
      </c>
      <c r="G1396" s="10">
        <v>14253</v>
      </c>
      <c r="H1396" s="30" t="str">
        <f ca="1">IFERROR(__xludf.DUMMYFUNCTION("LOWER(REGEXREPLACE(B1396&amp;"" ""&amp;C1396,""[^а-яa-z0-9 ]"","" ""))")," литка электрическая лабораторная  литка электрическая малогабаритная   абочее напряжение  220     ощность  1000  т   иаметр конфорки 14 см   исковый нагревательный элемент из высококачественного чугуна   лавная регулировка температуры   ащита от перегрев"&amp;"а   ветовой индикатор работы")</f>
        <v xml:space="preserve"> литка электрическая лабораторная  литка электрическая малогабаритная   абочее напряжение  220     ощность  1000  т   иаметр конфорки 14 см   исковый нагревательный элемент из высококачественного чугуна   лавная регулировка температуры   ащита от перегрева   ветовой индикатор работы</v>
      </c>
    </row>
    <row r="1397" spans="1:8" ht="12.75" x14ac:dyDescent="0.2">
      <c r="A1397" s="31" t="s">
        <v>3150</v>
      </c>
      <c r="B1397" s="27" t="s">
        <v>3151</v>
      </c>
      <c r="C1397" s="27"/>
      <c r="D1397" s="33" t="s">
        <v>14</v>
      </c>
      <c r="E1397" s="9"/>
      <c r="F1397" s="32"/>
      <c r="G1397" s="10"/>
      <c r="H1397" s="30" t="str">
        <f ca="1">IFERROR(__xludf.DUMMYFUNCTION("LOWER(REGEXREPLACE(B1397&amp;"" ""&amp;C1397,""[^а-яa-z0-9 ]"","" ""))")," ентрифуга термальная ")</f>
        <v xml:space="preserve"> ентрифуга термальная </v>
      </c>
    </row>
    <row r="1398" spans="1:8" ht="63.75" x14ac:dyDescent="0.2">
      <c r="A1398" s="31" t="s">
        <v>3152</v>
      </c>
      <c r="B1398" s="27" t="s">
        <v>3153</v>
      </c>
      <c r="C1398" s="27" t="s">
        <v>3154</v>
      </c>
      <c r="D1398" s="33" t="s">
        <v>14</v>
      </c>
      <c r="E1398" s="34">
        <v>2</v>
      </c>
      <c r="F1398" s="34">
        <v>4</v>
      </c>
      <c r="G1398" s="10">
        <v>65387</v>
      </c>
      <c r="H1398" s="30" t="str">
        <f ca="1">IFERROR(__xludf.DUMMYFUNCTION("LOWER(REGEXREPLACE(B1398&amp;"" ""&amp;C1398,""[^а-яa-z0-9 ]"","" ""))")," ентрифуга электрическая   аксимальный объем  60 мл  6 пробирок по 20 мл   астота вращения ротора  1000 4000 об мин  аксимальный объем центрифугата  60 мл   оличество пробирок  6 пробирок по 20 мл   астота вращения ротора  1000 4000 об мин   аксимальное в"&amp;"ремя непрерывной работы  180 минут   остоит из  корпуса  привода  пульта управления  ротора  крышки")</f>
        <v xml:space="preserve"> ентрифуга электрическая   аксимальный объем  60 мл  6 пробирок по 20 мл   астота вращения ротора  1000 4000 об мин  аксимальный объем центрифугата  60 мл   оличество пробирок  6 пробирок по 20 мл   астота вращения ротора  1000 4000 об мин   аксимальное время непрерывной работы  180 минут   остоит из  корпуса  привода  пульта управления  ротора  крышки</v>
      </c>
    </row>
    <row r="1399" spans="1:8" ht="51" x14ac:dyDescent="0.2">
      <c r="A1399" s="31" t="s">
        <v>3155</v>
      </c>
      <c r="B1399" s="27" t="s">
        <v>3156</v>
      </c>
      <c r="C1399" s="27" t="s">
        <v>3157</v>
      </c>
      <c r="D1399" s="33" t="s">
        <v>14</v>
      </c>
      <c r="E1399" s="34">
        <v>2</v>
      </c>
      <c r="F1399" s="34">
        <v>2</v>
      </c>
      <c r="G1399" s="10">
        <v>23586</v>
      </c>
      <c r="H1399" s="30" t="str">
        <f ca="1">IFERROR(__xludf.DUMMYFUNCTION("LOWER(REGEXREPLACE(B1399&amp;"" ""&amp;C1399,""[^а-яa-z0-9 ]"","" ""))")," ентрифуга демонстрационная   аксимальная вместимость 4 15 мл   аксимальная скорость вращения 3000 об мин  рибор состоит из крестообразной пластины с вилками на концах    вилкам подвешены на осях кольца с пластмассовыми полыми цилиндрами для вкладывания в"&amp;" них стеклянных пробирок ")</f>
        <v xml:space="preserve"> ентрифуга демонстрационная   аксимальная вместимость 4 15 мл   аксимальная скорость вращения 3000 об мин  рибор состоит из крестообразной пластины с вилками на концах    вилкам подвешены на осях кольца с пластмассовыми полыми цилиндрами для вкладывания в них стеклянных пробирок </v>
      </c>
    </row>
    <row r="1400" spans="1:8" ht="12.75" x14ac:dyDescent="0.2">
      <c r="A1400" s="31" t="s">
        <v>3158</v>
      </c>
      <c r="B1400" s="27" t="s">
        <v>3159</v>
      </c>
      <c r="C1400" s="27"/>
      <c r="D1400" s="32"/>
      <c r="E1400" s="9"/>
      <c r="F1400" s="32"/>
      <c r="G1400" s="10"/>
      <c r="H1400" s="30" t="str">
        <f ca="1">IFERROR(__xludf.DUMMYFUNCTION("LOWER(REGEXREPLACE(B1400&amp;"" ""&amp;C1400,""[^а-яa-z0-9 ]"","" ""))")," абинет музыки ")</f>
        <v xml:space="preserve"> абинет музыки </v>
      </c>
    </row>
    <row r="1401" spans="1:8" ht="25.5" x14ac:dyDescent="0.2">
      <c r="A1401" s="31" t="s">
        <v>3160</v>
      </c>
      <c r="B1401" s="27" t="s">
        <v>3161</v>
      </c>
      <c r="C1401" s="27"/>
      <c r="D1401" s="33" t="s">
        <v>14</v>
      </c>
      <c r="E1401" s="9"/>
      <c r="F1401" s="32"/>
      <c r="G1401" s="10"/>
      <c r="H1401" s="30" t="str">
        <f ca="1">IFERROR(__xludf.DUMMYFUNCTION("LOWER(REGEXREPLACE(B1401&amp;"" ""&amp;C1401,""[^а-яa-z0-9 ]"","" ""))")," узыкальный центр с беспроводными технологиями ")</f>
        <v xml:space="preserve"> узыкальный центр с беспроводными технологиями </v>
      </c>
    </row>
    <row r="1402" spans="1:8" ht="63.75" x14ac:dyDescent="0.2">
      <c r="A1402" s="31" t="s">
        <v>3162</v>
      </c>
      <c r="B1402" s="27" t="s">
        <v>3163</v>
      </c>
      <c r="C1402" s="27"/>
      <c r="D1402" s="33" t="s">
        <v>14</v>
      </c>
      <c r="E1402" s="34">
        <v>2</v>
      </c>
      <c r="F1402" s="34">
        <v>12</v>
      </c>
      <c r="G1402" s="10">
        <v>88347</v>
      </c>
      <c r="H1402" s="30" t="str">
        <f ca="1">IFERROR(__xludf.DUMMYFUNCTION("LOWER(REGEXREPLACE(B1402&amp;"" ""&amp;C1402,""[^а-яa-z0-9 ]"","" ""))")," узыкальный центр типа      44  полная выходная мощность 480 т  диапазон воспроизводимых частот 100 20000 ц  беспроводная связь  luetooth  возможность подключения к мобильному устройству ")</f>
        <v xml:space="preserve"> узыкальный центр типа      44  полная выходная мощность 480 т  диапазон воспроизводимых частот 100 20000 ц  беспроводная связь  luetooth  возможность подключения к мобильному устройству </v>
      </c>
    </row>
    <row r="1403" spans="1:8" ht="25.5" x14ac:dyDescent="0.2">
      <c r="A1403" s="31" t="s">
        <v>3164</v>
      </c>
      <c r="B1403" s="27" t="s">
        <v>3165</v>
      </c>
      <c r="C1403" s="27" t="s">
        <v>3166</v>
      </c>
      <c r="D1403" s="33" t="s">
        <v>14</v>
      </c>
      <c r="E1403" s="9"/>
      <c r="F1403" s="32"/>
      <c r="G1403" s="10">
        <v>13750</v>
      </c>
      <c r="H1403" s="30" t="str">
        <f ca="1">IFERROR(__xludf.DUMMYFUNCTION("LOWER(REGEXREPLACE(B1403&amp;"" ""&amp;C1403,""[^а-яa-z0-9 ]"","" ""))")," юпитр  юпитр   егулируемая высота 940   1420 мм   ержатель для нот 475 х 345 мм   еталлические узлы   атериал  сталь   вет  черный ")</f>
        <v xml:space="preserve"> юпитр  юпитр   егулируемая высота 940   1420 мм   ержатель для нот 475 х 345 мм   еталлические узлы   атериал  сталь   вет  черный </v>
      </c>
    </row>
    <row r="1404" spans="1:8" ht="12.75" x14ac:dyDescent="0.2">
      <c r="A1404" s="31" t="s">
        <v>3167</v>
      </c>
      <c r="B1404" s="27" t="s">
        <v>3168</v>
      </c>
      <c r="C1404" s="27"/>
      <c r="D1404" s="32"/>
      <c r="E1404" s="9"/>
      <c r="F1404" s="32"/>
      <c r="G1404" s="10"/>
      <c r="H1404" s="30" t="str">
        <f ca="1">IFERROR(__xludf.DUMMYFUNCTION("LOWER(REGEXREPLACE(B1404&amp;"" ""&amp;C1404,""[^а-яa-z0-9 ]"","" ""))")," абинет самопознания ")</f>
        <v xml:space="preserve"> абинет самопознания </v>
      </c>
    </row>
    <row r="1405" spans="1:8" ht="12.75" x14ac:dyDescent="0.2">
      <c r="A1405" s="31" t="s">
        <v>3169</v>
      </c>
      <c r="B1405" s="27" t="s">
        <v>3170</v>
      </c>
      <c r="C1405" s="27"/>
      <c r="D1405" s="33" t="s">
        <v>14</v>
      </c>
      <c r="E1405" s="9"/>
      <c r="F1405" s="32"/>
      <c r="G1405" s="10"/>
      <c r="H1405" s="30" t="str">
        <f ca="1">IFERROR(__xludf.DUMMYFUNCTION("LOWER(REGEXREPLACE(B1405&amp;"" ""&amp;C1405,""[^а-яa-z0-9 ]"","" ""))")," тул полумягкий с пюпитром ")</f>
        <v xml:space="preserve"> тул полумягкий с пюпитром </v>
      </c>
    </row>
    <row r="1406" spans="1:8" ht="38.25" x14ac:dyDescent="0.2">
      <c r="A1406" s="31" t="s">
        <v>3171</v>
      </c>
      <c r="B1406" s="27" t="s">
        <v>3172</v>
      </c>
      <c r="C1406" s="27" t="s">
        <v>3173</v>
      </c>
      <c r="D1406" s="33" t="s">
        <v>14</v>
      </c>
      <c r="E1406" s="9"/>
      <c r="F1406" s="32"/>
      <c r="G1406" s="10">
        <v>20271</v>
      </c>
      <c r="H1406" s="30" t="str">
        <f ca="1">IFERROR(__xludf.DUMMYFUNCTION("LOWER(REGEXREPLACE(B1406&amp;"" ""&amp;C1406,""[^а-яa-z0-9 ]"","" ""))")," тул   изитер  с пюпитром  аркас стула выполнен из металлической плоскоовальной трубы  окрашенной полимерной порошковой краской   идение и спинка стула и мебельной ткани   гобелен  винилискожа   юпитр из      16мм закреплен к каркасу стула ")</f>
        <v xml:space="preserve"> тул   изитер  с пюпитром  аркас стула выполнен из металлической плоскоовальной трубы  окрашенной полимерной порошковой краской   идение и спинка стула и мебельной ткани   гобелен  винилискожа   юпитр из      16мм закреплен к каркасу стула </v>
      </c>
    </row>
    <row r="1407" spans="1:8" ht="38.25" x14ac:dyDescent="0.2">
      <c r="A1407" s="31" t="s">
        <v>3174</v>
      </c>
      <c r="B1407" s="27" t="s">
        <v>3175</v>
      </c>
      <c r="C1407" s="27" t="s">
        <v>3176</v>
      </c>
      <c r="D1407" s="33" t="s">
        <v>14</v>
      </c>
      <c r="E1407" s="34">
        <v>2</v>
      </c>
      <c r="F1407" s="34">
        <v>8</v>
      </c>
      <c r="G1407" s="10">
        <v>24181</v>
      </c>
      <c r="H1407" s="30" t="str">
        <f ca="1">IFERROR(__xludf.DUMMYFUNCTION("LOWER(REGEXREPLACE(B1407&amp;"" ""&amp;C1407,""[^а-яa-z0-9 ]"","" ""))")," тул       с пюпитром  аркас стула выполнен из металлической плоскоовальной трубы   бивка сиденья и спинки стула по согласованию   юпитр закреплен к каркасу стула   азмеры   лина  435мм   ирина  440мм   ысота  840мм   аркас металлический цветной")</f>
        <v xml:space="preserve"> тул       с пюпитром  аркас стула выполнен из металлической плоскоовальной трубы   бивка сиденья и спинки стула по согласованию   юпитр закреплен к каркасу стула   азмеры   лина  435мм   ирина  440мм   ысота  840мм   аркас металлический цветной</v>
      </c>
    </row>
    <row r="1408" spans="1:8" ht="12.75" x14ac:dyDescent="0.2">
      <c r="A1408" s="31" t="s">
        <v>3177</v>
      </c>
      <c r="B1408" s="27" t="s">
        <v>3178</v>
      </c>
      <c r="C1408" s="27"/>
      <c r="D1408" s="32"/>
      <c r="E1408" s="9"/>
      <c r="F1408" s="32"/>
      <c r="G1408" s="10"/>
      <c r="H1408" s="30" t="str">
        <f ca="1">IFERROR(__xludf.DUMMYFUNCTION("LOWER(REGEXREPLACE(B1408&amp;"" ""&amp;C1408,""[^а-яa-z0-9 ]"","" ""))")," абинет изобразительного искусства и черчения ")</f>
        <v xml:space="preserve"> абинет изобразительного искусства и черчения </v>
      </c>
    </row>
    <row r="1409" spans="1:8" ht="12.75" x14ac:dyDescent="0.2">
      <c r="A1409" s="31" t="s">
        <v>3179</v>
      </c>
      <c r="B1409" s="27" t="s">
        <v>3180</v>
      </c>
      <c r="C1409" s="27"/>
      <c r="D1409" s="33" t="s">
        <v>14</v>
      </c>
      <c r="E1409" s="9"/>
      <c r="F1409" s="32"/>
      <c r="G1409" s="10"/>
      <c r="H1409" s="30" t="str">
        <f ca="1">IFERROR(__xludf.DUMMYFUNCTION("LOWER(REGEXREPLACE(B1409&amp;"" ""&amp;C1409,""[^а-яa-z0-9 ]"","" ""))")," умбочка ")</f>
        <v xml:space="preserve"> умбочка </v>
      </c>
    </row>
    <row r="1410" spans="1:8" ht="25.5" x14ac:dyDescent="0.2">
      <c r="A1410" s="31" t="s">
        <v>3181</v>
      </c>
      <c r="B1410" s="27" t="s">
        <v>3182</v>
      </c>
      <c r="C1410" s="27" t="s">
        <v>3183</v>
      </c>
      <c r="D1410" s="33" t="s">
        <v>14</v>
      </c>
      <c r="E1410" s="34">
        <v>2</v>
      </c>
      <c r="F1410" s="34">
        <v>20</v>
      </c>
      <c r="G1410" s="10">
        <v>27355</v>
      </c>
      <c r="H1410" s="30" t="str">
        <f ca="1">IFERROR(__xludf.DUMMYFUNCTION("LOWER(REGEXREPLACE(B1410&amp;"" ""&amp;C1410,""[^а-яa-z0-9 ]"","" ""))")," умба  размеры не менее 416х416х625мм  азмеры не менее 416х416х625 мм   атериал       толщиной не менее 16 мм   меет выдвижные и секционные ящики ")</f>
        <v xml:space="preserve"> умба  размеры не менее 416х416х625мм  азмеры не менее 416х416х625 мм   атериал       толщиной не менее 16 мм   меет выдвижные и секционные ящики </v>
      </c>
    </row>
    <row r="1411" spans="1:8" ht="12.75" x14ac:dyDescent="0.2">
      <c r="A1411" s="31" t="s">
        <v>3184</v>
      </c>
      <c r="B1411" s="27" t="s">
        <v>3185</v>
      </c>
      <c r="C1411" s="27"/>
      <c r="D1411" s="33" t="s">
        <v>14</v>
      </c>
      <c r="E1411" s="9"/>
      <c r="F1411" s="32"/>
      <c r="G1411" s="10">
        <v>1380</v>
      </c>
      <c r="H1411" s="30" t="str">
        <f ca="1">IFERROR(__xludf.DUMMYFUNCTION("LOWER(REGEXREPLACE(B1411&amp;"" ""&amp;C1411,""[^а-яa-z0-9 ]"","" ""))")," ейсшина ")</f>
        <v xml:space="preserve"> ейсшина </v>
      </c>
    </row>
    <row r="1412" spans="1:8" ht="12.75" x14ac:dyDescent="0.2">
      <c r="A1412" s="31" t="s">
        <v>3186</v>
      </c>
      <c r="B1412" s="27" t="s">
        <v>3187</v>
      </c>
      <c r="C1412" s="27"/>
      <c r="D1412" s="33" t="s">
        <v>14</v>
      </c>
      <c r="E1412" s="9"/>
      <c r="F1412" s="32"/>
      <c r="G1412" s="10">
        <v>4938</v>
      </c>
      <c r="H1412" s="30" t="str">
        <f ca="1">IFERROR(__xludf.DUMMYFUNCTION("LOWER(REGEXREPLACE(B1412&amp;"" ""&amp;C1412,""[^а-яa-z0-9 ]"","" ""))")," ольберт в комплекте с доской и чехлом ")</f>
        <v xml:space="preserve"> ольберт в комплекте с доской и чехлом </v>
      </c>
    </row>
    <row r="1413" spans="1:8" ht="25.5" x14ac:dyDescent="0.2">
      <c r="A1413" s="31" t="s">
        <v>3188</v>
      </c>
      <c r="B1413" s="27" t="s">
        <v>3189</v>
      </c>
      <c r="C1413" s="27"/>
      <c r="D1413" s="33" t="s">
        <v>68</v>
      </c>
      <c r="E1413" s="9"/>
      <c r="F1413" s="32"/>
      <c r="G1413" s="10">
        <v>93571</v>
      </c>
      <c r="H1413" s="30" t="str">
        <f ca="1">IFERROR(__xludf.DUMMYFUNCTION("LOWER(REGEXREPLACE(B1413&amp;"" ""&amp;C1413,""[^а-яa-z0-9 ]"","" ""))")," абор изделий декоративно прикладного искусства и народных промыслов ")</f>
        <v xml:space="preserve"> абор изделий декоративно прикладного искусства и народных промыслов </v>
      </c>
    </row>
    <row r="1414" spans="1:8" ht="12.75" x14ac:dyDescent="0.2">
      <c r="A1414" s="31" t="s">
        <v>3190</v>
      </c>
      <c r="B1414" s="27" t="s">
        <v>3191</v>
      </c>
      <c r="C1414" s="27"/>
      <c r="D1414" s="33" t="s">
        <v>68</v>
      </c>
      <c r="E1414" s="9"/>
      <c r="F1414" s="32"/>
      <c r="G1414" s="10">
        <v>10982</v>
      </c>
      <c r="H1414" s="30" t="str">
        <f ca="1">IFERROR(__xludf.DUMMYFUNCTION("LOWER(REGEXREPLACE(B1414&amp;"" ""&amp;C1414,""[^а-яa-z0-9 ]"","" ""))")," абор драпировки ")</f>
        <v xml:space="preserve"> абор драпировки </v>
      </c>
    </row>
    <row r="1415" spans="1:8" ht="25.5" x14ac:dyDescent="0.2">
      <c r="A1415" s="31" t="s">
        <v>3192</v>
      </c>
      <c r="B1415" s="27" t="s">
        <v>3193</v>
      </c>
      <c r="C1415" s="27"/>
      <c r="D1415" s="32"/>
      <c r="E1415" s="9"/>
      <c r="F1415" s="32"/>
      <c r="G1415" s="10"/>
      <c r="H1415" s="30" t="str">
        <f ca="1">IFERROR(__xludf.DUMMYFUNCTION("LOWER(REGEXREPLACE(B1415&amp;"" ""&amp;C1415,""[^а-яa-z0-9 ]"","" ""))")," ехнология обработки древесины  металла и художественной обработки материалов ")</f>
        <v xml:space="preserve"> ехнология обработки древесины  металла и художественной обработки материалов </v>
      </c>
    </row>
    <row r="1416" spans="1:8" ht="12.75" x14ac:dyDescent="0.2">
      <c r="A1416" s="31" t="s">
        <v>3194</v>
      </c>
      <c r="B1416" s="27" t="s">
        <v>3195</v>
      </c>
      <c r="C1416" s="27"/>
      <c r="D1416" s="33" t="s">
        <v>14</v>
      </c>
      <c r="E1416" s="9"/>
      <c r="F1416" s="32"/>
      <c r="G1416" s="10"/>
      <c r="H1416" s="30" t="str">
        <f ca="1">IFERROR(__xludf.DUMMYFUNCTION("LOWER(REGEXREPLACE(B1416&amp;"" ""&amp;C1416,""[^а-яa-z0-9 ]"","" ""))")," ерстак универсальный ученический ")</f>
        <v xml:space="preserve"> ерстак универсальный ученический </v>
      </c>
    </row>
    <row r="1417" spans="1:8" ht="25.5" x14ac:dyDescent="0.2">
      <c r="A1417" s="31" t="s">
        <v>3196</v>
      </c>
      <c r="B1417" s="27" t="s">
        <v>3197</v>
      </c>
      <c r="C1417" s="27"/>
      <c r="D1417" s="33" t="s">
        <v>14</v>
      </c>
      <c r="E1417" s="9"/>
      <c r="F1417" s="32"/>
      <c r="G1417" s="10">
        <v>140632</v>
      </c>
      <c r="H1417" s="30" t="str">
        <f ca="1">IFERROR(__xludf.DUMMYFUNCTION("LOWER(REGEXREPLACE(B1417&amp;"" ""&amp;C1417,""[^а-яa-z0-9 ]"","" ""))")," тол верстак однотумбовый  дверь полки  без надстройки 1500 700 950 ")</f>
        <v xml:space="preserve"> тол верстак однотумбовый  дверь полки  без надстройки 1500 700 950 </v>
      </c>
    </row>
    <row r="1418" spans="1:8" ht="25.5" x14ac:dyDescent="0.2">
      <c r="A1418" s="31" t="s">
        <v>3198</v>
      </c>
      <c r="B1418" s="27" t="s">
        <v>3199</v>
      </c>
      <c r="C1418" s="27"/>
      <c r="D1418" s="33" t="s">
        <v>14</v>
      </c>
      <c r="E1418" s="9"/>
      <c r="F1418" s="32"/>
      <c r="G1418" s="10">
        <v>165153</v>
      </c>
      <c r="H1418" s="30" t="str">
        <f ca="1">IFERROR(__xludf.DUMMYFUNCTION("LOWER(REGEXREPLACE(B1418&amp;"" ""&amp;C1418,""[^а-яa-z0-9 ]"","" ""))")," тол верстак однотумбовый  дверь полки  с надстройкой 1500 700 950 1610 ")</f>
        <v xml:space="preserve"> тол верстак однотумбовый  дверь полки  с надстройкой 1500 700 950 1610 </v>
      </c>
    </row>
    <row r="1419" spans="1:8" ht="25.5" x14ac:dyDescent="0.2">
      <c r="A1419" s="31" t="s">
        <v>3200</v>
      </c>
      <c r="B1419" s="27" t="s">
        <v>3201</v>
      </c>
      <c r="C1419" s="27"/>
      <c r="D1419" s="33" t="s">
        <v>14</v>
      </c>
      <c r="E1419" s="9"/>
      <c r="F1419" s="32"/>
      <c r="G1419" s="10">
        <v>180180</v>
      </c>
      <c r="H1419" s="30" t="str">
        <f ca="1">IFERROR(__xludf.DUMMYFUNCTION("LOWER(REGEXREPLACE(B1419&amp;"" ""&amp;C1419,""[^а-яa-z0-9 ]"","" ""))")," тол верстак однотумбовый  ящики  без надстройки 1500 700 950 ")</f>
        <v xml:space="preserve"> тол верстак однотумбовый  ящики  без надстройки 1500 700 950 </v>
      </c>
    </row>
    <row r="1420" spans="1:8" ht="25.5" x14ac:dyDescent="0.2">
      <c r="A1420" s="31" t="s">
        <v>3202</v>
      </c>
      <c r="B1420" s="27" t="s">
        <v>3203</v>
      </c>
      <c r="C1420" s="27" t="s">
        <v>3203</v>
      </c>
      <c r="D1420" s="33" t="s">
        <v>14</v>
      </c>
      <c r="E1420" s="9"/>
      <c r="F1420" s="32"/>
      <c r="G1420" s="10">
        <v>163940</v>
      </c>
      <c r="H1420" s="30" t="str">
        <f ca="1">IFERROR(__xludf.DUMMYFUNCTION("LOWER(REGEXREPLACE(B1420&amp;"" ""&amp;C1420,""[^а-яa-z0-9 ]"","" ""))")," ерстак инструментальный     1     азмер 1200х600х860мм   ерстак инструментальный     1     азмер 1200х600х860мм ")</f>
        <v xml:space="preserve"> ерстак инструментальный     1     азмер 1200х600х860мм   ерстак инструментальный     1     азмер 1200х600х860мм </v>
      </c>
    </row>
    <row r="1421" spans="1:8" ht="38.25" x14ac:dyDescent="0.2">
      <c r="A1421" s="31" t="s">
        <v>3204</v>
      </c>
      <c r="B1421" s="27" t="s">
        <v>3205</v>
      </c>
      <c r="C1421" s="27" t="s">
        <v>3206</v>
      </c>
      <c r="D1421" s="33" t="s">
        <v>14</v>
      </c>
      <c r="E1421" s="9"/>
      <c r="F1421" s="32"/>
      <c r="G1421" s="10">
        <v>182258</v>
      </c>
      <c r="H1421" s="30" t="str">
        <f ca="1">IFERROR(__xludf.DUMMYFUNCTION("LOWER(REGEXREPLACE(B1421&amp;"" ""&amp;C1421,""[^а-яa-z0-9 ]"","" ""))")," ерстак инструментальный     1       умба с дверцей и перфопанель   азмер 1200х600х1310мм   ерстак инструментальный     1       умба с дверцей и перфопанель   азмер 1200х600х1310мм ")</f>
        <v xml:space="preserve"> ерстак инструментальный     1       умба с дверцей и перфопанель   азмер 1200х600х1310мм   ерстак инструментальный     1       умба с дверцей и перфопанель   азмер 1200х600х1310мм </v>
      </c>
    </row>
    <row r="1422" spans="1:8" ht="25.5" x14ac:dyDescent="0.2">
      <c r="A1422" s="31" t="s">
        <v>3207</v>
      </c>
      <c r="B1422" s="27" t="s">
        <v>3208</v>
      </c>
      <c r="C1422" s="27" t="s">
        <v>3209</v>
      </c>
      <c r="D1422" s="33" t="s">
        <v>14</v>
      </c>
      <c r="E1422" s="9"/>
      <c r="F1422" s="32"/>
      <c r="G1422" s="10">
        <v>179057</v>
      </c>
      <c r="H1422" s="30" t="str">
        <f ca="1">IFERROR(__xludf.DUMMYFUNCTION("LOWER(REGEXREPLACE(B1422&amp;"" ""&amp;C1422,""[^а-яa-z0-9 ]"","" ""))")," ерстак  rofi   201    120   1  1 000  ерстак  rofi   201    120   1  1 000   умба и полка   азмер 866х1200х700мм ")</f>
        <v xml:space="preserve"> ерстак  rofi   201    120   1  1 000  ерстак  rofi   201    120   1  1 000   умба и полка   азмер 866х1200х700мм </v>
      </c>
    </row>
    <row r="1423" spans="1:8" ht="12.75" x14ac:dyDescent="0.2">
      <c r="A1423" s="31" t="s">
        <v>3210</v>
      </c>
      <c r="B1423" s="27" t="s">
        <v>3211</v>
      </c>
      <c r="C1423" s="27"/>
      <c r="D1423" s="33" t="s">
        <v>14</v>
      </c>
      <c r="E1423" s="9"/>
      <c r="F1423" s="32"/>
      <c r="G1423" s="10">
        <v>146893</v>
      </c>
      <c r="H1423" s="30" t="str">
        <f ca="1">IFERROR(__xludf.DUMMYFUNCTION("LOWER(REGEXREPLACE(B1423&amp;"" ""&amp;C1423,""[^а-яa-z0-9 ]"","" ""))")," ерстак  rofi   108    100  1  1 000 ")</f>
        <v xml:space="preserve"> ерстак  rofi   108    100  1  1 000 </v>
      </c>
    </row>
    <row r="1424" spans="1:8" ht="25.5" x14ac:dyDescent="0.2">
      <c r="A1424" s="31" t="s">
        <v>3212</v>
      </c>
      <c r="B1424" s="27" t="s">
        <v>3213</v>
      </c>
      <c r="C1424" s="27"/>
      <c r="D1424" s="33" t="s">
        <v>14</v>
      </c>
      <c r="E1424" s="9"/>
      <c r="F1424" s="32"/>
      <c r="G1424" s="10">
        <v>166509</v>
      </c>
      <c r="H1424" s="30" t="str">
        <f ca="1">IFERROR(__xludf.DUMMYFUNCTION("LOWER(REGEXREPLACE(B1424&amp;"" ""&amp;C1424,""[^а-яa-z0-9 ]"","" ""))")," ерстак бестумбовый с подвесными ящиками     ")</f>
        <v xml:space="preserve"> ерстак бестумбовый с подвесными ящиками     </v>
      </c>
    </row>
    <row r="1425" spans="1:8" ht="12.75" x14ac:dyDescent="0.2">
      <c r="A1425" s="31" t="s">
        <v>3214</v>
      </c>
      <c r="B1425" s="27" t="s">
        <v>3215</v>
      </c>
      <c r="C1425" s="27"/>
      <c r="D1425" s="33" t="s">
        <v>14</v>
      </c>
      <c r="E1425" s="9"/>
      <c r="F1425" s="32"/>
      <c r="G1425" s="10">
        <v>141982</v>
      </c>
      <c r="H1425" s="30" t="str">
        <f ca="1">IFERROR(__xludf.DUMMYFUNCTION("LOWER(REGEXREPLACE(B1425&amp;"" ""&amp;C1425,""[^а-яa-z0-9 ]"","" ""))")," ерстак    1 ")</f>
        <v xml:space="preserve"> ерстак    1 </v>
      </c>
    </row>
    <row r="1426" spans="1:8" ht="25.5" x14ac:dyDescent="0.2">
      <c r="A1426" s="31" t="s">
        <v>3216</v>
      </c>
      <c r="B1426" s="27" t="s">
        <v>3217</v>
      </c>
      <c r="C1426" s="27" t="s">
        <v>3217</v>
      </c>
      <c r="D1426" s="33" t="s">
        <v>14</v>
      </c>
      <c r="E1426" s="9"/>
      <c r="F1426" s="32"/>
      <c r="G1426" s="10">
        <v>147843</v>
      </c>
      <c r="H1426" s="30" t="str">
        <f ca="1">IFERROR(__xludf.DUMMYFUNCTION("LOWER(REGEXREPLACE(B1426&amp;"" ""&amp;C1426,""[^а-яa-z0-9 ]"","" ""))")," ерстак однотумбовый  тумба с дверцей    2   азмер 1200х685х860мм   ерстак однотумбовый  тумба с дверцей    2   азмер 1200х685х860мм ")</f>
        <v xml:space="preserve"> ерстак однотумбовый  тумба с дверцей    2   азмер 1200х685х860мм   ерстак однотумбовый  тумба с дверцей    2   азмер 1200х685х860мм </v>
      </c>
    </row>
    <row r="1427" spans="1:8" ht="25.5" x14ac:dyDescent="0.2">
      <c r="A1427" s="31" t="s">
        <v>3218</v>
      </c>
      <c r="B1427" s="27" t="s">
        <v>3219</v>
      </c>
      <c r="C1427" s="27" t="s">
        <v>3219</v>
      </c>
      <c r="D1427" s="33" t="s">
        <v>14</v>
      </c>
      <c r="E1427" s="9"/>
      <c r="F1427" s="32"/>
      <c r="G1427" s="10">
        <v>206116</v>
      </c>
      <c r="H1427" s="30" t="str">
        <f ca="1">IFERROR(__xludf.DUMMYFUNCTION("LOWER(REGEXREPLACE(B1427&amp;"" ""&amp;C1427,""[^а-яa-z0-9 ]"","" ""))")," ерстак однотумбовый  тумба с ящиками    3   азмер 1200х685х860мм   ерстак однотумбовый  тумба с ящиками    3   азмер 1200х685х860мм ")</f>
        <v xml:space="preserve"> ерстак однотумбовый  тумба с ящиками    3   азмер 1200х685х860мм   ерстак однотумбовый  тумба с ящиками    3   азмер 1200х685х860мм </v>
      </c>
    </row>
    <row r="1428" spans="1:8" ht="25.5" x14ac:dyDescent="0.2">
      <c r="A1428" s="31" t="s">
        <v>3220</v>
      </c>
      <c r="B1428" s="27" t="s">
        <v>3221</v>
      </c>
      <c r="C1428" s="27" t="s">
        <v>3221</v>
      </c>
      <c r="D1428" s="33" t="s">
        <v>14</v>
      </c>
      <c r="E1428" s="9"/>
      <c r="F1428" s="32"/>
      <c r="G1428" s="10">
        <v>275928</v>
      </c>
      <c r="H1428" s="30" t="str">
        <f ca="1">IFERROR(__xludf.DUMMYFUNCTION("LOWER(REGEXREPLACE(B1428&amp;"" ""&amp;C1428,""[^а-яa-z0-9 ]"","" ""))")," ерстак двухтумбовый  тумба с дверцей и тумба с 5 ящиками    4   азмер 1600х685х860мм   ерстак двухтумбовый  тумба с дверцей и тумба с 5 ящиками    4   азмер 1600х685х860мм ")</f>
        <v xml:space="preserve"> ерстак двухтумбовый  тумба с дверцей и тумба с 5 ящиками    4   азмер 1600х685х860мм   ерстак двухтумбовый  тумба с дверцей и тумба с 5 ящиками    4   азмер 1600х685х860мм </v>
      </c>
    </row>
    <row r="1429" spans="1:8" ht="25.5" x14ac:dyDescent="0.2">
      <c r="A1429" s="31" t="s">
        <v>3222</v>
      </c>
      <c r="B1429" s="27" t="s">
        <v>3223</v>
      </c>
      <c r="C1429" s="27" t="s">
        <v>3223</v>
      </c>
      <c r="D1429" s="33" t="s">
        <v>14</v>
      </c>
      <c r="E1429" s="9"/>
      <c r="F1429" s="32"/>
      <c r="G1429" s="10">
        <v>217699</v>
      </c>
      <c r="H1429" s="30" t="str">
        <f ca="1">IFERROR(__xludf.DUMMYFUNCTION("LOWER(REGEXREPLACE(B1429&amp;"" ""&amp;C1429,""[^а-яa-z0-9 ]"","" ""))")," ерстак двухтумбовый  две тумбы с дверцами    5   азмер 1600х685х860мм   ерстак двухтумбовый  две тумбы с дверцами    5   азмер 1600х685х860мм ")</f>
        <v xml:space="preserve"> ерстак двухтумбовый  две тумбы с дверцами    5   азмер 1600х685х860мм   ерстак двухтумбовый  две тумбы с дверцами    5   азмер 1600х685х860мм </v>
      </c>
    </row>
    <row r="1430" spans="1:8" ht="25.5" x14ac:dyDescent="0.2">
      <c r="A1430" s="31" t="s">
        <v>3224</v>
      </c>
      <c r="B1430" s="27" t="s">
        <v>3225</v>
      </c>
      <c r="C1430" s="27" t="s">
        <v>3225</v>
      </c>
      <c r="D1430" s="33" t="s">
        <v>14</v>
      </c>
      <c r="E1430" s="9"/>
      <c r="F1430" s="32"/>
      <c r="G1430" s="10">
        <v>334202</v>
      </c>
      <c r="H1430" s="30" t="str">
        <f ca="1">IFERROR(__xludf.DUMMYFUNCTION("LOWER(REGEXREPLACE(B1430&amp;"" ""&amp;C1430,""[^а-яa-z0-9 ]"","" ""))")," ерстак двухтумбовый  две тумбы с ящиками    6 1 6   азмер 1600х685х860мм   ерстак двухтумбовый  две тумбы с ящиками    6 1 6   азмер 1600х685х860мм ")</f>
        <v xml:space="preserve"> ерстак двухтумбовый  две тумбы с ящиками    6 1 6   азмер 1600х685х860мм   ерстак двухтумбовый  две тумбы с ящиками    6 1 6   азмер 1600х685х860мм </v>
      </c>
    </row>
    <row r="1431" spans="1:8" ht="12.75" x14ac:dyDescent="0.2">
      <c r="A1431" s="31" t="s">
        <v>3226</v>
      </c>
      <c r="B1431" s="27" t="s">
        <v>3227</v>
      </c>
      <c r="C1431" s="27"/>
      <c r="D1431" s="33" t="s">
        <v>14</v>
      </c>
      <c r="E1431" s="9"/>
      <c r="F1431" s="32"/>
      <c r="G1431" s="10">
        <v>131929</v>
      </c>
      <c r="H1431" s="30" t="str">
        <f ca="1">IFERROR(__xludf.DUMMYFUNCTION("LOWER(REGEXREPLACE(B1431&amp;"" ""&amp;C1431,""[^а-яa-z0-9 ]"","" ""))")," ерстак  тол    1 ")</f>
        <v xml:space="preserve"> ерстак  тол    1 </v>
      </c>
    </row>
    <row r="1432" spans="1:8" ht="12.75" x14ac:dyDescent="0.2">
      <c r="A1432" s="31" t="s">
        <v>3228</v>
      </c>
      <c r="B1432" s="27" t="s">
        <v>3229</v>
      </c>
      <c r="C1432" s="27"/>
      <c r="D1432" s="33" t="s">
        <v>14</v>
      </c>
      <c r="E1432" s="9"/>
      <c r="F1432" s="32"/>
      <c r="G1432" s="10">
        <v>304813</v>
      </c>
      <c r="H1432" s="30" t="str">
        <f ca="1">IFERROR(__xludf.DUMMYFUNCTION("LOWER(REGEXREPLACE(B1432&amp;"" ""&amp;C1432,""[^а-яa-z0-9 ]"","" ""))")," ерстак с драйвером    1 2 ")</f>
        <v xml:space="preserve"> ерстак с драйвером    1 2 </v>
      </c>
    </row>
    <row r="1433" spans="1:8" ht="12.75" x14ac:dyDescent="0.2">
      <c r="A1433" s="31" t="s">
        <v>3230</v>
      </c>
      <c r="B1433" s="27" t="s">
        <v>3231</v>
      </c>
      <c r="C1433" s="27"/>
      <c r="D1433" s="33" t="s">
        <v>14</v>
      </c>
      <c r="E1433" s="9"/>
      <c r="F1433" s="32"/>
      <c r="G1433" s="10">
        <v>211884</v>
      </c>
      <c r="H1433" s="30" t="str">
        <f ca="1">IFERROR(__xludf.DUMMYFUNCTION("LOWER(REGEXREPLACE(B1433&amp;"" ""&amp;C1433,""[^а-яa-z0-9 ]"","" ""))")," ерстак с тумбой    1 2 ")</f>
        <v xml:space="preserve"> ерстак с тумбой    1 2 </v>
      </c>
    </row>
    <row r="1434" spans="1:8" ht="12.75" x14ac:dyDescent="0.2">
      <c r="A1434" s="31" t="s">
        <v>3232</v>
      </c>
      <c r="B1434" s="27" t="s">
        <v>3233</v>
      </c>
      <c r="C1434" s="27"/>
      <c r="D1434" s="33" t="s">
        <v>14</v>
      </c>
      <c r="E1434" s="9"/>
      <c r="F1434" s="32"/>
      <c r="G1434" s="10">
        <v>420205</v>
      </c>
      <c r="H1434" s="30" t="str">
        <f ca="1">IFERROR(__xludf.DUMMYFUNCTION("LOWER(REGEXREPLACE(B1434&amp;"" ""&amp;C1434,""[^а-яa-z0-9 ]"","" ""))")," ерстак с драйвером и тумбой     1 6 ")</f>
        <v xml:space="preserve"> ерстак с драйвером и тумбой     1 6 </v>
      </c>
    </row>
    <row r="1435" spans="1:8" ht="12.75" x14ac:dyDescent="0.2">
      <c r="A1435" s="31" t="s">
        <v>3234</v>
      </c>
      <c r="B1435" s="27" t="s">
        <v>3235</v>
      </c>
      <c r="C1435" s="27"/>
      <c r="D1435" s="33" t="s">
        <v>14</v>
      </c>
      <c r="E1435" s="9"/>
      <c r="F1435" s="32"/>
      <c r="G1435" s="10">
        <v>327277</v>
      </c>
      <c r="H1435" s="30" t="str">
        <f ca="1">IFERROR(__xludf.DUMMYFUNCTION("LOWER(REGEXREPLACE(B1435&amp;"" ""&amp;C1435,""[^а-яa-z0-9 ]"","" ""))")," ерстак с двумя  умбами   2 1 6 ")</f>
        <v xml:space="preserve"> ерстак с двумя  умбами   2 1 6 </v>
      </c>
    </row>
    <row r="1436" spans="1:8" ht="12.75" x14ac:dyDescent="0.2">
      <c r="A1436" s="31" t="s">
        <v>3236</v>
      </c>
      <c r="B1436" s="27" t="s">
        <v>3237</v>
      </c>
      <c r="C1436" s="27"/>
      <c r="D1436" s="33" t="s">
        <v>14</v>
      </c>
      <c r="E1436" s="9"/>
      <c r="F1436" s="32"/>
      <c r="G1436" s="10">
        <v>513134</v>
      </c>
      <c r="H1436" s="30" t="str">
        <f ca="1">IFERROR(__xludf.DUMMYFUNCTION("LOWER(REGEXREPLACE(B1436&amp;"" ""&amp;C1436,""[^а-яa-z0-9 ]"","" ""))")," ерстак с двумя драйверами   2 1 6 ")</f>
        <v xml:space="preserve"> ерстак с двумя драйверами   2 1 6 </v>
      </c>
    </row>
    <row r="1437" spans="1:8" ht="25.5" x14ac:dyDescent="0.2">
      <c r="A1437" s="31" t="s">
        <v>3238</v>
      </c>
      <c r="B1437" s="27" t="s">
        <v>3239</v>
      </c>
      <c r="C1437" s="27" t="s">
        <v>3239</v>
      </c>
      <c r="D1437" s="33" t="s">
        <v>14</v>
      </c>
      <c r="E1437" s="9"/>
      <c r="F1437" s="32"/>
      <c r="G1437" s="10">
        <v>242214</v>
      </c>
      <c r="H1437" s="30" t="str">
        <f ca="1">IFERROR(__xludf.DUMMYFUNCTION("LOWER(REGEXREPLACE(B1437&amp;"" ""&amp;C1437,""[^а-яa-z0-9 ]"","" ""))")," ерстак инструментальный     1     умба с ящиками   азмер 1200х600х860мм   ерстак инструментальный     1     умба с ящиками   азмер 1200х600х860мм ")</f>
        <v xml:space="preserve"> ерстак инструментальный     1     умба с ящиками   азмер 1200х600х860мм   ерстак инструментальный     1     умба с ящиками   азмер 1200х600х860мм </v>
      </c>
    </row>
    <row r="1438" spans="1:8" ht="25.5" x14ac:dyDescent="0.2">
      <c r="A1438" s="31" t="s">
        <v>3240</v>
      </c>
      <c r="B1438" s="27" t="s">
        <v>3241</v>
      </c>
      <c r="C1438" s="27" t="s">
        <v>3241</v>
      </c>
      <c r="D1438" s="33" t="s">
        <v>14</v>
      </c>
      <c r="E1438" s="9"/>
      <c r="F1438" s="32"/>
      <c r="G1438" s="10">
        <v>210963</v>
      </c>
      <c r="H1438" s="30" t="str">
        <f ca="1">IFERROR(__xludf.DUMMYFUNCTION("LOWER(REGEXREPLACE(B1438&amp;"" ""&amp;C1438,""[^а-яa-z0-9 ]"","" ""))")," ерстак инструментальный     1      азмер 1200х600х860мм   ерстак инструментальный     1      азмер 1200х600х860мм ")</f>
        <v xml:space="preserve"> ерстак инструментальный     1      азмер 1200х600х860мм   ерстак инструментальный     1      азмер 1200х600х860мм </v>
      </c>
    </row>
    <row r="1439" spans="1:8" ht="38.25" x14ac:dyDescent="0.2">
      <c r="A1439" s="31" t="s">
        <v>3242</v>
      </c>
      <c r="B1439" s="27" t="s">
        <v>3243</v>
      </c>
      <c r="C1439" s="27" t="s">
        <v>3244</v>
      </c>
      <c r="D1439" s="33" t="s">
        <v>14</v>
      </c>
      <c r="E1439" s="9"/>
      <c r="F1439" s="32"/>
      <c r="G1439" s="10">
        <v>289273</v>
      </c>
      <c r="H1439" s="30" t="str">
        <f ca="1">IFERROR(__xludf.DUMMYFUNCTION("LOWER(REGEXREPLACE(B1439&amp;"" ""&amp;C1439,""[^а-яa-z0-9 ]"","" ""))")," ерстак инструментальный     1      умба с дверцей и тумба с ящиками   азмер 1200х600х860мм   ерстак инструментальный     1      умба с дверцей и тумба с ящиками   азмер 1200х600х860мм ")</f>
        <v xml:space="preserve"> ерстак инструментальный     1      умба с дверцей и тумба с ящиками   азмер 1200х600х860мм   ерстак инструментальный     1      умба с дверцей и тумба с ящиками   азмер 1200х600х860мм </v>
      </c>
    </row>
    <row r="1440" spans="1:8" ht="38.25" x14ac:dyDescent="0.2">
      <c r="A1440" s="31" t="s">
        <v>3245</v>
      </c>
      <c r="B1440" s="27" t="s">
        <v>3246</v>
      </c>
      <c r="C1440" s="27" t="s">
        <v>3247</v>
      </c>
      <c r="D1440" s="33" t="s">
        <v>14</v>
      </c>
      <c r="E1440" s="9"/>
      <c r="F1440" s="32"/>
      <c r="G1440" s="10">
        <v>260559</v>
      </c>
      <c r="H1440" s="30" t="str">
        <f ca="1">IFERROR(__xludf.DUMMYFUNCTION("LOWER(REGEXREPLACE(B1440&amp;"" ""&amp;C1440,""[^а-яa-z0-9 ]"","" ""))")," ерстак инструментальный     1       ерфопанель и тумба с ящиками   азмер 1200х600х1310мм   ерстак инструментальный     1       ерфопанель и тумба с ящиками   азмер 1200х600х1310мм ")</f>
        <v xml:space="preserve"> ерстак инструментальный     1       ерфопанель и тумба с ящиками   азмер 1200х600х1310мм   ерстак инструментальный     1       ерфопанель и тумба с ящиками   азмер 1200х600х1310мм </v>
      </c>
    </row>
    <row r="1441" spans="1:8" ht="38.25" x14ac:dyDescent="0.2">
      <c r="A1441" s="31" t="s">
        <v>3248</v>
      </c>
      <c r="B1441" s="27" t="s">
        <v>3249</v>
      </c>
      <c r="C1441" s="27" t="s">
        <v>3249</v>
      </c>
      <c r="D1441" s="33" t="s">
        <v>14</v>
      </c>
      <c r="E1441" s="9"/>
      <c r="F1441" s="32"/>
      <c r="G1441" s="10">
        <v>307763</v>
      </c>
      <c r="H1441" s="30" t="str">
        <f ca="1">IFERROR(__xludf.DUMMYFUNCTION("LOWER(REGEXREPLACE(B1441&amp;"" ""&amp;C1441,""[^а-яa-z0-9 ]"","" ""))")," ерстак инструментальный     1        умба с дверцей и тумба с ящиками  перфопанель   азмер 1200х600х1310мм   ерстак инструментальный     1        умба с дверцей и тумба с ящиками  перфопанель   азмер 1200х600х1310мм ")</f>
        <v xml:space="preserve"> ерстак инструментальный     1        умба с дверцей и тумба с ящиками  перфопанель   азмер 1200х600х1310мм   ерстак инструментальный     1        умба с дверцей и тумба с ящиками  перфопанель   азмер 1200х600х1310мм </v>
      </c>
    </row>
    <row r="1442" spans="1:8" ht="25.5" x14ac:dyDescent="0.2">
      <c r="A1442" s="31" t="s">
        <v>3250</v>
      </c>
      <c r="B1442" s="27" t="s">
        <v>3251</v>
      </c>
      <c r="C1442" s="27" t="s">
        <v>3251</v>
      </c>
      <c r="D1442" s="33" t="s">
        <v>14</v>
      </c>
      <c r="E1442" s="9"/>
      <c r="F1442" s="32"/>
      <c r="G1442" s="10">
        <v>229309</v>
      </c>
      <c r="H1442" s="30" t="str">
        <f ca="1">IFERROR(__xludf.DUMMYFUNCTION("LOWER(REGEXREPLACE(B1442&amp;"" ""&amp;C1442,""[^а-яa-z0-9 ]"","" ""))")," ерстак инструментальный     1       2 тумбы и перфопанель   азмер 1200х600х1310мм   ерстак инструментальный     1       2 тумбы и перфопанель   азмер 1200х600х1310мм ")</f>
        <v xml:space="preserve"> ерстак инструментальный     1       2 тумбы и перфопанель   азмер 1200х600х1310мм   ерстак инструментальный     1       2 тумбы и перфопанель   азмер 1200х600х1310мм </v>
      </c>
    </row>
    <row r="1443" spans="1:8" ht="25.5" x14ac:dyDescent="0.2">
      <c r="A1443" s="31" t="s">
        <v>3252</v>
      </c>
      <c r="B1443" s="27" t="s">
        <v>3253</v>
      </c>
      <c r="C1443" s="27" t="s">
        <v>3253</v>
      </c>
      <c r="D1443" s="33" t="s">
        <v>14</v>
      </c>
      <c r="E1443" s="9"/>
      <c r="F1443" s="32"/>
      <c r="G1443" s="10">
        <v>263428</v>
      </c>
      <c r="H1443" s="30" t="str">
        <f ca="1">IFERROR(__xludf.DUMMYFUNCTION("LOWER(REGEXREPLACE(B1443&amp;"" ""&amp;C1443,""[^а-яa-z0-9 ]"","" ""))")," ерстак инструментальный     2       2 тумбы и перфопанель   азмер 1600х600х1310мм   ерстак инструментальный     2       2 тумбы и перфопанель   азмер 1600х600х1310мм ")</f>
        <v xml:space="preserve"> ерстак инструментальный     2       2 тумбы и перфопанель   азмер 1600х600х1310мм   ерстак инструментальный     2       2 тумбы и перфопанель   азмер 1600х600х1310мм </v>
      </c>
    </row>
    <row r="1444" spans="1:8" ht="38.25" x14ac:dyDescent="0.2">
      <c r="A1444" s="31" t="s">
        <v>3254</v>
      </c>
      <c r="B1444" s="27" t="s">
        <v>3255</v>
      </c>
      <c r="C1444" s="27" t="s">
        <v>3255</v>
      </c>
      <c r="D1444" s="33" t="s">
        <v>14</v>
      </c>
      <c r="E1444" s="9"/>
      <c r="F1444" s="32"/>
      <c r="G1444" s="10">
        <v>317942</v>
      </c>
      <c r="H1444" s="30" t="str">
        <f ca="1">IFERROR(__xludf.DUMMYFUNCTION("LOWER(REGEXREPLACE(B1444&amp;"" ""&amp;C1444,""[^а-яa-z0-9 ]"","" ""))")," ерстак инструментальный     2        умба с дверцей и тумба с ящиками  перфопанель   азмер 1600х600х1310мм   ерстак инструментальный     2        умба с дверцей и тумба с ящиками  перфопанель   азмер 1600х600х1310мм ")</f>
        <v xml:space="preserve"> ерстак инструментальный     2        умба с дверцей и тумба с ящиками  перфопанель   азмер 1600х600х1310мм   ерстак инструментальный     2        умба с дверцей и тумба с ящиками  перфопанель   азмер 1600х600х1310мм </v>
      </c>
    </row>
    <row r="1445" spans="1:8" ht="25.5" x14ac:dyDescent="0.2">
      <c r="A1445" s="31" t="s">
        <v>3256</v>
      </c>
      <c r="B1445" s="27" t="s">
        <v>3257</v>
      </c>
      <c r="C1445" s="27"/>
      <c r="D1445" s="33" t="s">
        <v>14</v>
      </c>
      <c r="E1445" s="9"/>
      <c r="F1445" s="32"/>
      <c r="G1445" s="10">
        <v>103348</v>
      </c>
      <c r="H1445" s="30" t="str">
        <f ca="1">IFERROR(__xludf.DUMMYFUNCTION("LOWER(REGEXREPLACE(B1445&amp;"" ""&amp;C1445,""[^а-яa-z0-9 ]"","" ""))")," ерстак со столешницей без накладки  aster   102  ")</f>
        <v xml:space="preserve"> ерстак со столешницей без накладки  aster   102  </v>
      </c>
    </row>
    <row r="1446" spans="1:8" ht="25.5" x14ac:dyDescent="0.2">
      <c r="A1446" s="31" t="s">
        <v>3258</v>
      </c>
      <c r="B1446" s="27" t="s">
        <v>3259</v>
      </c>
      <c r="C1446" s="27"/>
      <c r="D1446" s="33" t="s">
        <v>14</v>
      </c>
      <c r="E1446" s="9"/>
      <c r="F1446" s="32"/>
      <c r="G1446" s="10">
        <v>113259</v>
      </c>
      <c r="H1446" s="30" t="str">
        <f ca="1">IFERROR(__xludf.DUMMYFUNCTION("LOWER(REGEXREPLACE(B1446&amp;"" ""&amp;C1446,""[^а-яa-z0-9 ]"","" ""))")," ерстак со столешницей с накладкой  aster   101  ")</f>
        <v xml:space="preserve"> ерстак со столешницей с накладкой  aster   101  </v>
      </c>
    </row>
    <row r="1447" spans="1:8" ht="12.75" x14ac:dyDescent="0.2">
      <c r="A1447" s="31" t="s">
        <v>3260</v>
      </c>
      <c r="B1447" s="27" t="s">
        <v>3261</v>
      </c>
      <c r="C1447" s="27"/>
      <c r="D1447" s="33" t="s">
        <v>14</v>
      </c>
      <c r="E1447" s="9"/>
      <c r="F1447" s="32"/>
      <c r="G1447" s="10">
        <v>153170</v>
      </c>
      <c r="H1447" s="30" t="str">
        <f ca="1">IFERROR(__xludf.DUMMYFUNCTION("LOWER(REGEXREPLACE(B1447&amp;"" ""&amp;C1447,""[^а-яa-z0-9 ]"","" ""))")," ерстак с ящиком  aster   103  ")</f>
        <v xml:space="preserve"> ерстак с ящиком  aster   103  </v>
      </c>
    </row>
    <row r="1448" spans="1:8" ht="51" x14ac:dyDescent="0.2">
      <c r="A1448" s="31" t="s">
        <v>3262</v>
      </c>
      <c r="B1448" s="27" t="s">
        <v>3263</v>
      </c>
      <c r="C1448" s="27" t="s">
        <v>3264</v>
      </c>
      <c r="D1448" s="33" t="s">
        <v>14</v>
      </c>
      <c r="E1448" s="34">
        <v>2</v>
      </c>
      <c r="F1448" s="34">
        <v>34</v>
      </c>
      <c r="G1448" s="10">
        <v>169342</v>
      </c>
      <c r="H1448" s="30" t="str">
        <f ca="1">IFERROR(__xludf.DUMMYFUNCTION("LOWER(REGEXREPLACE(B1448&amp;"" ""&amp;C1448,""[^а-яa-z0-9 ]"","" ""))")," ерстак слесарный с подвесной тумбой металлический   raft ab    азмер 1000х860х685  ерстак состоит из отдельных модулей  толешница из     покрыта оцинкованным листовым металлом    комплект верстака входят две металлические верстачные опоры   ерстак также "&amp;"оснащен одним подвесным ящиком  который выдерживает нагрузку до 23 кг ")</f>
        <v xml:space="preserve"> ерстак слесарный с подвесной тумбой металлический   raft ab    азмер 1000х860х685  ерстак состоит из отдельных модулей  толешница из     покрыта оцинкованным листовым металлом    комплект верстака входят две металлические верстачные опоры   ерстак также оснащен одним подвесным ящиком  который выдерживает нагрузку до 23 кг </v>
      </c>
    </row>
    <row r="1449" spans="1:8" ht="63.75" x14ac:dyDescent="0.2">
      <c r="A1449" s="31" t="s">
        <v>3265</v>
      </c>
      <c r="B1449" s="27" t="s">
        <v>3266</v>
      </c>
      <c r="C1449" s="27" t="s">
        <v>3267</v>
      </c>
      <c r="D1449" s="33" t="s">
        <v>14</v>
      </c>
      <c r="E1449" s="34">
        <v>2</v>
      </c>
      <c r="F1449" s="34">
        <v>150</v>
      </c>
      <c r="G1449" s="10">
        <v>792893</v>
      </c>
      <c r="H1449" s="30" t="str">
        <f ca="1">IFERROR(__xludf.DUMMYFUNCTION("LOWER(REGEXREPLACE(B1449&amp;"" ""&amp;C1449,""[^а-яa-z0-9 ]"","" ""))")," ерстак бестумбовый со столешницей из деревяного бруса   raft ab    азмер 2500х1200х1050  ерстак установлен на 6 ножках  имеет 2 столешницы  нижнюю и верхнюю   ерхняя столешница имеет борты  высота которых 105 мм  выполненных из деревянного бруса   ерстак"&amp;" установлен на промышленных колесах  имеющих диаметр 45 мм и ширину колес 30 мм   онструкция является полностью разборной ")</f>
        <v xml:space="preserve"> ерстак бестумбовый со столешницей из деревяного бруса   raft ab    азмер 2500х1200х1050  ерстак установлен на 6 ножках  имеет 2 столешницы  нижнюю и верхнюю   ерхняя столешница имеет борты  высота которых 105 мм  выполненных из деревянного бруса   ерстак установлен на промышленных колесах  имеющих диаметр 45 мм и ширину колес 30 мм   онструкция является полностью разборной </v>
      </c>
    </row>
    <row r="1450" spans="1:8" ht="76.5" x14ac:dyDescent="0.2">
      <c r="A1450" s="31" t="s">
        <v>3268</v>
      </c>
      <c r="B1450" s="27" t="s">
        <v>3269</v>
      </c>
      <c r="C1450" s="27" t="s">
        <v>3270</v>
      </c>
      <c r="D1450" s="33" t="s">
        <v>14</v>
      </c>
      <c r="E1450" s="34">
        <v>2</v>
      </c>
      <c r="F1450" s="34">
        <v>30</v>
      </c>
      <c r="G1450" s="10">
        <v>116883</v>
      </c>
      <c r="H1450" s="30" t="str">
        <f ca="1">IFERROR(__xludf.DUMMYFUNCTION("LOWER(REGEXREPLACE(B1450&amp;"" ""&amp;C1450,""[^а-яa-z0-9 ]"","" ""))")," ерстак на металлическом каркасе со столешницей из деревянного бруса   raft ab   размер 1200мм х 600мм х 750мм шт   аркас верстака выполнен из металлической профильной трубы  сечением 40х40 мм  при толщине стенки 1 5 мм   толешница выполнена из клеенного "&amp;"деревянного бруса  толщиной 45 мм  покрыта защитным слоем из бесцветного лака   онструкция установлена на 4х колесах  диаметром 45 мм  при этом 2 из них оснащены системы блокировки ")</f>
        <v xml:space="preserve"> ерстак на металлическом каркасе со столешницей из деревянного бруса   raft ab   размер 1200мм х 600мм х 750мм шт   аркас верстака выполнен из металлической профильной трубы  сечением 40х40 мм  при толщине стенки 1 5 мм   толешница выполнена из клеенного деревянного бруса  толщиной 45 мм  покрыта защитным слоем из бесцветного лака   онструкция установлена на 4х колесах  диаметром 45 мм  при этом 2 из них оснащены системы блокировки </v>
      </c>
    </row>
    <row r="1451" spans="1:8" ht="76.5" x14ac:dyDescent="0.2">
      <c r="A1451" s="31" t="s">
        <v>3271</v>
      </c>
      <c r="B1451" s="27" t="s">
        <v>3272</v>
      </c>
      <c r="C1451" s="27" t="s">
        <v>3273</v>
      </c>
      <c r="D1451" s="33" t="s">
        <v>14</v>
      </c>
      <c r="E1451" s="34">
        <v>2</v>
      </c>
      <c r="F1451" s="34">
        <v>21</v>
      </c>
      <c r="G1451" s="10">
        <v>162852</v>
      </c>
      <c r="H1451" s="30" t="str">
        <f ca="1">IFERROR(__xludf.DUMMYFUNCTION("LOWER(REGEXREPLACE(B1451&amp;"" ""&amp;C1451,""[^а-яa-z0-9 ]"","" ""))")," ерстак универсальный ученический с защитным экраном и полкой  столешница     32 мм  облицованная металлическим листом  каркас из стального профиля  размер 1000х500х860мм  ерстак универсальный ученический с защитным экраном   толешница     32 мм  облицова"&amp;"нный металлическим листом толщиной не более 1 2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f>
        <v xml:space="preserve"> ерстак универсальный ученический с защитным экраном и полкой  столешница     32 мм  облицованная металлическим листом  каркас из стального профиля  размер 1000х500х860мм  ерстак универсальный ученический с защитным экраном   толешница     32 мм  облицованный металлическим листом толщиной не более 1 2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v>
      </c>
    </row>
    <row r="1452" spans="1:8" ht="63.75" x14ac:dyDescent="0.2">
      <c r="A1452" s="31" t="s">
        <v>3274</v>
      </c>
      <c r="B1452" s="27" t="s">
        <v>3275</v>
      </c>
      <c r="C1452" s="27" t="s">
        <v>3276</v>
      </c>
      <c r="D1452" s="33" t="s">
        <v>14</v>
      </c>
      <c r="E1452" s="34">
        <v>2</v>
      </c>
      <c r="F1452" s="34">
        <v>19</v>
      </c>
      <c r="G1452" s="10">
        <v>162845</v>
      </c>
      <c r="H1452" s="30" t="str">
        <f ca="1">IFERROR(__xludf.DUMMYFUNCTION("LOWER(REGEXREPLACE(B1452&amp;"" ""&amp;C1452,""[^а-яa-z0-9 ]"","" ""))")," ерстак универсальный ученический с защитным экраном и полкой  столешница из фанеры 30 мм  каркас из стального профиля  размер 1000х500х860мм  ерстак универсальный ученический с защитным экраном   толешница фанера толшиной 30 мм   снование   каркас из ста"&amp;"льного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f>
        <v xml:space="preserve"> ерстак универсальный ученический с защитным экраном и полкой  столешница из фанеры 30 мм  каркас из стального профиля  размер 1000х500х860мм  ерстак универсальный ученический с защитным экраном   толешница фанера толшиной 30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v>
      </c>
    </row>
    <row r="1453" spans="1:8" ht="51" x14ac:dyDescent="0.2">
      <c r="A1453" s="31" t="s">
        <v>3277</v>
      </c>
      <c r="B1453" s="27" t="s">
        <v>3278</v>
      </c>
      <c r="C1453" s="27" t="s">
        <v>3279</v>
      </c>
      <c r="D1453" s="33" t="s">
        <v>14</v>
      </c>
      <c r="E1453" s="34">
        <v>2</v>
      </c>
      <c r="F1453" s="34">
        <v>18</v>
      </c>
      <c r="G1453" s="10">
        <v>144405</v>
      </c>
      <c r="H1453" s="30" t="str">
        <f ca="1">IFERROR(__xludf.DUMMYFUNCTION("LOWER(REGEXREPLACE(B1453&amp;"" ""&amp;C1453,""[^а-яa-z0-9 ]"","" ""))")," ерстак бестумбовый с полкой  столешница из фанеры 30 мм  каркас из стального профиля  размер 1000х680х860мм  толешница фанера толшиной 30 мм   снование   каркас из стального профиля 40х40 мм  толщина 1 2 мм   покраска полимерно порошковой краской    нижн"&amp;"ей части предусмотрена полка  фанера толщиной не более 12 мм    урнитура  уголок  шурупы ")</f>
        <v xml:space="preserve"> ерстак бестумбовый с полкой  столешница из фанеры 30 мм  каркас из стального профиля  размер 1000х680х860мм  толешница фанера толшиной 30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v>
      </c>
    </row>
    <row r="1454" spans="1:8" ht="12.75" x14ac:dyDescent="0.2">
      <c r="A1454" s="31" t="s">
        <v>3280</v>
      </c>
      <c r="B1454" s="27" t="s">
        <v>3281</v>
      </c>
      <c r="C1454" s="27"/>
      <c r="D1454" s="33" t="s">
        <v>14</v>
      </c>
      <c r="E1454" s="9"/>
      <c r="F1454" s="32"/>
      <c r="G1454" s="10"/>
      <c r="H1454" s="30" t="str">
        <f ca="1">IFERROR(__xludf.DUMMYFUNCTION("LOWER(REGEXREPLACE(B1454&amp;"" ""&amp;C1454,""[^а-яa-z0-9 ]"","" ""))")," каф инструментальный ")</f>
        <v xml:space="preserve"> каф инструментальный </v>
      </c>
    </row>
    <row r="1455" spans="1:8" ht="63.75" x14ac:dyDescent="0.2">
      <c r="A1455" s="31" t="s">
        <v>3282</v>
      </c>
      <c r="B1455" s="27" t="s">
        <v>3283</v>
      </c>
      <c r="C1455" s="27" t="s">
        <v>3284</v>
      </c>
      <c r="D1455" s="33" t="s">
        <v>14</v>
      </c>
      <c r="E1455" s="34">
        <v>2</v>
      </c>
      <c r="F1455" s="34">
        <v>120</v>
      </c>
      <c r="G1455" s="10">
        <v>2408443</v>
      </c>
      <c r="H1455" s="30" t="str">
        <f ca="1">IFERROR(__xludf.DUMMYFUNCTION("LOWER(REGEXREPLACE(B1455&amp;"" ""&amp;C1455,""[^а-яa-z0-9 ]"","" ""))")," каф инструментальный в комплекте с инструментами по дереву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фан"&amp;"еры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f>
        <v xml:space="preserve"> каф инструментальный в комплекте с инструментами по дереву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v>
      </c>
    </row>
    <row r="1456" spans="1:8" ht="63.75" x14ac:dyDescent="0.2">
      <c r="A1456" s="31" t="s">
        <v>3285</v>
      </c>
      <c r="B1456" s="27" t="s">
        <v>3286</v>
      </c>
      <c r="C1456" s="27" t="s">
        <v>3284</v>
      </c>
      <c r="D1456" s="33" t="s">
        <v>14</v>
      </c>
      <c r="E1456" s="34">
        <v>2</v>
      </c>
      <c r="F1456" s="34">
        <v>130</v>
      </c>
      <c r="G1456" s="10">
        <v>2499016</v>
      </c>
      <c r="H1456" s="30" t="str">
        <f ca="1">IFERROR(__xludf.DUMMYFUNCTION("LOWER(REGEXREPLACE(B1456&amp;"" ""&amp;C1456,""[^а-яa-z0-9 ]"","" ""))")," каф инструментальный в комплекте с инструментами по металлу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фа"&amp;"неры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f>
        <v xml:space="preserve"> каф инструментальный в комплекте с инструментами по металлу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v>
      </c>
    </row>
    <row r="1457" spans="1:8" ht="63.75" x14ac:dyDescent="0.2">
      <c r="A1457" s="31" t="s">
        <v>3287</v>
      </c>
      <c r="B1457" s="27" t="s">
        <v>3288</v>
      </c>
      <c r="C1457" s="27" t="s">
        <v>3289</v>
      </c>
      <c r="D1457" s="33" t="s">
        <v>14</v>
      </c>
      <c r="E1457" s="34">
        <v>2</v>
      </c>
      <c r="F1457" s="34">
        <v>90</v>
      </c>
      <c r="G1457" s="10">
        <v>2572242</v>
      </c>
      <c r="H1457" s="30" t="str">
        <f ca="1">IFERROR(__xludf.DUMMYFUNCTION("LOWER(REGEXREPLACE(B1457&amp;"" ""&amp;C1457,""[^а-яa-z0-9 ]"","" ""))")," каф инструментальный в комплекте с электроинструментами   raft ab   размер 1000мм х 550мм х 1800мм  каф выполнен из       толщиной 16 мм  кромка       аждый инструмент установлен в специализированное под инструмент место  выполненное из фанеры  окрашенно"&amp;"й в бесцветный лак   а каждый инструмент установлена табличка с названием инструмента на казахском языке латиница   также имеется иконка с иллюстрацией инструмента ")</f>
        <v xml:space="preserve"> каф инструментальный в комплекте с электроинструментами   raft ab   размер 1000мм х 550мм х 1800мм  каф выполнен из       толщиной 16 мм  кромка       аждый инструмент установлен в специализированное под инструмент место  выполненное из фанеры  окрашенной в бесцветный лак   а каждый инструмент установлена табличка с названием инструмента на казахском языке латиница   также имеется иконка с иллюстрацией инструмента </v>
      </c>
    </row>
    <row r="1458" spans="1:8" ht="51" x14ac:dyDescent="0.2">
      <c r="A1458" s="31" t="s">
        <v>3290</v>
      </c>
      <c r="B1458" s="27" t="s">
        <v>3291</v>
      </c>
      <c r="C1458" s="27" t="s">
        <v>3292</v>
      </c>
      <c r="D1458" s="33" t="s">
        <v>14</v>
      </c>
      <c r="E1458" s="34">
        <v>2</v>
      </c>
      <c r="F1458" s="34">
        <v>25</v>
      </c>
      <c r="G1458" s="10">
        <v>308301</v>
      </c>
      <c r="H1458" s="30" t="str">
        <f ca="1">IFERROR(__xludf.DUMMYFUNCTION("LOWER(REGEXREPLACE(B1458&amp;"" ""&amp;C1458,""[^а-яa-z0-9 ]"","" ""))")," танок сверлильный по металлу  апряжение не менее 220      отребляемая мощность  не менее 0 35 к т   астота вращения шпинделя  не менее 220 2450 об мин   аксимальный диаметр зажима для сверления  не менее 13 мм   од шпинделя  не менее 60 мм   аксимальное "&amp;"расстояние от шпинделя до стола  не менее 340 мм ")</f>
        <v xml:space="preserve"> танок сверлильный по металлу  апряжение не менее 220      отребляемая мощность  не менее 0 35 к т   астота вращения шпинделя  не менее 220 2450 об мин   аксимальный диаметр зажима для сверления  не менее 13 мм   од шпинделя  не менее 60 мм   аксимальное расстояние от шпинделя до стола  не менее 340 мм </v>
      </c>
    </row>
    <row r="1459" spans="1:8" ht="12.75" x14ac:dyDescent="0.2">
      <c r="A1459" s="31" t="s">
        <v>3293</v>
      </c>
      <c r="B1459" s="27" t="s">
        <v>3294</v>
      </c>
      <c r="C1459" s="27"/>
      <c r="D1459" s="33" t="s">
        <v>14</v>
      </c>
      <c r="E1459" s="9"/>
      <c r="F1459" s="32"/>
      <c r="G1459" s="10"/>
      <c r="H1459" s="30" t="str">
        <f ca="1">IFERROR(__xludf.DUMMYFUNCTION("LOWER(REGEXREPLACE(B1459&amp;"" ""&amp;C1459,""[^а-яa-z0-9 ]"","" ""))")," одставка под сверлильный станок ")</f>
        <v xml:space="preserve"> одставка под сверлильный станок </v>
      </c>
    </row>
    <row r="1460" spans="1:8" ht="102" x14ac:dyDescent="0.2">
      <c r="A1460" s="31" t="s">
        <v>3295</v>
      </c>
      <c r="B1460" s="8" t="s">
        <v>3296</v>
      </c>
      <c r="C1460" s="27" t="s">
        <v>3297</v>
      </c>
      <c r="D1460" s="33" t="s">
        <v>14</v>
      </c>
      <c r="E1460" s="9"/>
      <c r="F1460" s="32"/>
      <c r="G1460" s="10">
        <v>46331</v>
      </c>
      <c r="H1460" s="30" t="str">
        <f ca="1">IFERROR(__xludf.DUMMYFUNCTION("LOWER(REGEXREPLACE(B1460&amp;"" ""&amp;C1460,""[^а-яa-z0-9 ]"","" ""))")," одставка под сверлильный станок 600х500х800мм  одставка под сверлильный станок    снова конструкции   металлический каркас из профильной трубы сечением 40 х 40 мм   ля дополнительного укрепления ножки должны быть соединены между собой профильной трубой с"&amp;"ечением 40 х 20 мм   азмер подставки должен быть не менее 600 х 500 х 800 мм   азмер подставки должен соответствовать размерам сверлильного станка   низу должна быть предусмотрена полка   толешница должна быть изготовлена из фанеры толщиной не менее 15 мм"&amp;" и покрыта матовым лаком ")</f>
        <v xml:space="preserve"> одставка под сверлильный станок 600х500х800мм  одставка под сверлильный станок    снова конструкции   металлический каркас из профильной трубы сечением 40 х 40 мм   ля дополнительного укрепления ножки должны быть соединены между собой профильной трубой сечением 40 х 20 мм   азмер подставки должен быть не менее 600 х 500 х 800 мм   азмер подставки должен соответствовать размерам сверлильного станка   низу должна быть предусмотрена полка   толешница должна быть изготовлена из фанеры толщиной не менее 15 мм и покрыта матовым лаком </v>
      </c>
    </row>
    <row r="1461" spans="1:8" ht="51" x14ac:dyDescent="0.2">
      <c r="A1461" s="31" t="s">
        <v>3298</v>
      </c>
      <c r="B1461" s="8" t="s">
        <v>3299</v>
      </c>
      <c r="C1461" s="27" t="s">
        <v>3300</v>
      </c>
      <c r="D1461" s="33" t="s">
        <v>14</v>
      </c>
      <c r="E1461" s="34">
        <v>2</v>
      </c>
      <c r="F1461" s="34">
        <v>20</v>
      </c>
      <c r="G1461" s="10">
        <v>165504</v>
      </c>
      <c r="H1461" s="30" t="str">
        <f ca="1">IFERROR(__xludf.DUMMYFUNCTION("LOWER(REGEXREPLACE(B1461&amp;"" ""&amp;C1461,""[^а-яa-z0-9 ]"","" ""))")," одставка под сверлильный станок   raft ab   размер 500мм х 500мм х 700мм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о"&amp;"крашенной в бесцветный лак ")</f>
        <v xml:space="preserve"> одставка под сверлильный станок   raft ab   размер 500мм х 500мм х 700мм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62" spans="1:8" ht="38.25" x14ac:dyDescent="0.2">
      <c r="A1462" s="31" t="s">
        <v>3301</v>
      </c>
      <c r="B1462" s="27" t="s">
        <v>3302</v>
      </c>
      <c r="C1462" s="27" t="s">
        <v>3303</v>
      </c>
      <c r="D1462" s="33" t="s">
        <v>14</v>
      </c>
      <c r="E1462" s="34">
        <v>2</v>
      </c>
      <c r="F1462" s="34">
        <v>9</v>
      </c>
      <c r="G1462" s="10">
        <v>45539</v>
      </c>
      <c r="H1462" s="30" t="str">
        <f ca="1">IFERROR(__xludf.DUMMYFUNCTION("LOWER(REGEXREPLACE(B1462&amp;"" ""&amp;C1462,""[^а-яa-z0-9 ]"","" ""))")," тол со столешницей из      32мм и каркасом из стального профиля  размер 700х700х750мм  аркас изготовлен из стального профиля 40х40 мм  толщина 1 2 мм   покраска полимерно порошковая   толешница       32 мм  торцы закатаны кромочным материалом     1 5 мм ")</f>
        <v xml:space="preserve"> тол со столешницей из      32мм и каркасом из стального профиля  размер 700х700х750мм  аркас изготовлен из стального профиля 40х40 мм  толщина 1 2 мм   покраска полимерно порошковая   толешница       32 мм  торцы закатаны кромочным материалом     1 5 мм </v>
      </c>
    </row>
    <row r="1463" spans="1:8" ht="12.75" x14ac:dyDescent="0.2">
      <c r="A1463" s="31" t="s">
        <v>3304</v>
      </c>
      <c r="B1463" s="27" t="s">
        <v>3305</v>
      </c>
      <c r="C1463" s="27"/>
      <c r="D1463" s="33" t="s">
        <v>14</v>
      </c>
      <c r="E1463" s="9"/>
      <c r="F1463" s="32"/>
      <c r="G1463" s="10"/>
      <c r="H1463" s="30" t="str">
        <f ca="1">IFERROR(__xludf.DUMMYFUNCTION("LOWER(REGEXREPLACE(B1463&amp;"" ""&amp;C1463,""[^а-яa-z0-9 ]"","" ""))")," танок токарный по металлу ")</f>
        <v xml:space="preserve"> танок токарный по металлу </v>
      </c>
    </row>
    <row r="1464" spans="1:8" ht="114.75" x14ac:dyDescent="0.2">
      <c r="A1464" s="31" t="s">
        <v>3306</v>
      </c>
      <c r="B1464" s="27" t="s">
        <v>3305</v>
      </c>
      <c r="C1464" s="27" t="s">
        <v>3307</v>
      </c>
      <c r="D1464" s="33" t="s">
        <v>14</v>
      </c>
      <c r="E1464" s="9"/>
      <c r="F1464" s="32"/>
      <c r="G1464" s="10">
        <v>484841</v>
      </c>
      <c r="H1464" s="30" t="str">
        <f ca="1">IFERROR(__xludf.DUMMYFUNCTION("LOWER(REGEXREPLACE(B1464&amp;"" ""&amp;C1464,""[^а-яa-z0-9 ]"","" ""))")," танок токарный по металлу  танок токарный   олжен быть предназначен для обработки изделий из стали  древесины  пластика   ехнические характеристики  напряжение не менее 220    диаметр обточки над станиной не менее 100 мм  диаметр обточки над суппортом не"&amp;" менее 54 мм  расстояние между центрами не более 370 мм  частота вращения шпинделя не менее 100 1200 об мин   диаметр проходного отверстия шпинделя не менее 10 мм  размер резца не менее 8х8 мм  ход поперечного суппорта не менее 50 мм    комплекте должно б"&amp;"ыть не менее  3 х кулачковый патрон  невращающийся центр  защитный экран патрона  защитная задняя стенка  резиновые опоры для установки станка ")</f>
        <v xml:space="preserve"> танок токарный по металлу  танок токарный   олжен быть предназначен для обработки изделий из стали  древесины  пластика   ехнические характеристики  напряжение не менее 220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 1200 об мин   диаметр проходного отверстия шпинделя не менее 10 мм  размер резца не менее 8х8 мм  ход поперечного суппорта не менее 50 мм    комплекте должно быть не менее  3 х кулачковый патрон  невращающийся центр  защитный экран патрона  защитная задняя стенка  резиновые опоры для установки станка </v>
      </c>
    </row>
    <row r="1465" spans="1:8" ht="76.5" x14ac:dyDescent="0.2">
      <c r="A1465" s="31" t="s">
        <v>3308</v>
      </c>
      <c r="B1465" s="27" t="s">
        <v>3309</v>
      </c>
      <c r="C1465" s="27" t="s">
        <v>3310</v>
      </c>
      <c r="D1465" s="33" t="s">
        <v>14</v>
      </c>
      <c r="E1465" s="34">
        <v>2</v>
      </c>
      <c r="F1465" s="34">
        <v>76</v>
      </c>
      <c r="G1465" s="10">
        <v>1018012</v>
      </c>
      <c r="H1465" s="30" t="str">
        <f ca="1">IFERROR(__xludf.DUMMYFUNCTION("LOWER(REGEXREPLACE(B1465&amp;"" ""&amp;C1465,""[^а-яa-z0-9 ]"","" ""))")," танок токарный по металлу типа  etal raft  ro 591488  снащен бесщеточным двигателем мощностью не менее 700  т  напряжение 220     асстояние между центрами не менее 400 мм  диаметр вращения не более 210 мм  малый ход перевозки не менее 40 мм   онус шпинде"&amp;"ля     5  диаметр главного вала через отверстие не более 40 мм  диаметр патрона не менее 100 мм   ереключение передач осуществляется бесступенчато  а диапазон скорости шпинделя варьируется не менее от 100 до 2000 об мин   онус хвостовика     2 ")</f>
        <v xml:space="preserve"> танок токарный по металлу типа  etal raft  ro 591488  снащен бесщеточным двигателем мощностью не менее 700  т  напряжение 220     асстояние между центрами не менее 400 мм  диаметр вращения не более 210 мм  малый ход перевозки не менее 40 мм   онус шпинделя     5  диаметр главного вала через отверстие не более 40 мм  диаметр патрона не менее 100 мм   ереключение передач осуществляется бесступенчато  а диапазон скорости шпинделя варьируется не менее от 100 до 2000 об мин   онус хвостовика     2 </v>
      </c>
    </row>
    <row r="1466" spans="1:8" ht="12.75" x14ac:dyDescent="0.2">
      <c r="A1466" s="31" t="s">
        <v>3311</v>
      </c>
      <c r="B1466" s="27" t="s">
        <v>3312</v>
      </c>
      <c r="C1466" s="27"/>
      <c r="D1466" s="33" t="s">
        <v>14</v>
      </c>
      <c r="E1466" s="9"/>
      <c r="F1466" s="32"/>
      <c r="G1466" s="10"/>
      <c r="H1466" s="30" t="str">
        <f ca="1">IFERROR(__xludf.DUMMYFUNCTION("LOWER(REGEXREPLACE(B1466&amp;"" ""&amp;C1466,""[^а-яa-z0-9 ]"","" ""))")," одставка под токарный станок ")</f>
        <v xml:space="preserve"> одставка под токарный станок </v>
      </c>
    </row>
    <row r="1467" spans="1:8" ht="12.75" x14ac:dyDescent="0.2">
      <c r="A1467" s="31" t="s">
        <v>3313</v>
      </c>
      <c r="B1467" s="27" t="s">
        <v>3314</v>
      </c>
      <c r="C1467" s="27"/>
      <c r="D1467" s="33" t="s">
        <v>14</v>
      </c>
      <c r="E1467" s="9"/>
      <c r="F1467" s="32"/>
      <c r="G1467" s="10">
        <v>46000</v>
      </c>
      <c r="H1467" s="30" t="str">
        <f ca="1">IFERROR(__xludf.DUMMYFUNCTION("LOWER(REGEXREPLACE(B1467&amp;"" ""&amp;C1467,""[^а-яa-z0-9 ]"","" ""))")," одставка под токарный станок 600х500х800мм ")</f>
        <v xml:space="preserve"> одставка под токарный станок 600х500х800мм </v>
      </c>
    </row>
    <row r="1468" spans="1:8" ht="51" x14ac:dyDescent="0.2">
      <c r="A1468" s="31" t="s">
        <v>3315</v>
      </c>
      <c r="B1468" s="27" t="s">
        <v>3316</v>
      </c>
      <c r="C1468" s="27" t="s">
        <v>3300</v>
      </c>
      <c r="D1468" s="33" t="s">
        <v>14</v>
      </c>
      <c r="E1468" s="34">
        <v>2</v>
      </c>
      <c r="F1468" s="34">
        <v>25</v>
      </c>
      <c r="G1468" s="10">
        <v>166640</v>
      </c>
      <c r="H1468" s="30" t="str">
        <f ca="1">IFERROR(__xludf.DUMMYFUNCTION("LOWER(REGEXREPLACE(B1468&amp;"" ""&amp;C1468,""[^а-яa-z0-9 ]"","" ""))")," одставка под токарный станок   raft ab   размер 1100мм х 550мм х 600мм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окр"&amp;"ашенной в бесцветный лак ")</f>
        <v xml:space="preserve"> одставка под токарный станок   raft ab   размер 1100мм х 550мм х 600мм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69" spans="1:8" ht="25.5" x14ac:dyDescent="0.2">
      <c r="A1469" s="31" t="s">
        <v>3317</v>
      </c>
      <c r="B1469" s="27" t="s">
        <v>3318</v>
      </c>
      <c r="C1469" s="27"/>
      <c r="D1469" s="33" t="s">
        <v>14</v>
      </c>
      <c r="E1469" s="9"/>
      <c r="F1469" s="32"/>
      <c r="G1469" s="10"/>
      <c r="H1469" s="30" t="str">
        <f ca="1">IFERROR(__xludf.DUMMYFUNCTION("LOWER(REGEXREPLACE(B1469&amp;"" ""&amp;C1469,""[^а-яa-z0-9 ]"","" ""))")," танок комбинированный деревообрабатывающий ")</f>
        <v xml:space="preserve"> танок комбинированный деревообрабатывающий </v>
      </c>
    </row>
    <row r="1470" spans="1:8" ht="89.25" x14ac:dyDescent="0.2">
      <c r="A1470" s="31" t="s">
        <v>3319</v>
      </c>
      <c r="B1470" s="27" t="s">
        <v>3318</v>
      </c>
      <c r="C1470" s="27" t="s">
        <v>3320</v>
      </c>
      <c r="D1470" s="33" t="s">
        <v>14</v>
      </c>
      <c r="E1470" s="34">
        <v>2</v>
      </c>
      <c r="F1470" s="34">
        <v>80</v>
      </c>
      <c r="G1470" s="10">
        <v>325792</v>
      </c>
      <c r="H1470" s="30" t="str">
        <f ca="1">IFERROR(__xludf.DUMMYFUNCTION("LOWER(REGEXREPLACE(B1470&amp;"" ""&amp;C1470,""[^а-яa-z0-9 ]"","" ""))")," танок комбинированный деревообрабатывающий  танок деревообрабатывающий комбинированный   снащен 3 ножами для обработки древесины  работает при номинальном напряжении 220   и частоте 50  ц   аксимальная глубина строгания  или фугования  составляет не мене"&amp;"е 3 мм  а максимальная ширина строгания не более 270 мм   танок обладает максимальной мощностью не менее 1200  т и оснащен асинхронным электродвигателем   ункции пиления  продольное  поперечное  под углом   ти характеристики обеспечивают высокую производи"&amp;"тельность и точность ")</f>
        <v xml:space="preserve"> танок комбинированный деревообрабатывающий  танок деревообрабатывающий комбинированный   снащен 3 ножами для обработки древесины  работает при номинальном напряжении 220   и частоте 50  ц   аксимальная глубина строгания  или фугования  составляет не менее 3 мм  а максимальная ширина строгания не более 270 мм   танок обладает максимальной мощностью не менее 1200  т и оснащен асинхронным электродвигателем   ункции пиления  продольное  поперечное  под углом   ти характеристики обеспечивают высокую производительность и точность </v>
      </c>
    </row>
    <row r="1471" spans="1:8" ht="76.5" x14ac:dyDescent="0.2">
      <c r="A1471" s="31" t="s">
        <v>3321</v>
      </c>
      <c r="B1471" s="27" t="s">
        <v>3322</v>
      </c>
      <c r="C1471" s="27" t="s">
        <v>3323</v>
      </c>
      <c r="D1471" s="33" t="s">
        <v>14</v>
      </c>
      <c r="E1471" s="34">
        <v>2</v>
      </c>
      <c r="F1471" s="34">
        <v>22</v>
      </c>
      <c r="G1471" s="10">
        <v>579815</v>
      </c>
      <c r="H1471" s="30" t="str">
        <f ca="1">IFERROR(__xludf.DUMMYFUNCTION("LOWER(REGEXREPLACE(B1471&amp;"" ""&amp;C1471,""[^а-яa-z0-9 ]"","" ""))")," танок деревообрабатывающий комбинированный типа  ood aster  ombo 145182  снащен 3 ножами для обработки древесины   оминальное напряжение 220    частота 50  ц   аксимальная глубина строгания или фугования  составляет не менее 3 мм  а максимальная ширина с"&amp;"трогания не менее 80 мм   танок обладает максимальной мощностью не менее 800  т и оснащен асинхронным электродвигателем   ункции пиления  продольное  поперечное  под углом ")</f>
        <v xml:space="preserve"> танок деревообрабатывающий комбинированный типа  ood aster  ombo 145182  снащен 3 ножами для обработки древесины   оминальное напряжение 220    частота 50  ц   аксимальная глубина строгания или фугования  составляет не менее 3 мм  а максимальная ширина строгания не менее 80 мм   танок обладает максимальной мощностью не менее 800  т и оснащен асинхронным электродвигателем   ункции пиления  продольное  поперечное  под углом </v>
      </c>
    </row>
    <row r="1472" spans="1:8" ht="216.75" x14ac:dyDescent="0.2">
      <c r="A1472" s="31" t="s">
        <v>3324</v>
      </c>
      <c r="B1472" s="27" t="s">
        <v>3325</v>
      </c>
      <c r="C1472" s="27" t="s">
        <v>3326</v>
      </c>
      <c r="D1472" s="33" t="s">
        <v>14</v>
      </c>
      <c r="E1472" s="34">
        <v>2</v>
      </c>
      <c r="F1472" s="35">
        <v>160.5</v>
      </c>
      <c r="G1472" s="10">
        <v>4350057</v>
      </c>
      <c r="H1472" s="30" t="str">
        <f ca="1">IFERROR(__xludf.DUMMYFUNCTION("LOWER(REGEXREPLACE(B1472&amp;"" ""&amp;C1472,""[^а-яa-z0-9 ]"","" ""))")," омбо станок   дробилка экструдер типа  hred press  uo ech  робилка для пластиковых отходов с разнообразными режимами измельчения  кструдер для обработки пластиковой массы и создания пластиковой пасты или гранул  абор сменных насадок и инструментов для ра"&amp;"зличных видов обработки пластика  уководство по установке  настройке и использованию комбо  hred press  uo ech  езопасные механизмы и защитные элементы для работы с оборудованием  ицензионное программное обеспечение для контроля и управления процессами др"&amp;"обления и экструзии  ип дробилки   ощное оборудование для измельчения пластиковых отходов   ежимы измельчения   есколько режимов измельчения для получения различных степеней крошки   роизводительность   ысокая производительность обработки пластика на мелк"&amp;"ую крошку   атериалы   пособность обрабатывать разнообразные типы пластиков   азмер входных отходов   опустимые размеры входных пластиковых изделий   езопасность   строенные механизмы безопасности для предотвращения аварийных ситуаций ")</f>
        <v xml:space="preserve"> омбо станок   дробилка экструдер типа  hred press  uo ech  робилка для пластиковых отходов с разнообразными режимами измельчения  кструдер для обработки пластиковой массы и создания пластиковой пасты или гранул  абор сменных насадок и инструментов для различных видов обработки пластика  уководство по установке  настройке и использованию комбо  hred press  uo ech  езопасные механизмы и защитные элементы для работы с оборудованием  ицензионное программное обеспечение для контроля и управления процессами дробления и экструзии  ип дробилки   ощное оборудование для измельчения пластиковых отходов   ежимы измельчения   есколько режимов измельчения для получения различных степеней крошки   роизводительность   ысокая производительность обработки пластика на мелкую крошку   атериалы   пособность обрабатывать разнообразные типы пластиков   азмер входных отходов   опустимые размеры входных пластиковых изделий   езопасность   строенные механизмы безопасности для предотвращения аварийных ситуаций </v>
      </c>
    </row>
    <row r="1473" spans="1:8" ht="25.5" x14ac:dyDescent="0.2">
      <c r="A1473" s="31" t="s">
        <v>3327</v>
      </c>
      <c r="B1473" s="27" t="s">
        <v>3328</v>
      </c>
      <c r="C1473" s="27"/>
      <c r="D1473" s="33" t="s">
        <v>14</v>
      </c>
      <c r="E1473" s="9"/>
      <c r="F1473" s="32"/>
      <c r="G1473" s="10"/>
      <c r="H1473" s="30" t="str">
        <f ca="1">IFERROR(__xludf.DUMMYFUNCTION("LOWER(REGEXREPLACE(B1473&amp;"" ""&amp;C1473,""[^а-яa-z0-9 ]"","" ""))")," одставка под комбинированный  деревообрабатывающий  станок ")</f>
        <v xml:space="preserve"> одставка под комбинированный  деревообрабатывающий  станок </v>
      </c>
    </row>
    <row r="1474" spans="1:8" ht="51" x14ac:dyDescent="0.2">
      <c r="A1474" s="31" t="s">
        <v>3329</v>
      </c>
      <c r="B1474" s="27" t="s">
        <v>3330</v>
      </c>
      <c r="C1474" s="27" t="s">
        <v>3331</v>
      </c>
      <c r="D1474" s="33" t="s">
        <v>14</v>
      </c>
      <c r="E1474" s="34">
        <v>2</v>
      </c>
      <c r="F1474" s="34">
        <v>25</v>
      </c>
      <c r="G1474" s="10">
        <v>167181</v>
      </c>
      <c r="H1474" s="30" t="str">
        <f ca="1">IFERROR(__xludf.DUMMYFUNCTION("LOWER(REGEXREPLACE(B1474&amp;"" ""&amp;C1474,""[^а-яa-z0-9 ]"","" ""))")," одставка под деревообрабатывающий станок   raft ab   размер 600мм х 500мм х 400мм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толщиной"&amp;" 45 мм  окрашенной в бесцветный лак   онструкция установлена на регулируемых пластиковых ножках ")</f>
        <v xml:space="preserve"> одставка под деревообрабатывающий станок   raft ab   размер 600мм х 500мм х 400мм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окрашенной в бесцветный лак   онструкция установлена на регулируемых пластиковых ножках </v>
      </c>
    </row>
    <row r="1475" spans="1:8" ht="51" x14ac:dyDescent="0.2">
      <c r="A1475" s="31" t="s">
        <v>3332</v>
      </c>
      <c r="B1475" s="27" t="s">
        <v>3333</v>
      </c>
      <c r="C1475" s="27" t="s">
        <v>3334</v>
      </c>
      <c r="D1475" s="33" t="s">
        <v>14</v>
      </c>
      <c r="E1475" s="34">
        <v>2</v>
      </c>
      <c r="F1475" s="34">
        <v>30</v>
      </c>
      <c r="G1475" s="10">
        <v>166770</v>
      </c>
      <c r="H1475" s="30" t="str">
        <f ca="1">IFERROR(__xludf.DUMMYFUNCTION("LOWER(REGEXREPLACE(B1475&amp;"" ""&amp;C1475,""[^а-яa-z0-9 ]"","" ""))")," одставка под мини станки   raft ab   размер 1200мм х 600мм х 1200мм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окраше"&amp;"нной в бесцветный лак ")</f>
        <v xml:space="preserve"> одставка под мини станки   raft ab   размер 1200мм х 600мм х 1200мм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76" spans="1:8" ht="89.25" x14ac:dyDescent="0.2">
      <c r="A1476" s="31" t="s">
        <v>3335</v>
      </c>
      <c r="B1476" s="27" t="s">
        <v>3336</v>
      </c>
      <c r="C1476" s="27" t="s">
        <v>3337</v>
      </c>
      <c r="D1476" s="33" t="s">
        <v>14</v>
      </c>
      <c r="E1476" s="34">
        <v>2</v>
      </c>
      <c r="F1476" s="35">
        <v>60.5</v>
      </c>
      <c r="G1476" s="10">
        <v>200584</v>
      </c>
      <c r="H1476" s="30" t="str">
        <f ca="1">IFERROR(__xludf.DUMMYFUNCTION("LOWER(REGEXREPLACE(B1476&amp;"" ""&amp;C1476,""[^а-яa-z0-9 ]"","" ""))")," тол для обработки материала типа  raft  ab  ополнительные модули или плоскости для разных видов работы  по выбору   строенные полки и ящики для удобного хранения материалов и инструментов  нструкция по сборке и использованию стола  озможные комплектующие"&amp;" для регулировки высоты или крепления аксессуаров  толешница клееный брус  толщинй 45 мм  корпус металлическая труба 40х40 мм  габариты 1200 х 600 х 750 мм")</f>
        <v xml:space="preserve"> тол для обработки материала типа  raft  ab  ополнительные модули или плоскости для разных видов работы  по выбору   строенные полки и ящики для удобного хранения материалов и инструментов  нструкция по сборке и использованию стола  озможные комплектующие для регулировки высоты или крепления аксессуаров  толешница клееный брус  толщинй 45 мм  корпус металлическая труба 40х40 мм  габариты 1200 х 600 х 750 мм</v>
      </c>
    </row>
    <row r="1477" spans="1:8" ht="38.25" x14ac:dyDescent="0.2">
      <c r="A1477" s="31" t="s">
        <v>3338</v>
      </c>
      <c r="B1477" s="27" t="s">
        <v>3339</v>
      </c>
      <c r="C1477" s="27" t="s">
        <v>3340</v>
      </c>
      <c r="D1477" s="33" t="s">
        <v>14</v>
      </c>
      <c r="E1477" s="34">
        <v>2</v>
      </c>
      <c r="F1477" s="35">
        <v>13.2</v>
      </c>
      <c r="G1477" s="10">
        <v>168436</v>
      </c>
      <c r="H1477" s="30" t="str">
        <f ca="1">IFERROR(__xludf.DUMMYFUNCTION("LOWER(REGEXREPLACE(B1477&amp;"" ""&amp;C1477,""[^а-яa-z0-9 ]"","" ""))")," raftlab типт  станоктар а арнал ан арнайы  стел  пециализированный стол для станков  размером не менее 600 1200 1050мм   x x     атериал  каркас   металл  столешница   клееный брус сосны толщиной не менее 45мм ")</f>
        <v xml:space="preserve"> raftlab типт  станоктар а арнал ан арнайы  стел  пециализированный стол для станков  размером не менее 600 1200 1050мм   x x     атериал  каркас   металл  столешница   клееный брус сосны толщиной не менее 45мм </v>
      </c>
    </row>
    <row r="1478" spans="1:8" ht="38.25" x14ac:dyDescent="0.2">
      <c r="A1478" s="31" t="s">
        <v>3341</v>
      </c>
      <c r="B1478" s="27" t="s">
        <v>3342</v>
      </c>
      <c r="C1478" s="27" t="s">
        <v>3300</v>
      </c>
      <c r="D1478" s="33" t="s">
        <v>14</v>
      </c>
      <c r="E1478" s="34">
        <v>2</v>
      </c>
      <c r="F1478" s="34">
        <v>40</v>
      </c>
      <c r="G1478" s="10">
        <v>180374</v>
      </c>
      <c r="H1478" s="30" t="str">
        <f ca="1">IFERROR(__xludf.DUMMYFUNCTION("LOWER(REGEXREPLACE(B1478&amp;"" ""&amp;C1478,""[^а-яa-z0-9 ]"","" ""))")," лектроточило с подставкой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f>
        <v xml:space="preserve"> лектроточило с подставкой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v>
      </c>
    </row>
    <row r="1479" spans="1:8" ht="38.25" x14ac:dyDescent="0.2">
      <c r="A1479" s="31" t="s">
        <v>3343</v>
      </c>
      <c r="B1479" s="27" t="s">
        <v>3344</v>
      </c>
      <c r="C1479" s="27" t="s">
        <v>3345</v>
      </c>
      <c r="D1479" s="33" t="s">
        <v>14</v>
      </c>
      <c r="E1479" s="34">
        <v>2</v>
      </c>
      <c r="F1479" s="35">
        <v>2.5</v>
      </c>
      <c r="G1479" s="10">
        <v>22681</v>
      </c>
      <c r="H1479" s="30" t="str">
        <f ca="1">IFERROR(__xludf.DUMMYFUNCTION("LOWER(REGEXREPLACE(B1479&amp;"" ""&amp;C1479,""[^а-яa-z0-9 ]"","" ""))")," обзик электрический  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 ")</f>
        <v xml:space="preserve"> обзик электрический  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 </v>
      </c>
    </row>
    <row r="1480" spans="1:8" ht="25.5" x14ac:dyDescent="0.2">
      <c r="A1480" s="31" t="s">
        <v>3346</v>
      </c>
      <c r="B1480" s="27" t="s">
        <v>3347</v>
      </c>
      <c r="C1480" s="27" t="s">
        <v>3348</v>
      </c>
      <c r="D1480" s="33" t="s">
        <v>14</v>
      </c>
      <c r="E1480" s="34">
        <v>2</v>
      </c>
      <c r="F1480" s="35">
        <v>1.5</v>
      </c>
      <c r="G1480" s="10">
        <v>47075</v>
      </c>
      <c r="H1480" s="30" t="str">
        <f ca="1">IFERROR(__xludf.DUMMYFUNCTION("LOWER(REGEXREPLACE(B1480&amp;"" ""&amp;C1480,""[^а-яa-z0-9 ]"","" ""))")," рель шуруповерт аккумуляторная  рель шуруповерт аккумуляторная  компактный и легкий дизайн  идеальна для сверления и закручивания в различных материалах ")</f>
        <v xml:space="preserve"> рель шуруповерт аккумуляторная  рель шуруповерт аккумуляторная  компактный и легкий дизайн  идеальна для сверления и закручивания в различных материалах </v>
      </c>
    </row>
    <row r="1481" spans="1:8" ht="38.25" x14ac:dyDescent="0.2">
      <c r="A1481" s="31" t="s">
        <v>3349</v>
      </c>
      <c r="B1481" s="27" t="s">
        <v>3350</v>
      </c>
      <c r="C1481" s="27" t="s">
        <v>3351</v>
      </c>
      <c r="D1481" s="33" t="s">
        <v>14</v>
      </c>
      <c r="E1481" s="9"/>
      <c r="F1481" s="32"/>
      <c r="G1481" s="10">
        <v>35679</v>
      </c>
      <c r="H1481" s="30" t="str">
        <f ca="1">IFERROR(__xludf.DUMMYFUNCTION("LOWER(REGEXREPLACE(B1481&amp;"" ""&amp;C1481,""[^а-яa-z0-9 ]"","" ""))")," ашина угловая шлифовальная  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 ")</f>
        <v xml:space="preserve"> ашина угловая шлифовальная  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 </v>
      </c>
    </row>
    <row r="1482" spans="1:8" ht="38.25" x14ac:dyDescent="0.2">
      <c r="A1482" s="31" t="s">
        <v>3352</v>
      </c>
      <c r="B1482" s="27" t="s">
        <v>3353</v>
      </c>
      <c r="C1482" s="27" t="s">
        <v>3354</v>
      </c>
      <c r="D1482" s="33" t="s">
        <v>14</v>
      </c>
      <c r="E1482" s="34">
        <v>2</v>
      </c>
      <c r="F1482" s="35">
        <v>0.7</v>
      </c>
      <c r="G1482" s="10">
        <v>16676</v>
      </c>
      <c r="H1482" s="30" t="str">
        <f ca="1">IFERROR(__xludf.DUMMYFUNCTION("LOWER(REGEXREPLACE(B1482&amp;"" ""&amp;C1482,""[^а-яa-z0-9 ]"","" ""))")," рибор для выжигания  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 ")</f>
        <v xml:space="preserve"> рибор для выжигания  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 </v>
      </c>
    </row>
    <row r="1483" spans="1:8" ht="12.75" x14ac:dyDescent="0.2">
      <c r="A1483" s="31" t="s">
        <v>3355</v>
      </c>
      <c r="B1483" s="27" t="s">
        <v>3356</v>
      </c>
      <c r="C1483" s="27"/>
      <c r="D1483" s="33" t="s">
        <v>14</v>
      </c>
      <c r="E1483" s="9"/>
      <c r="F1483" s="32"/>
      <c r="G1483" s="10"/>
      <c r="H1483" s="30" t="str">
        <f ca="1">IFERROR(__xludf.DUMMYFUNCTION("LOWER(REGEXREPLACE(B1483&amp;"" ""&amp;C1483,""[^а-яa-z0-9 ]"","" ""))")," оска перфорированная ")</f>
        <v xml:space="preserve"> оска перфорированная </v>
      </c>
    </row>
    <row r="1484" spans="1:8" ht="38.25" x14ac:dyDescent="0.2">
      <c r="A1484" s="31" t="s">
        <v>3357</v>
      </c>
      <c r="B1484" s="27" t="s">
        <v>3358</v>
      </c>
      <c r="C1484" s="27"/>
      <c r="D1484" s="33" t="s">
        <v>14</v>
      </c>
      <c r="E1484" s="34">
        <v>2</v>
      </c>
      <c r="F1484" s="36">
        <v>23.52</v>
      </c>
      <c r="G1484" s="10">
        <v>233645</v>
      </c>
      <c r="H1484" s="30" t="str">
        <f ca="1">IFERROR(__xludf.DUMMYFUNCTION("LOWER(REGEXREPLACE(B1484&amp;"" ""&amp;C1484,""[^а-яa-z0-9 ]"","" ""))")," ерфорированная доска для подвешивания инструментов  egboard для хранения и переноса инструментов типа  raft ab ")</f>
        <v xml:space="preserve"> ерфорированная доска для подвешивания инструментов  egboard для хранения и переноса инструментов типа  raft ab </v>
      </c>
    </row>
    <row r="1485" spans="1:8" ht="63.75" x14ac:dyDescent="0.2">
      <c r="A1485" s="31" t="s">
        <v>3359</v>
      </c>
      <c r="B1485" s="27" t="s">
        <v>3360</v>
      </c>
      <c r="C1485" s="27" t="s">
        <v>3361</v>
      </c>
      <c r="D1485" s="33" t="s">
        <v>14</v>
      </c>
      <c r="E1485" s="34">
        <v>2</v>
      </c>
      <c r="F1485" s="34">
        <v>70</v>
      </c>
      <c r="G1485" s="10">
        <v>96588</v>
      </c>
      <c r="H1485" s="30" t="str">
        <f ca="1">IFERROR(__xludf.DUMMYFUNCTION("LOWER(REGEXREPLACE(B1485&amp;"" ""&amp;C1485,""[^а-яa-z0-9 ]"","" ""))")," анель перфорированная 2100х300х1200мм  еталлический каркас изготовлен из квадратного профиля 30х30х2 мм  а перфорированные панели чисто и ровно нарезаны из листового металла толщиной 2 мм   зделия окрашены методом электростатического порошкового напылени"&amp;"я  а к нижним частям ножек прикреплены регулируемые подпятники для поддержания ровного и сбалансированного положения")</f>
        <v xml:space="preserve"> анель перфорированная 2100х300х1200мм  еталлический каркас изготовлен из квадратного профиля 30х30х2 мм  а перфорированные панели чисто и ровно нарезаны из листового металла толщиной 2 мм   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v>
      </c>
    </row>
    <row r="1486" spans="1:8" ht="51" x14ac:dyDescent="0.2">
      <c r="A1486" s="31" t="s">
        <v>3362</v>
      </c>
      <c r="B1486" s="27" t="s">
        <v>3363</v>
      </c>
      <c r="C1486" s="27" t="s">
        <v>3364</v>
      </c>
      <c r="D1486" s="33" t="s">
        <v>14</v>
      </c>
      <c r="E1486" s="9"/>
      <c r="F1486" s="37">
        <v>0.248</v>
      </c>
      <c r="G1486" s="10">
        <v>5140</v>
      </c>
      <c r="H1486" s="30" t="str">
        <f ca="1">IFERROR(__xludf.DUMMYFUNCTION("LOWER(REGEXREPLACE(B1486&amp;"" ""&amp;C1486,""[^а-яa-z0-9 ]"","" ""))")," тангенциркуль  тангенциркуль  измерительный инструмент с точностью до 0 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надежност"&amp;"ь и точность в инженерных и метрологических работах ")</f>
        <v xml:space="preserve"> тангенциркуль  тангенциркуль  измерительный инструмент с точностью до 0 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 </v>
      </c>
    </row>
    <row r="1487" spans="1:8" ht="38.25" x14ac:dyDescent="0.2">
      <c r="A1487" s="31" t="s">
        <v>3365</v>
      </c>
      <c r="B1487" s="27" t="s">
        <v>3366</v>
      </c>
      <c r="C1487" s="27" t="s">
        <v>3367</v>
      </c>
      <c r="D1487" s="33" t="s">
        <v>14</v>
      </c>
      <c r="E1487" s="34">
        <v>2</v>
      </c>
      <c r="F1487" s="36">
        <v>0.34</v>
      </c>
      <c r="G1487" s="10">
        <v>12767</v>
      </c>
      <c r="H1487" s="30" t="str">
        <f ca="1">IFERROR(__xludf.DUMMYFUNCTION("LOWER(REGEXREPLACE(B1487&amp;"" ""&amp;C1487,""[^а-яa-z0-9 ]"","" ""))")," ультиметр цифровой  ункционально мультиметр заменяет несколько измерительных устройств  вольтметр  амперметр  омметр   рибор оснащен дисплеем  отображающим результат измерений   омплектуется щупами с проводами ")</f>
        <v xml:space="preserve"> ультиметр цифровой  ункционально мультиметр заменяет несколько измерительных устройств  вольтметр  амперметр  омметр   рибор оснащен дисплеем  отображающим результат измерений   омплектуется щупами с проводами </v>
      </c>
    </row>
    <row r="1488" spans="1:8" ht="12.75" x14ac:dyDescent="0.2">
      <c r="A1488" s="31" t="s">
        <v>3368</v>
      </c>
      <c r="B1488" s="27" t="s">
        <v>3369</v>
      </c>
      <c r="C1488" s="27"/>
      <c r="D1488" s="33" t="s">
        <v>14</v>
      </c>
      <c r="E1488" s="9"/>
      <c r="F1488" s="32"/>
      <c r="G1488" s="10"/>
      <c r="H1488" s="30" t="str">
        <f ca="1">IFERROR(__xludf.DUMMYFUNCTION("LOWER(REGEXREPLACE(B1488&amp;"" ""&amp;C1488,""[^а-яa-z0-9 ]"","" ""))")," танок модульный ")</f>
        <v xml:space="preserve"> танок модульный </v>
      </c>
    </row>
    <row r="1489" spans="1:8" ht="102" x14ac:dyDescent="0.2">
      <c r="A1489" s="31" t="s">
        <v>3370</v>
      </c>
      <c r="B1489" s="8" t="s">
        <v>3371</v>
      </c>
      <c r="C1489" s="27"/>
      <c r="D1489" s="33" t="s">
        <v>14</v>
      </c>
      <c r="E1489" s="34">
        <v>2</v>
      </c>
      <c r="F1489" s="35">
        <v>12.1</v>
      </c>
      <c r="G1489" s="10">
        <v>759494</v>
      </c>
      <c r="H1489" s="30" t="str">
        <f ca="1">IFERROR(__xludf.DUMMYFUNCTION("LOWER(REGEXREPLACE(B1489&amp;"" ""&amp;C1489,""[^а-яa-z0-9 ]"","" ""))")," одульный станок  ni at     echnics  по металлу 6 в 1    овмещает функции 6 различных типов станков   окарный станок по металлу   лифовальный станок   лектрический лобзик   оризонтально фрезерный и вертикально фрезерный станки   танок для сверловки центро"&amp;"в   учная дрель или ручная шлифовальная машина ")</f>
        <v xml:space="preserve"> одульный станок  ni at     echnics  по металлу 6 в 1    овмещает функции 6 различных типов станков   окарный станок по металлу   лифовальный станок   лектрический лобзик   оризонтально фрезерный и вертикально фрезерный станки   танок для сверловки центров   учная дрель или ручная шлифовальная машина </v>
      </c>
    </row>
    <row r="1490" spans="1:8" ht="51" x14ac:dyDescent="0.2">
      <c r="A1490" s="31" t="s">
        <v>3372</v>
      </c>
      <c r="B1490" s="27" t="s">
        <v>3373</v>
      </c>
      <c r="C1490" s="27"/>
      <c r="D1490" s="33" t="s">
        <v>14</v>
      </c>
      <c r="E1490" s="34">
        <v>2</v>
      </c>
      <c r="F1490" s="35">
        <v>10.7</v>
      </c>
      <c r="G1490" s="10">
        <v>288802</v>
      </c>
      <c r="H1490" s="30" t="str">
        <f ca="1">IFERROR(__xludf.DUMMYFUNCTION("LOWER(REGEXREPLACE(B1490&amp;"" ""&amp;C1490,""[^а-яa-z0-9 ]"","" ""))")," одульный станок  ni at  lementary  it  по дереву 4 в 1    овмещает функции 4 различных типов станков   ини дрель   обзик   окарный станок по дереву   лифовальный станок ")</f>
        <v xml:space="preserve"> одульный станок  ni at  lementary  it  по дереву 4 в 1    овмещает функции 4 различных типов станков   ини дрель   обзик   окарный станок по дереву   лифовальный станок </v>
      </c>
    </row>
    <row r="1491" spans="1:8" ht="12.75" x14ac:dyDescent="0.2">
      <c r="A1491" s="31" t="s">
        <v>3374</v>
      </c>
      <c r="B1491" s="27" t="s">
        <v>3375</v>
      </c>
      <c r="C1491" s="27"/>
      <c r="D1491" s="33" t="s">
        <v>14</v>
      </c>
      <c r="E1491" s="9"/>
      <c r="F1491" s="32"/>
      <c r="G1491" s="10"/>
      <c r="H1491" s="30" t="str">
        <f ca="1">IFERROR(__xludf.DUMMYFUNCTION("LOWER(REGEXREPLACE(B1491&amp;"" ""&amp;C1491,""[^а-яa-z0-9 ]"","" ""))")," танок для резки пенопласта ")</f>
        <v xml:space="preserve"> танок для резки пенопласта </v>
      </c>
    </row>
    <row r="1492" spans="1:8" ht="38.25" x14ac:dyDescent="0.2">
      <c r="A1492" s="31" t="s">
        <v>3376</v>
      </c>
      <c r="B1492" s="27" t="s">
        <v>3377</v>
      </c>
      <c r="C1492" s="27" t="s">
        <v>3378</v>
      </c>
      <c r="D1492" s="33" t="s">
        <v>14</v>
      </c>
      <c r="E1492" s="34">
        <v>2</v>
      </c>
      <c r="F1492" s="36">
        <v>99.59</v>
      </c>
      <c r="G1492" s="10">
        <v>3204049</v>
      </c>
      <c r="H1492" s="30" t="str">
        <f ca="1">IFERROR(__xludf.DUMMYFUNCTION("LOWER(REGEXREPLACE(B1492&amp;"" ""&amp;C1492,""[^а-яa-z0-9 ]"","" ""))")," танок с     для фигурной резки пенопласта с расходниками типа  orm  arve      азмер рабочего поля   0 7 0 7 0 7 м   лина режущих струн   0 7   оличество нитей   1   ощность потребления   300  т   айловый формат                ")</f>
        <v xml:space="preserve"> танок с     для фигурной резки пенопласта с расходниками типа  orm  arve      азмер рабочего поля   0 7 0 7 0 7 м   лина режущих струн   0 7   оличество нитей   1   ощность потребления   300  т   айловый формат                </v>
      </c>
    </row>
    <row r="1493" spans="1:8" ht="12.75" x14ac:dyDescent="0.2">
      <c r="A1493" s="31" t="s">
        <v>3379</v>
      </c>
      <c r="B1493" s="27" t="s">
        <v>3380</v>
      </c>
      <c r="C1493" s="27"/>
      <c r="D1493" s="33" t="s">
        <v>14</v>
      </c>
      <c r="E1493" s="9"/>
      <c r="F1493" s="32"/>
      <c r="G1493" s="10"/>
      <c r="H1493" s="30" t="str">
        <f ca="1">IFERROR(__xludf.DUMMYFUNCTION("LOWER(REGEXREPLACE(B1493&amp;"" ""&amp;C1493,""[^а-яa-z0-9 ]"","" ""))")," ылесос индустриальный ")</f>
        <v xml:space="preserve"> ылесос индустриальный </v>
      </c>
    </row>
    <row r="1494" spans="1:8" ht="63.75" x14ac:dyDescent="0.2">
      <c r="A1494" s="31" t="s">
        <v>3381</v>
      </c>
      <c r="B1494" s="27" t="s">
        <v>3380</v>
      </c>
      <c r="C1494" s="27" t="s">
        <v>3382</v>
      </c>
      <c r="D1494" s="33" t="s">
        <v>14</v>
      </c>
      <c r="E1494" s="34">
        <v>2</v>
      </c>
      <c r="F1494" s="35">
        <v>7.6</v>
      </c>
      <c r="G1494" s="10">
        <v>153106</v>
      </c>
      <c r="H1494" s="30" t="str">
        <f ca="1">IFERROR(__xludf.DUMMYFUNCTION("LOWER(REGEXREPLACE(B1494&amp;"" ""&amp;C1494,""[^а-яa-z0-9 ]"","" ""))")," ылесос индустриальный  сточник питания   нуровой   отребляемая мощность  не менее 900  т   бъем пылесборника  не менее 10 л   лина шланга  не менее 1м   лина шнура питания  не менее 5м   асадки и принадлежности    комплект поставки входят различные насад"&amp;"ки  подходящие для выполнения различных задач по уборке  например  щелевые инструменты  щетки для обивки мебели и насадки для пола ")</f>
        <v xml:space="preserve"> ылесос индустриальный  сточник питания   нуровой   отребляемая мощность  не менее 900  т   бъем пылесборника  не менее 10 л   лина шланга  не менее 1м   лина шнура питания  не менее 5м   асадки и принадлежности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 </v>
      </c>
    </row>
    <row r="1495" spans="1:8" ht="12.75" x14ac:dyDescent="0.2">
      <c r="A1495" s="31" t="s">
        <v>3383</v>
      </c>
      <c r="B1495" s="27" t="s">
        <v>3384</v>
      </c>
      <c r="C1495" s="27"/>
      <c r="D1495" s="32"/>
      <c r="E1495" s="9"/>
      <c r="F1495" s="32"/>
      <c r="G1495" s="10"/>
      <c r="H1495" s="30" t="str">
        <f ca="1">IFERROR(__xludf.DUMMYFUNCTION("LOWER(REGEXREPLACE(B1495&amp;"" ""&amp;C1495,""[^а-яa-z0-9 ]"","" ""))")," танок фрезерно гравировальный ")</f>
        <v xml:space="preserve"> танок фрезерно гравировальный </v>
      </c>
    </row>
    <row r="1496" spans="1:8" ht="63.75" x14ac:dyDescent="0.2">
      <c r="A1496" s="31" t="s">
        <v>3385</v>
      </c>
      <c r="B1496" s="27" t="s">
        <v>3386</v>
      </c>
      <c r="C1496" s="27" t="s">
        <v>3387</v>
      </c>
      <c r="D1496" s="33" t="s">
        <v>14</v>
      </c>
      <c r="E1496" s="34">
        <v>2</v>
      </c>
      <c r="F1496" s="36">
        <v>14.55</v>
      </c>
      <c r="G1496" s="10">
        <v>824286</v>
      </c>
      <c r="H1496" s="30" t="str">
        <f ca="1">IFERROR(__xludf.DUMMYFUNCTION("LOWER(REGEXREPLACE(B1496&amp;"" ""&amp;C1496,""[^а-яa-z0-9 ]"","" ""))")," танок фрезерно гравировальный с     для дизайна и технологий типа  ech enius  ro 370891  снащен мощным двигателем не менее 1000 оборотов в минуту скорость вращения  имеет регулируемые направляющие  охлаждающую систему   аксимальная толщина заготовки не б"&amp;"олее 1мм и размер заготовки не более 20мм   озможность регулировки скорости вращения и глубины фрезеровки      станок в комплекте с фрезами для шпинделя и блоком управления")</f>
        <v xml:space="preserve"> танок фрезерно гравировальный с     для дизайна и технологий типа  ech enius  ro 370891  снащен мощным двигателем не менее 1000 оборотов в минуту скорость вращения  имеет регулируемые направляющие  охлаждающую систему   аксимальная толщина заготовки не более 1мм и размер заготовки не более 20мм   озможность регулировки скорости вращения и глубины фрезеровки      станок в комплекте с фрезами для шпинделя и блоком управления</v>
      </c>
    </row>
    <row r="1497" spans="1:8" ht="127.5" x14ac:dyDescent="0.2">
      <c r="A1497" s="31" t="s">
        <v>3388</v>
      </c>
      <c r="B1497" s="27" t="s">
        <v>3389</v>
      </c>
      <c r="C1497" s="27" t="s">
        <v>3390</v>
      </c>
      <c r="D1497" s="33" t="s">
        <v>14</v>
      </c>
      <c r="E1497" s="34">
        <v>2</v>
      </c>
      <c r="F1497" s="35">
        <v>114.3</v>
      </c>
      <c r="G1497" s="10">
        <v>3462685</v>
      </c>
      <c r="H1497" s="30" t="str">
        <f ca="1">IFERROR(__xludf.DUMMYFUNCTION("LOWER(REGEXREPLACE(B1497&amp;"" ""&amp;C1497,""[^а-яa-z0-9 ]"","" ""))")," истема безопасности с фрезерным станком типа  raft  ill  истема безопасности с фрезерным станком   ортал   конструкционный алюминиевый профиль  стальные пластины   тол   конструкционный алюминиевый профиль  лист       ривод   шаговые двигатели   ередачи "&amp;"  ременная передача по осям   и    винтовая передача по оси     корость перемещения   по осям   и   12000 мм мин  по оси   600 мм мин   лектрическая часть   буксируемые гибкие кабель каналы  сигнальный кабель   одключение       порт   итание   220   50  ц"&amp;"   очность позиционирования     0 2 мм   ормат совместимых файлов     код  nc  ncc  ngc  tap  txt   танок оснащен функциональной стол системой безопасности с открывающейся вверх дверцей ")</f>
        <v xml:space="preserve"> истема безопасности с фрезерным станком типа  raft  ill  истема безопасности с фрезерным станком   ортал   конструкционный алюминиевый профиль  стальные пластины   тол   конструкционный алюминиевый профиль  лист       ривод   шаговые двигатели   ередачи   ременная передача по осям   и    винтовая передача по оси     корость перемещения   по осям   и   12000 мм мин  по оси   600 мм мин   лектрическая часть   буксируемые гибкие кабель каналы  сигнальный кабель   одключение       порт   итание   220   50  ц   очность позиционирования     0 2 мм   ормат совместимых файлов     код  nc  ncc  ngc  tap  txt   танок оснащен функциональной стол системой безопасности с открывающейся вверх дверцей </v>
      </c>
    </row>
    <row r="1498" spans="1:8" ht="306" x14ac:dyDescent="0.2">
      <c r="A1498" s="31" t="s">
        <v>3391</v>
      </c>
      <c r="B1498" s="27" t="s">
        <v>3392</v>
      </c>
      <c r="C1498" s="27" t="s">
        <v>3393</v>
      </c>
      <c r="D1498" s="33" t="s">
        <v>14</v>
      </c>
      <c r="E1498" s="34">
        <v>2</v>
      </c>
      <c r="F1498" s="35">
        <v>145.5</v>
      </c>
      <c r="G1498" s="10">
        <v>4409617</v>
      </c>
      <c r="H1498" s="30" t="str">
        <f ca="1">IFERROR(__xludf.DUMMYFUNCTION("LOWER(REGEXREPLACE(B1498&amp;"" ""&amp;C1498,""[^а-яa-z0-9 ]"","" ""))")," танок с     с возможностями лазерной гравировки  фрезеровки и 3  печати типа      aster ab 3 in 1  aser  ova  азерная головка для гравировки   резерный модуль  3  печатная головка   рограммное обеспечение для управления и дизайна   нструкция по эксплуата"&amp;"ции   ип устройства   танок с      числовым программным управлением  для образовательных целей   ункциональность   бъединяет возможности лазерной гравировки  фрезеровки и 3  печати в одном устройстве   абочая область   азмер области  в которой выполняются"&amp;" операции лазерной гравировки  фрезеровки и 3  печати   атериалы   оддерживаемые материалы для лазерной гравировки  фрезеровки и 3  печати   правление      с программным обеспечением для создания и выполнения операций   очность   ысокая точность выполнени"&amp;"я операций для обеспечения качественных результатов   ополнительные функции   озможность создания и редактирования дизайнов  настройка параметров работы и т д   одключение   озможность подключения к компьютеру для загрузки файлов и управления   абочая обл"&amp;"асть  не менее 200 x200 мм   аксимальная скорость  100 мм с   очность позиционирования  0 01 мм   аксимальная высота слоя для 3  печати  не менее 200 мм   ощность лазера для гравировки  не более 5  т ")</f>
        <v xml:space="preserve"> танок с     с возможностями лазерной гравировки  фрезеровки и 3  печати типа      aster ab 3 in 1  aser  ova  азерная головка для гравировки   резерный модуль  3  печатная головка   рограммное обеспечение для управления и дизайна   нструкция по эксплуатации   ип устройства   танок с      числовым программным управлением  для образовательных целей   ункциональность   бъединяет возможности лазерной гравировки  фрезеровки и 3  печати в одном устройстве   абочая область   азмер области  в которой выполняются операции лазерной гравировки  фрезеровки и 3  печати   атериалы   оддерживаемые материалы для лазерной гравировки  фрезеровки и 3  печати   правление      с программным обеспечением для создания и выполнения операций   очность   ысокая точность выполнения операций для обеспечения качественных результатов   ополнительные функции   озможность создания и редактирования дизайнов  настройка параметров работы и т д   одключение   озможность подключения к компьютеру для загрузки файлов и управления   абочая область  не менее 200 x200 мм   аксимальная скорость  100 мм с   очность позиционирования  0 01 мм   аксимальная высота слоя для 3  печати  не менее 200 мм   ощность лазера для гравировки  не более 5  т </v>
      </c>
    </row>
    <row r="1499" spans="1:8" ht="191.25" x14ac:dyDescent="0.2">
      <c r="A1499" s="31" t="s">
        <v>3394</v>
      </c>
      <c r="B1499" s="27" t="s">
        <v>3395</v>
      </c>
      <c r="C1499" s="27" t="s">
        <v>3396</v>
      </c>
      <c r="D1499" s="33" t="s">
        <v>14</v>
      </c>
      <c r="E1499" s="34">
        <v>2</v>
      </c>
      <c r="F1499" s="35">
        <v>5.5</v>
      </c>
      <c r="G1499" s="10">
        <v>3803712</v>
      </c>
      <c r="H1499" s="30" t="str">
        <f ca="1">IFERROR(__xludf.DUMMYFUNCTION("LOWER(REGEXREPLACE(B1499&amp;"" ""&amp;C1499,""[^а-яa-z0-9 ]"","" ""))")," танок гравировальный типа      egstr  сновное устройство   резерный станок с трехосевым управлением и интегрированной системой       абочая платформа   оверхность для размещения и обработки материалов   вигатели и оси   строенные двигатели и оси для точн"&amp;"ого перемещения и обработки по осям           лектронная система       правляющая плата и программное обеспечение для управления станком   нтерфейс   оддержка подключения к компьютеру или устройству для управления через программное обеспечение       нстру"&amp;"менты   омплект фрез и инструментов для обработки различных материалов   репежные элементы   омплект крепежных элементов и зажимов для фиксации обрабатываемых деталей   ополнительные аксессуары   ополнительные компоненты для оптимизации работы станка   ак"&amp;"симальное число оборотов 11 000 оборотов   ощность 50 т")</f>
        <v xml:space="preserve"> танок гравировальный типа      egstr  сновное устройство   резерный станок с трехосевым управлением и интегрированной системой       абочая платформа   оверхность для размещения и обработки материалов   вигатели и оси   строенные двигатели и оси для точного перемещения и обработки по осям           лектронная система       правляющая плата и программное обеспечение для управления станком   нтерфейс   оддержка подключения к компьютеру или устройству для управления через программное обеспечение       нструменты   омплект фрез и инструментов для обработки различных материалов   репежные элементы   омплект крепежных элементов и зажимов для фиксации обрабатываемых деталей   ополнительные аксессуары   ополнительные компоненты для оптимизации работы станка   аксимальное число оборотов 11 000 оборотов   ощность 50 т</v>
      </c>
    </row>
    <row r="1500" spans="1:8" ht="12.75" x14ac:dyDescent="0.2">
      <c r="A1500" s="31" t="s">
        <v>3397</v>
      </c>
      <c r="B1500" s="27" t="s">
        <v>3398</v>
      </c>
      <c r="C1500" s="27"/>
      <c r="D1500" s="32"/>
      <c r="E1500" s="9"/>
      <c r="F1500" s="32"/>
      <c r="G1500" s="10"/>
      <c r="H1500" s="30" t="str">
        <f ca="1">IFERROR(__xludf.DUMMYFUNCTION("LOWER(REGEXREPLACE(B1500&amp;"" ""&amp;C1500,""[^а-яa-z0-9 ]"","" ""))")," танок гравировальный лазерный ")</f>
        <v xml:space="preserve"> танок гравировальный лазерный </v>
      </c>
    </row>
    <row r="1501" spans="1:8" ht="63.75" x14ac:dyDescent="0.2">
      <c r="A1501" s="31" t="s">
        <v>3399</v>
      </c>
      <c r="B1501" s="27" t="s">
        <v>3400</v>
      </c>
      <c r="C1501" s="27" t="s">
        <v>3401</v>
      </c>
      <c r="D1501" s="33" t="s">
        <v>14</v>
      </c>
      <c r="E1501" s="34">
        <v>2</v>
      </c>
      <c r="F1501" s="34">
        <v>230</v>
      </c>
      <c r="G1501" s="10">
        <v>1167947</v>
      </c>
      <c r="H1501" s="30" t="str">
        <f ca="1">IFERROR(__xludf.DUMMYFUNCTION("LOWER(REGEXREPLACE(B1501&amp;"" ""&amp;C1501,""[^а-яa-z0-9 ]"","" ""))")," танок гравировальный лазерный в комплекте с чиллером и стабилизатором типа  aser ro 958452  танок оснащен чиллером для охлаждения и стабилизатором для поддержки постоянной мощности лазера   азмер рабочего поля 200х70 мм  мощность лазера 30  т  частота ра"&amp;"боты 0 50 к ц  тип лазера   2  рабочий стол алюминиевый с   образными пазами  система управления контроллер  охлаждение воздушное охлаждение")</f>
        <v xml:space="preserve"> танок гравировальный лазерный в комплекте с чиллером и стабилизатором типа  aser ro 958452  танок оснащен чиллером для охлаждения и стабилизатором для поддержки постоянной мощности лазера   азмер рабочего поля 200х70 мм  мощность лазера 30  т  частота работы 0 50 к ц  тип лазера   2  рабочий стол алюминиевый с   образными пазами  система управления контроллер  охлаждение воздушное охлаждение</v>
      </c>
    </row>
    <row r="1502" spans="1:8" ht="178.5" x14ac:dyDescent="0.2">
      <c r="A1502" s="31" t="s">
        <v>3402</v>
      </c>
      <c r="B1502" s="27" t="s">
        <v>3403</v>
      </c>
      <c r="C1502" s="27" t="s">
        <v>3404</v>
      </c>
      <c r="D1502" s="33" t="s">
        <v>14</v>
      </c>
      <c r="E1502" s="34">
        <v>2</v>
      </c>
      <c r="F1502" s="35">
        <v>125.8</v>
      </c>
      <c r="G1502" s="10">
        <v>2485696</v>
      </c>
      <c r="H1502" s="30" t="str">
        <f ca="1">IFERROR(__xludf.DUMMYFUNCTION("LOWER(REGEXREPLACE(B1502&amp;"" ""&amp;C1502,""[^а-яa-z0-9 ]"","" ""))")," танок лазерный с     типа  aser  ova     лазерный станок работает с напряжением переменного тока 110 220    10  и частотой 50 60     корость гравировки может варьироваться от 0 до 500 мм мин  а толщина гравировки может быть от 0 до 20 мм   абочая темпера"&amp;"тура станка составляет от 8 до 45    а рабочая влажность   от 5 до 95    танок обеспечивает повторную точность позиционирования в пределах  0 01 мм с разрешением 2500      н совместим с программным обеспечением  таким как  orel       втокад   отошоп  лазе"&amp;"рный      и другими   танок поддерживает графические форматы  такие как    и                      и другие   н может обрабатывать различные материалы  включая акрил  стекло  кожу       металл  бумагу  пластик  оргстекло  фанеру  резину  дерево и другие   "&amp;"танок оснащен помпой для режима охлаждения и имеет дополнительные устройства  такие как вытяжка улитка и комплект гофр   правление станком осуществляется с помощью программного обеспечения      а для подключения используется порт     2 0   ощность 60 т ")</f>
        <v xml:space="preserve"> танок лазерный с     типа  aser  ova     лазерный станок работает с напряжением переменного тока 110 220    10  и частотой 50 60     корость гравировки может варьироваться от 0 до 500 мм мин  а толщина гравировки может быть от 0 до 20 мм   абочая температура станка составляет от 8 до 45    а рабочая влажность   от 5 до 95    танок обеспечивает повторную точность позиционирования в пределах  0 01 мм с разрешением 2500      н совместим с программным обеспечением  таким как  orel       втокад   отошоп  лазерный      и другими   танок поддерживает графические форматы  такие как    и                      и другие   н может обрабатывать различные материалы  включая акрил  стекло  кожу       металл  бумагу  пластик  оргстекло  фанеру  резину  дерево и другие   танок оснащен помпой для режима охлаждения и имеет дополнительные устройства  такие как вытяжка улитка и комплект гофр   правление станком осуществляется с помощью программного обеспечения      а для подключения используется порт     2 0   ощность 60 т </v>
      </c>
    </row>
    <row r="1503" spans="1:8" ht="12.75" x14ac:dyDescent="0.2">
      <c r="A1503" s="31" t="s">
        <v>3405</v>
      </c>
      <c r="B1503" s="27" t="s">
        <v>3406</v>
      </c>
      <c r="C1503" s="27"/>
      <c r="D1503" s="32"/>
      <c r="E1503" s="9"/>
      <c r="F1503" s="32"/>
      <c r="G1503" s="10"/>
      <c r="H1503" s="30" t="str">
        <f ca="1">IFERROR(__xludf.DUMMYFUNCTION("LOWER(REGEXREPLACE(B1503&amp;"" ""&amp;C1503,""[^а-яa-z0-9 ]"","" ""))")," ила торцовочная ")</f>
        <v xml:space="preserve"> ила торцовочная </v>
      </c>
    </row>
    <row r="1504" spans="1:8" ht="38.25" x14ac:dyDescent="0.2">
      <c r="A1504" s="31" t="s">
        <v>3407</v>
      </c>
      <c r="B1504" s="27" t="s">
        <v>3408</v>
      </c>
      <c r="C1504" s="27"/>
      <c r="D1504" s="33" t="s">
        <v>14</v>
      </c>
      <c r="E1504" s="34">
        <v>2</v>
      </c>
      <c r="F1504" s="36">
        <v>3.48</v>
      </c>
      <c r="G1504" s="10">
        <v>322947</v>
      </c>
      <c r="H1504" s="30" t="str">
        <f ca="1">IFERROR(__xludf.DUMMYFUNCTION("LOWER(REGEXREPLACE(B1504&amp;"" ""&amp;C1504,""[^а-яa-z0-9 ]"","" ""))")," ила торцовочная электрическая типа  machine 447591   ощность 1 4  вт  диаметр 30 мм  макс  глубина пропила под углом 90  70мм ")</f>
        <v xml:space="preserve"> ила торцовочная электрическая типа  machine 447591   ощность 1 4  вт  диаметр 30 мм  макс  глубина пропила под углом 90  70мм </v>
      </c>
    </row>
    <row r="1505" spans="1:8" ht="12.75" x14ac:dyDescent="0.2">
      <c r="A1505" s="31" t="s">
        <v>3409</v>
      </c>
      <c r="B1505" s="27" t="s">
        <v>3410</v>
      </c>
      <c r="C1505" s="27"/>
      <c r="D1505" s="33" t="s">
        <v>14</v>
      </c>
      <c r="E1505" s="9"/>
      <c r="F1505" s="32"/>
      <c r="G1505" s="10"/>
      <c r="H1505" s="30" t="str">
        <f ca="1">IFERROR(__xludf.DUMMYFUNCTION("LOWER(REGEXREPLACE(B1505&amp;"" ""&amp;C1505,""[^а-яa-z0-9 ]"","" ""))")," аспылитель ")</f>
        <v xml:space="preserve"> аспылитель </v>
      </c>
    </row>
    <row r="1506" spans="1:8" ht="204" x14ac:dyDescent="0.2">
      <c r="A1506" s="31" t="s">
        <v>3411</v>
      </c>
      <c r="B1506" s="27" t="s">
        <v>3412</v>
      </c>
      <c r="C1506" s="27" t="s">
        <v>3413</v>
      </c>
      <c r="D1506" s="33" t="s">
        <v>14</v>
      </c>
      <c r="E1506" s="34">
        <v>2</v>
      </c>
      <c r="F1506" s="36">
        <v>0.35</v>
      </c>
      <c r="G1506" s="10">
        <v>145385</v>
      </c>
      <c r="H1506" s="30" t="str">
        <f ca="1">IFERROR(__xludf.DUMMYFUNCTION("LOWER(REGEXREPLACE(B1506&amp;"" ""&amp;C1506,""[^а-яa-z0-9 ]"","" ""))")," истолет краскораспылитель  рофессиональный аэрограф для покраски моделей  абор разнообразных сопел для настройки ширины линии и плотности распыла  ачок для краски с различными емкостями для адаптации к разным проектам  ополнительные иглы и элементы для р"&amp;"егулировки и настройки аэрографа  лючи и инструменты для разборки и обслуживания аэрографа  уководство пользователя с подробными инструкциями по использованию и уходу за аэрографом  ип аэрографа   рофессиональный аэрограф  предназначенный для точной и кач"&amp;"ественной покраски моделей   ип питания   аботает на сжатом воздухе или компрессоре   ип сопла   азнообразные сопла для настройки ширины линии и плотности распыла   егулировка   озможность регулировки давления и расхода краски для точного контроля покрыти"&amp;"я   атериал корпуса   рочный и легкий материал  обеспечивающий долгий срок службы   добство использования   ргономичный дизайн для комфортной работы в течение длительного времени ")</f>
        <v xml:space="preserve"> истолет краскораспылитель  рофессиональный аэрограф для покраски моделей  абор разнообразных сопел для настройки ширины линии и плотности распыла  ачок для краски с различными емкостями для адаптации к разным проектам  ополнительные иглы и элементы для регулировки и настройки аэрографа  лючи и инструменты для разборки и обслуживания аэрографа  уководство пользователя с подробными инструкциями по использованию и уходу за аэрографом  ип аэрографа   рофессиональный аэрограф  предназначенный для точной и качественной покраски моделей   ип питания   аботает на сжатом воздухе или компрессоре   ип сопла   азнообразные сопла для настройки ширины линии и плотности распыла   егулировка   озможность регулировки давления и расхода краски для точного контроля покрытия   атериал корпуса   рочный и легкий материал  обеспечивающий долгий срок службы   добство использования   ргономичный дизайн для комфортной работы в течение длительного времени </v>
      </c>
    </row>
    <row r="1507" spans="1:8" ht="12.75" x14ac:dyDescent="0.2">
      <c r="A1507" s="31" t="s">
        <v>3414</v>
      </c>
      <c r="B1507" s="27" t="s">
        <v>3415</v>
      </c>
      <c r="C1507" s="27"/>
      <c r="D1507" s="32"/>
      <c r="E1507" s="9"/>
      <c r="F1507" s="32"/>
      <c r="G1507" s="10"/>
      <c r="H1507" s="30" t="str">
        <f ca="1">IFERROR(__xludf.DUMMYFUNCTION("LOWER(REGEXREPLACE(B1507&amp;"" ""&amp;C1507,""[^а-яa-z0-9 ]"","" ""))")," ехнология приготовления пищи ")</f>
        <v xml:space="preserve"> ехнология приготовления пищи </v>
      </c>
    </row>
    <row r="1508" spans="1:8" ht="12.75" x14ac:dyDescent="0.2">
      <c r="A1508" s="31" t="s">
        <v>3416</v>
      </c>
      <c r="B1508" s="27" t="s">
        <v>3417</v>
      </c>
      <c r="C1508" s="27"/>
      <c r="D1508" s="33" t="s">
        <v>14</v>
      </c>
      <c r="E1508" s="9"/>
      <c r="F1508" s="32"/>
      <c r="G1508" s="10"/>
      <c r="H1508" s="30" t="str">
        <f ca="1">IFERROR(__xludf.DUMMYFUNCTION("LOWER(REGEXREPLACE(B1508&amp;"" ""&amp;C1508,""[^а-яa-z0-9 ]"","" ""))")," тол тумба кухонный ")</f>
        <v xml:space="preserve"> тол тумба кухонный </v>
      </c>
    </row>
    <row r="1509" spans="1:8" ht="25.5" x14ac:dyDescent="0.2">
      <c r="A1509" s="31" t="s">
        <v>3418</v>
      </c>
      <c r="B1509" s="27" t="s">
        <v>3419</v>
      </c>
      <c r="C1509" s="27"/>
      <c r="D1509" s="33" t="s">
        <v>14</v>
      </c>
      <c r="E1509" s="9"/>
      <c r="F1509" s="32"/>
      <c r="G1509" s="10">
        <v>326250</v>
      </c>
      <c r="H1509" s="30" t="str">
        <f ca="1">IFERROR(__xludf.DUMMYFUNCTION("LOWER(REGEXREPLACE(B1509&amp;"" ""&amp;C1509,""[^а-яa-z0-9 ]"","" ""))")," тол тумба купе       8 6     800 600 850 870 мм  ")</f>
        <v xml:space="preserve"> тол тумба купе       8 6     800 600 850 870 мм  </v>
      </c>
    </row>
    <row r="1510" spans="1:8" ht="25.5" x14ac:dyDescent="0.2">
      <c r="A1510" s="31" t="s">
        <v>3420</v>
      </c>
      <c r="B1510" s="27" t="s">
        <v>3421</v>
      </c>
      <c r="C1510" s="27"/>
      <c r="D1510" s="33" t="s">
        <v>14</v>
      </c>
      <c r="E1510" s="9"/>
      <c r="F1510" s="32"/>
      <c r="G1510" s="10">
        <v>341429</v>
      </c>
      <c r="H1510" s="30" t="str">
        <f ca="1">IFERROR(__xludf.DUMMYFUNCTION("LOWER(REGEXREPLACE(B1510&amp;"" ""&amp;C1510,""[^а-яa-z0-9 ]"","" ""))")," тол тумба купе       8 7     800 700 850 870 мм  ")</f>
        <v xml:space="preserve"> тол тумба купе       8 7     800 700 850 870 мм  </v>
      </c>
    </row>
    <row r="1511" spans="1:8" ht="25.5" x14ac:dyDescent="0.2">
      <c r="A1511" s="31" t="s">
        <v>3422</v>
      </c>
      <c r="B1511" s="27" t="s">
        <v>3423</v>
      </c>
      <c r="C1511" s="27"/>
      <c r="D1511" s="33" t="s">
        <v>14</v>
      </c>
      <c r="E1511" s="9"/>
      <c r="F1511" s="32"/>
      <c r="G1511" s="10">
        <v>347857</v>
      </c>
      <c r="H1511" s="30" t="str">
        <f ca="1">IFERROR(__xludf.DUMMYFUNCTION("LOWER(REGEXREPLACE(B1511&amp;"" ""&amp;C1511,""[^а-яa-z0-9 ]"","" ""))")," тол тумба купе       10 6     1000 600 850 870 мм  ")</f>
        <v xml:space="preserve"> тол тумба купе       10 6     1000 600 850 870 мм  </v>
      </c>
    </row>
    <row r="1512" spans="1:8" ht="25.5" x14ac:dyDescent="0.2">
      <c r="A1512" s="31" t="s">
        <v>3424</v>
      </c>
      <c r="B1512" s="27" t="s">
        <v>3425</v>
      </c>
      <c r="C1512" s="27"/>
      <c r="D1512" s="33" t="s">
        <v>14</v>
      </c>
      <c r="E1512" s="9"/>
      <c r="F1512" s="32"/>
      <c r="G1512" s="10">
        <v>314554</v>
      </c>
      <c r="H1512" s="30" t="str">
        <f ca="1">IFERROR(__xludf.DUMMYFUNCTION("LOWER(REGEXREPLACE(B1512&amp;"" ""&amp;C1512,""[^а-яa-z0-9 ]"","" ""))")," тол тумба купе      6 2 островной  1000 600 900 860  мм  ")</f>
        <v xml:space="preserve"> тол тумба купе      6 2 островной  1000 600 900 860  мм  </v>
      </c>
    </row>
    <row r="1513" spans="1:8" ht="25.5" x14ac:dyDescent="0.2">
      <c r="A1513" s="31" t="s">
        <v>3426</v>
      </c>
      <c r="B1513" s="27" t="s">
        <v>3427</v>
      </c>
      <c r="C1513" s="27"/>
      <c r="D1513" s="33" t="s">
        <v>14</v>
      </c>
      <c r="E1513" s="9"/>
      <c r="F1513" s="32"/>
      <c r="G1513" s="10">
        <v>416786</v>
      </c>
      <c r="H1513" s="30" t="str">
        <f ca="1">IFERROR(__xludf.DUMMYFUNCTION("LOWER(REGEXREPLACE(B1513&amp;"" ""&amp;C1513,""[^а-яa-z0-9 ]"","" ""))")," тол пристенный        9 7  купе  900 700 850мм  с бортом  ")</f>
        <v xml:space="preserve"> тол пристенный        9 7  купе  900 700 850мм  с бортом  </v>
      </c>
    </row>
    <row r="1514" spans="1:8" ht="25.5" x14ac:dyDescent="0.2">
      <c r="A1514" s="31" t="s">
        <v>3428</v>
      </c>
      <c r="B1514" s="27" t="s">
        <v>3429</v>
      </c>
      <c r="C1514" s="27"/>
      <c r="D1514" s="33" t="s">
        <v>14</v>
      </c>
      <c r="E1514" s="9"/>
      <c r="F1514" s="32"/>
      <c r="G1514" s="10">
        <v>321607</v>
      </c>
      <c r="H1514" s="30" t="str">
        <f ca="1">IFERROR(__xludf.DUMMYFUNCTION("LOWER(REGEXREPLACE(B1514&amp;"" ""&amp;C1514,""[^а-яa-z0-9 ]"","" ""))")," тол тумба купе      6 2 пристенный с бортом  1000 600 900 860  мм  ")</f>
        <v xml:space="preserve"> тол тумба купе      6 2 пристенный с бортом  1000 600 900 860  мм  </v>
      </c>
    </row>
    <row r="1515" spans="1:8" ht="25.5" x14ac:dyDescent="0.2">
      <c r="A1515" s="31" t="s">
        <v>3430</v>
      </c>
      <c r="B1515" s="27" t="s">
        <v>3431</v>
      </c>
      <c r="C1515" s="27"/>
      <c r="D1515" s="33" t="s">
        <v>14</v>
      </c>
      <c r="E1515" s="9"/>
      <c r="F1515" s="32"/>
      <c r="G1515" s="10">
        <v>331607</v>
      </c>
      <c r="H1515" s="30" t="str">
        <f ca="1">IFERROR(__xludf.DUMMYFUNCTION("LOWER(REGEXREPLACE(B1515&amp;"" ""&amp;C1515,""[^а-яa-z0-9 ]"","" ""))")," тол тумба купе      7 2 островной  1000 700 900 860  мм  ")</f>
        <v xml:space="preserve"> тол тумба купе      7 2 островной  1000 700 900 860  мм  </v>
      </c>
    </row>
    <row r="1516" spans="1:8" ht="25.5" x14ac:dyDescent="0.2">
      <c r="A1516" s="31" t="s">
        <v>3432</v>
      </c>
      <c r="B1516" s="27" t="s">
        <v>3433</v>
      </c>
      <c r="C1516" s="27"/>
      <c r="D1516" s="33" t="s">
        <v>14</v>
      </c>
      <c r="E1516" s="9"/>
      <c r="F1516" s="32"/>
      <c r="G1516" s="10">
        <v>338929</v>
      </c>
      <c r="H1516" s="30" t="str">
        <f ca="1">IFERROR(__xludf.DUMMYFUNCTION("LOWER(REGEXREPLACE(B1516&amp;"" ""&amp;C1516,""[^а-яa-z0-9 ]"","" ""))")," тол тумба купе      7 2 пристенный с бортом  1000 700 900 860  мм  ")</f>
        <v xml:space="preserve"> тол тумба купе      7 2 пристенный с бортом  1000 700 900 860  мм  </v>
      </c>
    </row>
    <row r="1517" spans="1:8" ht="25.5" x14ac:dyDescent="0.2">
      <c r="A1517" s="31" t="s">
        <v>3434</v>
      </c>
      <c r="B1517" s="27" t="s">
        <v>3435</v>
      </c>
      <c r="C1517" s="27"/>
      <c r="D1517" s="33" t="s">
        <v>14</v>
      </c>
      <c r="E1517" s="9"/>
      <c r="F1517" s="32"/>
      <c r="G1517" s="10">
        <v>342054</v>
      </c>
      <c r="H1517" s="30" t="str">
        <f ca="1">IFERROR(__xludf.DUMMYFUNCTION("LOWER(REGEXREPLACE(B1517&amp;"" ""&amp;C1517,""[^а-яa-z0-9 ]"","" ""))")," тол тумба купе      6 3 островной  1200 600 900 860  мм  ")</f>
        <v xml:space="preserve"> тол тумба купе      6 3 островной  1200 600 900 860  мм  </v>
      </c>
    </row>
    <row r="1518" spans="1:8" ht="25.5" x14ac:dyDescent="0.2">
      <c r="A1518" s="31" t="s">
        <v>3436</v>
      </c>
      <c r="B1518" s="27" t="s">
        <v>3437</v>
      </c>
      <c r="C1518" s="27"/>
      <c r="D1518" s="33" t="s">
        <v>14</v>
      </c>
      <c r="E1518" s="9"/>
      <c r="F1518" s="32"/>
      <c r="G1518" s="10">
        <v>392679</v>
      </c>
      <c r="H1518" s="30" t="str">
        <f ca="1">IFERROR(__xludf.DUMMYFUNCTION("LOWER(REGEXREPLACE(B1518&amp;"" ""&amp;C1518,""[^а-яa-z0-9 ]"","" ""))")," тол тумба купе       12 6     1200 600 850 870 мм  ")</f>
        <v xml:space="preserve"> тол тумба купе       12 6     1200 600 850 870 мм  </v>
      </c>
    </row>
    <row r="1519" spans="1:8" ht="25.5" x14ac:dyDescent="0.2">
      <c r="A1519" s="31" t="s">
        <v>3438</v>
      </c>
      <c r="B1519" s="27" t="s">
        <v>3439</v>
      </c>
      <c r="C1519" s="27"/>
      <c r="D1519" s="33" t="s">
        <v>14</v>
      </c>
      <c r="E1519" s="9"/>
      <c r="F1519" s="32"/>
      <c r="G1519" s="10">
        <v>350536</v>
      </c>
      <c r="H1519" s="30" t="str">
        <f ca="1">IFERROR(__xludf.DUMMYFUNCTION("LOWER(REGEXREPLACE(B1519&amp;"" ""&amp;C1519,""[^а-яa-z0-9 ]"","" ""))")," тол тумба купе      6 3 пристенный с бортом  1200 600 900 860 мм  ")</f>
        <v xml:space="preserve"> тол тумба купе      6 3 пристенный с бортом  1200 600 900 860 мм  </v>
      </c>
    </row>
    <row r="1520" spans="1:8" ht="25.5" x14ac:dyDescent="0.2">
      <c r="A1520" s="31" t="s">
        <v>3440</v>
      </c>
      <c r="B1520" s="27" t="s">
        <v>3441</v>
      </c>
      <c r="C1520" s="27"/>
      <c r="D1520" s="33" t="s">
        <v>14</v>
      </c>
      <c r="E1520" s="9"/>
      <c r="F1520" s="32"/>
      <c r="G1520" s="10">
        <v>410179</v>
      </c>
      <c r="H1520" s="30" t="str">
        <f ca="1">IFERROR(__xludf.DUMMYFUNCTION("LOWER(REGEXREPLACE(B1520&amp;"" ""&amp;C1520,""[^а-яa-z0-9 ]"","" ""))")," тол тумба купе       12 7     1200 700 850 870 мм  ")</f>
        <v xml:space="preserve"> тол тумба купе       12 7     1200 700 850 870 мм  </v>
      </c>
    </row>
    <row r="1521" spans="1:8" ht="25.5" x14ac:dyDescent="0.2">
      <c r="A1521" s="31" t="s">
        <v>3442</v>
      </c>
      <c r="B1521" s="27" t="s">
        <v>3443</v>
      </c>
      <c r="C1521" s="27"/>
      <c r="D1521" s="33" t="s">
        <v>14</v>
      </c>
      <c r="E1521" s="9"/>
      <c r="F1521" s="32"/>
      <c r="G1521" s="10">
        <v>363304</v>
      </c>
      <c r="H1521" s="30" t="str">
        <f ca="1">IFERROR(__xludf.DUMMYFUNCTION("LOWER(REGEXREPLACE(B1521&amp;"" ""&amp;C1521,""[^а-яa-z0-9 ]"","" ""))")," тол тумба купе      7 3 островной  1200 700 900 860  мм  ")</f>
        <v xml:space="preserve"> тол тумба купе      7 3 островной  1200 700 900 860  мм  </v>
      </c>
    </row>
    <row r="1522" spans="1:8" ht="25.5" x14ac:dyDescent="0.2">
      <c r="A1522" s="31" t="s">
        <v>3444</v>
      </c>
      <c r="B1522" s="27" t="s">
        <v>3445</v>
      </c>
      <c r="C1522" s="27"/>
      <c r="D1522" s="33" t="s">
        <v>14</v>
      </c>
      <c r="E1522" s="9"/>
      <c r="F1522" s="32"/>
      <c r="G1522" s="10">
        <v>370625</v>
      </c>
      <c r="H1522" s="30" t="str">
        <f ca="1">IFERROR(__xludf.DUMMYFUNCTION("LOWER(REGEXREPLACE(B1522&amp;"" ""&amp;C1522,""[^а-яa-z0-9 ]"","" ""))")," тол тумба купе      7 3 пристенный с бортом  1200 700 900 860  мм  ")</f>
        <v xml:space="preserve"> тол тумба купе      7 3 пристенный с бортом  1200 700 900 860  мм  </v>
      </c>
    </row>
    <row r="1523" spans="1:8" ht="25.5" x14ac:dyDescent="0.2">
      <c r="A1523" s="31" t="s">
        <v>3446</v>
      </c>
      <c r="B1523" s="27" t="s">
        <v>3447</v>
      </c>
      <c r="C1523" s="27"/>
      <c r="D1523" s="33" t="s">
        <v>14</v>
      </c>
      <c r="E1523" s="9"/>
      <c r="F1523" s="32"/>
      <c r="G1523" s="10">
        <v>441518</v>
      </c>
      <c r="H1523" s="30" t="str">
        <f ca="1">IFERROR(__xludf.DUMMYFUNCTION("LOWER(REGEXREPLACE(B1523&amp;"" ""&amp;C1523,""[^а-яa-z0-9 ]"","" ""))")," тол тумба купе       15 6     1500 600 850 870 мм  ")</f>
        <v xml:space="preserve"> тол тумба купе       15 6     1500 600 850 870 мм  </v>
      </c>
    </row>
    <row r="1524" spans="1:8" ht="25.5" x14ac:dyDescent="0.2">
      <c r="A1524" s="31" t="s">
        <v>3448</v>
      </c>
      <c r="B1524" s="27" t="s">
        <v>3449</v>
      </c>
      <c r="C1524" s="27"/>
      <c r="D1524" s="33" t="s">
        <v>14</v>
      </c>
      <c r="E1524" s="9"/>
      <c r="F1524" s="32"/>
      <c r="G1524" s="10">
        <v>461161</v>
      </c>
      <c r="H1524" s="30" t="str">
        <f ca="1">IFERROR(__xludf.DUMMYFUNCTION("LOWER(REGEXREPLACE(B1524&amp;"" ""&amp;C1524,""[^а-яa-z0-9 ]"","" ""))")," тол тумба купе       15 7     1500 700 850 870 мм  ")</f>
        <v xml:space="preserve"> тол тумба купе       15 7     1500 700 850 870 мм  </v>
      </c>
    </row>
    <row r="1525" spans="1:8" ht="12.75" x14ac:dyDescent="0.2">
      <c r="A1525" s="31" t="s">
        <v>3450</v>
      </c>
      <c r="B1525" s="27" t="s">
        <v>3451</v>
      </c>
      <c r="C1525" s="27"/>
      <c r="D1525" s="33" t="s">
        <v>14</v>
      </c>
      <c r="E1525" s="9"/>
      <c r="F1525" s="32"/>
      <c r="G1525" s="10">
        <v>404732</v>
      </c>
      <c r="H1525" s="30" t="str">
        <f ca="1">IFERROR(__xludf.DUMMYFUNCTION("LOWER(REGEXREPLACE(B1525&amp;"" ""&amp;C1525,""[^а-яa-z0-9 ]"","" ""))")," тол тумба купе     2  корпус нерж  ")</f>
        <v xml:space="preserve"> тол тумба купе     2  корпус нерж  </v>
      </c>
    </row>
    <row r="1526" spans="1:8" ht="12.75" x14ac:dyDescent="0.2">
      <c r="A1526" s="31" t="s">
        <v>3452</v>
      </c>
      <c r="B1526" s="27" t="s">
        <v>3453</v>
      </c>
      <c r="C1526" s="27"/>
      <c r="D1526" s="33" t="s">
        <v>14</v>
      </c>
      <c r="E1526" s="9"/>
      <c r="F1526" s="32"/>
      <c r="G1526" s="10"/>
      <c r="H1526" s="30" t="str">
        <f ca="1">IFERROR(__xludf.DUMMYFUNCTION("LOWER(REGEXREPLACE(B1526&amp;"" ""&amp;C1526,""[^а-яa-z0-9 ]"","" ""))")," тол мойка ")</f>
        <v xml:space="preserve"> тол мойка </v>
      </c>
    </row>
    <row r="1527" spans="1:8" ht="25.5" x14ac:dyDescent="0.2">
      <c r="A1527" s="31" t="s">
        <v>3454</v>
      </c>
      <c r="B1527" s="27" t="s">
        <v>3455</v>
      </c>
      <c r="C1527" s="27" t="s">
        <v>3456</v>
      </c>
      <c r="D1527" s="33" t="s">
        <v>14</v>
      </c>
      <c r="E1527" s="9"/>
      <c r="F1527" s="34">
        <v>30</v>
      </c>
      <c r="G1527" s="10">
        <v>343750</v>
      </c>
      <c r="H1527" s="30" t="str">
        <f ca="1">IFERROR(__xludf.DUMMYFUNCTION("LOWER(REGEXREPLACE(B1527&amp;"" ""&amp;C1527,""[^а-яa-z0-9 ]"","" ""))")," тол мойка со смесителем 500х500х850 мм  тол мойка производственный со смесителем   азмеры 500х500х850мм")</f>
        <v xml:space="preserve"> тол мойка со смесителем 500х500х850 мм  тол мойка производственный со смесителем   азмеры 500х500х850мм</v>
      </c>
    </row>
    <row r="1528" spans="1:8" ht="12.75" x14ac:dyDescent="0.2">
      <c r="A1528" s="31" t="s">
        <v>3457</v>
      </c>
      <c r="B1528" s="27" t="s">
        <v>3458</v>
      </c>
      <c r="C1528" s="27"/>
      <c r="D1528" s="33" t="s">
        <v>14</v>
      </c>
      <c r="E1528" s="9"/>
      <c r="F1528" s="32"/>
      <c r="G1528" s="10"/>
      <c r="H1528" s="30" t="str">
        <f ca="1">IFERROR(__xludf.DUMMYFUNCTION("LOWER(REGEXREPLACE(B1528&amp;"" ""&amp;C1528,""[^а-яa-z0-9 ]"","" ""))")," тол кухонный рабочий ")</f>
        <v xml:space="preserve"> тол кухонный рабочий </v>
      </c>
    </row>
    <row r="1529" spans="1:8" ht="25.5" x14ac:dyDescent="0.2">
      <c r="A1529" s="31" t="s">
        <v>3459</v>
      </c>
      <c r="B1529" s="8" t="s">
        <v>3460</v>
      </c>
      <c r="C1529" s="27"/>
      <c r="D1529" s="33" t="s">
        <v>14</v>
      </c>
      <c r="E1529" s="9"/>
      <c r="F1529" s="32"/>
      <c r="G1529" s="10">
        <v>28021</v>
      </c>
      <c r="H1529" s="30" t="str">
        <f ca="1">IFERROR(__xludf.DUMMYFUNCTION("LOWER(REGEXREPLACE(B1529&amp;"" ""&amp;C1529,""[^а-яa-z0-9 ]"","" ""))")," тол разделочный               6 6    600 600 мм  полка решетка ")</f>
        <v xml:space="preserve"> тол разделочный               6 6    600 600 мм  полка решетка </v>
      </c>
    </row>
    <row r="1530" spans="1:8" ht="38.25" x14ac:dyDescent="0.2">
      <c r="A1530" s="31" t="s">
        <v>3461</v>
      </c>
      <c r="B1530" s="8" t="s">
        <v>3462</v>
      </c>
      <c r="C1530" s="27"/>
      <c r="D1530" s="33" t="s">
        <v>14</v>
      </c>
      <c r="E1530" s="9"/>
      <c r="F1530" s="32"/>
      <c r="G1530" s="10">
        <v>30548</v>
      </c>
      <c r="H1530" s="30" t="str">
        <f ca="1">IFERROR(__xludf.DUMMYFUNCTION("LOWER(REGEXREPLACE(B1530&amp;"" ""&amp;C1530,""[^а-яa-z0-9 ]"","" ""))")," тол разделочный           с бортом    б 6 6     600 600 915 935  мм  полка решетка ")</f>
        <v xml:space="preserve"> тол разделочный           с бортом    б 6 6     600 600 915 935  мм  полка решетка </v>
      </c>
    </row>
    <row r="1531" spans="1:8" ht="38.25" x14ac:dyDescent="0.2">
      <c r="A1531" s="31" t="s">
        <v>3463</v>
      </c>
      <c r="B1531" s="8" t="s">
        <v>3464</v>
      </c>
      <c r="C1531" s="27"/>
      <c r="D1531" s="33" t="s">
        <v>14</v>
      </c>
      <c r="E1531" s="9"/>
      <c r="F1531" s="32"/>
      <c r="G1531" s="10">
        <v>32214</v>
      </c>
      <c r="H1531" s="30" t="str">
        <f ca="1">IFERROR(__xludf.DUMMYFUNCTION("LOWER(REGEXREPLACE(B1531&amp;"" ""&amp;C1531,""[^а-яa-z0-9 ]"","" ""))")," тол разделочный             с бортом    б 6 6    600 600 915 935  мм  полка решетка ")</f>
        <v xml:space="preserve"> тол разделочный             с бортом    б 6 6    600 600 915 935  мм  полка решетка </v>
      </c>
    </row>
    <row r="1532" spans="1:8" ht="25.5" x14ac:dyDescent="0.2">
      <c r="A1532" s="31" t="s">
        <v>3465</v>
      </c>
      <c r="B1532" s="8" t="s">
        <v>3466</v>
      </c>
      <c r="C1532" s="27"/>
      <c r="D1532" s="33" t="s">
        <v>14</v>
      </c>
      <c r="E1532" s="9"/>
      <c r="F1532" s="32"/>
      <c r="G1532" s="10">
        <v>31966</v>
      </c>
      <c r="H1532" s="30" t="str">
        <f ca="1">IFERROR(__xludf.DUMMYFUNCTION("LOWER(REGEXREPLACE(B1532&amp;"" ""&amp;C1532,""[^а-яa-z0-9 ]"","" ""))")," тол разделочный               8 6    800 600 мм  полка решетка ")</f>
        <v xml:space="preserve"> тол разделочный               8 6    800 600 мм  полка решетка </v>
      </c>
    </row>
    <row r="1533" spans="1:8" ht="25.5" x14ac:dyDescent="0.2">
      <c r="A1533" s="31" t="s">
        <v>3467</v>
      </c>
      <c r="B1533" s="27" t="s">
        <v>3468</v>
      </c>
      <c r="C1533" s="27"/>
      <c r="D1533" s="33" t="s">
        <v>14</v>
      </c>
      <c r="E1533" s="9"/>
      <c r="F1533" s="32"/>
      <c r="G1533" s="10">
        <v>33604</v>
      </c>
      <c r="H1533" s="30" t="str">
        <f ca="1">IFERROR(__xludf.DUMMYFUNCTION("LOWER(REGEXREPLACE(B1533&amp;"" ""&amp;C1533,""[^а-яa-z0-9 ]"","" ""))")," тол разделочный           с бортом    б 8 6    800 600 мм  полка решетка ")</f>
        <v xml:space="preserve"> тол разделочный           с бортом    б 8 6    800 600 мм  полка решетка </v>
      </c>
    </row>
    <row r="1534" spans="1:8" ht="25.5" x14ac:dyDescent="0.2">
      <c r="A1534" s="31" t="s">
        <v>3469</v>
      </c>
      <c r="B1534" s="8" t="s">
        <v>3470</v>
      </c>
      <c r="C1534" s="27"/>
      <c r="D1534" s="33" t="s">
        <v>14</v>
      </c>
      <c r="E1534" s="9"/>
      <c r="F1534" s="32"/>
      <c r="G1534" s="10">
        <v>36927</v>
      </c>
      <c r="H1534" s="30" t="str">
        <f ca="1">IFERROR(__xludf.DUMMYFUNCTION("LOWER(REGEXREPLACE(B1534&amp;"" ""&amp;C1534,""[^а-яa-z0-9 ]"","" ""))")," тол разделочный               10 6    1000 600 мм  полка решетка ")</f>
        <v xml:space="preserve"> тол разделочный               10 6    1000 600 мм  полка решетка </v>
      </c>
    </row>
    <row r="1535" spans="1:8" ht="25.5" x14ac:dyDescent="0.2">
      <c r="A1535" s="31" t="s">
        <v>3471</v>
      </c>
      <c r="B1535" s="27" t="s">
        <v>3472</v>
      </c>
      <c r="C1535" s="27"/>
      <c r="D1535" s="33" t="s">
        <v>14</v>
      </c>
      <c r="E1535" s="9"/>
      <c r="F1535" s="32"/>
      <c r="G1535" s="10">
        <v>39190</v>
      </c>
      <c r="H1535" s="30" t="str">
        <f ca="1">IFERROR(__xludf.DUMMYFUNCTION("LOWER(REGEXREPLACE(B1535&amp;"" ""&amp;C1535,""[^а-яa-z0-9 ]"","" ""))")," тол разделочный           с бортом    б 10 6    1000 600 мм  полка решетка ")</f>
        <v xml:space="preserve"> тол разделочный           с бортом    б 10 6    1000 600 мм  полка решетка </v>
      </c>
    </row>
    <row r="1536" spans="1:8" ht="38.25" x14ac:dyDescent="0.2">
      <c r="A1536" s="31" t="s">
        <v>3473</v>
      </c>
      <c r="B1536" s="8" t="s">
        <v>3474</v>
      </c>
      <c r="C1536" s="27"/>
      <c r="D1536" s="33" t="s">
        <v>14</v>
      </c>
      <c r="E1536" s="9"/>
      <c r="F1536" s="32"/>
      <c r="G1536" s="10">
        <v>42939</v>
      </c>
      <c r="H1536" s="30" t="str">
        <f ca="1">IFERROR(__xludf.DUMMYFUNCTION("LOWER(REGEXREPLACE(B1536&amp;"" ""&amp;C1536,""[^а-яa-z0-9 ]"","" ""))")," тол разделочный             с бортом    б 10 6     1000 600 915 935  мм  полка решетка ")</f>
        <v xml:space="preserve"> тол разделочный             с бортом    б 10 6     1000 600 915 935  мм  полка решетка </v>
      </c>
    </row>
    <row r="1537" spans="1:8" ht="38.25" x14ac:dyDescent="0.2">
      <c r="A1537" s="31" t="s">
        <v>3475</v>
      </c>
      <c r="B1537" s="8" t="s">
        <v>3476</v>
      </c>
      <c r="C1537" s="27"/>
      <c r="D1537" s="33" t="s">
        <v>14</v>
      </c>
      <c r="E1537" s="9"/>
      <c r="F1537" s="32"/>
      <c r="G1537" s="10">
        <v>41535</v>
      </c>
      <c r="H1537" s="30" t="str">
        <f ca="1">IFERROR(__xludf.DUMMYFUNCTION("LOWER(REGEXREPLACE(B1537&amp;"" ""&amp;C1537,""[^а-яa-z0-9 ]"","" ""))")," тол разделочный               12 6    1200 600 870 890  мм  полка решетка ")</f>
        <v xml:space="preserve"> тол разделочный               12 6    1200 600 870 890  мм  полка решетка </v>
      </c>
    </row>
    <row r="1538" spans="1:8" ht="38.25" x14ac:dyDescent="0.2">
      <c r="A1538" s="31" t="s">
        <v>3477</v>
      </c>
      <c r="B1538" s="8" t="s">
        <v>3478</v>
      </c>
      <c r="C1538" s="27"/>
      <c r="D1538" s="33" t="s">
        <v>14</v>
      </c>
      <c r="E1538" s="9"/>
      <c r="F1538" s="32"/>
      <c r="G1538" s="10">
        <v>44218</v>
      </c>
      <c r="H1538" s="30" t="str">
        <f ca="1">IFERROR(__xludf.DUMMYFUNCTION("LOWER(REGEXREPLACE(B1538&amp;"" ""&amp;C1538,""[^а-яa-z0-9 ]"","" ""))")," тол разделочный           с бортом    б 12 6    1200 600 915 935  мм  полка решетка ")</f>
        <v xml:space="preserve"> тол разделочный           с бортом    б 12 6    1200 600 915 935  мм  полка решетка </v>
      </c>
    </row>
    <row r="1539" spans="1:8" ht="38.25" x14ac:dyDescent="0.2">
      <c r="A1539" s="31" t="s">
        <v>3479</v>
      </c>
      <c r="B1539" s="8" t="s">
        <v>3480</v>
      </c>
      <c r="C1539" s="27"/>
      <c r="D1539" s="33" t="s">
        <v>14</v>
      </c>
      <c r="E1539" s="9"/>
      <c r="F1539" s="32"/>
      <c r="G1539" s="10">
        <v>46500</v>
      </c>
      <c r="H1539" s="30" t="str">
        <f ca="1">IFERROR(__xludf.DUMMYFUNCTION("LOWER(REGEXREPLACE(B1539&amp;"" ""&amp;C1539,""[^а-яa-z0-9 ]"","" ""))")," тол разделочный                 12 6    1200 600 870 890  мм  полка решетка ")</f>
        <v xml:space="preserve"> тол разделочный                 12 6    1200 600 870 890  мм  полка решетка </v>
      </c>
    </row>
    <row r="1540" spans="1:8" ht="38.25" x14ac:dyDescent="0.2">
      <c r="A1540" s="31" t="s">
        <v>3481</v>
      </c>
      <c r="B1540" s="8" t="s">
        <v>3482</v>
      </c>
      <c r="C1540" s="27"/>
      <c r="D1540" s="33" t="s">
        <v>14</v>
      </c>
      <c r="E1540" s="9"/>
      <c r="F1540" s="32"/>
      <c r="G1540" s="10">
        <v>47364</v>
      </c>
      <c r="H1540" s="30" t="str">
        <f ca="1">IFERROR(__xludf.DUMMYFUNCTION("LOWER(REGEXREPLACE(B1540&amp;"" ""&amp;C1540,""[^а-яa-z0-9 ]"","" ""))")," тол разделочный             с бортом    б 12 6    1200 600 915 935  мм  полка решетка ")</f>
        <v xml:space="preserve"> тол разделочный             с бортом    б 12 6    1200 600 915 935  мм  полка решетка </v>
      </c>
    </row>
    <row r="1541" spans="1:8" ht="38.25" x14ac:dyDescent="0.2">
      <c r="A1541" s="31" t="s">
        <v>3483</v>
      </c>
      <c r="B1541" s="8" t="s">
        <v>3484</v>
      </c>
      <c r="C1541" s="27"/>
      <c r="D1541" s="33" t="s">
        <v>14</v>
      </c>
      <c r="E1541" s="9"/>
      <c r="F1541" s="32"/>
      <c r="G1541" s="10">
        <v>45239</v>
      </c>
      <c r="H1541" s="30" t="str">
        <f ca="1">IFERROR(__xludf.DUMMYFUNCTION("LOWER(REGEXREPLACE(B1541&amp;"" ""&amp;C1541,""[^а-яa-z0-9 ]"","" ""))")," тол разделочный               15 6    1500 600 870 890  мм  полка решетка ")</f>
        <v xml:space="preserve"> тол разделочный               15 6    1500 600 870 890  мм  полка решетка </v>
      </c>
    </row>
    <row r="1542" spans="1:8" ht="38.25" x14ac:dyDescent="0.2">
      <c r="A1542" s="31" t="s">
        <v>3485</v>
      </c>
      <c r="B1542" s="8" t="s">
        <v>3486</v>
      </c>
      <c r="C1542" s="27"/>
      <c r="D1542" s="33" t="s">
        <v>14</v>
      </c>
      <c r="E1542" s="9"/>
      <c r="F1542" s="32"/>
      <c r="G1542" s="10">
        <v>48090</v>
      </c>
      <c r="H1542" s="30" t="str">
        <f ca="1">IFERROR(__xludf.DUMMYFUNCTION("LOWER(REGEXREPLACE(B1542&amp;"" ""&amp;C1542,""[^а-яa-z0-9 ]"","" ""))")," тол разделочный           с бортом    б 15 6    1500 600 915 935  мм  полка решетка ")</f>
        <v xml:space="preserve"> тол разделочный           с бортом    б 15 6    1500 600 915 935  мм  полка решетка </v>
      </c>
    </row>
    <row r="1543" spans="1:8" ht="25.5" x14ac:dyDescent="0.2">
      <c r="A1543" s="31" t="s">
        <v>3487</v>
      </c>
      <c r="B1543" s="8" t="s">
        <v>3488</v>
      </c>
      <c r="C1543" s="27"/>
      <c r="D1543" s="33" t="s">
        <v>14</v>
      </c>
      <c r="E1543" s="9"/>
      <c r="F1543" s="32"/>
      <c r="G1543" s="10">
        <v>48782</v>
      </c>
      <c r="H1543" s="30" t="str">
        <f ca="1">IFERROR(__xludf.DUMMYFUNCTION("LOWER(REGEXREPLACE(B1543&amp;"" ""&amp;C1543,""[^а-яa-z0-9 ]"","" ""))")," тол разделочный               12 7    1200 700 мм  полка решетка ")</f>
        <v xml:space="preserve"> тол разделочный               12 7    1200 700 мм  полка решетка </v>
      </c>
    </row>
    <row r="1544" spans="1:8" ht="25.5" x14ac:dyDescent="0.2">
      <c r="A1544" s="31" t="s">
        <v>3489</v>
      </c>
      <c r="B1544" s="27" t="s">
        <v>3490</v>
      </c>
      <c r="C1544" s="27"/>
      <c r="D1544" s="33" t="s">
        <v>14</v>
      </c>
      <c r="E1544" s="9"/>
      <c r="F1544" s="32"/>
      <c r="G1544" s="10">
        <v>51452</v>
      </c>
      <c r="H1544" s="30" t="str">
        <f ca="1">IFERROR(__xludf.DUMMYFUNCTION("LOWER(REGEXREPLACE(B1544&amp;"" ""&amp;C1544,""[^а-яa-z0-9 ]"","" ""))")," тол разделочный           с бортом    б 12 7    1200 700 мм  полка решетка ")</f>
        <v xml:space="preserve"> тол разделочный           с бортом    б 12 7    1200 700 мм  полка решетка </v>
      </c>
    </row>
    <row r="1545" spans="1:8" ht="38.25" x14ac:dyDescent="0.2">
      <c r="A1545" s="31" t="s">
        <v>3491</v>
      </c>
      <c r="B1545" s="8" t="s">
        <v>3492</v>
      </c>
      <c r="C1545" s="27"/>
      <c r="D1545" s="33" t="s">
        <v>14</v>
      </c>
      <c r="E1545" s="9"/>
      <c r="F1545" s="32"/>
      <c r="G1545" s="10">
        <v>51055</v>
      </c>
      <c r="H1545" s="30" t="str">
        <f ca="1">IFERROR(__xludf.DUMMYFUNCTION("LOWER(REGEXREPLACE(B1545&amp;"" ""&amp;C1545,""[^а-яa-z0-9 ]"","" ""))")," тол разделочный               18 6    1800 600 870 890  мм  полка решетка ")</f>
        <v xml:space="preserve"> тол разделочный               18 6    1800 600 870 890  мм  полка решетка </v>
      </c>
    </row>
    <row r="1546" spans="1:8" ht="38.25" x14ac:dyDescent="0.2">
      <c r="A1546" s="31" t="s">
        <v>3493</v>
      </c>
      <c r="B1546" s="8" t="s">
        <v>3494</v>
      </c>
      <c r="C1546" s="27"/>
      <c r="D1546" s="33" t="s">
        <v>14</v>
      </c>
      <c r="E1546" s="9"/>
      <c r="F1546" s="32"/>
      <c r="G1546" s="10">
        <v>54345</v>
      </c>
      <c r="H1546" s="30" t="str">
        <f ca="1">IFERROR(__xludf.DUMMYFUNCTION("LOWER(REGEXREPLACE(B1546&amp;"" ""&amp;C1546,""[^а-яa-z0-9 ]"","" ""))")," тол разделочный           с бортом    б 18 6    1800 600 915 935  мм  полка решетка ")</f>
        <v xml:space="preserve"> тол разделочный           с бортом    б 18 6    1800 600 915 935  мм  полка решетка </v>
      </c>
    </row>
    <row r="1547" spans="1:8" ht="38.25" x14ac:dyDescent="0.2">
      <c r="A1547" s="31" t="s">
        <v>3495</v>
      </c>
      <c r="B1547" s="8" t="s">
        <v>3496</v>
      </c>
      <c r="C1547" s="27"/>
      <c r="D1547" s="33" t="s">
        <v>14</v>
      </c>
      <c r="E1547" s="9"/>
      <c r="F1547" s="32"/>
      <c r="G1547" s="10">
        <v>61020</v>
      </c>
      <c r="H1547" s="30" t="str">
        <f ca="1">IFERROR(__xludf.DUMMYFUNCTION("LOWER(REGEXREPLACE(B1547&amp;"" ""&amp;C1547,""[^а-яa-z0-9 ]"","" ""))")," тол разделочный               18 7    1800 700 870 890  мм  полка решетка ")</f>
        <v xml:space="preserve"> тол разделочный               18 7    1800 700 870 890  мм  полка решетка </v>
      </c>
    </row>
    <row r="1548" spans="1:8" ht="38.25" x14ac:dyDescent="0.2">
      <c r="A1548" s="31" t="s">
        <v>3497</v>
      </c>
      <c r="B1548" s="8" t="s">
        <v>3498</v>
      </c>
      <c r="C1548" s="27"/>
      <c r="D1548" s="33" t="s">
        <v>14</v>
      </c>
      <c r="E1548" s="9"/>
      <c r="F1548" s="32"/>
      <c r="G1548" s="10">
        <v>65527</v>
      </c>
      <c r="H1548" s="30" t="str">
        <f ca="1">IFERROR(__xludf.DUMMYFUNCTION("LOWER(REGEXREPLACE(B1548&amp;"" ""&amp;C1548,""[^а-яa-z0-9 ]"","" ""))")," тол разделочный           с бортом    б 15 7    1500 700 915 935  мм  полка решетка ")</f>
        <v xml:space="preserve"> тол разделочный           с бортом    б 15 7    1500 700 915 935  мм  полка решетка </v>
      </c>
    </row>
    <row r="1549" spans="1:8" ht="12.75" x14ac:dyDescent="0.2">
      <c r="A1549" s="31" t="s">
        <v>3499</v>
      </c>
      <c r="B1549" s="27" t="s">
        <v>3500</v>
      </c>
      <c r="C1549" s="27"/>
      <c r="D1549" s="33" t="s">
        <v>14</v>
      </c>
      <c r="E1549" s="9"/>
      <c r="F1549" s="32"/>
      <c r="G1549" s="10"/>
      <c r="H1549" s="30" t="str">
        <f ca="1">IFERROR(__xludf.DUMMYFUNCTION("LOWER(REGEXREPLACE(B1549&amp;"" ""&amp;C1549,""[^а-яa-z0-9 ]"","" ""))")," абурет ")</f>
        <v xml:space="preserve"> абурет </v>
      </c>
    </row>
    <row r="1550" spans="1:8" ht="25.5" x14ac:dyDescent="0.2">
      <c r="A1550" s="31" t="s">
        <v>3501</v>
      </c>
      <c r="B1550" s="27" t="s">
        <v>3502</v>
      </c>
      <c r="C1550" s="27" t="s">
        <v>3502</v>
      </c>
      <c r="D1550" s="33" t="s">
        <v>14</v>
      </c>
      <c r="E1550" s="34">
        <v>2</v>
      </c>
      <c r="F1550" s="34">
        <v>1</v>
      </c>
      <c r="G1550" s="10">
        <v>7195</v>
      </c>
      <c r="H1550" s="30" t="str">
        <f ca="1">IFERROR(__xludf.DUMMYFUNCTION("LOWER(REGEXREPLACE(B1550&amp;"" ""&amp;C1550,""[^а-яa-z0-9 ]"","" ""))")," абурет   снование металлокаркас  сиденье из      16мм  размеры 300х300х420мм  абурет   снование металлокаркас  сиденье из      16мм  размеры 300х300х420мм")</f>
        <v xml:space="preserve"> абурет   снование металлокаркас  сиденье из      16мм  размеры 300х300х420мм  абурет   снование металлокаркас  сиденье из      16мм  размеры 300х300х420мм</v>
      </c>
    </row>
    <row r="1551" spans="1:8" ht="63.75" x14ac:dyDescent="0.2">
      <c r="A1551" s="31" t="s">
        <v>3503</v>
      </c>
      <c r="B1551" s="27" t="s">
        <v>3504</v>
      </c>
      <c r="C1551" s="27" t="s">
        <v>3505</v>
      </c>
      <c r="D1551" s="33" t="s">
        <v>14</v>
      </c>
      <c r="E1551" s="34">
        <v>2</v>
      </c>
      <c r="F1551" s="34">
        <v>5</v>
      </c>
      <c r="G1551" s="10">
        <v>15176</v>
      </c>
      <c r="H1551" s="30" t="str">
        <f ca="1">IFERROR(__xludf.DUMMYFUNCTION("LOWER(REGEXREPLACE(B1551&amp;"" ""&amp;C1551,""[^а-яa-z0-9 ]"","" ""))")," абурет  каркас из квадратной профильной трубы  сиденье из      16 мм  размеры 350х350х450 мм  аркас выполнен из квадратной профильной трубы 25х25 мм толщиной не менее 1 2 мм  окрашенной полимерной краской  сидушка 350х350 мм       16 мм  кромка 2 мм  зак"&amp;"реплена к металлическому каркасу при помощи самореза 4х16 мм  в основании опор пластиковая заглушка для избежания порчи полового покрытия ")</f>
        <v xml:space="preserve"> абурет  каркас из квадратной профильной трубы  сиденье из      16 мм  размеры 350х350х450 мм  аркас выполнен из квадратной профильной трубы 25х25 мм толщиной не менее 1 2 мм  окрашенной полимерной краской  сидушка 350х350 мм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 </v>
      </c>
    </row>
    <row r="1552" spans="1:8" ht="12.75" x14ac:dyDescent="0.2">
      <c r="A1552" s="31" t="s">
        <v>3506</v>
      </c>
      <c r="B1552" s="27" t="s">
        <v>3507</v>
      </c>
      <c r="C1552" s="27"/>
      <c r="D1552" s="33" t="s">
        <v>14</v>
      </c>
      <c r="E1552" s="9"/>
      <c r="F1552" s="32"/>
      <c r="G1552" s="10">
        <v>7446</v>
      </c>
      <c r="H1552" s="30" t="str">
        <f ca="1">IFERROR(__xludf.DUMMYFUNCTION("LOWER(REGEXREPLACE(B1552&amp;"" ""&amp;C1552,""[^а-яa-z0-9 ]"","" ""))")," есы бытовые настольные ")</f>
        <v xml:space="preserve"> есы бытовые настольные </v>
      </c>
    </row>
    <row r="1553" spans="1:8" ht="12.75" x14ac:dyDescent="0.2">
      <c r="A1553" s="31" t="s">
        <v>3508</v>
      </c>
      <c r="B1553" s="27" t="s">
        <v>3509</v>
      </c>
      <c r="C1553" s="27"/>
      <c r="D1553" s="33" t="s">
        <v>14</v>
      </c>
      <c r="E1553" s="9"/>
      <c r="F1553" s="32"/>
      <c r="G1553" s="10"/>
      <c r="H1553" s="30" t="str">
        <f ca="1">IFERROR(__xludf.DUMMYFUNCTION("LOWER(REGEXREPLACE(B1553&amp;"" ""&amp;C1553,""[^а-яa-z0-9 ]"","" ""))")," офеварка ")</f>
        <v xml:space="preserve"> офеварка </v>
      </c>
    </row>
    <row r="1554" spans="1:8" ht="25.5" x14ac:dyDescent="0.2">
      <c r="A1554" s="31" t="s">
        <v>3510</v>
      </c>
      <c r="B1554" s="8" t="s">
        <v>3511</v>
      </c>
      <c r="C1554" s="27"/>
      <c r="D1554" s="33" t="s">
        <v>14</v>
      </c>
      <c r="E1554" s="9"/>
      <c r="F1554" s="32"/>
      <c r="G1554" s="10">
        <v>135446</v>
      </c>
      <c r="H1554" s="30" t="str">
        <f ca="1">IFERROR(__xludf.DUMMYFUNCTION("LOWER(REGEXREPLACE(B1554&amp;"" ""&amp;C1554,""[^а-яa-z0-9 ]"","" ""))")," офеварка электрическая  1     кофе на песке   305 280 190 мм  ")</f>
        <v xml:space="preserve"> офеварка электрическая  1     кофе на песке   305 280 190 мм  </v>
      </c>
    </row>
    <row r="1555" spans="1:8" ht="25.5" x14ac:dyDescent="0.2">
      <c r="A1555" s="31" t="s">
        <v>3512</v>
      </c>
      <c r="B1555" s="8" t="s">
        <v>3513</v>
      </c>
      <c r="C1555" s="27"/>
      <c r="D1555" s="33" t="s">
        <v>14</v>
      </c>
      <c r="E1555" s="9"/>
      <c r="F1555" s="32"/>
      <c r="G1555" s="10">
        <v>235357</v>
      </c>
      <c r="H1555" s="30" t="str">
        <f ca="1">IFERROR(__xludf.DUMMYFUNCTION("LOWER(REGEXREPLACE(B1555&amp;"" ""&amp;C1555,""[^а-яa-z0-9 ]"","" ""))")," офеварка               709  415 315 355 мм  ")</f>
        <v xml:space="preserve"> офеварка               709  415 315 355 мм  </v>
      </c>
    </row>
    <row r="1556" spans="1:8" ht="12.75" x14ac:dyDescent="0.2">
      <c r="A1556" s="31" t="s">
        <v>3514</v>
      </c>
      <c r="B1556" s="27" t="s">
        <v>3515</v>
      </c>
      <c r="C1556" s="27"/>
      <c r="D1556" s="33" t="s">
        <v>14</v>
      </c>
      <c r="E1556" s="9"/>
      <c r="F1556" s="32"/>
      <c r="G1556" s="10"/>
      <c r="H1556" s="30" t="str">
        <f ca="1">IFERROR(__xludf.DUMMYFUNCTION("LOWER(REGEXREPLACE(B1556&amp;"" ""&amp;C1556,""[^а-яa-z0-9 ]"","" ""))")," офемолка ")</f>
        <v xml:space="preserve"> офемолка </v>
      </c>
    </row>
    <row r="1557" spans="1:8" ht="12.75" x14ac:dyDescent="0.2">
      <c r="A1557" s="31" t="s">
        <v>3516</v>
      </c>
      <c r="B1557" s="27" t="s">
        <v>3517</v>
      </c>
      <c r="C1557" s="27"/>
      <c r="D1557" s="33" t="s">
        <v>14</v>
      </c>
      <c r="E1557" s="9"/>
      <c r="F1557" s="32"/>
      <c r="G1557" s="10">
        <v>48393</v>
      </c>
      <c r="H1557" s="30" t="str">
        <f ca="1">IFERROR(__xludf.DUMMYFUNCTION("LOWER(REGEXREPLACE(B1557&amp;"" ""&amp;C1557,""[^а-яa-z0-9 ]"","" ""))")," офемолка            3000  220 120 360 мм  ")</f>
        <v xml:space="preserve"> офемолка            3000  220 120 360 мм  </v>
      </c>
    </row>
    <row r="1558" spans="1:8" ht="12.75" x14ac:dyDescent="0.2">
      <c r="A1558" s="31" t="s">
        <v>3518</v>
      </c>
      <c r="B1558" s="27" t="s">
        <v>3519</v>
      </c>
      <c r="C1558" s="27"/>
      <c r="D1558" s="33" t="s">
        <v>14</v>
      </c>
      <c r="E1558" s="9"/>
      <c r="F1558" s="32"/>
      <c r="G1558" s="10">
        <v>91607</v>
      </c>
      <c r="H1558" s="30" t="str">
        <f ca="1">IFERROR(__xludf.DUMMYFUNCTION("LOWER(REGEXREPLACE(B1558&amp;"" ""&amp;C1558,""[^а-яa-z0-9 ]"","" ""))")," офемолка            1800  230 140 430 мм  ")</f>
        <v xml:space="preserve"> офемолка            1800  230 140 430 мм  </v>
      </c>
    </row>
    <row r="1559" spans="1:8" ht="25.5" x14ac:dyDescent="0.2">
      <c r="A1559" s="31" t="s">
        <v>3520</v>
      </c>
      <c r="B1559" s="27" t="s">
        <v>3521</v>
      </c>
      <c r="C1559" s="27"/>
      <c r="D1559" s="33" t="s">
        <v>14</v>
      </c>
      <c r="E1559" s="9"/>
      <c r="F1559" s="32"/>
      <c r="G1559" s="10">
        <v>249018</v>
      </c>
      <c r="H1559" s="30" t="str">
        <f ca="1">IFERROR(__xludf.DUMMYFUNCTION("LOWER(REGEXREPLACE(B1559&amp;"" ""&amp;C1559,""[^а-яa-z0-9 ]"","" ""))")," офемолка  acap   6  черная серебро  230x370x600 мм  ")</f>
        <v xml:space="preserve"> офемолка  acap   6  черная серебро  230x370x600 мм  </v>
      </c>
    </row>
    <row r="1560" spans="1:8" ht="25.5" x14ac:dyDescent="0.2">
      <c r="A1560" s="31" t="s">
        <v>3522</v>
      </c>
      <c r="B1560" s="27" t="s">
        <v>3523</v>
      </c>
      <c r="C1560" s="27"/>
      <c r="D1560" s="33" t="s">
        <v>14</v>
      </c>
      <c r="E1560" s="9"/>
      <c r="F1560" s="32"/>
      <c r="G1560" s="10">
        <v>276607</v>
      </c>
      <c r="H1560" s="30" t="str">
        <f ca="1">IFERROR(__xludf.DUMMYFUNCTION("LOWER(REGEXREPLACE(B1560&amp;"" ""&amp;C1560,""[^а-яa-z0-9 ]"","" ""))")," офемолка  acap     черная серебро  230x370x600 мм  ")</f>
        <v xml:space="preserve"> офемолка  acap     черная серебро  230x370x600 мм  </v>
      </c>
    </row>
    <row r="1561" spans="1:8" ht="12.75" x14ac:dyDescent="0.2">
      <c r="A1561" s="31" t="s">
        <v>3524</v>
      </c>
      <c r="B1561" s="27" t="s">
        <v>3525</v>
      </c>
      <c r="C1561" s="27"/>
      <c r="D1561" s="33" t="s">
        <v>14</v>
      </c>
      <c r="E1561" s="9"/>
      <c r="F1561" s="32"/>
      <c r="G1561" s="10">
        <v>281607</v>
      </c>
      <c r="H1561" s="30" t="str">
        <f ca="1">IFERROR(__xludf.DUMMYFUNCTION("LOWER(REGEXREPLACE(B1561&amp;"" ""&amp;C1561,""[^а-яa-z0-9 ]"","" ""))")," офемолка  irman     230 360 700 мм  ")</f>
        <v xml:space="preserve"> офемолка  irman     230 360 700 мм  </v>
      </c>
    </row>
    <row r="1562" spans="1:8" ht="25.5" x14ac:dyDescent="0.2">
      <c r="A1562" s="31" t="s">
        <v>3526</v>
      </c>
      <c r="B1562" s="27" t="s">
        <v>3527</v>
      </c>
      <c r="C1562" s="27"/>
      <c r="D1562" s="33" t="s">
        <v>14</v>
      </c>
      <c r="E1562" s="9"/>
      <c r="F1562" s="32"/>
      <c r="G1562" s="10">
        <v>455357</v>
      </c>
      <c r="H1562" s="30" t="str">
        <f ca="1">IFERROR(__xludf.DUMMYFUNCTION("LOWER(REGEXREPLACE(B1562&amp;"" ""&amp;C1562,""[^а-яa-z0-9 ]"","" ""))")," офемолка дозатор  uova  imonelli     on        190 360 590 мм  ")</f>
        <v xml:space="preserve"> офемолка дозатор  uova  imonelli     on        190 360 590 мм  </v>
      </c>
    </row>
    <row r="1563" spans="1:8" ht="25.5" x14ac:dyDescent="0.2">
      <c r="A1563" s="31" t="s">
        <v>3528</v>
      </c>
      <c r="B1563" s="27" t="s">
        <v>3529</v>
      </c>
      <c r="C1563" s="27"/>
      <c r="D1563" s="33" t="s">
        <v>14</v>
      </c>
      <c r="E1563" s="9"/>
      <c r="F1563" s="32"/>
      <c r="G1563" s="10">
        <v>785893</v>
      </c>
      <c r="H1563" s="30" t="str">
        <f ca="1">IFERROR(__xludf.DUMMYFUNCTION("LOWER(REGEXREPLACE(B1563&amp;"" ""&amp;C1563,""[^а-яa-z0-9 ]"","" ""))")," офемолка  iorenzato  64   черная  230 270 615 мм  ")</f>
        <v xml:space="preserve"> офемолка  iorenzato  64   черная  230 270 615 мм  </v>
      </c>
    </row>
    <row r="1564" spans="1:8" ht="25.5" x14ac:dyDescent="0.2">
      <c r="A1564" s="31" t="s">
        <v>3530</v>
      </c>
      <c r="B1564" s="27" t="s">
        <v>3531</v>
      </c>
      <c r="C1564" s="27"/>
      <c r="D1564" s="33" t="s">
        <v>14</v>
      </c>
      <c r="E1564" s="9"/>
      <c r="F1564" s="32"/>
      <c r="G1564" s="10">
        <v>553571</v>
      </c>
      <c r="H1564" s="30" t="str">
        <f ca="1">IFERROR(__xludf.DUMMYFUNCTION("LOWER(REGEXREPLACE(B1564&amp;"" ""&amp;C1564,""[^а-яa-z0-9 ]"","" ""))")," офемолка дозатор  uova  imonelli      on         212 290 585 мм  ")</f>
        <v xml:space="preserve"> офемолка дозатор  uova  imonelli      on         212 290 585 мм  </v>
      </c>
    </row>
    <row r="1565" spans="1:8" ht="12.75" x14ac:dyDescent="0.2">
      <c r="A1565" s="31" t="s">
        <v>3532</v>
      </c>
      <c r="B1565" s="27" t="s">
        <v>3533</v>
      </c>
      <c r="C1565" s="27"/>
      <c r="D1565" s="33" t="s">
        <v>14</v>
      </c>
      <c r="E1565" s="9"/>
      <c r="F1565" s="32"/>
      <c r="G1565" s="10"/>
      <c r="H1565" s="30" t="str">
        <f ca="1">IFERROR(__xludf.DUMMYFUNCTION("LOWER(REGEXREPLACE(B1565&amp;"" ""&amp;C1565,""[^а-яa-z0-9 ]"","" ""))")," икроволновая печь ")</f>
        <v xml:space="preserve"> икроволновая печь </v>
      </c>
    </row>
    <row r="1566" spans="1:8" ht="25.5" x14ac:dyDescent="0.2">
      <c r="A1566" s="31" t="s">
        <v>3534</v>
      </c>
      <c r="B1566" s="27" t="s">
        <v>3533</v>
      </c>
      <c r="C1566" s="27" t="s">
        <v>3535</v>
      </c>
      <c r="D1566" s="33" t="s">
        <v>14</v>
      </c>
      <c r="E1566" s="34">
        <v>2</v>
      </c>
      <c r="F1566" s="34">
        <v>12</v>
      </c>
      <c r="G1566" s="10">
        <v>31522</v>
      </c>
      <c r="H1566" s="30" t="str">
        <f ca="1">IFERROR(__xludf.DUMMYFUNCTION("LOWER(REGEXREPLACE(B1566&amp;"" ""&amp;C1566,""[^а-яa-z0-9 ]"","" ""))")," икроволновая печь  икроволновая печь   ощность 700 т  внутренний объем не менее 20л  тип управления механическое")</f>
        <v xml:space="preserve"> икроволновая печь  икроволновая печь   ощность 700 т  внутренний объем не менее 20л  тип управления механическое</v>
      </c>
    </row>
    <row r="1567" spans="1:8" ht="38.25" x14ac:dyDescent="0.2">
      <c r="A1567" s="31" t="s">
        <v>3536</v>
      </c>
      <c r="B1567" s="27" t="s">
        <v>3537</v>
      </c>
      <c r="C1567" s="27" t="s">
        <v>3538</v>
      </c>
      <c r="D1567" s="33" t="s">
        <v>14</v>
      </c>
      <c r="E1567" s="34">
        <v>2</v>
      </c>
      <c r="F1567" s="35">
        <v>1.2</v>
      </c>
      <c r="G1567" s="10">
        <v>13287</v>
      </c>
      <c r="H1567" s="30" t="str">
        <f ca="1">IFERROR(__xludf.DUMMYFUNCTION("LOWER(REGEXREPLACE(B1567&amp;"" ""&amp;C1567,""[^а-яa-z0-9 ]"","" ""))")," айник электрический  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 ")</f>
        <v xml:space="preserve"> айник электрический  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 </v>
      </c>
    </row>
    <row r="1568" spans="1:8" ht="12.75" x14ac:dyDescent="0.2">
      <c r="A1568" s="31" t="s">
        <v>3539</v>
      </c>
      <c r="B1568" s="27" t="s">
        <v>3540</v>
      </c>
      <c r="C1568" s="27"/>
      <c r="D1568" s="33" t="s">
        <v>14</v>
      </c>
      <c r="E1568" s="9"/>
      <c r="F1568" s="32"/>
      <c r="G1568" s="10"/>
      <c r="H1568" s="30" t="str">
        <f ca="1">IFERROR(__xludf.DUMMYFUNCTION("LOWER(REGEXREPLACE(B1568&amp;"" ""&amp;C1568,""[^а-яa-z0-9 ]"","" ""))")," остер ")</f>
        <v xml:space="preserve"> остер </v>
      </c>
    </row>
    <row r="1569" spans="1:8" ht="12.75" x14ac:dyDescent="0.2">
      <c r="A1569" s="31" t="s">
        <v>3541</v>
      </c>
      <c r="B1569" s="27" t="s">
        <v>3542</v>
      </c>
      <c r="C1569" s="27"/>
      <c r="D1569" s="33" t="s">
        <v>14</v>
      </c>
      <c r="E1569" s="9"/>
      <c r="F1569" s="32"/>
      <c r="G1569" s="10">
        <v>26777</v>
      </c>
      <c r="H1569" s="30" t="str">
        <f ca="1">IFERROR(__xludf.DUMMYFUNCTION("LOWER(REGEXREPLACE(B1569&amp;"" ""&amp;C1569,""[^а-яa-z0-9 ]"","" ""))")," остер           3 424  мощностью 970  т ")</f>
        <v xml:space="preserve"> остер           3 424  мощностью 970  т </v>
      </c>
    </row>
    <row r="1570" spans="1:8" ht="12.75" x14ac:dyDescent="0.2">
      <c r="A1570" s="31" t="s">
        <v>3543</v>
      </c>
      <c r="B1570" s="27" t="s">
        <v>3544</v>
      </c>
      <c r="C1570" s="27"/>
      <c r="D1570" s="33" t="s">
        <v>14</v>
      </c>
      <c r="E1570" s="9"/>
      <c r="F1570" s="32"/>
      <c r="G1570" s="10">
        <v>33027</v>
      </c>
      <c r="H1570" s="30" t="str">
        <f ca="1">IFERROR(__xludf.DUMMYFUNCTION("LOWER(REGEXREPLACE(B1570&amp;"" ""&amp;C1570,""[^а-яa-z0-9 ]"","" ""))")," остер            2635 90  мощностью 240  т ")</f>
        <v xml:space="preserve"> остер            2635 90  мощностью 240  т </v>
      </c>
    </row>
    <row r="1571" spans="1:8" ht="25.5" x14ac:dyDescent="0.2">
      <c r="A1571" s="31" t="s">
        <v>3545</v>
      </c>
      <c r="B1571" s="8" t="s">
        <v>3546</v>
      </c>
      <c r="C1571" s="27"/>
      <c r="D1571" s="33" t="s">
        <v>14</v>
      </c>
      <c r="E1571" s="9"/>
      <c r="F1571" s="32"/>
      <c r="G1571" s="10">
        <v>44634</v>
      </c>
      <c r="H1571" s="30" t="str">
        <f ca="1">IFERROR(__xludf.DUMMYFUNCTION("LOWER(REGEXREPLACE(B1571&amp;"" ""&amp;C1571,""[^а-яa-z0-9 ]"","" ""))")," остер             3 1 3    мощностью 800  т ")</f>
        <v xml:space="preserve"> остер             3 1 3    мощностью 800  т </v>
      </c>
    </row>
    <row r="1572" spans="1:8" ht="12.75" x14ac:dyDescent="0.2">
      <c r="A1572" s="31" t="s">
        <v>3547</v>
      </c>
      <c r="B1572" s="27" t="s">
        <v>3548</v>
      </c>
      <c r="C1572" s="27"/>
      <c r="D1572" s="33" t="s">
        <v>14</v>
      </c>
      <c r="E1572" s="9"/>
      <c r="F1572" s="32"/>
      <c r="G1572" s="10">
        <v>93830</v>
      </c>
      <c r="H1572" s="30" t="str">
        <f ca="1">IFERROR(__xludf.DUMMYFUNCTION("LOWER(REGEXREPLACE(B1572&amp;"" ""&amp;C1572,""[^а-яa-z0-9 ]"","" ""))")," остер       702  мощностью 1000  т ")</f>
        <v xml:space="preserve"> остер       702  мощностью 1000  т </v>
      </c>
    </row>
    <row r="1573" spans="1:8" ht="25.5" x14ac:dyDescent="0.2">
      <c r="A1573" s="31" t="s">
        <v>3549</v>
      </c>
      <c r="B1573" s="8" t="s">
        <v>3550</v>
      </c>
      <c r="C1573" s="27"/>
      <c r="D1573" s="33" t="s">
        <v>14</v>
      </c>
      <c r="E1573" s="9"/>
      <c r="F1573" s="32"/>
      <c r="G1573" s="10">
        <v>84813</v>
      </c>
      <c r="H1573" s="30" t="str">
        <f ca="1">IFERROR(__xludf.DUMMYFUNCTION("LOWER(REGEXREPLACE(B1573&amp;"" ""&amp;C1573,""[^а-яa-z0-9 ]"","" ""))")," остер             5   221     мощностью 1100  т ")</f>
        <v xml:space="preserve"> остер             5   221     мощностью 1100  т </v>
      </c>
    </row>
    <row r="1574" spans="1:8" ht="51" x14ac:dyDescent="0.2">
      <c r="A1574" s="31" t="s">
        <v>3551</v>
      </c>
      <c r="B1574" s="27" t="s">
        <v>3552</v>
      </c>
      <c r="C1574" s="27" t="s">
        <v>3553</v>
      </c>
      <c r="D1574" s="33" t="s">
        <v>14</v>
      </c>
      <c r="E1574" s="34">
        <v>2</v>
      </c>
      <c r="F1574" s="34">
        <v>4</v>
      </c>
      <c r="G1574" s="10">
        <v>125781</v>
      </c>
      <c r="H1574" s="30" t="str">
        <f ca="1">IFERROR(__xludf.DUMMYFUNCTION("LOWER(REGEXREPLACE(B1574&amp;"" ""&amp;C1574,""[^а-яa-z0-9 ]"","" ""))")," ухонный комбайн  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 ")</f>
        <v xml:space="preserve"> ухонный комбайн  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 </v>
      </c>
    </row>
    <row r="1575" spans="1:8" ht="12.75" x14ac:dyDescent="0.2">
      <c r="A1575" s="31" t="s">
        <v>3554</v>
      </c>
      <c r="B1575" s="27" t="s">
        <v>3555</v>
      </c>
      <c r="C1575" s="27"/>
      <c r="D1575" s="33" t="s">
        <v>14</v>
      </c>
      <c r="E1575" s="9"/>
      <c r="F1575" s="32"/>
      <c r="G1575" s="10">
        <v>19504</v>
      </c>
      <c r="H1575" s="30" t="str">
        <f ca="1">IFERROR(__xludf.DUMMYFUNCTION("LOWER(REGEXREPLACE(B1575&amp;"" ""&amp;C1575,""[^а-яa-z0-9 ]"","" ""))")," иксер ")</f>
        <v xml:space="preserve"> иксер </v>
      </c>
    </row>
    <row r="1576" spans="1:8" ht="12.75" x14ac:dyDescent="0.2">
      <c r="A1576" s="31" t="s">
        <v>3556</v>
      </c>
      <c r="B1576" s="27" t="s">
        <v>3557</v>
      </c>
      <c r="C1576" s="27"/>
      <c r="D1576" s="33" t="s">
        <v>14</v>
      </c>
      <c r="E1576" s="9"/>
      <c r="F1576" s="32"/>
      <c r="G1576" s="10"/>
      <c r="H1576" s="30" t="str">
        <f ca="1">IFERROR(__xludf.DUMMYFUNCTION("LOWER(REGEXREPLACE(B1576&amp;"" ""&amp;C1576,""[^а-яa-z0-9 ]"","" ""))")," ясорубка электрическая ")</f>
        <v xml:space="preserve"> ясорубка электрическая </v>
      </c>
    </row>
    <row r="1577" spans="1:8" ht="12.75" x14ac:dyDescent="0.2">
      <c r="A1577" s="31" t="s">
        <v>3558</v>
      </c>
      <c r="B1577" s="27" t="s">
        <v>3559</v>
      </c>
      <c r="C1577" s="27"/>
      <c r="D1577" s="33" t="s">
        <v>14</v>
      </c>
      <c r="E1577" s="9"/>
      <c r="F1577" s="32"/>
      <c r="G1577" s="10">
        <v>123065</v>
      </c>
      <c r="H1577" s="30" t="str">
        <f ca="1">IFERROR(__xludf.DUMMYFUNCTION("LOWER(REGEXREPLACE(B1577&amp;"" ""&amp;C1577,""[^а-яa-z0-9 ]"","" ""))")," ясорубка     12  385 220 430 мм  ")</f>
        <v xml:space="preserve"> ясорубка     12  385 220 430 мм  </v>
      </c>
    </row>
    <row r="1578" spans="1:8" ht="12.75" x14ac:dyDescent="0.2">
      <c r="A1578" s="31" t="s">
        <v>3560</v>
      </c>
      <c r="B1578" s="27" t="s">
        <v>3561</v>
      </c>
      <c r="C1578" s="27"/>
      <c r="D1578" s="33" t="s">
        <v>14</v>
      </c>
      <c r="E1578" s="9"/>
      <c r="F1578" s="32"/>
      <c r="G1578" s="10">
        <v>184749</v>
      </c>
      <c r="H1578" s="30" t="str">
        <f ca="1">IFERROR(__xludf.DUMMYFUNCTION("LOWER(REGEXREPLACE(B1578&amp;"" ""&amp;C1578,""[^а-яa-z0-9 ]"","" ""))")," ясорубка     22  440 220 450 мм  ")</f>
        <v xml:space="preserve"> ясорубка     22  440 220 450 мм  </v>
      </c>
    </row>
    <row r="1579" spans="1:8" ht="25.5" x14ac:dyDescent="0.2">
      <c r="A1579" s="31" t="s">
        <v>3562</v>
      </c>
      <c r="B1579" s="27" t="s">
        <v>3563</v>
      </c>
      <c r="C1579" s="27"/>
      <c r="D1579" s="33" t="s">
        <v>14</v>
      </c>
      <c r="E1579" s="9"/>
      <c r="F1579" s="32"/>
      <c r="G1579" s="10">
        <v>202175</v>
      </c>
      <c r="H1579" s="30" t="str">
        <f ca="1">IFERROR(__xludf.DUMMYFUNCTION("LOWER(REGEXREPLACE(B1579&amp;"" ""&amp;C1579,""[^а-яa-z0-9 ]"","" ""))")," ясорубка настольная    12   500 460 350 мм  ")</f>
        <v xml:space="preserve"> ясорубка настольная    12   500 460 350 мм  </v>
      </c>
    </row>
    <row r="1580" spans="1:8" ht="12.75" x14ac:dyDescent="0.2">
      <c r="A1580" s="31" t="s">
        <v>3564</v>
      </c>
      <c r="B1580" s="27" t="s">
        <v>3565</v>
      </c>
      <c r="C1580" s="27"/>
      <c r="D1580" s="33" t="s">
        <v>14</v>
      </c>
      <c r="E1580" s="9"/>
      <c r="F1580" s="32"/>
      <c r="G1580" s="10">
        <v>241444</v>
      </c>
      <c r="H1580" s="30" t="str">
        <f ca="1">IFERROR(__xludf.DUMMYFUNCTION("LOWER(REGEXREPLACE(B1580&amp;"" ""&amp;C1580,""[^а-яa-z0-9 ]"","" ""))")," ясорубка настольная    32  560 460 430 мм  ")</f>
        <v xml:space="preserve"> ясорубка настольная    32  560 460 430 мм  </v>
      </c>
    </row>
    <row r="1581" spans="1:8" ht="25.5" x14ac:dyDescent="0.2">
      <c r="A1581" s="31" t="s">
        <v>3566</v>
      </c>
      <c r="B1581" s="27" t="s">
        <v>3567</v>
      </c>
      <c r="C1581" s="27"/>
      <c r="D1581" s="33" t="s">
        <v>14</v>
      </c>
      <c r="E1581" s="9"/>
      <c r="F1581" s="32"/>
      <c r="G1581" s="10">
        <v>261155</v>
      </c>
      <c r="H1581" s="30" t="str">
        <f ca="1">IFERROR(__xludf.DUMMYFUNCTION("LOWER(REGEXREPLACE(B1581&amp;"" ""&amp;C1581,""[^а-яa-z0-9 ]"","" ""))")," ясорубка настольная    32   560 460 430 мм  ")</f>
        <v xml:space="preserve"> ясорубка настольная    32   560 460 430 мм  </v>
      </c>
    </row>
    <row r="1582" spans="1:8" ht="25.5" x14ac:dyDescent="0.2">
      <c r="A1582" s="31" t="s">
        <v>3568</v>
      </c>
      <c r="B1582" s="27" t="s">
        <v>3569</v>
      </c>
      <c r="C1582" s="27"/>
      <c r="D1582" s="33" t="s">
        <v>14</v>
      </c>
      <c r="E1582" s="9"/>
      <c r="F1582" s="32"/>
      <c r="G1582" s="10">
        <v>316472</v>
      </c>
      <c r="H1582" s="30" t="str">
        <f ca="1">IFERROR(__xludf.DUMMYFUNCTION("LOWER(REGEXREPLACE(B1582&amp;"" ""&amp;C1582,""[^а-яa-z0-9 ]"","" ""))")," ясорубка настольная     300   560 460 420 мм  ")</f>
        <v xml:space="preserve"> ясорубка настольная     300   560 460 420 мм  </v>
      </c>
    </row>
    <row r="1583" spans="1:8" ht="12.75" x14ac:dyDescent="0.2">
      <c r="A1583" s="31" t="s">
        <v>3570</v>
      </c>
      <c r="B1583" s="27" t="s">
        <v>3571</v>
      </c>
      <c r="C1583" s="27"/>
      <c r="D1583" s="33" t="s">
        <v>14</v>
      </c>
      <c r="E1583" s="9"/>
      <c r="F1583" s="32"/>
      <c r="G1583" s="10"/>
      <c r="H1583" s="30" t="str">
        <f ca="1">IFERROR(__xludf.DUMMYFUNCTION("LOWER(REGEXREPLACE(B1583&amp;"" ""&amp;C1583,""[^а-яa-z0-9 ]"","" ""))")," лита электрическая ")</f>
        <v xml:space="preserve"> лита электрическая </v>
      </c>
    </row>
    <row r="1584" spans="1:8" ht="63.75" x14ac:dyDescent="0.2">
      <c r="A1584" s="31" t="s">
        <v>3572</v>
      </c>
      <c r="B1584" s="8" t="s">
        <v>3573</v>
      </c>
      <c r="C1584" s="27"/>
      <c r="D1584" s="33" t="s">
        <v>14</v>
      </c>
      <c r="E1584" s="9"/>
      <c r="F1584" s="35">
        <v>31.8</v>
      </c>
      <c r="G1584" s="10">
        <v>85528</v>
      </c>
      <c r="H1584" s="30" t="str">
        <f ca="1">IFERROR(__xludf.DUMMYFUNCTION("LOWER(REGEXREPLACE(B1584&amp;"" ""&amp;C1584,""[^а-яa-z0-9 ]"","" ""))")," лектрическая плита        1     341 406    материал рабочей поверхности эмалированная сталь  тип управления механическое  4 электрических конфорок  объем духовки 50 л  тип духовки электрическая ")</f>
        <v xml:space="preserve"> лектрическая плита        1     341 406    материал рабочей поверхности эмалированная сталь  тип управления механическое  4 электрических конфорок  объем духовки 50 л  тип духовки электрическая </v>
      </c>
    </row>
    <row r="1585" spans="1:8" ht="76.5" x14ac:dyDescent="0.2">
      <c r="A1585" s="31" t="s">
        <v>3574</v>
      </c>
      <c r="B1585" s="27" t="s">
        <v>3575</v>
      </c>
      <c r="C1585" s="27"/>
      <c r="D1585" s="33" t="s">
        <v>14</v>
      </c>
      <c r="E1585" s="9"/>
      <c r="F1585" s="36">
        <v>40.65</v>
      </c>
      <c r="G1585" s="10">
        <v>103543</v>
      </c>
      <c r="H1585" s="30" t="str">
        <f ca="1">IFERROR(__xludf.DUMMYFUNCTION("LOWER(REGEXREPLACE(B1585&amp;"" ""&amp;C1585,""[^а-яa-z0-9 ]"","" ""))")," омбинированная плита            341 323   с и 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 ")</f>
        <v xml:space="preserve"> омбинированная плита            341 323   с и 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 </v>
      </c>
    </row>
    <row r="1586" spans="1:8" ht="63.75" x14ac:dyDescent="0.2">
      <c r="A1586" s="31" t="s">
        <v>3576</v>
      </c>
      <c r="B1586" s="27" t="s">
        <v>3577</v>
      </c>
      <c r="C1586" s="27"/>
      <c r="D1586" s="33" t="s">
        <v>14</v>
      </c>
      <c r="E1586" s="9"/>
      <c r="F1586" s="35">
        <v>41.7</v>
      </c>
      <c r="G1586" s="10">
        <v>148510</v>
      </c>
      <c r="H1586" s="30" t="str">
        <f ca="1">IFERROR(__xludf.DUMMYFUNCTION("LOWER(REGEXREPLACE(B1586&amp;"" ""&amp;C1586,""[^а-яa-z0-9 ]"","" ""))")," лектрическая плита           5 21    материал рабочей поверхности эмалированная сталь  тип управления механическое  4 электрических конфорок  объем духовки 68 л  тип духовки электрическая ")</f>
        <v xml:space="preserve"> лектрическая плита           5 21    материал рабочей поверхности эмалированная сталь  тип управления механическое  4 электрических конфорок  объем духовки 68 л  тип духовки электрическая </v>
      </c>
    </row>
    <row r="1587" spans="1:8" ht="63.75" x14ac:dyDescent="0.2">
      <c r="A1587" s="31" t="s">
        <v>3578</v>
      </c>
      <c r="B1587" s="27" t="s">
        <v>3579</v>
      </c>
      <c r="C1587" s="27"/>
      <c r="D1587" s="33" t="s">
        <v>14</v>
      </c>
      <c r="E1587" s="9"/>
      <c r="F1587" s="36">
        <v>34.75</v>
      </c>
      <c r="G1587" s="10">
        <v>161977</v>
      </c>
      <c r="H1587" s="30" t="str">
        <f ca="1">IFERROR(__xludf.DUMMYFUNCTION("LOWER(REGEXREPLACE(B1587&amp;"" ""&amp;C1587,""[^а-яa-z0-9 ]"","" ""))")," лектрическая плита            53000  материал рабочей поверхности стеклокерамика  тип управления механическое  4 электрических конфорок  объем духовки 67 л  тип духовки электрическая ")</f>
        <v xml:space="preserve"> лектрическая плита            53000  материал рабочей поверхности стеклокерамика  тип управления механическое  4 электрических конфорок  объем духовки 67 л  тип духовки электрическая </v>
      </c>
    </row>
    <row r="1588" spans="1:8" ht="76.5" x14ac:dyDescent="0.2">
      <c r="A1588" s="31" t="s">
        <v>3580</v>
      </c>
      <c r="B1588" s="8" t="s">
        <v>3581</v>
      </c>
      <c r="C1588" s="27"/>
      <c r="D1588" s="33" t="s">
        <v>14</v>
      </c>
      <c r="E1588" s="9"/>
      <c r="F1588" s="34">
        <v>50</v>
      </c>
      <c r="G1588" s="10">
        <v>135049</v>
      </c>
      <c r="H1588" s="30" t="str">
        <f ca="1">IFERROR(__xludf.DUMMYFUNCTION("LOWER(REGEXREPLACE(B1588&amp;"" ""&amp;C1588,""[^а-яa-z0-9 ]"","" ""))")," лектрическая плита            66069  материал рабочей поверхности эмалированная сталь  тип управления механическое  4 электрических конфорок  объем духовки 62 л  тип духовки электрическая ")</f>
        <v xml:space="preserve"> лектрическая плита            66069  материал рабочей поверхности эмалированная сталь  тип управления механическое  4 электрических конфорок  объем духовки 62 л  тип духовки электрическая </v>
      </c>
    </row>
    <row r="1589" spans="1:8" ht="12.75" x14ac:dyDescent="0.2">
      <c r="A1589" s="31" t="s">
        <v>3582</v>
      </c>
      <c r="B1589" s="27" t="s">
        <v>3583</v>
      </c>
      <c r="C1589" s="27"/>
      <c r="D1589" s="33" t="s">
        <v>14</v>
      </c>
      <c r="E1589" s="9"/>
      <c r="F1589" s="32"/>
      <c r="G1589" s="10"/>
      <c r="H1589" s="30" t="str">
        <f ca="1">IFERROR(__xludf.DUMMYFUNCTION("LOWER(REGEXREPLACE(B1589&amp;"" ""&amp;C1589,""[^а-яa-z0-9 ]"","" ""))")," ытяжка над плитой ")</f>
        <v xml:space="preserve"> ытяжка над плитой </v>
      </c>
    </row>
    <row r="1590" spans="1:8" ht="25.5" x14ac:dyDescent="0.2">
      <c r="A1590" s="31" t="s">
        <v>3584</v>
      </c>
      <c r="B1590" s="27" t="s">
        <v>3585</v>
      </c>
      <c r="C1590" s="27"/>
      <c r="D1590" s="33" t="s">
        <v>14</v>
      </c>
      <c r="E1590" s="9"/>
      <c r="F1590" s="32"/>
      <c r="G1590" s="10">
        <v>707232</v>
      </c>
      <c r="H1590" s="30" t="str">
        <f ca="1">IFERROR(__xludf.DUMMYFUNCTION("LOWER(REGEXREPLACE(B1590&amp;"" ""&amp;C1590,""[^а-яa-z0-9 ]"","" ""))")," онт вытяжной       вентилируемый         980 1040 340 мм  ")</f>
        <v xml:space="preserve"> онт вытяжной       вентилируемый         980 1040 340 мм  </v>
      </c>
    </row>
    <row r="1591" spans="1:8" ht="25.5" x14ac:dyDescent="0.2">
      <c r="A1591" s="31" t="s">
        <v>3586</v>
      </c>
      <c r="B1591" s="27" t="s">
        <v>3587</v>
      </c>
      <c r="C1591" s="27"/>
      <c r="D1591" s="33" t="s">
        <v>14</v>
      </c>
      <c r="E1591" s="9"/>
      <c r="F1591" s="32"/>
      <c r="G1591" s="10">
        <v>801518</v>
      </c>
      <c r="H1591" s="30" t="str">
        <f ca="1">IFERROR(__xludf.DUMMYFUNCTION("LOWER(REGEXREPLACE(B1591&amp;"" ""&amp;C1591,""[^а-яa-z0-9 ]"","" ""))")," онт вытяжной       конденсируемый      60  930 840 220 мм  ")</f>
        <v xml:space="preserve"> онт вытяжной       конденсируемый      60  930 840 220 мм  </v>
      </c>
    </row>
    <row r="1592" spans="1:8" ht="25.5" x14ac:dyDescent="0.2">
      <c r="A1592" s="31" t="s">
        <v>3588</v>
      </c>
      <c r="B1592" s="27" t="s">
        <v>3589</v>
      </c>
      <c r="C1592" s="27"/>
      <c r="D1592" s="33" t="s">
        <v>14</v>
      </c>
      <c r="E1592" s="9"/>
      <c r="F1592" s="32"/>
      <c r="G1592" s="10">
        <v>801518</v>
      </c>
      <c r="H1592" s="30" t="str">
        <f ca="1">IFERROR(__xludf.DUMMYFUNCTION("LOWER(REGEXREPLACE(B1592&amp;"" ""&amp;C1592,""[^а-яa-z0-9 ]"","" ""))")," онт вытяжной       конденсируемый      40  730 840 220 мм  ")</f>
        <v xml:space="preserve"> онт вытяжной       конденсируемый      40  730 840 220 мм  </v>
      </c>
    </row>
    <row r="1593" spans="1:8" ht="25.5" x14ac:dyDescent="0.2">
      <c r="A1593" s="31" t="s">
        <v>3590</v>
      </c>
      <c r="B1593" s="27" t="s">
        <v>3591</v>
      </c>
      <c r="C1593" s="27"/>
      <c r="D1593" s="33" t="s">
        <v>14</v>
      </c>
      <c r="E1593" s="9"/>
      <c r="F1593" s="32"/>
      <c r="G1593" s="10">
        <v>812054</v>
      </c>
      <c r="H1593" s="30" t="str">
        <f ca="1">IFERROR(__xludf.DUMMYFUNCTION("LOWER(REGEXREPLACE(B1593&amp;"" ""&amp;C1593,""[^а-яa-z0-9 ]"","" ""))")," онт вытяжной       вентилируемый    86  1165 1080 340 мм  ")</f>
        <v xml:space="preserve"> онт вытяжной       вентилируемый    86  1165 1080 340 мм  </v>
      </c>
    </row>
    <row r="1594" spans="1:8" ht="25.5" x14ac:dyDescent="0.2">
      <c r="A1594" s="31" t="s">
        <v>3592</v>
      </c>
      <c r="B1594" s="27" t="s">
        <v>3593</v>
      </c>
      <c r="C1594" s="27"/>
      <c r="D1594" s="33" t="s">
        <v>14</v>
      </c>
      <c r="E1594" s="9"/>
      <c r="F1594" s="32"/>
      <c r="G1594" s="10">
        <v>1068661</v>
      </c>
      <c r="H1594" s="30" t="str">
        <f ca="1">IFERROR(__xludf.DUMMYFUNCTION("LOWER(REGEXREPLACE(B1594&amp;"" ""&amp;C1594,""[^а-яa-z0-9 ]"","" ""))")," онт вытяжной       конденсируемый         980 880 340 мм  ")</f>
        <v xml:space="preserve"> онт вытяжной       конденсируемый         980 880 340 мм  </v>
      </c>
    </row>
    <row r="1595" spans="1:8" ht="25.5" x14ac:dyDescent="0.2">
      <c r="A1595" s="31" t="s">
        <v>3594</v>
      </c>
      <c r="B1595" s="27" t="s">
        <v>3595</v>
      </c>
      <c r="C1595" s="27"/>
      <c r="D1595" s="33" t="s">
        <v>14</v>
      </c>
      <c r="E1595" s="9"/>
      <c r="F1595" s="32"/>
      <c r="G1595" s="10">
        <v>1173482</v>
      </c>
      <c r="H1595" s="30" t="str">
        <f ca="1">IFERROR(__xludf.DUMMYFUNCTION("LOWER(REGEXREPLACE(B1595&amp;"" ""&amp;C1595,""[^а-яa-z0-9 ]"","" ""))")," онт вытяжной       конденсируемый    86  1165 880 340 мм  ")</f>
        <v xml:space="preserve"> онт вытяжной       конденсируемый    86  1165 880 340 мм  </v>
      </c>
    </row>
    <row r="1596" spans="1:8" ht="38.25" x14ac:dyDescent="0.2">
      <c r="A1596" s="31" t="s">
        <v>3596</v>
      </c>
      <c r="B1596" s="27" t="s">
        <v>3597</v>
      </c>
      <c r="C1596" s="27"/>
      <c r="D1596" s="33" t="s">
        <v>14</v>
      </c>
      <c r="E1596" s="9"/>
      <c r="F1596" s="32"/>
      <c r="G1596" s="10">
        <v>93165</v>
      </c>
      <c r="H1596" s="30" t="str">
        <f ca="1">IFERROR(__xludf.DUMMYFUNCTION("LOWER(REGEXREPLACE(B1596&amp;"" ""&amp;C1596,""[^а-яa-z0-9 ]"","" ""))")," онт вытяжной пристенный с жироулавливающим лабиринтным фильтром     08 08  800 800 350 мм  ")</f>
        <v xml:space="preserve"> онт вытяжной пристенный с жироулавливающим лабиринтным фильтром     08 08  800 800 350 мм  </v>
      </c>
    </row>
    <row r="1597" spans="1:8" ht="38.25" x14ac:dyDescent="0.2">
      <c r="A1597" s="31" t="s">
        <v>3598</v>
      </c>
      <c r="B1597" s="27" t="s">
        <v>3599</v>
      </c>
      <c r="C1597" s="27"/>
      <c r="D1597" s="33" t="s">
        <v>14</v>
      </c>
      <c r="E1597" s="9"/>
      <c r="F1597" s="32"/>
      <c r="G1597" s="10">
        <v>93645</v>
      </c>
      <c r="H1597" s="30" t="str">
        <f ca="1">IFERROR(__xludf.DUMMYFUNCTION("LOWER(REGEXREPLACE(B1597&amp;"" ""&amp;C1597,""[^а-яa-z0-9 ]"","" ""))")," онт вытяжной пристенный с жироулавливающим лабиринтным фильтром     09 09  900 900 350 мм  ")</f>
        <v xml:space="preserve"> онт вытяжной пристенный с жироулавливающим лабиринтным фильтром     09 09  900 900 350 мм  </v>
      </c>
    </row>
    <row r="1598" spans="1:8" ht="38.25" x14ac:dyDescent="0.2">
      <c r="A1598" s="31" t="s">
        <v>3600</v>
      </c>
      <c r="B1598" s="27" t="s">
        <v>3601</v>
      </c>
      <c r="C1598" s="27"/>
      <c r="D1598" s="33" t="s">
        <v>14</v>
      </c>
      <c r="E1598" s="9"/>
      <c r="F1598" s="32"/>
      <c r="G1598" s="10">
        <v>121095</v>
      </c>
      <c r="H1598" s="30" t="str">
        <f ca="1">IFERROR(__xludf.DUMMYFUNCTION("LOWER(REGEXREPLACE(B1598&amp;"" ""&amp;C1598,""[^а-яa-z0-9 ]"","" ""))")," онт вытяжной пристенный с жироулавливающим лабиринтным фильтром     12 09  1200 900 350 мм  ")</f>
        <v xml:space="preserve"> онт вытяжной пристенный с жироулавливающим лабиринтным фильтром     12 09  1200 900 350 мм  </v>
      </c>
    </row>
    <row r="1599" spans="1:8" ht="25.5" x14ac:dyDescent="0.2">
      <c r="A1599" s="31" t="s">
        <v>3602</v>
      </c>
      <c r="B1599" s="27" t="s">
        <v>3603</v>
      </c>
      <c r="C1599" s="27"/>
      <c r="D1599" s="33" t="s">
        <v>14</v>
      </c>
      <c r="E1599" s="9"/>
      <c r="F1599" s="32"/>
      <c r="G1599" s="10">
        <v>38384</v>
      </c>
      <c r="H1599" s="30" t="str">
        <f ca="1">IFERROR(__xludf.DUMMYFUNCTION("LOWER(REGEXREPLACE(B1599&amp;"" ""&amp;C1599,""[^а-яa-z0-9 ]"","" ""))")," ытяжка над плитой              60  производительностью 420 м3 ч ")</f>
        <v xml:space="preserve"> ытяжка над плитой              60  производительностью 420 м3 ч </v>
      </c>
    </row>
    <row r="1600" spans="1:8" ht="25.5" x14ac:dyDescent="0.2">
      <c r="A1600" s="31" t="s">
        <v>3604</v>
      </c>
      <c r="B1600" s="8" t="s">
        <v>3605</v>
      </c>
      <c r="C1600" s="27"/>
      <c r="D1600" s="33" t="s">
        <v>14</v>
      </c>
      <c r="E1600" s="9"/>
      <c r="F1600" s="32"/>
      <c r="G1600" s="10">
        <v>49098</v>
      </c>
      <c r="H1600" s="30" t="str">
        <f ca="1">IFERROR(__xludf.DUMMYFUNCTION("LOWER(REGEXREPLACE(B1600&amp;"" ""&amp;C1600,""[^а-яa-z0-9 ]"","" ""))")," ытяжка над плитой              1560    производительностью 500 м3 ч ")</f>
        <v xml:space="preserve"> ытяжка над плитой              1560    производительностью 500 м3 ч </v>
      </c>
    </row>
    <row r="1601" spans="1:8" ht="25.5" x14ac:dyDescent="0.2">
      <c r="A1601" s="31" t="s">
        <v>3606</v>
      </c>
      <c r="B1601" s="27" t="s">
        <v>3607</v>
      </c>
      <c r="C1601" s="27"/>
      <c r="D1601" s="33" t="s">
        <v>14</v>
      </c>
      <c r="E1601" s="9"/>
      <c r="F1601" s="32"/>
      <c r="G1601" s="10">
        <v>53563</v>
      </c>
      <c r="H1601" s="30" t="str">
        <f ca="1">IFERROR(__xludf.DUMMYFUNCTION("LOWER(REGEXREPLACE(B1601&amp;"" ""&amp;C1601,""[^а-яa-z0-9 ]"","" ""))")," ытяжка над плитой           160        производительностью 100 399 м3 ч ")</f>
        <v xml:space="preserve"> ытяжка над плитой           160        производительностью 100 399 м3 ч </v>
      </c>
    </row>
    <row r="1602" spans="1:8" ht="25.5" x14ac:dyDescent="0.2">
      <c r="A1602" s="31" t="s">
        <v>3608</v>
      </c>
      <c r="B1602" s="27" t="s">
        <v>3609</v>
      </c>
      <c r="C1602" s="27"/>
      <c r="D1602" s="33" t="s">
        <v>14</v>
      </c>
      <c r="E1602" s="9"/>
      <c r="F1602" s="32"/>
      <c r="G1602" s="10">
        <v>49366</v>
      </c>
      <c r="H1602" s="30" t="str">
        <f ca="1">IFERROR(__xludf.DUMMYFUNCTION("LOWER(REGEXREPLACE(B1602&amp;"" ""&amp;C1602,""[^а-яa-z0-9 ]"","" ""))")," ытяжка над плитой               60        производительностью 620 м3 ч ")</f>
        <v xml:space="preserve"> ытяжка над плитой               60        производительностью 620 м3 ч </v>
      </c>
    </row>
    <row r="1603" spans="1:8" ht="25.5" x14ac:dyDescent="0.2">
      <c r="A1603" s="31" t="s">
        <v>3610</v>
      </c>
      <c r="B1603" s="27" t="s">
        <v>3611</v>
      </c>
      <c r="C1603" s="27"/>
      <c r="D1603" s="33" t="s">
        <v>14</v>
      </c>
      <c r="E1603" s="9"/>
      <c r="F1603" s="32"/>
      <c r="G1603" s="10">
        <v>44634</v>
      </c>
      <c r="H1603" s="30" t="str">
        <f ca="1">IFERROR(__xludf.DUMMYFUNCTION("LOWER(REGEXREPLACE(B1603&amp;"" ""&amp;C1603,""[^а-яa-z0-9 ]"","" ""))")," ытяжка над плитой           6233     производительностью 350 м3 ч ")</f>
        <v xml:space="preserve"> ытяжка над плитой           6233     производительностью 350 м3 ч </v>
      </c>
    </row>
    <row r="1604" spans="1:8" ht="25.5" x14ac:dyDescent="0.2">
      <c r="A1604" s="31" t="s">
        <v>3612</v>
      </c>
      <c r="B1604" s="27" t="s">
        <v>3613</v>
      </c>
      <c r="C1604" s="27"/>
      <c r="D1604" s="33" t="s">
        <v>14</v>
      </c>
      <c r="E1604" s="9"/>
      <c r="F1604" s="32"/>
      <c r="G1604" s="10">
        <v>41063</v>
      </c>
      <c r="H1604" s="30" t="str">
        <f ca="1">IFERROR(__xludf.DUMMYFUNCTION("LOWER(REGEXREPLACE(B1604&amp;"" ""&amp;C1604,""[^а-яa-z0-9 ]"","" ""))")," ытяжка над плитой             160        производительностью 650 м3 ч ")</f>
        <v xml:space="preserve"> ытяжка над плитой             160        производительностью 650 м3 ч </v>
      </c>
    </row>
    <row r="1605" spans="1:8" ht="25.5" x14ac:dyDescent="0.2">
      <c r="A1605" s="31" t="s">
        <v>3614</v>
      </c>
      <c r="B1605" s="27" t="s">
        <v>3615</v>
      </c>
      <c r="C1605" s="27"/>
      <c r="D1605" s="33" t="s">
        <v>14</v>
      </c>
      <c r="E1605" s="9"/>
      <c r="F1605" s="32"/>
      <c r="G1605" s="10">
        <v>66955</v>
      </c>
      <c r="H1605" s="30" t="str">
        <f ca="1">IFERROR(__xludf.DUMMYFUNCTION("LOWER(REGEXREPLACE(B1605&amp;"" ""&amp;C1605,""[^а-яa-z0-9 ]"","" ""))")," ытяжка над плитой           632     производительностью 210 м3 ч ")</f>
        <v xml:space="preserve"> ытяжка над плитой           632     производительностью 210 м3 ч </v>
      </c>
    </row>
    <row r="1606" spans="1:8" ht="25.5" x14ac:dyDescent="0.2">
      <c r="A1606" s="31" t="s">
        <v>3616</v>
      </c>
      <c r="B1606" s="27" t="s">
        <v>3617</v>
      </c>
      <c r="C1606" s="27"/>
      <c r="D1606" s="33" t="s">
        <v>14</v>
      </c>
      <c r="E1606" s="9"/>
      <c r="F1606" s="32"/>
      <c r="G1606" s="10">
        <v>39277</v>
      </c>
      <c r="H1606" s="30" t="str">
        <f ca="1">IFERROR(__xludf.DUMMYFUNCTION("LOWER(REGEXREPLACE(B1606&amp;"" ""&amp;C1606,""[^а-яa-z0-9 ]"","" ""))")," ытяжка над плитой             160        производительностью 500 м3 ч ")</f>
        <v xml:space="preserve"> ытяжка над плитой             160        производительностью 500 м3 ч </v>
      </c>
    </row>
    <row r="1607" spans="1:8" ht="25.5" x14ac:dyDescent="0.2">
      <c r="A1607" s="31" t="s">
        <v>3618</v>
      </c>
      <c r="B1607" s="27" t="s">
        <v>3619</v>
      </c>
      <c r="C1607" s="27"/>
      <c r="D1607" s="33" t="s">
        <v>14</v>
      </c>
      <c r="E1607" s="9"/>
      <c r="F1607" s="32"/>
      <c r="G1607" s="10">
        <v>62491</v>
      </c>
      <c r="H1607" s="30" t="str">
        <f ca="1">IFERROR(__xludf.DUMMYFUNCTION("LOWER(REGEXREPLACE(B1607&amp;"" ""&amp;C1607,""[^а-яa-z0-9 ]"","" ""))")," ытяжка над плитой          51311     производительностью 381 м3 ч ")</f>
        <v xml:space="preserve"> ытяжка над плитой          51311     производительностью 381 м3 ч </v>
      </c>
    </row>
    <row r="1608" spans="1:8" ht="25.5" x14ac:dyDescent="0.2">
      <c r="A1608" s="31" t="s">
        <v>3620</v>
      </c>
      <c r="B1608" s="27" t="s">
        <v>3621</v>
      </c>
      <c r="C1608" s="27"/>
      <c r="D1608" s="33" t="s">
        <v>14</v>
      </c>
      <c r="E1608" s="9"/>
      <c r="F1608" s="32"/>
      <c r="G1608" s="10">
        <v>44634</v>
      </c>
      <c r="H1608" s="30" t="str">
        <f ca="1">IFERROR(__xludf.DUMMYFUNCTION("LOWER(REGEXREPLACE(B1608&amp;"" ""&amp;C1608,""[^а-яa-z0-9 ]"","" ""))")," ытяжка над плитой             160        производительностью 100 399 м3 ч ")</f>
        <v xml:space="preserve"> ытяжка над плитой             160        производительностью 100 399 м3 ч </v>
      </c>
    </row>
    <row r="1609" spans="1:8" ht="25.5" x14ac:dyDescent="0.2">
      <c r="A1609" s="31" t="s">
        <v>3622</v>
      </c>
      <c r="B1609" s="27" t="s">
        <v>3623</v>
      </c>
      <c r="C1609" s="27"/>
      <c r="D1609" s="33" t="s">
        <v>14</v>
      </c>
      <c r="E1609" s="9"/>
      <c r="F1609" s="32"/>
      <c r="G1609" s="10">
        <v>128563</v>
      </c>
      <c r="H1609" s="30" t="str">
        <f ca="1">IFERROR(__xludf.DUMMYFUNCTION("LOWER(REGEXREPLACE(B1609&amp;"" ""&amp;C1609,""[^а-яa-z0-9 ]"","" ""))")," ытяжка над плитой                516    производительностью 530 м3 ч ")</f>
        <v xml:space="preserve"> ытяжка над плитой                516    производительностью 530 м3 ч </v>
      </c>
    </row>
    <row r="1610" spans="1:8" ht="25.5" x14ac:dyDescent="0.2">
      <c r="A1610" s="31" t="s">
        <v>3624</v>
      </c>
      <c r="B1610" s="27" t="s">
        <v>3625</v>
      </c>
      <c r="C1610" s="27"/>
      <c r="D1610" s="33" t="s">
        <v>14</v>
      </c>
      <c r="E1610" s="9"/>
      <c r="F1610" s="32"/>
      <c r="G1610" s="10">
        <v>245527</v>
      </c>
      <c r="H1610" s="30" t="str">
        <f ca="1">IFERROR(__xludf.DUMMYFUNCTION("LOWER(REGEXREPLACE(B1610&amp;"" ""&amp;C1610,""[^а-яa-z0-9 ]"","" ""))")," ытяжка над плитой           67  60  производительностью 700 м3 ч ")</f>
        <v xml:space="preserve"> ытяжка над плитой           67  60  производительностью 700 м3 ч </v>
      </c>
    </row>
    <row r="1611" spans="1:8" ht="25.5" x14ac:dyDescent="0.2">
      <c r="A1611" s="31" t="s">
        <v>3626</v>
      </c>
      <c r="B1611" s="27" t="s">
        <v>3627</v>
      </c>
      <c r="C1611" s="27"/>
      <c r="D1611" s="33" t="s">
        <v>14</v>
      </c>
      <c r="E1611" s="9"/>
      <c r="F1611" s="32"/>
      <c r="G1611" s="10">
        <v>116063</v>
      </c>
      <c r="H1611" s="30" t="str">
        <f ca="1">IFERROR(__xludf.DUMMYFUNCTION("LOWER(REGEXREPLACE(B1611&amp;"" ""&amp;C1611,""[^а-яa-z0-9 ]"","" ""))")," ытяжка над плитой           135       производительностью 1030 м3 ч ")</f>
        <v xml:space="preserve"> ытяжка над плитой           135       производительностью 1030 м3 ч </v>
      </c>
    </row>
    <row r="1612" spans="1:8" ht="25.5" x14ac:dyDescent="0.2">
      <c r="A1612" s="31" t="s">
        <v>3628</v>
      </c>
      <c r="B1612" s="27" t="s">
        <v>3629</v>
      </c>
      <c r="C1612" s="27"/>
      <c r="D1612" s="33" t="s">
        <v>14</v>
      </c>
      <c r="E1612" s="9"/>
      <c r="F1612" s="32"/>
      <c r="G1612" s="10">
        <v>111598</v>
      </c>
      <c r="H1612" s="30" t="str">
        <f ca="1">IFERROR(__xludf.DUMMYFUNCTION("LOWER(REGEXREPLACE(B1612&amp;"" ""&amp;C1612,""[^а-яa-z0-9 ]"","" ""))")," ытяжка над плитой          6410     производительностью 400 699 м3 ч ")</f>
        <v xml:space="preserve"> ытяжка над плитой          6410     производительностью 400 699 м3 ч </v>
      </c>
    </row>
    <row r="1613" spans="1:8" ht="25.5" x14ac:dyDescent="0.2">
      <c r="A1613" s="31" t="s">
        <v>3630</v>
      </c>
      <c r="B1613" s="27" t="s">
        <v>3631</v>
      </c>
      <c r="C1613" s="27"/>
      <c r="D1613" s="33" t="s">
        <v>14</v>
      </c>
      <c r="E1613" s="9"/>
      <c r="F1613" s="32"/>
      <c r="G1613" s="10">
        <v>137491</v>
      </c>
      <c r="H1613" s="30" t="str">
        <f ca="1">IFERROR(__xludf.DUMMYFUNCTION("LOWER(REGEXREPLACE(B1613&amp;"" ""&amp;C1613,""[^а-яa-z0-9 ]"","" ""))")," ытяжка над плитой         2415    производительностью 800 м3 ч ")</f>
        <v xml:space="preserve"> ытяжка над плитой         2415    производительностью 800 м3 ч </v>
      </c>
    </row>
    <row r="1614" spans="1:8" ht="12.75" x14ac:dyDescent="0.2">
      <c r="A1614" s="31" t="s">
        <v>3632</v>
      </c>
      <c r="B1614" s="27" t="s">
        <v>3633</v>
      </c>
      <c r="C1614" s="27"/>
      <c r="D1614" s="33" t="s">
        <v>14</v>
      </c>
      <c r="E1614" s="9"/>
      <c r="F1614" s="32"/>
      <c r="G1614" s="10"/>
      <c r="H1614" s="30" t="str">
        <f ca="1">IFERROR(__xludf.DUMMYFUNCTION("LOWER(REGEXREPLACE(B1614&amp;"" ""&amp;C1614,""[^а-яa-z0-9 ]"","" ""))")," олодильник ")</f>
        <v xml:space="preserve"> олодильник </v>
      </c>
    </row>
    <row r="1615" spans="1:8" ht="25.5" x14ac:dyDescent="0.2">
      <c r="A1615" s="31" t="s">
        <v>3634</v>
      </c>
      <c r="B1615" s="8" t="s">
        <v>3635</v>
      </c>
      <c r="C1615" s="27" t="s">
        <v>3636</v>
      </c>
      <c r="D1615" s="33" t="s">
        <v>14</v>
      </c>
      <c r="E1615" s="34">
        <v>2</v>
      </c>
      <c r="F1615" s="34">
        <v>23</v>
      </c>
      <c r="G1615" s="10">
        <v>89119</v>
      </c>
      <c r="H1615" s="30" t="str">
        <f ca="1">IFERROR(__xludf.DUMMYFUNCTION("LOWER(REGEXREPLACE(B1615&amp;"" ""&amp;C1615,""[^а-яa-z0-9 ]"","" ""))")," олодильник  общий объем не менее 94л  однокамерный  ип холодильника  однокамерный   бщий объем не менее 94л   ласс энергопотребления   ")</f>
        <v xml:space="preserve"> олодильник  общий объем не менее 94л  однокамерный  ип холодильника  однокамерный   бщий объем не менее 94л   ласс энергопотребления   </v>
      </c>
    </row>
    <row r="1616" spans="1:8" ht="12.75" x14ac:dyDescent="0.2">
      <c r="A1616" s="31" t="s">
        <v>3637</v>
      </c>
      <c r="B1616" s="27" t="s">
        <v>3638</v>
      </c>
      <c r="C1616" s="27"/>
      <c r="D1616" s="33" t="s">
        <v>68</v>
      </c>
      <c r="E1616" s="9"/>
      <c r="F1616" s="32"/>
      <c r="G1616" s="10"/>
      <c r="H1616" s="30" t="str">
        <f ca="1">IFERROR(__xludf.DUMMYFUNCTION("LOWER(REGEXREPLACE(B1616&amp;"" ""&amp;C1616,""[^а-яa-z0-9 ]"","" ""))")," ухонный гарнитур ")</f>
        <v xml:space="preserve"> ухонный гарнитур </v>
      </c>
    </row>
    <row r="1617" spans="1:8" ht="89.25" x14ac:dyDescent="0.2">
      <c r="A1617" s="31" t="s">
        <v>3639</v>
      </c>
      <c r="B1617" s="27" t="s">
        <v>3640</v>
      </c>
      <c r="C1617" s="27" t="s">
        <v>3641</v>
      </c>
      <c r="D1617" s="33" t="s">
        <v>68</v>
      </c>
      <c r="E1617" s="34">
        <v>2</v>
      </c>
      <c r="F1617" s="34">
        <v>89</v>
      </c>
      <c r="G1617" s="10">
        <v>182631</v>
      </c>
      <c r="H1617" s="30" t="str">
        <f ca="1">IFERROR(__xludf.DUMMYFUNCTION("LOWER(REGEXREPLACE(B1617&amp;"" ""&amp;C1617,""[^а-яa-z0-9 ]"","" ""))")," каф для посуды  кухонный гарнитур  1200х500х1800мм  авесной шкаф состоит из двух частей  длиной 800 мм и 400 мм  в каждой из которых предусмотрено по одной вставной полке  фасады глухие    нижней части предусмотрена столешница из постформинга  толщиной 2"&amp;"5 мм   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урнитура  конфирматы  стяжка       полкодержатель металл  без пластиковых"&amp;" элементов  ручка 128мм без острых улов  навес мебельный      ")</f>
        <v xml:space="preserve"> каф для посуды  кухонный гарнитур  1200х500х1800мм  авесной шкаф состоит из двух частей  длиной 800 мм и 400 мм  в каждой из которых предусмотрено по одной вставной полке  фасады глухие    нижней части предусмотрена столешница из постформинга  толщиной 25 мм   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урнитура  конфирматы  стяжка       полкодержатель металл  без пластиковых элементов  ручка 128мм без острых улов  навес мебельный      </v>
      </c>
    </row>
    <row r="1618" spans="1:8" ht="25.5" x14ac:dyDescent="0.2">
      <c r="A1618" s="31" t="s">
        <v>3642</v>
      </c>
      <c r="B1618" s="27" t="s">
        <v>3643</v>
      </c>
      <c r="C1618" s="27"/>
      <c r="D1618" s="32"/>
      <c r="E1618" s="9"/>
      <c r="F1618" s="32"/>
      <c r="G1618" s="10"/>
      <c r="H1618" s="30" t="str">
        <f ca="1">IFERROR(__xludf.DUMMYFUNCTION("LOWER(REGEXREPLACE(B1618&amp;"" ""&amp;C1618,""[^а-яa-z0-9 ]"","" ""))")," ехнология обработки тканей и художественной обработки материалов ")</f>
        <v xml:space="preserve"> ехнология обработки тканей и художественной обработки материалов </v>
      </c>
    </row>
    <row r="1619" spans="1:8" ht="12.75" x14ac:dyDescent="0.2">
      <c r="A1619" s="31" t="s">
        <v>3644</v>
      </c>
      <c r="B1619" s="27" t="s">
        <v>3645</v>
      </c>
      <c r="C1619" s="27"/>
      <c r="D1619" s="33" t="s">
        <v>14</v>
      </c>
      <c r="E1619" s="9"/>
      <c r="F1619" s="32"/>
      <c r="G1619" s="10"/>
      <c r="H1619" s="30" t="str">
        <f ca="1">IFERROR(__xludf.DUMMYFUNCTION("LOWER(REGEXREPLACE(B1619&amp;"" ""&amp;C1619,""[^а-яa-z0-9 ]"","" ""))")," тол для труда под швейную машину ")</f>
        <v xml:space="preserve"> тол для труда под швейную машину </v>
      </c>
    </row>
    <row r="1620" spans="1:8" ht="63.75" x14ac:dyDescent="0.2">
      <c r="A1620" s="31" t="s">
        <v>3646</v>
      </c>
      <c r="B1620" s="8" t="s">
        <v>3647</v>
      </c>
      <c r="C1620" s="27" t="s">
        <v>3648</v>
      </c>
      <c r="D1620" s="33" t="s">
        <v>14</v>
      </c>
      <c r="E1620" s="34">
        <v>2</v>
      </c>
      <c r="F1620" s="34">
        <v>65</v>
      </c>
      <c r="G1620" s="10">
        <v>80874</v>
      </c>
      <c r="H1620" s="30" t="str">
        <f ca="1">IFERROR(__xludf.DUMMYFUNCTION("LOWER(REGEXREPLACE(B1620&amp;"" ""&amp;C1620,""[^а-яa-z0-9 ]"","" ""))")," тол для труда под швейную машину   толешница состоит из двух рабочих частей  одна размером 700х500 мм и вторая   откидная размером 500х500 мм   толешница      22мм  опоры      16мм   тол для труда под швейную машину   толешница состоит из двух рабочих ча"&amp;"стей  одна размером 700х500 мм и вторая   откидная размером 500х500 мм  столешница      22мм  опоры      16мм ")</f>
        <v xml:space="preserve"> тол для труда под швейную машину   толешница состоит из двух рабочих частей  одна размером 700х500 мм и вторая   откидная размером 500х500 мм   толешница      22мм  опоры      16мм   тол для труда под швейную машину   толешница состоит из двух рабочих частей  одна размером 700х500 мм и вторая   откидная размером 500х500 мм  столешница      22мм  опоры      16мм </v>
      </c>
    </row>
    <row r="1621" spans="1:8" ht="140.25" x14ac:dyDescent="0.2">
      <c r="A1621" s="31" t="s">
        <v>3649</v>
      </c>
      <c r="B1621" s="27" t="s">
        <v>3650</v>
      </c>
      <c r="C1621" s="27" t="s">
        <v>3651</v>
      </c>
      <c r="D1621" s="33" t="s">
        <v>14</v>
      </c>
      <c r="E1621" s="34">
        <v>2</v>
      </c>
      <c r="F1621" s="34">
        <v>65</v>
      </c>
      <c r="G1621" s="10">
        <v>89893</v>
      </c>
      <c r="H1621" s="30" t="str">
        <f ca="1">IFERROR(__xludf.DUMMYFUNCTION("LOWER(REGEXREPLACE(B1621&amp;"" ""&amp;C1621,""[^а-яa-z0-9 ]"","" ""))")," тол под швейную машину   толешница состоит из двух рабочих частей  одна размером 700х500 мм и вторая   откидная размером 500х500 мм  столешница     16 мм  корпус      16мм   абочий стол для швейной машины   толешница состоит из двух рабочих частей  одна "&amp;"размером 700х500 мм и вторая откидная размером 500х500 мм  материал    столешница ламинированый     16 мм  корпус        16 мм  кромка     с исполькозованием высокотемпературного клея    столе имеется 3 выдвижных ящика   щики собраны на роликовых направля"&amp;"ющих с колесиками  направляющие окрашены порошковой электростатической краской   а ящиках имеются ручки  в соединении дверей корпусной части имеются 2 петли и 1 ручка   орпус соединяется с помощью системой  inifiх   а нижней детали ящиков фрезеруется кана"&amp;"л  в которую монтируется нижняя     деталь   ля предотвращения воздействия воды и влаги на шкаф предусмотрены пластиковые подпятники ")</f>
        <v xml:space="preserve"> тол под швейную машину   толешница состоит из двух рабочих частей  одна размером 700х500 мм и вторая   откидная размером 500х500 мм  столешница     16 мм  корпус      16мм   абочий стол для швейной машины   толешница состоит из двух рабочих частей  одна размером 700х500 мм и вторая откидная размером 500х500 мм  материал    столешница ламинированый     16 мм  корпус        16 мм  кромка     с исполькозованием высокотемпературного клея    столе имеется 3 выдвижных ящика   щики собраны на роликовых направляющих с колесиками  направляющие окрашены порошковой электростатической краской   а ящиках имеются ручки  в соединении дверей корпусной части имеются 2 петли и 1 ручка   орпус соединяется с помощью системой  inifiх   а нижней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v>
      </c>
    </row>
    <row r="1622" spans="1:8" ht="165.75" x14ac:dyDescent="0.2">
      <c r="A1622" s="31" t="s">
        <v>3652</v>
      </c>
      <c r="B1622" s="27" t="s">
        <v>3653</v>
      </c>
      <c r="C1622" s="27" t="s">
        <v>3654</v>
      </c>
      <c r="D1622" s="33" t="s">
        <v>14</v>
      </c>
      <c r="E1622" s="34">
        <v>2</v>
      </c>
      <c r="F1622" s="34">
        <v>31</v>
      </c>
      <c r="G1622" s="10">
        <v>77542</v>
      </c>
      <c r="H1622" s="30" t="str">
        <f ca="1">IFERROR(__xludf.DUMMYFUNCTION("LOWER(REGEXREPLACE(B1622&amp;"" ""&amp;C1622,""[^а-яa-z0-9 ]"","" ""))")," тол под швейную машину 500х800х800 мм   толешница из      16мм  тумба с выдвижными ящиками  основание металлическое  азмер 500х800х800мм   атериал корпуса  выдвижных ящиков  столешница из      16 мм  на столещнице присутствует кабельная заглушка   ижняя "&amp;"часть выдвижных ящиков из ламинированного     1го класса толщиной 5 мм   ыдвижные ящики на направляющих с колесиками по 1 ручке на ящике   аправляющие окрашены электроститистическим методом 1го класса   ромка     с использованием высокотемпературного клея"&amp;"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подпятн"&amp;"ики   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f>
        <v xml:space="preserve"> тол под швейную машину 500х800х800 мм   толешница из      16мм  тумба с выдвижными ящиками  основание металлическое  азмер 500х800х800мм   атериал корпуса  выдвижных ящиков  столешница из      16 мм  на столещнице присутствует кабельная заглушка   ижняя часть выдвижных ящиков из ламинированного     1го класса толщиной 5 мм   ыдвижные ящики на направляющих с колесиками по 1 ручке на ящике   аправляющие окрашены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подпятники   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v>
      </c>
    </row>
    <row r="1623" spans="1:8" ht="216.75" x14ac:dyDescent="0.2">
      <c r="A1623" s="31" t="s">
        <v>3655</v>
      </c>
      <c r="B1623" s="27" t="s">
        <v>3656</v>
      </c>
      <c r="C1623" s="27" t="s">
        <v>3657</v>
      </c>
      <c r="D1623" s="33" t="s">
        <v>14</v>
      </c>
      <c r="E1623" s="34">
        <v>2</v>
      </c>
      <c r="F1623" s="34">
        <v>41</v>
      </c>
      <c r="G1623" s="10">
        <v>67283</v>
      </c>
      <c r="H1623" s="30" t="str">
        <f ca="1">IFERROR(__xludf.DUMMYFUNCTION("LOWER(REGEXREPLACE(B1623&amp;"" ""&amp;C1623,""[^а-яa-z0-9 ]"","" ""))")," тол под швейную машину  столешница из 2 х частей  одна   700х500 мм  вторая   откидная 500х500 мм   толешница      22мм  опоры      16мм    левой части тумба с распашной дверцей  выдвижной ящик    верхней части под столешницей выдвижной ящик для принадле"&amp;"жностей  толешница состоит из 2 х частей  одна рабочая размером 700х500 и вторая откидная 500х500 мм   ысота верхнего края столешницы над полом не менее 760 мм   толешница должна быть из      толщиной не менее 22 мм  кромка     не менее 2 мм   поры стола "&amp;"должна быть из      толщиной не менее 16мм  кромка     не менее 0 4 мм    левой части стола должна быть расположена тумба с 1 ой распашной дверцей  ниже которой располагается выдвижной ящик   азмеры тумбы должны быть  не менее 500х450х730 мм   адняя стенк"&amp;"а из      не менее 16 мм   права от тумбы расположено рабочие место шириной не менее 680 мм    верхней части рабочего места под столешницей находится выдвижной ящик для принадлежностей   азмер фасада ящика должен быть не менее 120х700 мм    качестве фурни"&amp;"туры для ящиков должны использоваться направляющие полного выдвижения с доводчиком длиной не менее 400 мм   абочее место должно быть закрыто с фасадной части двумя царгами шириной 180мм    качестве фурнитуры крепления должны использоваться конфирматы 6 4х"&amp;"50 мм  стяжка эксцентриковая  шкант буковый 8х30 мм   урнитура для открывания крышки стола должна быть с использованием механического подъ мника  с механизмом предотвращающим инертный сход фасада ")</f>
        <v xml:space="preserve"> тол под швейную машину  столешница из 2 х частей  одна   700х500 мм  вторая   откидная 500х500 мм   толешница      22мм  опоры      16мм    левой части тумба с распашной дверцей  выдвижной ящик    верхней части под столешницей выдвижной ящик для принадлежностей  толешница состоит из 2 х частей  одна рабочая размером 700х500 и вторая откидная 500х500 мм   ысота верхнего края столешницы над полом не менее 760 мм   толешница должна быть из      толщиной не менее 22 мм  кромка     не менее 2 мм   поры стола должна быть из      толщиной не менее 16мм  кромка     не менее 0 4 мм    левой части стола должна быть расположена тумба с 1 ой распашной дверцей  ниже которой располагается выдвижной ящик   азмеры тумбы должны быть  не менее 500х450х730 мм   адняя стенка из      не менее 16 мм   права от тумбы расположено рабочие место шириной не менее 680 мм    верхней части рабочего места под столешницей находится выдвижной ящик для принадлежностей   азмер фасада ящика должен быть не менее 120х700 мм    качестве фурнитуры для ящиков должны использоваться направляющие полного выдвижения с доводчиком длиной не менее 400 мм   абочее место должно быть закрыто с фасадной части двумя царгами шириной 180мм    качестве фурнитуры крепления должны использоваться конфирматы 6 4х50 мм  стяжка эксцентриковая  шкант буковый 8х30 мм   урнитура для открывания крышки стола должна быть с использованием механического подъ мника  с механизмом предотвращающим инертный сход фасада </v>
      </c>
    </row>
    <row r="1624" spans="1:8" ht="140.25" x14ac:dyDescent="0.2">
      <c r="A1624" s="31" t="s">
        <v>3658</v>
      </c>
      <c r="B1624" s="27" t="s">
        <v>3659</v>
      </c>
      <c r="C1624" s="27" t="s">
        <v>3660</v>
      </c>
      <c r="D1624" s="33" t="s">
        <v>14</v>
      </c>
      <c r="E1624" s="34">
        <v>2</v>
      </c>
      <c r="F1624" s="34">
        <v>108</v>
      </c>
      <c r="G1624" s="10">
        <v>107608</v>
      </c>
      <c r="H1624" s="30" t="str">
        <f ca="1">IFERROR(__xludf.DUMMYFUNCTION("LOWER(REGEXREPLACE(B1624&amp;"" ""&amp;C1624,""[^а-яa-z0-9 ]"","" ""))")," тол для раскроя ткани на колесах  размеры столешницы 1600х1200 мм  толщина      22 мм  ысота верхнего края столешницы над уровнем пола должна быть не менее 800 мм   атериал столешницы должен быть       толщиной не менее 22 мм   ромка из     не менее 2 мм"&amp;"   тол изготовлен из      толщиной не менее 16 мм   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центральной части должен быть сквозной прое"&amp;"м для удобства хранения и использования ткани и принадлежностей   о ширине стола с 2 сторон должны быть ниши  разделенные горизонтально на 2 одинаковые части   снование стола должно быть изготовлено из трубы квадратного сечения не менее 25х25 мм  толщиной"&amp;" не менее 1 2 мм  и оснащено не менее 6 колесными опорами для свободного перемещения стола ")</f>
        <v xml:space="preserve"> тол для раскроя ткани на колесах  размеры столешницы 1600х1200 мм  толщина      22 мм  ысота верхнего края столешницы над уровнем пола должна быть не менее 800 мм   атериал столешницы должен быть       толщиной не менее 22 мм   ромка из     не менее 2 мм   тол изготовлен из      толщиной не менее 16 мм   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центральной части должен быть сквозной проем для удобства хранения и использования ткани и принадлежностей   о ширине стола с 2 сторон должны быть ниши  разделенные горизонтально на 2 одинаковые части   снование стола должно быть изготовлено из трубы квадратного сечения не менее 25х25 мм  толщиной не менее 1 2 мм  и оснащено не менее 6 колесными опорами для свободного перемещения стола </v>
      </c>
    </row>
    <row r="1625" spans="1:8" ht="25.5" x14ac:dyDescent="0.2">
      <c r="A1625" s="31" t="s">
        <v>3661</v>
      </c>
      <c r="B1625" s="8" t="s">
        <v>3662</v>
      </c>
      <c r="C1625" s="27" t="s">
        <v>3663</v>
      </c>
      <c r="D1625" s="33" t="s">
        <v>14</v>
      </c>
      <c r="E1625" s="9"/>
      <c r="F1625" s="34">
        <v>45</v>
      </c>
      <c r="G1625" s="10">
        <v>43314</v>
      </c>
      <c r="H1625" s="30" t="str">
        <f ca="1">IFERROR(__xludf.DUMMYFUNCTION("LOWER(REGEXREPLACE(B1625&amp;"" ""&amp;C1625,""[^а-яa-z0-9 ]"","" ""))")," тол для раскроя ткани   толешница 32мм  опоры      16мм   азмеры 1000х800мм   тол для раскроя ткани   толешница      32мм  опоры      16мм   азмеры 1000х800мм ")</f>
        <v xml:space="preserve"> тол для раскроя ткани   толешница 32мм  опоры      16мм   азмеры 1000х800мм   тол для раскроя ткани   толешница      32мм  опоры      16мм   азмеры 1000х800мм </v>
      </c>
    </row>
    <row r="1626" spans="1:8" ht="12.75" x14ac:dyDescent="0.2">
      <c r="A1626" s="31" t="s">
        <v>3664</v>
      </c>
      <c r="B1626" s="27" t="s">
        <v>3665</v>
      </c>
      <c r="C1626" s="27"/>
      <c r="D1626" s="33" t="s">
        <v>14</v>
      </c>
      <c r="E1626" s="9"/>
      <c r="F1626" s="32"/>
      <c r="G1626" s="10"/>
      <c r="H1626" s="30" t="str">
        <f ca="1">IFERROR(__xludf.DUMMYFUNCTION("LOWER(REGEXREPLACE(B1626&amp;"" ""&amp;C1626,""[^а-яa-z0-9 ]"","" ""))")," верлок ")</f>
        <v xml:space="preserve"> верлок </v>
      </c>
    </row>
    <row r="1627" spans="1:8" ht="51" x14ac:dyDescent="0.2">
      <c r="A1627" s="31" t="s">
        <v>3666</v>
      </c>
      <c r="B1627" s="27" t="s">
        <v>3667</v>
      </c>
      <c r="C1627" s="27"/>
      <c r="D1627" s="33" t="s">
        <v>14</v>
      </c>
      <c r="E1627" s="9"/>
      <c r="F1627" s="34">
        <v>9</v>
      </c>
      <c r="G1627" s="10">
        <v>103563</v>
      </c>
      <c r="H1627" s="30" t="str">
        <f ca="1">IFERROR(__xludf.DUMMYFUNCTION("LOWER(REGEXREPLACE(B1627&amp;"" ""&amp;C1627,""[^а-яa-z0-9 ]"","" ""))")," верлок швейный             4   потребляемая мощность 90 т  количество швейных операций   7  максимальная скорость шитья 1200 ст мин ")</f>
        <v xml:space="preserve"> верлок швейный             4   потребляемая мощность 90 т  количество швейных операций   7  максимальная скорость шитья 1200 ст мин </v>
      </c>
    </row>
    <row r="1628" spans="1:8" ht="51" x14ac:dyDescent="0.2">
      <c r="A1628" s="31" t="s">
        <v>3668</v>
      </c>
      <c r="B1628" s="27" t="s">
        <v>3669</v>
      </c>
      <c r="C1628" s="27"/>
      <c r="D1628" s="33" t="s">
        <v>14</v>
      </c>
      <c r="E1628" s="9"/>
      <c r="F1628" s="34">
        <v>8</v>
      </c>
      <c r="G1628" s="10">
        <v>107134</v>
      </c>
      <c r="H1628" s="30" t="str">
        <f ca="1">IFERROR(__xludf.DUMMYFUNCTION("LOWER(REGEXREPLACE(B1628&amp;"" ""&amp;C1628,""[^а-яa-z0-9 ]"","" ""))")," верлок швейный              649  потребляемая мощность 100  т  количество швейных операций   12  максимальная скорость шитья 1300 ст мин ")</f>
        <v xml:space="preserve"> верлок швейный              649  потребляемая мощность 100  т  количество швейных операций   12  максимальная скорость шитья 1300 ст мин </v>
      </c>
    </row>
    <row r="1629" spans="1:8" ht="51" x14ac:dyDescent="0.2">
      <c r="A1629" s="31" t="s">
        <v>3670</v>
      </c>
      <c r="B1629" s="27" t="s">
        <v>3671</v>
      </c>
      <c r="C1629" s="27"/>
      <c r="D1629" s="33" t="s">
        <v>14</v>
      </c>
      <c r="E1629" s="9"/>
      <c r="F1629" s="35">
        <v>8.6</v>
      </c>
      <c r="G1629" s="10">
        <v>114277</v>
      </c>
      <c r="H1629" s="30" t="str">
        <f ca="1">IFERROR(__xludf.DUMMYFUNCTION("LOWER(REGEXREPLACE(B1629&amp;"" ""&amp;C1629,""[^а-яa-z0-9 ]"","" ""))")," верлок швейный       reamlock 777  потребляемая мощность 135  т  количество швейных операций   8  максимальная скорость шитья 1200 ст мин ")</f>
        <v xml:space="preserve"> верлок швейный       reamlock 777  потребляемая мощность 135  т  количество швейных операций   8  максимальная скорость шитья 1200 ст мин </v>
      </c>
    </row>
    <row r="1630" spans="1:8" ht="51" x14ac:dyDescent="0.2">
      <c r="A1630" s="31" t="s">
        <v>3672</v>
      </c>
      <c r="B1630" s="27" t="s">
        <v>3673</v>
      </c>
      <c r="C1630" s="27"/>
      <c r="D1630" s="33" t="s">
        <v>14</v>
      </c>
      <c r="E1630" s="9"/>
      <c r="F1630" s="35">
        <v>9.5</v>
      </c>
      <c r="G1630" s="10">
        <v>160705</v>
      </c>
      <c r="H1630" s="30" t="str">
        <f ca="1">IFERROR(__xludf.DUMMYFUNCTION("LOWER(REGEXREPLACE(B1630&amp;"" ""&amp;C1630,""[^а-яa-z0-9 ]"","" ""))")," верлок швейный                 4057  потребляемая мощность 105  т  количество швейных операций   8  максимальная скорость шитья 1300 ст мин ")</f>
        <v xml:space="preserve"> верлок швейный                 4057  потребляемая мощность 105  т  количество швейных операций   8  максимальная скорость шитья 1300 ст мин </v>
      </c>
    </row>
    <row r="1631" spans="1:8" ht="51" x14ac:dyDescent="0.2">
      <c r="A1631" s="31" t="s">
        <v>3674</v>
      </c>
      <c r="B1631" s="27" t="s">
        <v>3675</v>
      </c>
      <c r="C1631" s="27"/>
      <c r="D1631" s="33" t="s">
        <v>14</v>
      </c>
      <c r="E1631" s="9"/>
      <c r="F1631" s="34">
        <v>8</v>
      </c>
      <c r="G1631" s="10">
        <v>165170</v>
      </c>
      <c r="H1631" s="30" t="str">
        <f ca="1">IFERROR(__xludf.DUMMYFUNCTION("LOWER(REGEXREPLACE(B1631&amp;"" ""&amp;C1631,""[^а-яa-z0-9 ]"","" ""))")," верлок швейный               4952  потребляемая мощность 120  т  количество швейных операций   4  максимальная скорость шитья 1300 ст мин ")</f>
        <v xml:space="preserve"> верлок швейный               4952  потребляемая мощность 120  т  количество швейных операций   4  максимальная скорость шитья 1300 ст мин </v>
      </c>
    </row>
    <row r="1632" spans="1:8" ht="38.25" x14ac:dyDescent="0.2">
      <c r="A1632" s="31" t="s">
        <v>3676</v>
      </c>
      <c r="B1632" s="27" t="s">
        <v>3677</v>
      </c>
      <c r="C1632" s="27"/>
      <c r="D1632" s="33" t="s">
        <v>14</v>
      </c>
      <c r="E1632" s="9"/>
      <c r="F1632" s="35">
        <v>7.5</v>
      </c>
      <c r="G1632" s="10">
        <v>195527</v>
      </c>
      <c r="H1632" s="30" t="str">
        <f ca="1">IFERROR(__xludf.DUMMYFUNCTION("LOWER(REGEXREPLACE(B1632&amp;"" ""&amp;C1632,""[^а-яa-z0-9 ]"","" ""))")," верлок швейный      664  ro  потребляемая мощность 120  т  количество швейных операций   12  максимальная скорость шитья 1300 ст мин ")</f>
        <v xml:space="preserve"> верлок швейный      664  ro  потребляемая мощность 120  т  количество швейных операций   12  максимальная скорость шитья 1300 ст мин </v>
      </c>
    </row>
    <row r="1633" spans="1:8" ht="38.25" x14ac:dyDescent="0.2">
      <c r="A1633" s="31" t="s">
        <v>3678</v>
      </c>
      <c r="B1633" s="27" t="s">
        <v>3679</v>
      </c>
      <c r="C1633" s="27"/>
      <c r="D1633" s="33" t="s">
        <v>14</v>
      </c>
      <c r="E1633" s="9"/>
      <c r="F1633" s="35">
        <v>7.2</v>
      </c>
      <c r="G1633" s="10">
        <v>206241</v>
      </c>
      <c r="H1633" s="30" t="str">
        <f ca="1">IFERROR(__xludf.DUMMYFUNCTION("LOWER(REGEXREPLACE(B1633&amp;"" ""&amp;C1633,""[^а-яa-z0-9 ]"","" ""))")," верлок швейный           44  потребляемая мощность 90  т  количество швейных операций   15  максимальная скорость шитья 1300 ст мин ")</f>
        <v xml:space="preserve"> верлок швейный           44  потребляемая мощность 90  т  количество швейных операций   15  максимальная скорость шитья 1300 ст мин </v>
      </c>
    </row>
    <row r="1634" spans="1:8" ht="51" x14ac:dyDescent="0.2">
      <c r="A1634" s="31" t="s">
        <v>3680</v>
      </c>
      <c r="B1634" s="8" t="s">
        <v>3681</v>
      </c>
      <c r="C1634" s="27"/>
      <c r="D1634" s="33" t="s">
        <v>14</v>
      </c>
      <c r="E1634" s="9"/>
      <c r="F1634" s="35">
        <v>7.6</v>
      </c>
      <c r="G1634" s="10">
        <v>249991</v>
      </c>
      <c r="H1634" s="30" t="str">
        <f ca="1">IFERROR(__xludf.DUMMYFUNCTION("LOWER(REGEXREPLACE(B1634&amp;"" ""&amp;C1634,""[^а-яa-z0-9 ]"","" ""))")," верлок               944    потребляемая мощность 105  т  количество швейных операций   11  максимальная скорость шитья 1300 ст мин ")</f>
        <v xml:space="preserve"> верлок               944    потребляемая мощность 105  т  количество швейных операций   11  максимальная скорость шитья 1300 ст мин </v>
      </c>
    </row>
    <row r="1635" spans="1:8" ht="38.25" x14ac:dyDescent="0.2">
      <c r="A1635" s="31" t="s">
        <v>3682</v>
      </c>
      <c r="B1635" s="27" t="s">
        <v>3683</v>
      </c>
      <c r="C1635" s="27" t="s">
        <v>3684</v>
      </c>
      <c r="D1635" s="33" t="s">
        <v>14</v>
      </c>
      <c r="E1635" s="9"/>
      <c r="F1635" s="34">
        <v>17</v>
      </c>
      <c r="G1635" s="10">
        <v>338967</v>
      </c>
      <c r="H1635" s="30" t="str">
        <f ca="1">IFERROR(__xludf.DUMMYFUNCTION("LOWER(REGEXREPLACE(B1635&amp;"" ""&amp;C1635,""[^а-яa-z0-9 ]"","" ""))")," верлок   ni raft    95   размер 470мм х 330мм х 490мм  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f>
        <v xml:space="preserve"> верлок   ni raft    95   размер 470мм х 330мм х 490мм  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v>
      </c>
    </row>
    <row r="1636" spans="1:8" ht="51" x14ac:dyDescent="0.2">
      <c r="A1636" s="31" t="s">
        <v>3685</v>
      </c>
      <c r="B1636" s="27" t="s">
        <v>3686</v>
      </c>
      <c r="C1636" s="27"/>
      <c r="D1636" s="33" t="s">
        <v>14</v>
      </c>
      <c r="E1636" s="34">
        <v>2</v>
      </c>
      <c r="F1636" s="34">
        <v>8</v>
      </c>
      <c r="G1636" s="10">
        <v>250824</v>
      </c>
      <c r="H1636" s="30" t="str">
        <f ca="1">IFERROR(__xludf.DUMMYFUNCTION("LOWER(REGEXREPLACE(B1636&amp;"" ""&amp;C1636,""[^а-яa-z0-9 ]"","" ""))")," верлок швейный типа bernette         44  потребляемая мощность 90 т  количество швейных операций   15  максимальная скорость шитья 1300 ст мин ")</f>
        <v xml:space="preserve"> верлок швейный типа bernette         44  потребляемая мощность 90 т  количество швейных операций   15  максимальная скорость шитья 1300 ст мин </v>
      </c>
    </row>
    <row r="1637" spans="1:8" ht="12.75" x14ac:dyDescent="0.2">
      <c r="A1637" s="31" t="s">
        <v>3687</v>
      </c>
      <c r="B1637" s="27" t="s">
        <v>3688</v>
      </c>
      <c r="C1637" s="27"/>
      <c r="D1637" s="33" t="s">
        <v>14</v>
      </c>
      <c r="E1637" s="9"/>
      <c r="F1637" s="32"/>
      <c r="G1637" s="10">
        <v>14277</v>
      </c>
      <c r="H1637" s="30" t="str">
        <f ca="1">IFERROR(__xludf.DUMMYFUNCTION("LOWER(REGEXREPLACE(B1637&amp;"" ""&amp;C1637,""[^а-яa-z0-9 ]"","" ""))")," оска гладильная напольная ")</f>
        <v xml:space="preserve"> оска гладильная напольная </v>
      </c>
    </row>
    <row r="1638" spans="1:8" ht="12.75" x14ac:dyDescent="0.2">
      <c r="A1638" s="31" t="s">
        <v>3689</v>
      </c>
      <c r="B1638" s="27" t="s">
        <v>3690</v>
      </c>
      <c r="C1638" s="27"/>
      <c r="D1638" s="33" t="s">
        <v>14</v>
      </c>
      <c r="E1638" s="9"/>
      <c r="F1638" s="32"/>
      <c r="G1638" s="10">
        <v>31643</v>
      </c>
      <c r="H1638" s="30" t="str">
        <f ca="1">IFERROR(__xludf.DUMMYFUNCTION("LOWER(REGEXREPLACE(B1638&amp;"" ""&amp;C1638,""[^а-яa-z0-9 ]"","" ""))")," анекен женский ")</f>
        <v xml:space="preserve"> анекен женский </v>
      </c>
    </row>
    <row r="1639" spans="1:8" ht="12.75" x14ac:dyDescent="0.2">
      <c r="A1639" s="31" t="s">
        <v>3691</v>
      </c>
      <c r="B1639" s="27" t="s">
        <v>3692</v>
      </c>
      <c r="C1639" s="27"/>
      <c r="D1639" s="33" t="s">
        <v>14</v>
      </c>
      <c r="E1639" s="9"/>
      <c r="F1639" s="32"/>
      <c r="G1639" s="10">
        <v>31643</v>
      </c>
      <c r="H1639" s="30" t="str">
        <f ca="1">IFERROR(__xludf.DUMMYFUNCTION("LOWER(REGEXREPLACE(B1639&amp;"" ""&amp;C1639,""[^а-яa-z0-9 ]"","" ""))")," анекен мужской ")</f>
        <v xml:space="preserve"> анекен мужской </v>
      </c>
    </row>
    <row r="1640" spans="1:8" ht="12.75" x14ac:dyDescent="0.2">
      <c r="A1640" s="31" t="s">
        <v>3693</v>
      </c>
      <c r="B1640" s="27" t="s">
        <v>3694</v>
      </c>
      <c r="C1640" s="27"/>
      <c r="D1640" s="33" t="s">
        <v>14</v>
      </c>
      <c r="E1640" s="9"/>
      <c r="F1640" s="32"/>
      <c r="G1640" s="10"/>
      <c r="H1640" s="30" t="str">
        <f ca="1">IFERROR(__xludf.DUMMYFUNCTION("LOWER(REGEXREPLACE(B1640&amp;"" ""&amp;C1640,""[^а-яa-z0-9 ]"","" ""))")," танок ткацкий ")</f>
        <v xml:space="preserve"> танок ткацкий </v>
      </c>
    </row>
    <row r="1641" spans="1:8" ht="38.25" x14ac:dyDescent="0.2">
      <c r="A1641" s="31" t="s">
        <v>3695</v>
      </c>
      <c r="B1641" s="27" t="s">
        <v>3696</v>
      </c>
      <c r="C1641" s="27" t="s">
        <v>3697</v>
      </c>
      <c r="D1641" s="33" t="s">
        <v>14</v>
      </c>
      <c r="E1641" s="34">
        <v>2</v>
      </c>
      <c r="F1641" s="35">
        <v>7.9</v>
      </c>
      <c r="G1641" s="10">
        <v>243562</v>
      </c>
      <c r="H1641" s="30" t="str">
        <f ca="1">IFERROR(__xludf.DUMMYFUNCTION("LOWER(REGEXREPLACE(B1641&amp;"" ""&amp;C1641,""[^а-яa-z0-9 ]"","" ""))")," танок ткацкий ручной   ni raft     95   размер 385мм х270мм х320мм  атериал дерево  с разборным корпусом оснащен регулируемыми натяжителями нитей  различными режимами настройки ")</f>
        <v xml:space="preserve"> танок ткацкий ручной   ni raft     95   размер 385мм х270мм х320мм  атериал дерево  с разборным корпусом оснащен регулируемыми натяжителями нитей  различными режимами настройки </v>
      </c>
    </row>
    <row r="1642" spans="1:8" ht="12.75" x14ac:dyDescent="0.2">
      <c r="A1642" s="31" t="s">
        <v>3698</v>
      </c>
      <c r="B1642" s="27" t="s">
        <v>3699</v>
      </c>
      <c r="C1642" s="27"/>
      <c r="D1642" s="33" t="s">
        <v>14</v>
      </c>
      <c r="E1642" s="9"/>
      <c r="F1642" s="32"/>
      <c r="G1642" s="10"/>
      <c r="H1642" s="30" t="str">
        <f ca="1">IFERROR(__xludf.DUMMYFUNCTION("LOWER(REGEXREPLACE(B1642&amp;"" ""&amp;C1642,""[^а-яa-z0-9 ]"","" ""))")," ашина вышивальная ")</f>
        <v xml:space="preserve"> ашина вышивальная </v>
      </c>
    </row>
    <row r="1643" spans="1:8" ht="51" x14ac:dyDescent="0.2">
      <c r="A1643" s="31" t="s">
        <v>3700</v>
      </c>
      <c r="B1643" s="27" t="s">
        <v>3701</v>
      </c>
      <c r="C1643" s="27"/>
      <c r="D1643" s="33" t="s">
        <v>14</v>
      </c>
      <c r="E1643" s="34">
        <v>2</v>
      </c>
      <c r="F1643" s="34">
        <v>19</v>
      </c>
      <c r="G1643" s="10">
        <v>836598</v>
      </c>
      <c r="H1643" s="30" t="str">
        <f ca="1">IFERROR(__xludf.DUMMYFUNCTION("LOWER(REGEXREPLACE(B1643&amp;"" ""&amp;C1643,""[^а-яa-z0-9 ]"","" ""))")," ашина вышивальная         emory  raft 550   количество вышивальных дизайнов   180  потребляемая мощность 55  т  максимальная скорость шитья 860 ст мин ")</f>
        <v xml:space="preserve"> ашина вышивальная         emory  raft 550   количество вышивальных дизайнов   180  потребляемая мощность 55  т  максимальная скорость шитья 860 ст мин </v>
      </c>
    </row>
    <row r="1644" spans="1:8" ht="51" x14ac:dyDescent="0.2">
      <c r="A1644" s="31" t="s">
        <v>3702</v>
      </c>
      <c r="B1644" s="27" t="s">
        <v>3703</v>
      </c>
      <c r="C1644" s="27" t="s">
        <v>3704</v>
      </c>
      <c r="D1644" s="33" t="s">
        <v>14</v>
      </c>
      <c r="E1644" s="34">
        <v>2</v>
      </c>
      <c r="F1644" s="34">
        <v>17</v>
      </c>
      <c r="G1644" s="10">
        <v>1075913</v>
      </c>
      <c r="H1644" s="30" t="str">
        <f ca="1">IFERROR(__xludf.DUMMYFUNCTION("LOWER(REGEXREPLACE(B1644&amp;"" ""&amp;C1644,""[^а-яa-z0-9 ]"","" ""))")," ашина вышивальная   ni raft  emory  raft   размер 450мм х 350мм х480мм  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для им"&amp;"порта дополнительных дизайнов вышивки")</f>
        <v xml:space="preserve"> ашина вышивальная   ni raft  emory  raft   размер 450мм х 350мм х480мм  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для импорта дополнительных дизайнов вышивки</v>
      </c>
    </row>
    <row r="1645" spans="1:8" ht="12.75" x14ac:dyDescent="0.2">
      <c r="A1645" s="31" t="s">
        <v>3705</v>
      </c>
      <c r="B1645" s="27" t="s">
        <v>3706</v>
      </c>
      <c r="C1645" s="27"/>
      <c r="D1645" s="33" t="s">
        <v>14</v>
      </c>
      <c r="E1645" s="9"/>
      <c r="F1645" s="32"/>
      <c r="G1645" s="10"/>
      <c r="H1645" s="30" t="str">
        <f ca="1">IFERROR(__xludf.DUMMYFUNCTION("LOWER(REGEXREPLACE(B1645&amp;"" ""&amp;C1645,""[^а-яa-z0-9 ]"","" ""))")," ашина швейная ")</f>
        <v xml:space="preserve"> ашина швейная </v>
      </c>
    </row>
    <row r="1646" spans="1:8" ht="51" x14ac:dyDescent="0.2">
      <c r="A1646" s="31" t="s">
        <v>3707</v>
      </c>
      <c r="B1646" s="27" t="s">
        <v>3708</v>
      </c>
      <c r="C1646" s="27"/>
      <c r="D1646" s="33" t="s">
        <v>14</v>
      </c>
      <c r="E1646" s="9"/>
      <c r="F1646" s="34">
        <v>7</v>
      </c>
      <c r="G1646" s="10">
        <v>202670</v>
      </c>
      <c r="H1646" s="30" t="str">
        <f ca="1">IFERROR(__xludf.DUMMYFUNCTION("LOWER(REGEXREPLACE(B1646&amp;"" ""&amp;C1646,""[^а-яa-z0-9 ]"","" ""))")," ашина швейная компьютеризированная электронная           37  количество швейных операций   50  потребляемая мощность 42  т  максимальная скорость шитья 700 ст мин ")</f>
        <v xml:space="preserve"> ашина швейная компьютеризированная электронная           37  количество швейных операций   50  потребляемая мощность 42  т  максимальная скорость шитья 700 ст мин </v>
      </c>
    </row>
    <row r="1647" spans="1:8" ht="51" x14ac:dyDescent="0.2">
      <c r="A1647" s="31" t="s">
        <v>3709</v>
      </c>
      <c r="B1647" s="27" t="s">
        <v>3710</v>
      </c>
      <c r="C1647" s="27"/>
      <c r="D1647" s="33" t="s">
        <v>14</v>
      </c>
      <c r="E1647" s="9"/>
      <c r="F1647" s="34">
        <v>9</v>
      </c>
      <c r="G1647" s="10">
        <v>274098</v>
      </c>
      <c r="H1647" s="30" t="str">
        <f ca="1">IFERROR(__xludf.DUMMYFUNCTION("LOWER(REGEXREPLACE(B1647&amp;"" ""&amp;C1647,""[^а-яa-z0-9 ]"","" ""))")," ашина швейная электронная           38 с прикладным столиком  количество швейных операций   394  потребляемая мощность 42  т  максимальная скорость шитья 820 ст мин ")</f>
        <v xml:space="preserve"> ашина швейная электронная           38 с прикладным столиком  количество швейных операций   394  потребляемая мощность 42  т  максимальная скорость шитья 820 ст мин </v>
      </c>
    </row>
    <row r="1648" spans="1:8" ht="51" x14ac:dyDescent="0.2">
      <c r="A1648" s="31" t="s">
        <v>3711</v>
      </c>
      <c r="B1648" s="27" t="s">
        <v>3712</v>
      </c>
      <c r="C1648" s="27"/>
      <c r="D1648" s="33" t="s">
        <v>14</v>
      </c>
      <c r="E1648" s="9"/>
      <c r="F1648" s="34">
        <v>5</v>
      </c>
      <c r="G1648" s="10">
        <v>59813</v>
      </c>
      <c r="H1648" s="30" t="str">
        <f ca="1">IFERROR(__xludf.DUMMYFUNCTION("LOWER(REGEXREPLACE(B1648&amp;"" ""&amp;C1648,""[^а-яa-z0-9 ]"","" ""))")," ашина швейная электромеханическая          anis  количество швейных операций   9  потребляемая мощность 70  т  максимальная скорость шитья 750 ст мин ")</f>
        <v xml:space="preserve"> ашина швейная электромеханическая          anis  количество швейных операций   9  потребляемая мощность 70  т  максимальная скорость шитья 750 ст мин </v>
      </c>
    </row>
    <row r="1649" spans="1:8" ht="38.25" x14ac:dyDescent="0.2">
      <c r="A1649" s="31" t="s">
        <v>3713</v>
      </c>
      <c r="B1649" s="27" t="s">
        <v>3714</v>
      </c>
      <c r="C1649" s="27"/>
      <c r="D1649" s="33" t="s">
        <v>14</v>
      </c>
      <c r="E1649" s="9"/>
      <c r="F1649" s="34">
        <v>8</v>
      </c>
      <c r="G1649" s="10">
        <v>66955</v>
      </c>
      <c r="H1649" s="30" t="str">
        <f ca="1">IFERROR(__xludf.DUMMYFUNCTION("LOWER(REGEXREPLACE(B1649&amp;"" ""&amp;C1649,""[^а-яa-z0-9 ]"","" ""))")," ашина швейная            650  количество швейных операций   80  потребляемая мощность 85  т  максимальная скорость шитья 750 ст мин ")</f>
        <v xml:space="preserve"> ашина швейная            650  количество швейных операций   80  потребляемая мощность 85  т  максимальная скорость шитья 750 ст мин </v>
      </c>
    </row>
    <row r="1650" spans="1:8" ht="51" x14ac:dyDescent="0.2">
      <c r="A1650" s="31" t="s">
        <v>3715</v>
      </c>
      <c r="B1650" s="27" t="s">
        <v>3716</v>
      </c>
      <c r="C1650" s="27"/>
      <c r="D1650" s="33" t="s">
        <v>14</v>
      </c>
      <c r="E1650" s="9"/>
      <c r="F1650" s="34">
        <v>5</v>
      </c>
      <c r="G1650" s="10">
        <v>80348</v>
      </c>
      <c r="H1650" s="30" t="str">
        <f ca="1">IFERROR(__xludf.DUMMYFUNCTION("LOWER(REGEXREPLACE(B1650&amp;"" ""&amp;C1650,""[^а-яa-z0-9 ]"","" ""))")," ашина швейная электромеханическая                34  количество швейных операций   34  потребляемая мощность 65  т  максимальная скорость шитья 700 ст мин ")</f>
        <v xml:space="preserve"> ашина швейная электромеханическая                34  количество швейных операций   34  потребляемая мощность 65  т  максимальная скорость шитья 700 ст мин </v>
      </c>
    </row>
    <row r="1651" spans="1:8" ht="51" x14ac:dyDescent="0.2">
      <c r="A1651" s="31" t="s">
        <v>3717</v>
      </c>
      <c r="B1651" s="27" t="s">
        <v>3718</v>
      </c>
      <c r="C1651" s="27"/>
      <c r="D1651" s="33" t="s">
        <v>14</v>
      </c>
      <c r="E1651" s="9"/>
      <c r="F1651" s="35">
        <v>5.8</v>
      </c>
      <c r="G1651" s="10">
        <v>82134</v>
      </c>
      <c r="H1651" s="30" t="str">
        <f ca="1">IFERROR(__xludf.DUMMYFUNCTION("LOWER(REGEXREPLACE(B1651&amp;"" ""&amp;C1651,""[^а-яa-z0-9 ]"","" ""))")," ашина швейная электромеханическая         herry 20  количество швейных операций   20  потребляемая мощность 60  т  максимальная скорость шитья 600 ст мин ")</f>
        <v xml:space="preserve"> ашина швейная электромеханическая         herry 20  количество швейных операций   20  потребляемая мощность 60  т  максимальная скорость шитья 600 ст мин </v>
      </c>
    </row>
    <row r="1652" spans="1:8" ht="51" x14ac:dyDescent="0.2">
      <c r="A1652" s="31" t="s">
        <v>3719</v>
      </c>
      <c r="B1652" s="27" t="s">
        <v>3720</v>
      </c>
      <c r="C1652" s="27"/>
      <c r="D1652" s="33" t="s">
        <v>14</v>
      </c>
      <c r="E1652" s="9"/>
      <c r="F1652" s="34">
        <v>6</v>
      </c>
      <c r="G1652" s="10">
        <v>89277</v>
      </c>
      <c r="H1652" s="30" t="str">
        <f ca="1">IFERROR(__xludf.DUMMYFUNCTION("LOWER(REGEXREPLACE(B1652&amp;"" ""&amp;C1652,""[^а-яa-z0-9 ]"","" ""))")," ашина швейная электромеханическая         igh tyle 1818  количество швейных операций   19  потребляемая мощность 65  т  максимальная скорость шитья 400 ст мин ")</f>
        <v xml:space="preserve"> ашина швейная электромеханическая         igh tyle 1818  количество швейных операций   19  потребляемая мощность 65  т  максимальная скорость шитья 400 ст мин </v>
      </c>
    </row>
    <row r="1653" spans="1:8" ht="51" x14ac:dyDescent="0.2">
      <c r="A1653" s="31" t="s">
        <v>3721</v>
      </c>
      <c r="B1653" s="27" t="s">
        <v>3722</v>
      </c>
      <c r="C1653" s="27"/>
      <c r="D1653" s="33" t="s">
        <v>14</v>
      </c>
      <c r="E1653" s="9"/>
      <c r="F1653" s="34">
        <v>7</v>
      </c>
      <c r="G1653" s="10">
        <v>93741</v>
      </c>
      <c r="H1653" s="30" t="str">
        <f ca="1">IFERROR(__xludf.DUMMYFUNCTION("LOWER(REGEXREPLACE(B1653&amp;"" ""&amp;C1653,""[^а-яa-z0-9 ]"","" ""))")," ашина швейная электромеханическая           ublime  ilan 3  количество швейных операций   21  потребляемая мощность 80  т  максимальная скорость шитья 800 ст мин ")</f>
        <v xml:space="preserve"> ашина швейная электромеханическая           ublime  ilan 3  количество швейных операций   21  потребляемая мощность 80  т  максимальная скорость шитья 800 ст мин </v>
      </c>
    </row>
    <row r="1654" spans="1:8" ht="51" x14ac:dyDescent="0.2">
      <c r="A1654" s="31" t="s">
        <v>3723</v>
      </c>
      <c r="B1654" s="27" t="s">
        <v>3724</v>
      </c>
      <c r="C1654" s="27"/>
      <c r="D1654" s="33" t="s">
        <v>14</v>
      </c>
      <c r="E1654" s="9"/>
      <c r="F1654" s="35">
        <v>6.3</v>
      </c>
      <c r="G1654" s="10">
        <v>100884</v>
      </c>
      <c r="H1654" s="30" t="str">
        <f ca="1">IFERROR(__xludf.DUMMYFUNCTION("LOWER(REGEXREPLACE(B1654&amp;"" ""&amp;C1654,""[^а-яa-z0-9 ]"","" ""))")," ашина швейная электромеханическая        1225s  количество швейных операций   25  потребляемая мощность 85  т  максимальная скорость шитья 700 ст мин ")</f>
        <v xml:space="preserve"> ашина швейная электромеханическая        1225s  количество швейных операций   25  потребляемая мощность 85  т  максимальная скорость шитья 700 ст мин </v>
      </c>
    </row>
    <row r="1655" spans="1:8" ht="51" x14ac:dyDescent="0.2">
      <c r="A1655" s="31" t="s">
        <v>3725</v>
      </c>
      <c r="B1655" s="27" t="s">
        <v>3726</v>
      </c>
      <c r="C1655" s="27"/>
      <c r="D1655" s="33" t="s">
        <v>14</v>
      </c>
      <c r="E1655" s="9"/>
      <c r="F1655" s="34">
        <v>8</v>
      </c>
      <c r="G1655" s="10">
        <v>107134</v>
      </c>
      <c r="H1655" s="30" t="str">
        <f ca="1">IFERROR(__xludf.DUMMYFUNCTION("LOWER(REGEXREPLACE(B1655&amp;"" ""&amp;C1655,""[^а-яa-z0-9 ]"","" ""))")," ашина швейная электромеханическая           ublime  ilan 5  количество швейных операций   28  потребляемая мощность 85  т  максимальная скорость шитья 800 ст мин ")</f>
        <v xml:space="preserve"> ашина швейная электромеханическая           ublime  ilan 5  количество швейных операций   28  потребляемая мощность 85  т  максимальная скорость шитья 800 ст мин </v>
      </c>
    </row>
    <row r="1656" spans="1:8" ht="51" x14ac:dyDescent="0.2">
      <c r="A1656" s="31" t="s">
        <v>3727</v>
      </c>
      <c r="B1656" s="27" t="s">
        <v>3728</v>
      </c>
      <c r="C1656" s="27"/>
      <c r="D1656" s="33" t="s">
        <v>14</v>
      </c>
      <c r="E1656" s="9"/>
      <c r="F1656" s="35">
        <v>6.1</v>
      </c>
      <c r="G1656" s="10">
        <v>124098</v>
      </c>
      <c r="H1656" s="30" t="str">
        <f ca="1">IFERROR(__xludf.DUMMYFUNCTION("LOWER(REGEXREPLACE(B1656&amp;"" ""&amp;C1656,""[^а-яa-z0-9 ]"","" ""))")," ашина швейная электромеханическая           35  количество швейных операций   23  потребляемая мощность 85  т  максимальная скорость шитья 860 ст мин ")</f>
        <v xml:space="preserve"> ашина швейная электромеханическая           35  количество швейных операций   23  потребляемая мощность 85  т  максимальная скорость шитья 860 ст мин </v>
      </c>
    </row>
    <row r="1657" spans="1:8" ht="51" x14ac:dyDescent="0.2">
      <c r="A1657" s="31" t="s">
        <v>3729</v>
      </c>
      <c r="B1657" s="27" t="s">
        <v>3730</v>
      </c>
      <c r="C1657" s="27"/>
      <c r="D1657" s="33" t="s">
        <v>14</v>
      </c>
      <c r="E1657" s="9"/>
      <c r="F1657" s="34">
        <v>9</v>
      </c>
      <c r="G1657" s="10">
        <v>128563</v>
      </c>
      <c r="H1657" s="30" t="str">
        <f ca="1">IFERROR(__xludf.DUMMYFUNCTION("LOWER(REGEXREPLACE(B1657&amp;"" ""&amp;C1657,""[^а-яa-z0-9 ]"","" ""))")," ашина швейная электромеханическая        7515  количество швейных операций   15  потребляемая мощность 85  т  максимальная скорость шитья 860 ст мин ")</f>
        <v xml:space="preserve"> ашина швейная электромеханическая        7515  количество швейных операций   15  потребляемая мощность 85  т  максимальная скорость шитья 860 ст мин </v>
      </c>
    </row>
    <row r="1658" spans="1:8" ht="51" x14ac:dyDescent="0.2">
      <c r="A1658" s="31" t="s">
        <v>3731</v>
      </c>
      <c r="B1658" s="27" t="s">
        <v>3732</v>
      </c>
      <c r="C1658" s="27"/>
      <c r="D1658" s="33" t="s">
        <v>14</v>
      </c>
      <c r="E1658" s="9"/>
      <c r="F1658" s="35">
        <v>6.3</v>
      </c>
      <c r="G1658" s="10">
        <v>138384</v>
      </c>
      <c r="H1658" s="30" t="str">
        <f ca="1">IFERROR(__xludf.DUMMYFUNCTION("LOWER(REGEXREPLACE(B1658&amp;"" ""&amp;C1658,""[^а-яa-z0-9 ]"","" ""))")," ашина швейная электронная                       877  количество швейных операций   100  потребляемая мощность 51  т  максимальная скорость шитья 1000 ст мин ")</f>
        <v xml:space="preserve"> ашина швейная электронная                       877  количество швейных операций   100  потребляемая мощность 51  т  максимальная скорость шитья 1000 ст мин </v>
      </c>
    </row>
    <row r="1659" spans="1:8" ht="51" x14ac:dyDescent="0.2">
      <c r="A1659" s="31" t="s">
        <v>3733</v>
      </c>
      <c r="B1659" s="27" t="s">
        <v>3734</v>
      </c>
      <c r="C1659" s="27"/>
      <c r="D1659" s="33" t="s">
        <v>14</v>
      </c>
      <c r="E1659" s="9"/>
      <c r="F1659" s="34">
        <v>7</v>
      </c>
      <c r="G1659" s="10">
        <v>163384</v>
      </c>
      <c r="H1659" s="30" t="str">
        <f ca="1">IFERROR(__xludf.DUMMYFUNCTION("LOWER(REGEXREPLACE(B1659&amp;"" ""&amp;C1659,""[^а-яa-z0-9 ]"","" ""))")," ашина швейная электромеханическая          05  cademy  количество швейных операций   30  потребляемая мощность 60  т  максимальная скорость шитья 1100 ст мин ")</f>
        <v xml:space="preserve"> ашина швейная электромеханическая          05  cademy  количество швейных операций   30  потребляемая мощность 60  т  максимальная скорость шитья 1100 ст мин </v>
      </c>
    </row>
    <row r="1660" spans="1:8" ht="38.25" x14ac:dyDescent="0.2">
      <c r="A1660" s="31" t="s">
        <v>3735</v>
      </c>
      <c r="B1660" s="27" t="s">
        <v>3736</v>
      </c>
      <c r="C1660" s="27" t="s">
        <v>3737</v>
      </c>
      <c r="D1660" s="33" t="s">
        <v>14</v>
      </c>
      <c r="E1660" s="34">
        <v>2</v>
      </c>
      <c r="F1660" s="34">
        <v>36</v>
      </c>
      <c r="G1660" s="10">
        <v>260769</v>
      </c>
      <c r="H1660" s="30" t="str">
        <f ca="1">IFERROR(__xludf.DUMMYFUNCTION("LOWER(REGEXREPLACE(B1660&amp;"" ""&amp;C1660,""[^а-яa-z0-9 ]"","" ""))")," ашина швейная компьютеризированная   ni raft    4300   размер 510мм х380мм х380мм  аксимальная скорость шитья  не менее 570 стежков в минуту  с    дисплеем для выбора строчек и настройки параметров")</f>
        <v xml:space="preserve"> ашина швейная компьютеризированная   ni raft    4300   размер 510мм х380мм х380мм  аксимальная скорость шитья  не менее 570 стежков в минуту  с    дисплеем для выбора строчек и настройки параметров</v>
      </c>
    </row>
    <row r="1661" spans="1:8" ht="25.5" x14ac:dyDescent="0.2">
      <c r="A1661" s="31" t="s">
        <v>3738</v>
      </c>
      <c r="B1661" s="27" t="s">
        <v>3739</v>
      </c>
      <c r="C1661" s="27" t="s">
        <v>3740</v>
      </c>
      <c r="D1661" s="33" t="s">
        <v>14</v>
      </c>
      <c r="E1661" s="34">
        <v>2</v>
      </c>
      <c r="F1661" s="34">
        <v>35</v>
      </c>
      <c r="G1661" s="10">
        <v>299556</v>
      </c>
      <c r="H1661" s="30" t="str">
        <f ca="1">IFERROR(__xludf.DUMMYFUNCTION("LOWER(REGEXREPLACE(B1661&amp;"" ""&amp;C1661,""[^а-яa-z0-9 ]"","" ""))")," ашина швейная электрическая   ni raft    95   размер 580мм х 250мм х 540мм  аксимальная скорость шитья  не менее 4 100 стежков в минуту")</f>
        <v xml:space="preserve"> ашина швейная электрическая   ni raft    95   размер 580мм х 250мм х 540мм  аксимальная скорость шитья  не менее 4 100 стежков в минуту</v>
      </c>
    </row>
    <row r="1662" spans="1:8" ht="38.25" x14ac:dyDescent="0.2">
      <c r="A1662" s="31" t="s">
        <v>3741</v>
      </c>
      <c r="B1662" s="27" t="s">
        <v>3742</v>
      </c>
      <c r="C1662" s="27"/>
      <c r="D1662" s="33" t="s">
        <v>14</v>
      </c>
      <c r="E1662" s="34">
        <v>2</v>
      </c>
      <c r="F1662" s="35">
        <v>7.5</v>
      </c>
      <c r="G1662" s="10">
        <v>124292</v>
      </c>
      <c r="H1662" s="30" t="str">
        <f ca="1">IFERROR(__xludf.DUMMYFUNCTION("LOWER(REGEXREPLACE(B1662&amp;"" ""&amp;C1662,""[^а-яa-z0-9 ]"","" ""))")," ашина швейная типа bernette  ew and  o 5  электромеханическая  количество швейных операций   23  потребляемая мощность 70  т ")</f>
        <v xml:space="preserve"> ашина швейная типа bernette  ew and  o 5  электромеханическая  количество швейных операций   23  потребляемая мощность 70  т </v>
      </c>
    </row>
    <row r="1663" spans="1:8" ht="38.25" x14ac:dyDescent="0.2">
      <c r="A1663" s="31" t="s">
        <v>3743</v>
      </c>
      <c r="B1663" s="27" t="s">
        <v>3744</v>
      </c>
      <c r="C1663" s="27"/>
      <c r="D1663" s="33" t="s">
        <v>14</v>
      </c>
      <c r="E1663" s="34">
        <v>2</v>
      </c>
      <c r="F1663" s="34">
        <v>9</v>
      </c>
      <c r="G1663" s="10">
        <v>219714</v>
      </c>
      <c r="H1663" s="30" t="str">
        <f ca="1">IFERROR(__xludf.DUMMYFUNCTION("LOWER(REGEXREPLACE(B1663&amp;"" ""&amp;C1663,""[^а-яa-z0-9 ]"","" ""))")," ашина швейная типа bernette  ew and  o 8  компьютерная  количество швейных операций   197  потребляемая мощность 70  т ")</f>
        <v xml:space="preserve"> ашина швейная типа bernette  ew and  o 8  компьютерная  количество швейных операций   197  потребляемая мощность 70  т </v>
      </c>
    </row>
    <row r="1664" spans="1:8" ht="38.25" x14ac:dyDescent="0.2">
      <c r="A1664" s="31" t="s">
        <v>3745</v>
      </c>
      <c r="B1664" s="8" t="s">
        <v>3746</v>
      </c>
      <c r="C1664" s="27"/>
      <c r="D1664" s="33" t="s">
        <v>14</v>
      </c>
      <c r="E1664" s="34">
        <v>2</v>
      </c>
      <c r="F1664" s="34">
        <v>15</v>
      </c>
      <c r="G1664" s="10">
        <v>750962</v>
      </c>
      <c r="H1664" s="30" t="str">
        <f ca="1">IFERROR(__xludf.DUMMYFUNCTION("LOWER(REGEXREPLACE(B1664&amp;"" ""&amp;C1664,""[^а-яa-z0-9 ]"","" ""))")," ашина швейная типа bernette b70       электронная  количество швейных операций   208  потребляемая мощность 90  т ")</f>
        <v xml:space="preserve"> ашина швейная типа bernette b70       электронная  количество швейных операций   208  потребляемая мощность 90  т </v>
      </c>
    </row>
    <row r="1665" spans="1:8" ht="12.75" x14ac:dyDescent="0.2">
      <c r="A1665" s="31" t="s">
        <v>3747</v>
      </c>
      <c r="B1665" s="27" t="s">
        <v>3748</v>
      </c>
      <c r="C1665" s="27"/>
      <c r="D1665" s="33" t="s">
        <v>14</v>
      </c>
      <c r="E1665" s="9"/>
      <c r="F1665" s="32"/>
      <c r="G1665" s="10"/>
      <c r="H1665" s="30" t="str">
        <f ca="1">IFERROR(__xludf.DUMMYFUNCTION("LOWER(REGEXREPLACE(B1665&amp;"" ""&amp;C1665,""[^а-яa-z0-9 ]"","" ""))")," абина примерочная ")</f>
        <v xml:space="preserve"> абина примерочная </v>
      </c>
    </row>
    <row r="1666" spans="1:8" ht="25.5" x14ac:dyDescent="0.2">
      <c r="A1666" s="31" t="s">
        <v>3749</v>
      </c>
      <c r="B1666" s="27" t="s">
        <v>3750</v>
      </c>
      <c r="C1666" s="27" t="s">
        <v>3751</v>
      </c>
      <c r="D1666" s="33" t="s">
        <v>14</v>
      </c>
      <c r="E1666" s="34">
        <v>2</v>
      </c>
      <c r="F1666" s="34">
        <v>60</v>
      </c>
      <c r="G1666" s="10">
        <v>61818</v>
      </c>
      <c r="H1666" s="30" t="str">
        <f ca="1">IFERROR(__xludf.DUMMYFUNCTION("LOWER(REGEXREPLACE(B1666&amp;"" ""&amp;C1666,""[^а-яa-z0-9 ]"","" ""))")," абина примерочная прямоугольная с занавесом  абина примерочная со шторкой       16 мм  размеры не менее 1500 1500 1800мм")</f>
        <v xml:space="preserve"> абина примерочная прямоугольная с занавесом  абина примерочная со шторкой       16 мм  размеры не менее 1500 1500 1800мм</v>
      </c>
    </row>
    <row r="1667" spans="1:8" ht="12.75" x14ac:dyDescent="0.2">
      <c r="A1667" s="31" t="s">
        <v>3752</v>
      </c>
      <c r="B1667" s="27" t="s">
        <v>3753</v>
      </c>
      <c r="C1667" s="27"/>
      <c r="D1667" s="33" t="s">
        <v>14</v>
      </c>
      <c r="E1667" s="9"/>
      <c r="F1667" s="32"/>
      <c r="G1667" s="10"/>
      <c r="H1667" s="30" t="str">
        <f ca="1">IFERROR(__xludf.DUMMYFUNCTION("LOWER(REGEXREPLACE(B1667&amp;"" ""&amp;C1667,""[^а-яa-z0-9 ]"","" ""))")," каф для швейных инструментов ")</f>
        <v xml:space="preserve"> каф для швейных инструментов </v>
      </c>
    </row>
    <row r="1668" spans="1:8" ht="63.75" x14ac:dyDescent="0.2">
      <c r="A1668" s="31" t="s">
        <v>3754</v>
      </c>
      <c r="B1668" s="27" t="s">
        <v>3755</v>
      </c>
      <c r="C1668" s="27" t="s">
        <v>3756</v>
      </c>
      <c r="D1668" s="33" t="s">
        <v>14</v>
      </c>
      <c r="E1668" s="34">
        <v>2</v>
      </c>
      <c r="F1668" s="34">
        <v>100</v>
      </c>
      <c r="G1668" s="10">
        <v>1177573</v>
      </c>
      <c r="H1668" s="30" t="str">
        <f ca="1">IFERROR(__xludf.DUMMYFUNCTION("LOWER(REGEXREPLACE(B1668&amp;"" ""&amp;C1668,""[^а-яa-z0-9 ]"","" ""))")," каф в комплекте со швейными инструментами и расходниками   raft ab    азмер 1200х550х1800  каф выполнен из       толщиной 16 мм  кромка      аждый инструмент установлен в специализированный лоток  выполненный из деревянного бруса либо из фанеры  окрашенн"&amp;"ой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f>
        <v xml:space="preserve"> каф в комплекте со швейными инструментами и расходниками   raft ab    азмер 1200х550х1800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v>
      </c>
    </row>
    <row r="1669" spans="1:8" ht="25.5" x14ac:dyDescent="0.2">
      <c r="A1669" s="31" t="s">
        <v>3757</v>
      </c>
      <c r="B1669" s="27" t="s">
        <v>3758</v>
      </c>
      <c r="C1669" s="27"/>
      <c r="D1669" s="32"/>
      <c r="E1669" s="9"/>
      <c r="F1669" s="32"/>
      <c r="G1669" s="10"/>
      <c r="H1669" s="30" t="str">
        <f ca="1">IFERROR(__xludf.DUMMYFUNCTION("LOWER(REGEXREPLACE(B1669&amp;"" ""&amp;C1669,""[^а-яa-z0-9 ]"","" ""))")," омещение для хранения оружия и военно технического имущества ")</f>
        <v xml:space="preserve"> омещение для хранения оружия и военно технического имущества </v>
      </c>
    </row>
    <row r="1670" spans="1:8" ht="38.25" x14ac:dyDescent="0.2">
      <c r="A1670" s="31" t="s">
        <v>3759</v>
      </c>
      <c r="B1670" s="27" t="s">
        <v>3760</v>
      </c>
      <c r="C1670" s="27" t="s">
        <v>3761</v>
      </c>
      <c r="D1670" s="33" t="s">
        <v>14</v>
      </c>
      <c r="E1670" s="9"/>
      <c r="F1670" s="32"/>
      <c r="G1670" s="10">
        <v>43661</v>
      </c>
      <c r="H1670" s="30" t="str">
        <f ca="1">IFERROR(__xludf.DUMMYFUNCTION("LOWER(REGEXREPLACE(B1670&amp;"" ""&amp;C1670,""[^а-яa-z0-9 ]"","" ""))")," теллаж металлический для хранения противогазов и военно технического имущества   азмеры 700х300х1800мм   теллаж металлический для хранения противогазов и военно технического имущества   азмеры 700х300х1800мм   зготовлен из высококачественной стали ")</f>
        <v xml:space="preserve"> теллаж металлический для хранения противогазов и военно технического имущества   азмеры 700х300х1800мм   теллаж металлический для хранения противогазов и военно технического имущества   азмеры 700х300х1800мм   зготовлен из высококачественной стали </v>
      </c>
    </row>
    <row r="1671" spans="1:8" ht="12.75" x14ac:dyDescent="0.2">
      <c r="A1671" s="31" t="s">
        <v>3762</v>
      </c>
      <c r="B1671" s="27" t="s">
        <v>3763</v>
      </c>
      <c r="C1671" s="27"/>
      <c r="D1671" s="33" t="s">
        <v>14</v>
      </c>
      <c r="E1671" s="9"/>
      <c r="F1671" s="32"/>
      <c r="G1671" s="10"/>
      <c r="H1671" s="30" t="str">
        <f ca="1">IFERROR(__xludf.DUMMYFUNCTION("LOWER(REGEXREPLACE(B1671&amp;"" ""&amp;C1671,""[^а-яa-z0-9 ]"","" ""))")," каф  пирамида  для хранения оружия ")</f>
        <v xml:space="preserve"> каф  пирамида  для хранения оружия </v>
      </c>
    </row>
    <row r="1672" spans="1:8" ht="25.5" x14ac:dyDescent="0.2">
      <c r="A1672" s="31" t="s">
        <v>3764</v>
      </c>
      <c r="B1672" s="27" t="s">
        <v>3765</v>
      </c>
      <c r="C1672" s="27"/>
      <c r="D1672" s="33" t="s">
        <v>14</v>
      </c>
      <c r="E1672" s="9"/>
      <c r="F1672" s="32"/>
      <c r="G1672" s="10">
        <v>382452</v>
      </c>
      <c r="H1672" s="30" t="str">
        <f ca="1">IFERROR(__xludf.DUMMYFUNCTION("LOWER(REGEXREPLACE(B1672&amp;"" ""&amp;C1672,""[^а-яa-z0-9 ]"","" ""))")," ирамида 1054 530 360 1822  из 3мм  20 единиц оружия ")</f>
        <v xml:space="preserve"> ирамида 1054 530 360 1822  из 3мм  20 единиц оружия </v>
      </c>
    </row>
    <row r="1673" spans="1:8" ht="25.5" x14ac:dyDescent="0.2">
      <c r="A1673" s="31" t="s">
        <v>3766</v>
      </c>
      <c r="B1673" s="27" t="s">
        <v>3767</v>
      </c>
      <c r="C1673" s="27"/>
      <c r="D1673" s="33" t="s">
        <v>14</v>
      </c>
      <c r="E1673" s="9"/>
      <c r="F1673" s="32"/>
      <c r="G1673" s="10">
        <v>429138</v>
      </c>
      <c r="H1673" s="30" t="str">
        <f ca="1">IFERROR(__xludf.DUMMYFUNCTION("LOWER(REGEXREPLACE(B1673&amp;"" ""&amp;C1673,""[^а-яa-z0-9 ]"","" ""))")," ирамида 1190 450 1920  из 3мм  14 единиц оружия ")</f>
        <v xml:space="preserve"> ирамида 1190 450 1920  из 3мм  14 единиц оружия </v>
      </c>
    </row>
    <row r="1674" spans="1:8" ht="51" x14ac:dyDescent="0.2">
      <c r="A1674" s="31" t="s">
        <v>3768</v>
      </c>
      <c r="B1674" s="27" t="s">
        <v>3769</v>
      </c>
      <c r="C1674" s="27" t="s">
        <v>3770</v>
      </c>
      <c r="D1674" s="33" t="s">
        <v>14</v>
      </c>
      <c r="E1674" s="34">
        <v>2</v>
      </c>
      <c r="F1674" s="34">
        <v>68</v>
      </c>
      <c r="G1674" s="10">
        <v>161320</v>
      </c>
      <c r="H1674" s="30" t="str">
        <f ca="1">IFERROR(__xludf.DUMMYFUNCTION("LOWER(REGEXREPLACE(B1674&amp;"" ""&amp;C1674,""[^а-яa-z0-9 ]"","" ""))")," каф для хранения оружия       16мм  10 единиц оружия  размер 1000х500х2000мм  каф для хранения оружия на 10 единиц   екомендуемые размеры не менее 1000х500х2000 мм   каф имеет вставные полки за двумя глухими фасадами    производстве используется материал"&amp;"      не менее 16 мм   торцы закатаны кромочным материалом     не менее 1 0 мм ")</f>
        <v xml:space="preserve"> каф для хранения оружия       16мм  10 единиц оружия  размер 1000х500х2000мм  каф для хранения оружия на 10 единиц   екомендуемые размеры не менее 1000х500х2000 мм   каф имеет вставные полки за двумя глухими фасадами    производстве используется материал      не менее 16 мм   торцы закатаны кромочным материалом     не менее 1 0 мм </v>
      </c>
    </row>
    <row r="1675" spans="1:8" ht="114.75" x14ac:dyDescent="0.2">
      <c r="A1675" s="31" t="s">
        <v>3771</v>
      </c>
      <c r="B1675" s="8" t="s">
        <v>3772</v>
      </c>
      <c r="C1675" s="27" t="s">
        <v>3773</v>
      </c>
      <c r="D1675" s="33" t="s">
        <v>14</v>
      </c>
      <c r="E1675" s="34">
        <v>2</v>
      </c>
      <c r="F1675" s="34">
        <v>26</v>
      </c>
      <c r="G1675" s="10">
        <v>63325</v>
      </c>
      <c r="H1675" s="30" t="str">
        <f ca="1">IFERROR(__xludf.DUMMYFUNCTION("LOWER(REGEXREPLACE(B1675&amp;"" ""&amp;C1675,""[^а-яa-z0-9 ]"","" ""))")," тол для чистки и смазки стрелкового оружия  размеры 1200х750х890 мм   одставка из фанеры толщиной 15 мм  основание металлический каркас из профильной трубы  аркас изготовлен из профильной трубы 50х25 мм толщиной не менее 1 2 мм и 40х25 мм толщиной не мен"&amp;"ее 1 2 мм и окрашен полимерно порошковым покрытием   снова конструкции   металлический каркас из профильной трубы   ля дополнительного укрепления опоры должны быть соединены между собой профильной трубой   азмер подставки для оружия должен быть не менее 1"&amp;"200х750х120 мм   одставка должна быть изготовлены из фанеры толщиной не менее 15 мм  и покрыта матовым лаком    еталлический каркас окрашен эпоксидно полиэфирной порошковой краской    а основании каркаса имеются подпятники  предотвращающие порчу полового "&amp;"покрытия ")</f>
        <v xml:space="preserve"> тол для чистки и смазки стрелкового оружия  размеры 1200х750х890 мм   одставка из фанеры толщиной 15 мм  основание металлический каркас из профильной трубы  аркас изготовлен из профильной трубы 50х25 мм толщиной не менее 1 2 мм и 40х25 мм толщиной не менее 1 2 мм и окрашен полимерно порошковым покрытием   снова конструкции   металлический каркас из профильной трубы   ля дополнительного укрепления опоры должны быть соединены между собой профильной трубой   азмер подставки для оружия должен быть не менее 1200х750х120 мм   одставка должна быть изготовлены из фанеры толщиной не менее 15 мм  и покрыта матовым лаком    еталлический каркас окрашен эпоксидно полиэфирной порошковой краской    а основании каркаса имеются подпятники  предотвращающие порчу полового покрытия </v>
      </c>
    </row>
    <row r="1676" spans="1:8" ht="25.5" x14ac:dyDescent="0.2">
      <c r="A1676" s="31" t="s">
        <v>3774</v>
      </c>
      <c r="B1676" s="8" t="s">
        <v>3775</v>
      </c>
      <c r="C1676" s="27"/>
      <c r="D1676" s="33" t="s">
        <v>14</v>
      </c>
      <c r="E1676" s="9"/>
      <c r="F1676" s="32"/>
      <c r="G1676" s="10">
        <v>486598</v>
      </c>
      <c r="H1676" s="30" t="str">
        <f ca="1">IFERROR(__xludf.DUMMYFUNCTION("LOWER(REGEXREPLACE(B1676&amp;"" ""&amp;C1676,""[^а-яa-z0-9 ]"","" ""))")," ассогабаритный макет автомата  алашникова ")</f>
        <v xml:space="preserve"> ассогабаритный макет автомата  алашникова </v>
      </c>
    </row>
    <row r="1677" spans="1:8" ht="51" x14ac:dyDescent="0.2">
      <c r="A1677" s="31" t="s">
        <v>3776</v>
      </c>
      <c r="B1677" s="27" t="s">
        <v>3777</v>
      </c>
      <c r="C1677" s="27" t="s">
        <v>3778</v>
      </c>
      <c r="D1677" s="33" t="s">
        <v>68</v>
      </c>
      <c r="E1677" s="34">
        <v>2</v>
      </c>
      <c r="F1677" s="35">
        <v>3.2</v>
      </c>
      <c r="G1677" s="10">
        <v>27081</v>
      </c>
      <c r="H1677" s="30" t="str">
        <f ca="1">IFERROR(__xludf.DUMMYFUNCTION("LOWER(REGEXREPLACE(B1677&amp;"" ""&amp;C1677,""[^а-яa-z0-9 ]"","" ""))")," бщевойсковой защитный комплект  редназначен для защиты кожных покровов пользователя и снижения заражения одежды  снаряжения и обуви    комплект  плащ  чехол для плаща  держатели плаща  2 шт    шпеньки  19 шт    закрепки  4 шт    комплект защитных чулок  "&amp;"1 пара  со шпеньками  6 шт   и две тесьмы  перчатки летние и зимние ")</f>
        <v xml:space="preserve"> бщевойсковой защитный комплект  редназначен для защиты кожных покровов пользователя и снижения заражения одежды  снаряжения и обуви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 </v>
      </c>
    </row>
    <row r="1678" spans="1:8" ht="63.75" x14ac:dyDescent="0.2">
      <c r="A1678" s="31" t="s">
        <v>3779</v>
      </c>
      <c r="B1678" s="27" t="s">
        <v>3780</v>
      </c>
      <c r="C1678" s="27" t="s">
        <v>3781</v>
      </c>
      <c r="D1678" s="33" t="s">
        <v>14</v>
      </c>
      <c r="E1678" s="34">
        <v>2</v>
      </c>
      <c r="F1678" s="36">
        <v>0.85</v>
      </c>
      <c r="G1678" s="10">
        <v>36092</v>
      </c>
      <c r="H1678" s="30" t="str">
        <f ca="1">IFERROR(__xludf.DUMMYFUNCTION("LOWER(REGEXREPLACE(B1678&amp;"" ""&amp;C1678,""[^а-яa-z0-9 ]"","" ""))")," ротивогаз общевойсковой фильтрующий  ротивогаз фильтрующий предназначен для очистки загрязн нного воздуха от аэрозольных частиц высокотоксичных веществ  содержащихся в пыли  дыме или тумане   орпус фильтра изготовлен из специальной пластмассы и снаряж н "&amp;"противоаэрозольным фильтром из фильтрующего материала и поглощающим слоем  шихтой  из сорбента ")</f>
        <v xml:space="preserve"> ротивогаз общевойсковой фильтрующий  ротивогаз фильтрующий предназначен для очистки загрязн нного воздуха от аэрозольных частиц высокотоксичных веществ  содержащихся в пыли  дыме или тумане   орпус фильтра изготовлен из специальной пластмассы и снаряж н противоаэрозольным фильтром из фильтрующего материала и поглощающим слоем  шихтой  из сорбента </v>
      </c>
    </row>
    <row r="1679" spans="1:8" ht="38.25" x14ac:dyDescent="0.2">
      <c r="A1679" s="31" t="s">
        <v>3782</v>
      </c>
      <c r="B1679" s="27" t="s">
        <v>3783</v>
      </c>
      <c r="C1679" s="27" t="s">
        <v>3784</v>
      </c>
      <c r="D1679" s="33" t="s">
        <v>14</v>
      </c>
      <c r="E1679" s="34">
        <v>2</v>
      </c>
      <c r="F1679" s="35">
        <v>1.1000000000000001</v>
      </c>
      <c r="G1679" s="10">
        <v>33934</v>
      </c>
      <c r="H1679" s="30" t="str">
        <f ca="1">IFERROR(__xludf.DUMMYFUNCTION("LOWER(REGEXREPLACE(B1679&amp;"" ""&amp;C1679,""[^а-яa-z0-9 ]"","" ""))")," ротивогаз гражданский  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 ")</f>
        <v xml:space="preserve"> ротивогаз гражданский  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 </v>
      </c>
    </row>
    <row r="1680" spans="1:8" ht="12.75" x14ac:dyDescent="0.2">
      <c r="A1680" s="31" t="s">
        <v>3785</v>
      </c>
      <c r="B1680" s="27" t="s">
        <v>3786</v>
      </c>
      <c r="C1680" s="27" t="s">
        <v>3786</v>
      </c>
      <c r="D1680" s="33" t="s">
        <v>14</v>
      </c>
      <c r="E1680" s="9"/>
      <c r="F1680" s="32"/>
      <c r="G1680" s="10">
        <v>1598</v>
      </c>
      <c r="H1680" s="30" t="str">
        <f ca="1">IFERROR(__xludf.DUMMYFUNCTION("LOWER(REGEXREPLACE(B1680&amp;"" ""&amp;C1680,""[^а-яa-z0-9 ]"","" ""))")," еспиратор  еспиратор")</f>
        <v xml:space="preserve"> еспиратор  еспиратор</v>
      </c>
    </row>
    <row r="1681" spans="1:8" ht="51" x14ac:dyDescent="0.2">
      <c r="A1681" s="31" t="s">
        <v>3787</v>
      </c>
      <c r="B1681" s="27" t="s">
        <v>3788</v>
      </c>
      <c r="C1681" s="27" t="s">
        <v>3789</v>
      </c>
      <c r="D1681" s="33" t="s">
        <v>14</v>
      </c>
      <c r="E1681" s="34">
        <v>2</v>
      </c>
      <c r="F1681" s="35">
        <v>2.2999999999999998</v>
      </c>
      <c r="G1681" s="10">
        <v>72186</v>
      </c>
      <c r="H1681" s="30" t="str">
        <f ca="1">IFERROR(__xludf.DUMMYFUNCTION("LOWER(REGEXREPLACE(B1681&amp;"" ""&amp;C1681,""[^а-яa-z0-9 ]"","" ""))")," ойсковой прибор химической разведки  рибор химической разведки войсковой      предназначен для обнаружения и оценки степени опасности заражения отравляющими веществами вероятного противника         воздуха  местности  военной техники при помощи индикатор"&amp;"ных трубок      ")</f>
        <v xml:space="preserve"> ойсковой прибор химической разведки  рибор химической разведки войсковой      предназначен для обнаружения и оценки степени опасности заражения отравляющими веществами вероятного противника         воздуха  местности  военной техники при помощи индикаторных трубок      </v>
      </c>
    </row>
    <row r="1682" spans="1:8" ht="51" x14ac:dyDescent="0.2">
      <c r="A1682" s="31" t="s">
        <v>3790</v>
      </c>
      <c r="B1682" s="27" t="s">
        <v>3791</v>
      </c>
      <c r="C1682" s="27" t="s">
        <v>3792</v>
      </c>
      <c r="D1682" s="33" t="s">
        <v>68</v>
      </c>
      <c r="E1682" s="34">
        <v>2</v>
      </c>
      <c r="F1682" s="35">
        <v>1.5</v>
      </c>
      <c r="G1682" s="10">
        <v>63163</v>
      </c>
      <c r="H1682" s="30" t="str">
        <f ca="1">IFERROR(__xludf.DUMMYFUNCTION("LOWER(REGEXREPLACE(B1682&amp;"" ""&amp;C1682,""[^а-яa-z0-9 ]"","" ""))")," омплект индивидуальных дозиметров  рибор предназначен для измерения поглощенных доз гамма нейтронного излучения в интервале температур от  50   до  50   при относительной влажности воздуха до 98     комплект входят не менее 10 индивидуальных дозиметров и"&amp;" зарядное устройство на пьезоэлементе ")</f>
        <v xml:space="preserve"> омплект индивидуальных дозиметров  рибор предназначен для измерения поглощенных доз гамма нейтронного излучения в интервале температур от  50   до  50   при относительной влажности воздуха до 98     комплект входят не менее 10 индивидуальных дозиметров и зарядное устройство на пьезоэлементе </v>
      </c>
    </row>
    <row r="1683" spans="1:8" ht="12.75" x14ac:dyDescent="0.2">
      <c r="A1683" s="31" t="s">
        <v>3793</v>
      </c>
      <c r="B1683" s="27" t="s">
        <v>3794</v>
      </c>
      <c r="C1683" s="27" t="s">
        <v>3794</v>
      </c>
      <c r="D1683" s="33" t="s">
        <v>14</v>
      </c>
      <c r="E1683" s="9"/>
      <c r="F1683" s="32"/>
      <c r="G1683" s="10">
        <v>3634</v>
      </c>
      <c r="H1683" s="30" t="str">
        <f ca="1">IFERROR(__xludf.DUMMYFUNCTION("LOWER(REGEXREPLACE(B1683&amp;"" ""&amp;C1683,""[^а-яa-z0-9 ]"","" ""))")," алая пехотная лопата  алая пехотная лопата")</f>
        <v xml:space="preserve"> алая пехотная лопата  алая пехотная лопата</v>
      </c>
    </row>
    <row r="1684" spans="1:8" ht="12.75" x14ac:dyDescent="0.2">
      <c r="A1684" s="31" t="s">
        <v>3795</v>
      </c>
      <c r="B1684" s="27" t="s">
        <v>3796</v>
      </c>
      <c r="C1684" s="27" t="s">
        <v>3796</v>
      </c>
      <c r="D1684" s="33" t="s">
        <v>14</v>
      </c>
      <c r="E1684" s="9"/>
      <c r="F1684" s="32"/>
      <c r="G1684" s="10">
        <v>6366</v>
      </c>
      <c r="H1684" s="30" t="str">
        <f ca="1">IFERROR(__xludf.DUMMYFUNCTION("LOWER(REGEXREPLACE(B1684&amp;"" ""&amp;C1684,""[^а-яa-z0-9 ]"","" ""))")," омпас армейский  омпас армейский")</f>
        <v xml:space="preserve"> омпас армейский  омпас армейский</v>
      </c>
    </row>
    <row r="1685" spans="1:8" ht="12.75" x14ac:dyDescent="0.2">
      <c r="A1685" s="31" t="s">
        <v>3797</v>
      </c>
      <c r="B1685" s="27" t="s">
        <v>3798</v>
      </c>
      <c r="C1685" s="27" t="s">
        <v>3798</v>
      </c>
      <c r="D1685" s="33" t="s">
        <v>14</v>
      </c>
      <c r="E1685" s="9"/>
      <c r="F1685" s="32"/>
      <c r="G1685" s="10">
        <v>2473</v>
      </c>
      <c r="H1685" s="30" t="str">
        <f ca="1">IFERROR(__xludf.DUMMYFUNCTION("LOWER(REGEXREPLACE(B1685&amp;"" ""&amp;C1685,""[^а-яa-z0-9 ]"","" ""))")," ндивидуальный перевязочный пакет  ндивидуальный перевязочный пакет")</f>
        <v xml:space="preserve"> ндивидуальный перевязочный пакет  ндивидуальный перевязочный пакет</v>
      </c>
    </row>
    <row r="1686" spans="1:8" ht="12.75" x14ac:dyDescent="0.2">
      <c r="A1686" s="31" t="s">
        <v>3799</v>
      </c>
      <c r="B1686" s="27" t="s">
        <v>3800</v>
      </c>
      <c r="C1686" s="27" t="s">
        <v>3800</v>
      </c>
      <c r="D1686" s="33" t="s">
        <v>14</v>
      </c>
      <c r="E1686" s="34">
        <v>2</v>
      </c>
      <c r="F1686" s="35">
        <v>1.6</v>
      </c>
      <c r="G1686" s="10">
        <v>27075</v>
      </c>
      <c r="H1686" s="30" t="str">
        <f ca="1">IFERROR(__xludf.DUMMYFUNCTION("LOWER(REGEXREPLACE(B1686&amp;"" ""&amp;C1686,""[^а-яa-z0-9 ]"","" ""))")," умка санитарная со спецукладкой в комплекте  умка санитарная со спецукладкой в комплекте")</f>
        <v xml:space="preserve"> умка санитарная со спецукладкой в комплекте  умка санитарная со спецукладкой в комплекте</v>
      </c>
    </row>
    <row r="1687" spans="1:8" ht="12.75" x14ac:dyDescent="0.2">
      <c r="A1687" s="31" t="s">
        <v>3801</v>
      </c>
      <c r="B1687" s="27" t="s">
        <v>3802</v>
      </c>
      <c r="C1687" s="27"/>
      <c r="D1687" s="32"/>
      <c r="E1687" s="9"/>
      <c r="F1687" s="32"/>
      <c r="G1687" s="10"/>
      <c r="H1687" s="30" t="str">
        <f ca="1">IFERROR(__xludf.DUMMYFUNCTION("LOWER(REGEXREPLACE(B1687&amp;"" ""&amp;C1687,""[^а-яa-z0-9 ]"","" ""))")," ир ")</f>
        <v xml:space="preserve"> ир </v>
      </c>
    </row>
    <row r="1688" spans="1:8" ht="12.75" x14ac:dyDescent="0.2">
      <c r="A1688" s="31" t="s">
        <v>3803</v>
      </c>
      <c r="B1688" s="27" t="s">
        <v>3804</v>
      </c>
      <c r="C1688" s="27"/>
      <c r="D1688" s="33" t="s">
        <v>14</v>
      </c>
      <c r="E1688" s="9"/>
      <c r="F1688" s="32"/>
      <c r="G1688" s="10"/>
      <c r="H1688" s="30" t="str">
        <f ca="1">IFERROR(__xludf.DUMMYFUNCTION("LOWER(REGEXREPLACE(B1688&amp;"" ""&amp;C1688,""[^а-яa-z0-9 ]"","" ""))")," тойка   подставка для стрельбы стоя ")</f>
        <v xml:space="preserve"> тойка   подставка для стрельбы стоя </v>
      </c>
    </row>
    <row r="1689" spans="1:8" ht="25.5" x14ac:dyDescent="0.2">
      <c r="A1689" s="31" t="s">
        <v>3805</v>
      </c>
      <c r="B1689" s="27" t="s">
        <v>3806</v>
      </c>
      <c r="C1689" s="27" t="s">
        <v>3807</v>
      </c>
      <c r="D1689" s="33" t="s">
        <v>14</v>
      </c>
      <c r="E1689" s="34">
        <v>2</v>
      </c>
      <c r="F1689" s="34">
        <v>2</v>
      </c>
      <c r="G1689" s="10">
        <v>11567</v>
      </c>
      <c r="H1689" s="30" t="str">
        <f ca="1">IFERROR(__xludf.DUMMYFUNCTION("LOWER(REGEXREPLACE(B1689&amp;"" ""&amp;C1689,""[^а-яa-z0-9 ]"","" ""))")," тойка для хранения лука для стрельбы   абариты  1300х250х1300 мм  снование каркаса металл   орошковая краска   атериал изготовления  металл покрытый порошковой краской ")</f>
        <v xml:space="preserve"> тойка для хранения лука для стрельбы   абариты  1300х250х1300 мм  снование каркаса металл   орошковая краска   атериал изготовления  металл покрытый порошковой краской </v>
      </c>
    </row>
    <row r="1690" spans="1:8" ht="12.75" x14ac:dyDescent="0.2">
      <c r="A1690" s="31" t="s">
        <v>3808</v>
      </c>
      <c r="B1690" s="27" t="s">
        <v>3809</v>
      </c>
      <c r="C1690" s="27"/>
      <c r="D1690" s="33" t="s">
        <v>14</v>
      </c>
      <c r="E1690" s="9"/>
      <c r="F1690" s="32"/>
      <c r="G1690" s="10">
        <v>44405</v>
      </c>
      <c r="H1690" s="30" t="str">
        <f ca="1">IFERROR(__xludf.DUMMYFUNCTION("LOWER(REGEXREPLACE(B1690&amp;"" ""&amp;C1690,""[^а-яa-z0-9 ]"","" ""))")," тол для чистки и смазки стрелкового оружия ")</f>
        <v xml:space="preserve"> тол для чистки и смазки стрелкового оружия </v>
      </c>
    </row>
    <row r="1691" spans="1:8" ht="25.5" x14ac:dyDescent="0.2">
      <c r="A1691" s="31" t="s">
        <v>3810</v>
      </c>
      <c r="B1691" s="27" t="s">
        <v>3811</v>
      </c>
      <c r="C1691" s="27"/>
      <c r="D1691" s="32"/>
      <c r="E1691" s="9"/>
      <c r="F1691" s="32"/>
      <c r="G1691" s="10"/>
      <c r="H1691" s="30" t="str">
        <f ca="1">IFERROR(__xludf.DUMMYFUNCTION("LOWER(REGEXREPLACE(B1691&amp;"" ""&amp;C1691,""[^а-яa-z0-9 ]"","" ""))")," аборы и принадлежности для кабинета биотехнологий ")</f>
        <v xml:space="preserve"> аборы и принадлежности для кабинета биотехнологий </v>
      </c>
    </row>
    <row r="1692" spans="1:8" ht="25.5" x14ac:dyDescent="0.2">
      <c r="A1692" s="31" t="s">
        <v>3812</v>
      </c>
      <c r="B1692" s="27" t="s">
        <v>3813</v>
      </c>
      <c r="C1692" s="27"/>
      <c r="D1692" s="33" t="s">
        <v>1506</v>
      </c>
      <c r="E1692" s="9"/>
      <c r="F1692" s="32"/>
      <c r="G1692" s="10"/>
      <c r="H1692" s="30" t="str">
        <f ca="1">IFERROR(__xludf.DUMMYFUNCTION("LOWER(REGEXREPLACE(B1692&amp;"" ""&amp;C1692,""[^а-яa-z0-9 ]"","" ""))")," абор оборудования для проведения экспериментов электрофореза агароза ")</f>
        <v xml:space="preserve"> абор оборудования для проведения экспериментов электрофореза агароза </v>
      </c>
    </row>
    <row r="1693" spans="1:8" ht="76.5" x14ac:dyDescent="0.2">
      <c r="A1693" s="31" t="s">
        <v>3814</v>
      </c>
      <c r="B1693" s="27" t="s">
        <v>3815</v>
      </c>
      <c r="C1693" s="27" t="s">
        <v>3816</v>
      </c>
      <c r="D1693" s="33" t="s">
        <v>1506</v>
      </c>
      <c r="E1693" s="34">
        <v>2</v>
      </c>
      <c r="F1693" s="36">
        <v>0.74</v>
      </c>
      <c r="G1693" s="10">
        <v>80669</v>
      </c>
      <c r="H1693" s="30" t="str">
        <f ca="1">IFERROR(__xludf.DUMMYFUNCTION("LOWER(REGEXREPLACE(B1693&amp;"" ""&amp;C1693,""[^а-яa-z0-9 ]"","" ""))")," абор оборудования для проведения экспериментов электрофореза агароза типа  xperia    15  омплектация  кейс с крышкой   1 шт   лоток со вставкой   1шт  флакон объемом 500 мл с 5 кратным буферным концентратом       1 шт  5 г сверхчистой агарозы   1шт  флак"&amp;"он 60 мл     красителя   1 шт  5 мл красителя с 10 кратной загрузкой и поддон для окрашивания   1 шт  стандарт массы        1 шт  пробирка объемом 50 мл   1 шт  микропипетка с возможностью набора 1 20 мкл   1 шт  пипетка градуированная 10 мл    1 шт ")</f>
        <v xml:space="preserve"> абор оборудования для проведения экспериментов электрофореза агароза типа  xperia    15  омплектация  кейс с крышкой   1 шт   лоток со вставкой   1шт  флакон объемом 500 мл с 5 кратным буферным концентратом       1 шт  5 г сверхчистой агарозы   1шт  флакон 60 мл     красителя   1 шт  5 мл красителя с 10 кратной загрузкой и поддон для окрашивания   1 шт  стандарт массы        1 шт  пробирка объемом 50 мл   1 шт  микропипетка с возможностью набора 1 20 мкл   1 шт  пипетка градуированная 10 мл    1 шт </v>
      </c>
    </row>
    <row r="1694" spans="1:8" ht="76.5" x14ac:dyDescent="0.2">
      <c r="A1694" s="31" t="s">
        <v>3817</v>
      </c>
      <c r="B1694" s="27" t="s">
        <v>3818</v>
      </c>
      <c r="C1694" s="27" t="s">
        <v>3819</v>
      </c>
      <c r="D1694" s="33" t="s">
        <v>1506</v>
      </c>
      <c r="E1694" s="34">
        <v>2</v>
      </c>
      <c r="F1694" s="34">
        <v>5</v>
      </c>
      <c r="G1694" s="10">
        <v>3223059</v>
      </c>
      <c r="H1694" s="30" t="str">
        <f ca="1">IFERROR(__xludf.DUMMYFUNCTION("LOWER(REGEXREPLACE(B1694&amp;"" ""&amp;C1694,""[^а-яa-z0-9 ]"","" ""))")," абор оборудования для проведения экспериментов электрофореза агароза типа  ards  cience 4701   комплект входят  гелевый пластиковый лоток для смесей подключения проводов 4 шт     электрический источник питания постоянный выход 100   или 200    200 м   2 "&amp;"шт   многоразовый дозатор пипеток с фиксированным объемом  10 мкл     8 шт  стойка наконечников для пипетки 4 шт   комплект с красителями 6 агароз геля   romophenol синий  фиолетовый кристалл  оранжевый    метиловый зеленый  ксилол cyanol  неизвестный  un"&amp;"cknown  краситель  2 шт ")</f>
        <v xml:space="preserve"> абор оборудования для проведения экспериментов электрофореза агароза типа  ards  cience 4701   комплект входят  гелевый пластиковый лоток для смесей подключения проводов 4 шт     электрический источник питания постоянный выход 100   или 200    200 м   2 шт   многоразовый дозатор пипеток с фиксированным объемом  10 мкл     8 шт  стойка наконечников для пипетки 4 шт   комплект с красителями 6 агароз геля   romophenol синий  фиолетовый кристалл  оранжевый    метиловый зеленый  ксилол cyanol  неизвестный  uncknown  краситель  2 шт </v>
      </c>
    </row>
    <row r="1695" spans="1:8" ht="25.5" x14ac:dyDescent="0.2">
      <c r="A1695" s="31" t="s">
        <v>3820</v>
      </c>
      <c r="B1695" s="27" t="s">
        <v>3821</v>
      </c>
      <c r="C1695" s="27"/>
      <c r="D1695" s="33" t="s">
        <v>1506</v>
      </c>
      <c r="E1695" s="9"/>
      <c r="F1695" s="32"/>
      <c r="G1695" s="10"/>
      <c r="H1695" s="30" t="str">
        <f ca="1">IFERROR(__xludf.DUMMYFUNCTION("LOWER(REGEXREPLACE(B1695&amp;"" ""&amp;C1695,""[^а-яa-z0-9 ]"","" ""))")," абораторный практикум   нализ отпечатков пальцев  ")</f>
        <v xml:space="preserve"> абораторный практикум   нализ отпечатков пальцев  </v>
      </c>
    </row>
    <row r="1696" spans="1:8" ht="76.5" x14ac:dyDescent="0.2">
      <c r="A1696" s="31" t="s">
        <v>3822</v>
      </c>
      <c r="B1696" s="27" t="s">
        <v>3823</v>
      </c>
      <c r="C1696" s="27" t="s">
        <v>3824</v>
      </c>
      <c r="D1696" s="33" t="s">
        <v>1506</v>
      </c>
      <c r="E1696" s="34">
        <v>2</v>
      </c>
      <c r="F1696" s="36">
        <v>0.85</v>
      </c>
      <c r="G1696" s="10">
        <v>170643</v>
      </c>
      <c r="H1696" s="30" t="str">
        <f ca="1">IFERROR(__xludf.DUMMYFUNCTION("LOWER(REGEXREPLACE(B1696&amp;"" ""&amp;C1696,""[^а-яa-z0-9 ]"","" ""))")," абораторный практикум   нализ отпечатков пальцев  типа  xperia    16  омплектация   ейс с крышкой   1 шт    оток со вставкой   1шт   уководство для инструктора   1шт    актилоскопический порошок 50 г   1 шт    ингидрин 25 мл  1 шт    цетон 50 мл   1 шт  "&amp;" од  юголя  25 мл  1 шт   исти для снятия отпечатков пальцев   1 шт   величительные стекла   1 шт   блигационная бумага   2шт   ерчатки   3 пары   ипетки   3 шт   уперклей 15 мл   1 шт   ернильные подушечки   1 шт   актилоскопическая скотч лента   1 шт   "&amp;"нструкции по способу работы   1 шт ")</f>
        <v xml:space="preserve"> абораторный практикум   нализ отпечатков пальцев  типа  xperia    16  омплектация   ейс с крышкой   1 шт    оток со вставкой   1шт   уководство для инструктора   1шт    актилоскопический порошок 50 г   1 шт    ингидрин 25 мл  1 шт    цетон 50 мл   1 шт   од  юголя  25 мл  1 шт   исти для снятия отпечатков пальцев   1 шт   величительные стекла   1 шт   блигационная бумага   2шт   ерчатки   3 пары   ипетки   3 шт   уперклей 15 мл   1 шт   ернильные подушечки   1 шт   актилоскопическая скотч лента   1 шт   нструкции по способу работы   1 шт </v>
      </c>
    </row>
    <row r="1697" spans="1:8" ht="63.75" x14ac:dyDescent="0.2">
      <c r="A1697" s="31" t="s">
        <v>3825</v>
      </c>
      <c r="B1697" s="27" t="s">
        <v>3826</v>
      </c>
      <c r="C1697" s="27" t="s">
        <v>3827</v>
      </c>
      <c r="D1697" s="33" t="s">
        <v>1506</v>
      </c>
      <c r="E1697" s="34">
        <v>2</v>
      </c>
      <c r="F1697" s="35">
        <v>0.8</v>
      </c>
      <c r="G1697" s="10">
        <v>169716</v>
      </c>
      <c r="H1697" s="30" t="str">
        <f ca="1">IFERROR(__xludf.DUMMYFUNCTION("LOWER(REGEXREPLACE(B1697&amp;"" ""&amp;C1697,""[^а-яa-z0-9 ]"","" ""))")," абораторный практикум   нализ отпечатков пальцев  типа  ards  cience 4702  абор содержит необходимые реагенты некоторые из них требуют определенный температурный режим   бразцы подозреваемых          suspect  nzyme  темп режим   ультраспек агароза    50 "&amp;" концентрированный электрофорезный раствор   гелевый раствор   синька      stain flash blue   insta stain blue card   1 мл пипетка   трансферные пипетки ")</f>
        <v xml:space="preserve"> абораторный практикум   нализ отпечатков пальцев  типа  ards  cience 4702  абор содержит необходимые реагенты некоторые из них требуют определенный температурный режим   бразцы подозреваемых          suspect  nzyme  темп режим   ультраспек агароза    50  концентрированный электрофорезный раствор   гелевый раствор   синька      stain flash blue   insta stain blue card   1 мл пипетка   трансферные пипетки </v>
      </c>
    </row>
    <row r="1698" spans="1:8" ht="12.75" x14ac:dyDescent="0.2">
      <c r="A1698" s="31" t="s">
        <v>3828</v>
      </c>
      <c r="B1698" s="27" t="s">
        <v>3829</v>
      </c>
      <c r="C1698" s="27"/>
      <c r="D1698" s="33" t="s">
        <v>1506</v>
      </c>
      <c r="E1698" s="9"/>
      <c r="F1698" s="32"/>
      <c r="G1698" s="10"/>
      <c r="H1698" s="30" t="str">
        <f ca="1">IFERROR(__xludf.DUMMYFUNCTION("LOWER(REGEXREPLACE(B1698&amp;"" ""&amp;C1698,""[^а-яa-z0-9 ]"","" ""))")," кспериментальный набор   лектрофорез  ")</f>
        <v xml:space="preserve"> кспериментальный набор   лектрофорез  </v>
      </c>
    </row>
    <row r="1699" spans="1:8" ht="25.5" x14ac:dyDescent="0.2">
      <c r="A1699" s="31" t="s">
        <v>3830</v>
      </c>
      <c r="B1699" s="27" t="s">
        <v>3831</v>
      </c>
      <c r="C1699" s="27"/>
      <c r="D1699" s="33" t="s">
        <v>1506</v>
      </c>
      <c r="E1699" s="34">
        <v>2</v>
      </c>
      <c r="F1699" s="35">
        <v>2.2999999999999998</v>
      </c>
      <c r="G1699" s="10">
        <v>1069889</v>
      </c>
      <c r="H1699" s="30" t="str">
        <f ca="1">IFERROR(__xludf.DUMMYFUNCTION("LOWER(REGEXREPLACE(B1699&amp;"" ""&amp;C1699,""[^а-яa-z0-9 ]"","" ""))")," кспериментальный набор   лектрофорез  типа  xperia    17 ")</f>
        <v xml:space="preserve"> кспериментальный набор   лектрофорез  типа  xperia    17 </v>
      </c>
    </row>
    <row r="1700" spans="1:8" ht="25.5" x14ac:dyDescent="0.2">
      <c r="A1700" s="31" t="s">
        <v>3832</v>
      </c>
      <c r="B1700" s="27" t="s">
        <v>3833</v>
      </c>
      <c r="C1700" s="27"/>
      <c r="D1700" s="33" t="s">
        <v>1506</v>
      </c>
      <c r="E1700" s="34">
        <v>2</v>
      </c>
      <c r="F1700" s="35">
        <v>0.8</v>
      </c>
      <c r="G1700" s="10">
        <v>300149</v>
      </c>
      <c r="H1700" s="30" t="str">
        <f ca="1">IFERROR(__xludf.DUMMYFUNCTION("LOWER(REGEXREPLACE(B1700&amp;"" ""&amp;C1700,""[^а-яa-z0-9 ]"","" ""))")," кспериментальный набор   лектрофорез  типа  ards  cience 4703 ")</f>
        <v xml:space="preserve"> кспериментальный набор   лектрофорез  типа  ards  cience 4703 </v>
      </c>
    </row>
    <row r="1701" spans="1:8" ht="12.75" x14ac:dyDescent="0.2">
      <c r="A1701" s="31" t="s">
        <v>3834</v>
      </c>
      <c r="B1701" s="27" t="s">
        <v>3835</v>
      </c>
      <c r="C1701" s="27"/>
      <c r="D1701" s="33" t="s">
        <v>1506</v>
      </c>
      <c r="E1701" s="9"/>
      <c r="F1701" s="32"/>
      <c r="G1701" s="10"/>
      <c r="H1701" s="30" t="str">
        <f ca="1">IFERROR(__xludf.DUMMYFUNCTION("LOWER(REGEXREPLACE(B1701&amp;"" ""&amp;C1701,""[^а-яa-z0-9 ]"","" ""))")," кспериментальный набор   троение      ")</f>
        <v xml:space="preserve"> кспериментальный набор   троение      </v>
      </c>
    </row>
    <row r="1702" spans="1:8" ht="25.5" x14ac:dyDescent="0.2">
      <c r="A1702" s="31" t="s">
        <v>3836</v>
      </c>
      <c r="B1702" s="27" t="s">
        <v>3837</v>
      </c>
      <c r="C1702" s="27"/>
      <c r="D1702" s="33" t="s">
        <v>1506</v>
      </c>
      <c r="E1702" s="34">
        <v>2</v>
      </c>
      <c r="F1702" s="35">
        <v>3.5</v>
      </c>
      <c r="G1702" s="10">
        <v>131759</v>
      </c>
      <c r="H1702" s="30" t="str">
        <f ca="1">IFERROR(__xludf.DUMMYFUNCTION("LOWER(REGEXREPLACE(B1702&amp;"" ""&amp;C1702,""[^а-яa-z0-9 ]"","" ""))")," кспериментальный набор   троение      типа  xperia    19 ")</f>
        <v xml:space="preserve"> кспериментальный набор   троение      типа  xperia    19 </v>
      </c>
    </row>
    <row r="1703" spans="1:8" ht="25.5" x14ac:dyDescent="0.2">
      <c r="A1703" s="31" t="s">
        <v>3838</v>
      </c>
      <c r="B1703" s="27" t="s">
        <v>3839</v>
      </c>
      <c r="C1703" s="27"/>
      <c r="D1703" s="33" t="s">
        <v>1506</v>
      </c>
      <c r="E1703" s="34">
        <v>2</v>
      </c>
      <c r="F1703" s="35">
        <v>0.8</v>
      </c>
      <c r="G1703" s="10">
        <v>110795</v>
      </c>
      <c r="H1703" s="30" t="str">
        <f ca="1">IFERROR(__xludf.DUMMYFUNCTION("LOWER(REGEXREPLACE(B1703&amp;"" ""&amp;C1703,""[^а-яa-z0-9 ]"","" ""))")," кспериментальный набор   троение      типа  ards  cience 4705 ")</f>
        <v xml:space="preserve"> кспериментальный набор   троение      типа  ards  cience 4705 </v>
      </c>
    </row>
    <row r="1704" spans="1:8" ht="12.75" x14ac:dyDescent="0.2">
      <c r="A1704" s="31" t="s">
        <v>3840</v>
      </c>
      <c r="B1704" s="27" t="s">
        <v>3841</v>
      </c>
      <c r="C1704" s="27"/>
      <c r="D1704" s="33" t="s">
        <v>1506</v>
      </c>
      <c r="E1704" s="9"/>
      <c r="F1704" s="32"/>
      <c r="G1704" s="10"/>
      <c r="H1704" s="30" t="str">
        <f ca="1">IFERROR(__xludf.DUMMYFUNCTION("LOWER(REGEXREPLACE(B1704&amp;"" ""&amp;C1704,""[^а-яa-z0-9 ]"","" ""))")," рактикум   лектрофорез     часть 1  ")</f>
        <v xml:space="preserve"> рактикум   лектрофорез     часть 1  </v>
      </c>
    </row>
    <row r="1705" spans="1:8" ht="140.25" x14ac:dyDescent="0.2">
      <c r="A1705" s="31" t="s">
        <v>3842</v>
      </c>
      <c r="B1705" s="27" t="s">
        <v>3843</v>
      </c>
      <c r="C1705" s="27" t="s">
        <v>3844</v>
      </c>
      <c r="D1705" s="33" t="s">
        <v>1506</v>
      </c>
      <c r="E1705" s="34">
        <v>2</v>
      </c>
      <c r="F1705" s="36">
        <v>1.58</v>
      </c>
      <c r="G1705" s="10">
        <v>1140211</v>
      </c>
      <c r="H1705" s="30" t="str">
        <f ca="1">IFERROR(__xludf.DUMMYFUNCTION("LOWER(REGEXREPLACE(B1705&amp;"" ""&amp;C1705,""[^а-яa-z0-9 ]"","" ""))")," рактикум   лектрофорез     часть 1  типа  xperia    20  омплектация  кейс с крышкой   1 шт   лоток со вставкой   1шт  двойные камеры   6 шт   источник питания   3 шт   стационарные микропипетки по 10 мкл   6 шт  подставки с наконечниками   2шт  наборы   "&amp;"ведение в электрофорез    2 шт  руководство по электрофорезу   1 шт  трансиллюминатор белого света   1 шт и     диск для электрофореза в агарозе    1 шт  агарозные таблетки 3 таблетки   1 упаковка  электрофорезный буфер      1 л   1 шт  одноразовые наконе"&amp;"чники для микропипеток   50 шт  колба для растворения агарозы   3 шт  контроллер цепи   3 шт  светодиодная полоса   3 шт проволока для электродов   6 шт  кабель для электродов   6 шт  пара электродных дамов  одна черная  одна красная    3 пары  держатели "&amp;"для гребня  2 шт  гребень 6 шт   электродные зажимы    3 шт ")</f>
        <v xml:space="preserve"> рактикум   лектрофорез     часть 1  типа  xperia    20  омплектация  кейс с крышкой   1 шт   лоток со вставкой   1шт  двойные камеры   6 шт   источник питания   3 шт   стационарные микропипетки по 10 мкл   6 шт  подставки с наконечниками   2шт  наборы   ведение в электрофорез    2 шт  руководство по электрофорезу   1 шт  трансиллюминатор белого света   1 шт и     диск для электрофореза в агарозе    1 шт  агарозные таблетки 3 таблетки   1 упаковка  электрофорезный буфер      1 л   1 шт  одноразовые наконечники для микропипеток   50 шт  колба для растворения агарозы   3 шт  контроллер цепи   3 шт  светодиодная полоса   3 шт проволока для электродов   6 шт  кабель для электродов   6 шт  пара электродных дамов  одна черная  одна красная    3 пары  держатели для гребня  2 шт  гребень 6 шт   электродные зажимы    3 шт </v>
      </c>
    </row>
    <row r="1706" spans="1:8" ht="127.5" x14ac:dyDescent="0.2">
      <c r="A1706" s="31" t="s">
        <v>3845</v>
      </c>
      <c r="B1706" s="27" t="s">
        <v>3846</v>
      </c>
      <c r="C1706" s="27" t="s">
        <v>3847</v>
      </c>
      <c r="D1706" s="33" t="s">
        <v>1506</v>
      </c>
      <c r="E1706" s="34">
        <v>2</v>
      </c>
      <c r="F1706" s="34">
        <v>3</v>
      </c>
      <c r="G1706" s="10">
        <v>1128076</v>
      </c>
      <c r="H1706" s="30" t="str">
        <f ca="1">IFERROR(__xludf.DUMMYFUNCTION("LOWER(REGEXREPLACE(B1706&amp;"" ""&amp;C1706,""[^а-яa-z0-9 ]"","" ""))")," рактикум   лектрофорез     часть 1  типа  ards  cience 4706   каждый комплект входит источник тока мощностью от 15 т до 140 т   абор должен содержать весь необходимый инструментарий  а также методическое руководство для преподавателя и учащихся    рактик"&amp;"ум содержит   сточник тока с цифровым индикатором  переменного напряжения универсальная микропипетка   ixed  olume 10   50 mu lower case      96 одноразовых головок для универсальной микропипетки  контейнер для электрофореза  gel box         6 агароз геля"&amp;"   romophenol синий  фиолетовый кристалл  оранжевый    метиловым зеленым  ксилол cyanol  неизвестно смесь краситель    30 микротрубок 1 5ml   1 готовый агароз гель   2 0   200ml   1  еактивы для электрофореза агароза   ris  orate  dta  5x  500m  ")</f>
        <v xml:space="preserve"> рактикум   лектрофорез     часть 1  типа  ards  cience 4706   каждый комплект входит источник тока мощностью от 15 т до 140 т   абор должен содержать весь необходимый инструментарий  а также методическое руководство для преподавателя и учащихся    рактикум содержит   сточник тока с цифровым индикатором  переменного напряжения универсальная микропипетка   ixed  olume 10   50 mu lower case      96 одноразовых головок для универсальной микропипетки  контейнер для электрофореза  gel box         6 агароз геля   romophenol синий  фиолетовый кристалл  оранжевый    метиловым зеленым  ксилол cyanol  неизвестно смесь краситель    30 микротрубок 1 5ml   1 готовый агароз гель   2 0   200ml   1  еактивы для электрофореза агароза   ris  orate  dta  5x  500m  </v>
      </c>
    </row>
    <row r="1707" spans="1:8" ht="12.75" x14ac:dyDescent="0.2">
      <c r="A1707" s="31" t="s">
        <v>3848</v>
      </c>
      <c r="B1707" s="27" t="s">
        <v>3849</v>
      </c>
      <c r="C1707" s="27"/>
      <c r="D1707" s="33" t="s">
        <v>1506</v>
      </c>
      <c r="E1707" s="9"/>
      <c r="F1707" s="32"/>
      <c r="G1707" s="10"/>
      <c r="H1707" s="30" t="str">
        <f ca="1">IFERROR(__xludf.DUMMYFUNCTION("LOWER(REGEXREPLACE(B1707&amp;"" ""&amp;C1707,""[^а-яa-z0-9 ]"","" ""))")," рактикум   лектрофорез     часть 2  ")</f>
        <v xml:space="preserve"> рактикум   лектрофорез     часть 2  </v>
      </c>
    </row>
    <row r="1708" spans="1:8" ht="114.75" x14ac:dyDescent="0.2">
      <c r="A1708" s="31" t="s">
        <v>3850</v>
      </c>
      <c r="B1708" s="27" t="s">
        <v>3851</v>
      </c>
      <c r="C1708" s="27" t="s">
        <v>3852</v>
      </c>
      <c r="D1708" s="33" t="s">
        <v>1506</v>
      </c>
      <c r="E1708" s="34">
        <v>2</v>
      </c>
      <c r="F1708" s="35">
        <v>4.3</v>
      </c>
      <c r="G1708" s="10">
        <v>1312794</v>
      </c>
      <c r="H1708" s="30" t="str">
        <f ca="1">IFERROR(__xludf.DUMMYFUNCTION("LOWER(REGEXREPLACE(B1708&amp;"" ""&amp;C1708,""[^а-яa-z0-9 ]"","" ""))")," рактикум   лектрофорез     часть 2  типа  xperia    21  омплектация  кейс с крышкой   1 шт   лоток со вставкой   1шт  гель бокс с лотками гребешками и силовыми кабелями   4 шт  источник питания   2 шт  микропипетки  2 20 мкл    8 шт микропипетка  20 200 "&amp;"мкл    1 шт  сухая ванна для микроцентрифужных трубок объемом 1 5 мл с блоком   1 шт   термометр   1 шт  стойки для микроцентрифужных трубок   4 шт  микроцентрифуга   1 шт  коробки с наконечниками для микропипеток   4 шт  пакет микроцентрифужных трубок об"&amp;"ъемом 1 5 мл  30 трубок    2 шт  коническая пробирка с агарозой  10 г    1 шт  флакон с беговым буфером      800 мл   1 шт  запасной предохранитель для источников питания   1 шт  темный считыватель   1 шт ")</f>
        <v xml:space="preserve"> рактикум   лектрофорез     часть 2  типа  xperia    21  омплектация  кейс с крышкой   1 шт   лоток со вставкой   1шт  гель бокс с лотками гребешками и силовыми кабелями   4 шт  источник питания   2 шт  микропипетки  2 20 мкл    8 шт микропипетка  20 200 мкл    1 шт  сухая ванна для микроцентрифужных трубок объемом 1 5 мл с блоком   1 шт   термометр   1 шт  стойки для микроцентрифужных трубок   4 шт  микроцентрифуга   1 шт  коробки с наконечниками для микропипеток   4 шт  пакет микроцентрифужных трубок объемом 1 5 мл  30 трубок    2 шт  коническая пробирка с агарозой  10 г    1 шт  флакон с беговым буфером      800 мл   1 шт  запасной предохранитель для источников питания   1 шт  темный считыватель   1 шт </v>
      </c>
    </row>
    <row r="1709" spans="1:8" ht="102" x14ac:dyDescent="0.2">
      <c r="A1709" s="31" t="s">
        <v>3853</v>
      </c>
      <c r="B1709" s="27" t="s">
        <v>3854</v>
      </c>
      <c r="C1709" s="27" t="s">
        <v>3855</v>
      </c>
      <c r="D1709" s="33" t="s">
        <v>1506</v>
      </c>
      <c r="E1709" s="34">
        <v>2</v>
      </c>
      <c r="F1709" s="34">
        <v>4</v>
      </c>
      <c r="G1709" s="10">
        <v>1203620</v>
      </c>
      <c r="H1709" s="30" t="str">
        <f ca="1">IFERROR(__xludf.DUMMYFUNCTION("LOWER(REGEXREPLACE(B1709&amp;"" ""&amp;C1709,""[^а-яa-z0-9 ]"","" ""))")," рактикум   лектрофорез     часть 2  типа  ards  cience 4707  абор должен содержать весь необходимый инструментарий    комплект входит   источник тока мощностью от 15 т до 140 т  2 универсальная микропипетка   ixed  olume 10   50 mu lower case      96 одн"&amp;"оразовых головок для универсальной микропипетки   2 контейнера для электрофореза  gel box        6 агароз геля   romophenol синий  фиолетовый кристалл  оранжевый    метиловым зеленым  ксилол cyanol  неизвестно смесь краситель    30 микрофуговые трубки 1 5"&amp;"ml   1 готовый агароз гель   2 0   200ml   1  еактивы для электрофореза агароза   ris  orate  dta  5x  500m  ")</f>
        <v xml:space="preserve"> рактикум   лектрофорез     часть 2  типа  ards  cience 4707  абор должен содержать весь необходимый инструментарий    комплект входит   источник тока мощностью от 15 т до 140 т  2 универсальная микропипетка   ixed  olume 10   50 mu lower case      96 одноразовых головок для универсальной микропипетки   2 контейнера для электрофореза  gel box        6 агароз геля   romophenol синий  фиолетовый кристалл  оранжевый    метиловым зеленым  ксилол cyanol  неизвестно смесь краситель    30 микрофуговые трубки 1 5ml   1 готовый агароз гель   2 0   200ml   1  еактивы для электрофореза агароза   ris  orate  dta  5x  500m  </v>
      </c>
    </row>
    <row r="1710" spans="1:8" ht="25.5" x14ac:dyDescent="0.2">
      <c r="A1710" s="31" t="s">
        <v>3856</v>
      </c>
      <c r="B1710" s="27" t="s">
        <v>3857</v>
      </c>
      <c r="C1710" s="27"/>
      <c r="D1710" s="33" t="s">
        <v>1506</v>
      </c>
      <c r="E1710" s="9"/>
      <c r="F1710" s="32"/>
      <c r="G1710" s="10"/>
      <c r="H1710" s="30" t="str">
        <f ca="1">IFERROR(__xludf.DUMMYFUNCTION("LOWER(REGEXREPLACE(B1710&amp;"" ""&amp;C1710,""[^а-яa-z0-9 ]"","" ""))")," чебный практикум   кстракция     из фруктов и овощей  ")</f>
        <v xml:space="preserve"> чебный практикум   кстракция     из фруктов и овощей  </v>
      </c>
    </row>
    <row r="1711" spans="1:8" ht="51" x14ac:dyDescent="0.2">
      <c r="A1711" s="31" t="s">
        <v>3858</v>
      </c>
      <c r="B1711" s="27" t="s">
        <v>3859</v>
      </c>
      <c r="C1711" s="27" t="s">
        <v>3860</v>
      </c>
      <c r="D1711" s="33" t="s">
        <v>1506</v>
      </c>
      <c r="E1711" s="34">
        <v>2</v>
      </c>
      <c r="F1711" s="36">
        <v>0.78</v>
      </c>
      <c r="G1711" s="10">
        <v>70957</v>
      </c>
      <c r="H1711" s="30" t="str">
        <f ca="1">IFERROR(__xludf.DUMMYFUNCTION("LOWER(REGEXREPLACE(B1711&amp;"" ""&amp;C1711,""[^а-яa-z0-9 ]"","" ""))")," чебный практикум   кстракция     из фруктов и овощей  типа  xperia    22  омплектация  кейс с крышкой   1 шт   лоток со вставкой   1шт      экстракционный буфер  250 мл   1 шт   радуированные пипетки  астера   10 шт    еревянные палочки   8 шт   робирки "&amp;"  10 шт   зопропиловый спирт  250 мл   1 шт ")</f>
        <v xml:space="preserve"> чебный практикум   кстракция     из фруктов и овощей  типа  xperia    22  омплектация  кейс с крышкой   1 шт   лоток со вставкой   1шт      экстракционный буфер  250 мл   1 шт   радуированные пипетки  астера   10 шт    еревянные палочки   8 шт   робирки   10 шт   зопропиловый спирт  250 мл   1 шт </v>
      </c>
    </row>
    <row r="1712" spans="1:8" ht="38.25" x14ac:dyDescent="0.2">
      <c r="A1712" s="31" t="s">
        <v>3861</v>
      </c>
      <c r="B1712" s="27" t="s">
        <v>3862</v>
      </c>
      <c r="C1712" s="27" t="s">
        <v>3863</v>
      </c>
      <c r="D1712" s="33" t="s">
        <v>1506</v>
      </c>
      <c r="E1712" s="34">
        <v>2</v>
      </c>
      <c r="F1712" s="35">
        <v>0.8</v>
      </c>
      <c r="G1712" s="10">
        <v>69500</v>
      </c>
      <c r="H1712" s="30" t="str">
        <f ca="1">IFERROR(__xludf.DUMMYFUNCTION("LOWER(REGEXREPLACE(B1712&amp;"" ""&amp;C1712,""[^а-яa-z0-9 ]"","" ""))")," чебный практикум   кстракция     из фруктов и овощей  типа  ards  cience 4708   комплект входит     уфер экстракции        калибровочные пипетки    деревянная палочка    большие тест трубки     маленькие тест трубки")</f>
        <v xml:space="preserve"> чебный практикум   кстракция     из фруктов и овощей  типа  ards  cience 4708   комплект входит     уфер экстракции        калибровочные пипетки    деревянная палочка    большие тест трубки     маленькие тест трубки</v>
      </c>
    </row>
    <row r="1713" spans="1:8" ht="25.5" x14ac:dyDescent="0.2">
      <c r="A1713" s="31" t="s">
        <v>3864</v>
      </c>
      <c r="B1713" s="27" t="s">
        <v>3865</v>
      </c>
      <c r="C1713" s="27"/>
      <c r="D1713" s="33" t="s">
        <v>1506</v>
      </c>
      <c r="E1713" s="9"/>
      <c r="F1713" s="32"/>
      <c r="G1713" s="10"/>
      <c r="H1713" s="30" t="str">
        <f ca="1">IFERROR(__xludf.DUMMYFUNCTION("LOWER(REGEXREPLACE(B1713&amp;"" ""&amp;C1713,""[^а-яa-z0-9 ]"","" ""))")," абор для лабораторных работ по исследованию     бактерий ")</f>
        <v xml:space="preserve"> абор для лабораторных работ по исследованию     бактерий </v>
      </c>
    </row>
    <row r="1714" spans="1:8" ht="89.25" x14ac:dyDescent="0.2">
      <c r="A1714" s="31" t="s">
        <v>3866</v>
      </c>
      <c r="B1714" s="27" t="s">
        <v>3867</v>
      </c>
      <c r="C1714" s="27" t="s">
        <v>3868</v>
      </c>
      <c r="D1714" s="33" t="s">
        <v>1506</v>
      </c>
      <c r="E1714" s="34">
        <v>2</v>
      </c>
      <c r="F1714" s="35">
        <v>1.1000000000000001</v>
      </c>
      <c r="G1714" s="10">
        <v>160886</v>
      </c>
      <c r="H1714" s="30" t="str">
        <f ca="1">IFERROR(__xludf.DUMMYFUNCTION("LOWER(REGEXREPLACE(B1714&amp;"" ""&amp;C1714,""[^а-яa-z0-9 ]"","" ""))")," абор для лабораторных работ по исследованию     бактерий типа  xperia    23  омплектация   ейс с крышкой   1 шт    оток со вставкой   1шт   актериальная культура   5 шт   изирующий раствор  50   1 шт   зопропанол и этиловый спирт  100 мл   1 шт   уфер дл"&amp;"я ресуспензии      50 мл   1 шт   гарозный гель   5 шт   ппарат для электрофореза в геле   1 шт   тидий бромид   t r   5 мл   1 шт   икропипетки   1 шт    асадки для микропипеток   10 шт   икроцентрифужные пробирки   4 шт    имическая колба конусовидная г"&amp;"радуированная   1 шт   ")</f>
        <v xml:space="preserve"> абор для лабораторных работ по исследованию     бактерий типа  xperia    23  омплектация   ейс с крышкой   1 шт    оток со вставкой   1шт   актериальная культура   5 шт   изирующий раствор  50   1 шт   зопропанол и этиловый спирт  100 мл   1 шт   уфер для ресуспензии      50 мл   1 шт   гарозный гель   5 шт   ппарат для электрофореза в геле   1 шт   тидий бромид   t r   5 мл   1 шт   икропипетки   1 шт    асадки для микропипеток   10 шт   икроцентрифужные пробирки   4 шт    имическая колба конусовидная градуированная   1 шт   </v>
      </c>
    </row>
    <row r="1715" spans="1:8" ht="89.25" x14ac:dyDescent="0.2">
      <c r="A1715" s="31" t="s">
        <v>3869</v>
      </c>
      <c r="B1715" s="27" t="s">
        <v>3870</v>
      </c>
      <c r="C1715" s="27" t="s">
        <v>3871</v>
      </c>
      <c r="D1715" s="33" t="s">
        <v>1506</v>
      </c>
      <c r="E1715" s="34">
        <v>2</v>
      </c>
      <c r="F1715" s="35">
        <v>0.8</v>
      </c>
      <c r="G1715" s="10">
        <v>158134</v>
      </c>
      <c r="H1715" s="30" t="str">
        <f ca="1">IFERROR(__xludf.DUMMYFUNCTION("LOWER(REGEXREPLACE(B1715&amp;"" ""&amp;C1715,""[^а-яa-z0-9 ]"","" ""))")," абор для лабораторных работ по исследованию     бактерий типа  ards  cience 4709   набор входит весь необходимый материал  включая реагенты и лабораторные принадлежности   етодическая инструкция    культуры галобактерии   иммитация живых бактерий halobac"&amp;"terium salinarum cultures  температурный режим     трубоки для экстрации  пробирки        виндер   ватные палочки    этиловый спирт   дистилированная вода  пробирки    стерильные пипетки    макро молекулярные растворы в баночках  macromolecular solution  "&amp;"  мешок для биологически опасных веществ ")</f>
        <v xml:space="preserve"> абор для лабораторных работ по исследованию     бактерий типа  ards  cience 4709   набор входит весь необходимый материал  включая реагенты и лабораторные принадлежности   етодическая инструкция    культуры галобактерии   иммитация живых бактерий halobacterium salinarum cultures  температурный режим     трубоки для экстрации  пробирки        виндер   ватные палочки    этиловый спирт   дистилированная вода  пробирки    стерильные пипетки    макро молекулярные растворы в баночках  macromolecular solution    мешок для биологически опасных веществ </v>
      </c>
    </row>
    <row r="1716" spans="1:8" ht="25.5" x14ac:dyDescent="0.2">
      <c r="A1716" s="31" t="s">
        <v>3872</v>
      </c>
      <c r="B1716" s="27" t="s">
        <v>3873</v>
      </c>
      <c r="C1716" s="27"/>
      <c r="D1716" s="33" t="s">
        <v>1506</v>
      </c>
      <c r="E1716" s="9"/>
      <c r="F1716" s="32"/>
      <c r="G1716" s="10"/>
      <c r="H1716" s="30" t="str">
        <f ca="1">IFERROR(__xludf.DUMMYFUNCTION("LOWER(REGEXREPLACE(B1716&amp;"" ""&amp;C1716,""[^а-яa-z0-9 ]"","" ""))")," рактикум   егулирование экспрессии гена  эксперимент по метилированию      ")</f>
        <v xml:space="preserve"> рактикум   егулирование экспрессии гена  эксперимент по метилированию      </v>
      </c>
    </row>
    <row r="1717" spans="1:8" ht="89.25" x14ac:dyDescent="0.2">
      <c r="A1717" s="31" t="s">
        <v>3874</v>
      </c>
      <c r="B1717" s="27" t="s">
        <v>3875</v>
      </c>
      <c r="C1717" s="27" t="s">
        <v>3876</v>
      </c>
      <c r="D1717" s="33" t="s">
        <v>1506</v>
      </c>
      <c r="E1717" s="34">
        <v>2</v>
      </c>
      <c r="F1717" s="36">
        <v>0.84</v>
      </c>
      <c r="G1717" s="10">
        <v>130310</v>
      </c>
      <c r="H1717" s="30" t="str">
        <f ca="1">IFERROR(__xludf.DUMMYFUNCTION("LOWER(REGEXREPLACE(B1717&amp;"" ""&amp;C1717,""[^а-яa-z0-9 ]"","" ""))")," рактикум   егулирование экспрессии гена  эксперимент по метилированию      типа  xperia    24  омплектация   ейс с крышкой   1 шт   оток со вставкой   1шт   бразцы      2 мл  без метилирования и с метилированием    1 шт   ерменты рестрикции  500 мкл    1"&amp;" шт  10  буфер для фермента рестрикции 5 мл    1 шт    гароза 5 г   1      буфер  500 мл    1 шт   раситель для     500 мкл  этидиумбромид   1 шт    ель бокс с блоком для агарозного геля   1 шт   икропипетки 1  20 мкл   1 шт   асадки для микропипеток   10"&amp;" шт   икроцентрифужные пробирки  10 шт   нструкция по эксперименту  1 брошюра   имическая колба конусовидная градуированная   1 шт ")</f>
        <v xml:space="preserve"> рактикум   егулирование экспрессии гена  эксперимент по метилированию      типа  xperia    24  омплектация   ейс с крышкой   1 шт   оток со вставкой   1шт   бразцы      2 мл  без метилирования и с метилированием    1 шт   ерменты рестрикции  500 мкл    1 шт  10  буфер для фермента рестрикции 5 мл    1 шт    гароза 5 г   1      буфер  500 мл    1 шт   раситель для     500 мкл  этидиумбромид   1 шт    ель бокс с блоком для агарозного геля   1 шт   икропипетки 1  20 мкл   1 шт   асадки для микропипеток   10 шт   икроцентрифужные пробирки  10 шт   нструкция по эксперименту  1 брошюра   имическая колба конусовидная градуированная   1 шт </v>
      </c>
    </row>
    <row r="1718" spans="1:8" ht="102" x14ac:dyDescent="0.2">
      <c r="A1718" s="31" t="s">
        <v>3877</v>
      </c>
      <c r="B1718" s="27" t="s">
        <v>3878</v>
      </c>
      <c r="C1718" s="27" t="s">
        <v>3879</v>
      </c>
      <c r="D1718" s="33" t="s">
        <v>1506</v>
      </c>
      <c r="E1718" s="34">
        <v>2</v>
      </c>
      <c r="F1718" s="34">
        <v>1</v>
      </c>
      <c r="G1718" s="10">
        <v>127918</v>
      </c>
      <c r="H1718" s="30" t="str">
        <f ca="1">IFERROR(__xludf.DUMMYFUNCTION("LOWER(REGEXREPLACE(B1718&amp;"" ""&amp;C1718,""[^а-яa-z0-9 ]"","" ""))")," рактикум   егулирование экспрессии гена  эксперимент по метилированию      типа  ards  cience 47010  абор содержит     омпоненты для метилирования       ambda       ind   cor    adenosyl     темп  режим     астворэкспресиигена 0 5 мл  1  ottle of loadin "&amp;" egulation of  ene  xpressiong solution  0 5 ml     1 бутылекразбавленногоагароза 0 8   200 мл  1  ottle of pre cooked agarose 0 8   200 ml     1 бутылек трисборатбуфер10x  250мл  1  ottle of     running buffer 10x  250 ml     1 бутылек красителя     60 м"&amp;"л  1  ottle of      tain concentrate  60ml      реакционные микротрубки   1 лотокдлягеля   1 мешалка")</f>
        <v xml:space="preserve"> рактикум   егулирование экспрессии гена  эксперимент по метилированию      типа  ards  cience 47010  абор содержит     омпоненты для метилирования       ambda       ind   cor    adenosyl     темп  режим     астворэкспресиигена 0 5 мл  1  ottle of loadin  egulation of  ene  xpressiong solution  0 5 ml     1 бутылекразбавленногоагароза 0 8   200 мл  1  ottle of pre cooked agarose 0 8   200 ml     1 бутылек трисборатбуфер10x  250мл  1  ottle of     running buffer 10x  250 ml     1 бутылек красителя     60 мл  1  ottle of      tain concentrate  60ml      реакционные микротрубки   1 лотокдлягеля   1 мешалка</v>
      </c>
    </row>
    <row r="1719" spans="1:8" ht="25.5" x14ac:dyDescent="0.2">
      <c r="A1719" s="31" t="s">
        <v>3880</v>
      </c>
      <c r="B1719" s="27" t="s">
        <v>3881</v>
      </c>
      <c r="C1719" s="27"/>
      <c r="D1719" s="33" t="s">
        <v>1506</v>
      </c>
      <c r="E1719" s="9"/>
      <c r="F1719" s="32"/>
      <c r="G1719" s="10"/>
      <c r="H1719" s="30" t="str">
        <f ca="1">IFERROR(__xludf.DUMMYFUNCTION("LOWER(REGEXREPLACE(B1719&amp;"" ""&amp;C1719,""[^а-яa-z0-9 ]"","" ""))")," рактикум   асщепление молекул   истема анализа белка и      ")</f>
        <v xml:space="preserve"> рактикум   асщепление молекул   истема анализа белка и      </v>
      </c>
    </row>
    <row r="1720" spans="1:8" ht="127.5" x14ac:dyDescent="0.2">
      <c r="A1720" s="31" t="s">
        <v>3882</v>
      </c>
      <c r="B1720" s="27" t="s">
        <v>3883</v>
      </c>
      <c r="C1720" s="27" t="s">
        <v>3884</v>
      </c>
      <c r="D1720" s="33" t="s">
        <v>1506</v>
      </c>
      <c r="E1720" s="34">
        <v>2</v>
      </c>
      <c r="F1720" s="36">
        <v>1.24</v>
      </c>
      <c r="G1720" s="10">
        <v>131570</v>
      </c>
      <c r="H1720" s="30" t="str">
        <f ca="1">IFERROR(__xludf.DUMMYFUNCTION("LOWER(REGEXREPLACE(B1720&amp;"" ""&amp;C1720,""[^а-яa-z0-9 ]"","" ""))")," рактикум   асщепление молекул   истема анализа белка и      типа  xperia    25  омплектация   ейс с крышкой   1 шт   оток со вставкой   1шт   ультура    coli    1 пачка   идкая питательная среда  например     бульон 100 мл    1 шт   робирки   5 шт   ипет"&amp;"ки   9 шт    ластиковые мерные ложки   1 шт  0 1   раствор  a   20 мл   1 шт  1 5   раствор  a l 20 мл   1 шт   ильтровальная бумага   1 упаковка   гароза  1 г   1 шт  1      буфер   ris acetate        250 мл   1 шт   ель бокс с блоком для агарозного геля"&amp;"   1 шт  лектрофорезный бак   1 шт   сточник питания для электрофореза   1 шт   итательная среда для культивирования бактерий с соответствующими антибиотиками  200 мл    1 шт   ерменты рестрикции  20 мкл   1 шт   елковый гель    1 шт   аствор  oomassie  l"&amp;"ue  20 мл    1 шт   аствор этидиумбромида      10 мл   1 шт            загрузочный буфер  20 мл   1 шт ")</f>
        <v xml:space="preserve"> рактикум   асщепление молекул   истема анализа белка и      типа  xperia    25  омплектация   ейс с крышкой   1 шт   оток со вставкой   1шт   ультура    coli    1 пачка   идкая питательная среда  например     бульон 100 мл    1 шт   робирки   5 шт   ипетки   9 шт    ластиковые мерные ложки   1 шт  0 1   раствор  a   20 мл   1 шт  1 5   раствор  a l 20 мл   1 шт   ильтровальная бумага   1 упаковка   гароза  1 г   1 шт  1      буфер   ris acetate        250 мл   1 шт   ель бокс с блоком для агарозного геля   1 шт  лектрофорезный бак   1 шт   сточник питания для электрофореза   1 шт   итательная среда для культивирования бактерий с соответствующими антибиотиками  200 мл    1 шт   ерменты рестрикции  20 мкл   1 шт   елковый гель    1 шт   аствор  oomassie  lue  20 мл    1 шт   аствор этидиумбромида      10 мл   1 шт            загрузочный буфер  20 мл   1 шт </v>
      </c>
    </row>
    <row r="1721" spans="1:8" ht="165.75" x14ac:dyDescent="0.2">
      <c r="A1721" s="31" t="s">
        <v>3885</v>
      </c>
      <c r="B1721" s="27" t="s">
        <v>3886</v>
      </c>
      <c r="C1721" s="27" t="s">
        <v>3887</v>
      </c>
      <c r="D1721" s="33" t="s">
        <v>1506</v>
      </c>
      <c r="E1721" s="34">
        <v>2</v>
      </c>
      <c r="F1721" s="34">
        <v>6</v>
      </c>
      <c r="G1721" s="10">
        <v>2417807</v>
      </c>
      <c r="H1721" s="30" t="str">
        <f ca="1">IFERROR(__xludf.DUMMYFUNCTION("LOWER(REGEXREPLACE(B1721&amp;"" ""&amp;C1721,""[^а-яa-z0-9 ]"","" ""))")," рактикум   асщепление молекул   истема анализа белка и      типа  ards  cience 47011   комплект входит    рыбный компонент желтый окунь  строго в холодильнике  живые протеиновые молекулы    рыбный компонент судак  строго в холодильнике  живые протеиновые"&amp;" молекулы    рыбный компонент  осось  строго в холодильнике  живые протеиновые молекулы    высоко молекулярный протеиновый маркер   1 порошкообразный     буферный концетрат  1  acket     running  oncestrate     1 бутылек с протеиновым с агарозовым раствор"&amp;"ом 500 мл   garose  rotein mix    1 лоток    1 мешалка для раствора    пластиковые пипетики    30 микротрубок для центрифуги    оток вертикальный для пластин   ertical dual      chamber     источник питания для проведения электрофореза  постоянный выход 1"&amp;"00   или 200    200 м     рисглицин        гелиевые пластины для электрофореза     gradient tris glycine gels   температурный режим     икропипетки универсальные10       иллиметровка  бумага ")</f>
        <v xml:space="preserve"> рактикум   асщепление молекул   истема анализа белка и      типа  ards  cience 47011   комплект входит    рыбный компонент желтый окунь  строго в холодильнике  живые протеиновые молекулы    рыбный компонент судак  строго в холодильнике  живые протеиновые молекулы    рыбный компонент  осось  строго в холодильнике  живые протеиновые молекулы    высоко молекулярный протеиновый маркер   1 порошкообразный     буферный концетрат  1  acket     running  oncestrate     1 бутылек с протеиновым с агарозовым раствором 500 мл   garose  rotein mix    1 лоток    1 мешалка для раствора    пластиковые пипетики    30 микротрубок для центрифуги    оток вертикальный для пластин   ertical dual      chamber     источник питания для проведения электрофореза  постоянный выход 100   или 200    200 м     рисглицин        гелиевые пластины для электрофореза     gradient tris glycine gels   температурный режим     икропипетки универсальные10       иллиметровка  бумага </v>
      </c>
    </row>
    <row r="1722" spans="1:8" ht="12.75" x14ac:dyDescent="0.2">
      <c r="A1722" s="31" t="s">
        <v>3888</v>
      </c>
      <c r="B1722" s="27" t="s">
        <v>3889</v>
      </c>
      <c r="C1722" s="27"/>
      <c r="D1722" s="33" t="s">
        <v>1506</v>
      </c>
      <c r="E1722" s="9"/>
      <c r="F1722" s="32"/>
      <c r="G1722" s="10"/>
      <c r="H1722" s="30" t="str">
        <f ca="1">IFERROR(__xludf.DUMMYFUNCTION("LOWER(REGEXREPLACE(B1722&amp;"" ""&amp;C1722,""[^а-яa-z0-9 ]"","" ""))")," абораторный практикум   ткрытие      ")</f>
        <v xml:space="preserve"> абораторный практикум   ткрытие      </v>
      </c>
    </row>
    <row r="1723" spans="1:8" ht="38.25" x14ac:dyDescent="0.2">
      <c r="A1723" s="31" t="s">
        <v>3890</v>
      </c>
      <c r="B1723" s="8" t="s">
        <v>3891</v>
      </c>
      <c r="C1723" s="27" t="s">
        <v>3892</v>
      </c>
      <c r="D1723" s="33" t="s">
        <v>1506</v>
      </c>
      <c r="E1723" s="34">
        <v>2</v>
      </c>
      <c r="F1723" s="35">
        <v>0.8</v>
      </c>
      <c r="G1723" s="10">
        <v>134401</v>
      </c>
      <c r="H1723" s="30" t="str">
        <f ca="1">IFERROR(__xludf.DUMMYFUNCTION("LOWER(REGEXREPLACE(B1723&amp;"" ""&amp;C1723,""[^а-яa-z0-9 ]"","" ""))")," абораторный практикум   ткрытие      типа  ards  cience 47012  абор содержит    етодическую пошаговую литературу для учащихся        хромосомы в буфере    нстаблукарта   nsta tain methylene blue card    палочкидлямешания   пластиковые калибровочные пипет"&amp;"ки")</f>
        <v xml:space="preserve"> абораторный практикум   ткрытие      типа  ards  cience 47012  абор содержит    етодическую пошаговую литературу для учащихся        хромосомы в буфере    нстаблукарта   nsta tain methylene blue card    палочкидлямешания   пластиковые калибровочные пипетки</v>
      </c>
    </row>
    <row r="1724" spans="1:8" ht="25.5" x14ac:dyDescent="0.2">
      <c r="A1724" s="31" t="s">
        <v>3893</v>
      </c>
      <c r="B1724" s="8" t="s">
        <v>3894</v>
      </c>
      <c r="C1724" s="27"/>
      <c r="D1724" s="33" t="s">
        <v>1506</v>
      </c>
      <c r="E1724" s="9"/>
      <c r="F1724" s="32"/>
      <c r="G1724" s="10"/>
      <c r="H1724" s="30" t="str">
        <f ca="1">IFERROR(__xludf.DUMMYFUNCTION("LOWER(REGEXREPLACE(B1724&amp;"" ""&amp;C1724,""[^а-яa-z0-9 ]"","" ""))")," абораторный практикум   арта     семьи  ")</f>
        <v xml:space="preserve"> абораторный практикум   арта     семьи  </v>
      </c>
    </row>
    <row r="1725" spans="1:8" ht="63.75" x14ac:dyDescent="0.2">
      <c r="A1725" s="31" t="s">
        <v>3895</v>
      </c>
      <c r="B1725" s="8" t="s">
        <v>3896</v>
      </c>
      <c r="C1725" s="27" t="s">
        <v>3897</v>
      </c>
      <c r="D1725" s="33" t="s">
        <v>1506</v>
      </c>
      <c r="E1725" s="34">
        <v>2</v>
      </c>
      <c r="F1725" s="36">
        <v>1.32</v>
      </c>
      <c r="G1725" s="10">
        <v>70599</v>
      </c>
      <c r="H1725" s="30" t="str">
        <f ca="1">IFERROR(__xludf.DUMMYFUNCTION("LOWER(REGEXREPLACE(B1725&amp;"" ""&amp;C1725,""[^а-яa-z0-9 ]"","" ""))")," абораторный практикум   арта     семьи  типа  xperia    27  омплектация    ейс с крышкой   1 шт   оток со вставкой   1шт   аствор для лизиса  10 мл   1 шт   атные тампоны   1 шт   a    хлорид натрия   5 г   1 шт    ротеаза  20 мл   1 шт   раситель метиле"&amp;"новый синий  5 мл   1 шт   алиброванные переносные пипетки   2 шт   икропипетки   1 шт   аконечники для микропипеток   5 шт   робирки    3 шт   емейная идентификационная карта   1 шт ")</f>
        <v xml:space="preserve"> абораторный практикум   арта     семьи  типа  xperia    27  омплектация    ейс с крышкой   1 шт   оток со вставкой   1шт   аствор для лизиса  10 мл   1 шт   атные тампоны   1 шт   a    хлорид натрия   5 г   1 шт    ротеаза  20 мл   1 шт   раситель метиленовый синий  5 мл   1 шт   алиброванные переносные пипетки   2 шт   икропипетки   1 шт   аконечники для микропипеток   5 шт   робирки    3 шт   емейная идентификационная карта   1 шт </v>
      </c>
    </row>
    <row r="1726" spans="1:8" ht="63.75" x14ac:dyDescent="0.2">
      <c r="A1726" s="31" t="s">
        <v>3898</v>
      </c>
      <c r="B1726" s="8" t="s">
        <v>3899</v>
      </c>
      <c r="C1726" s="27" t="s">
        <v>3900</v>
      </c>
      <c r="D1726" s="33" t="s">
        <v>1506</v>
      </c>
      <c r="E1726" s="34">
        <v>2</v>
      </c>
      <c r="F1726" s="35">
        <v>0.8</v>
      </c>
      <c r="G1726" s="10">
        <v>70205</v>
      </c>
      <c r="H1726" s="30" t="str">
        <f ca="1">IFERROR(__xludf.DUMMYFUNCTION("LOWER(REGEXREPLACE(B1726&amp;"" ""&amp;C1726,""[^а-яa-z0-9 ]"","" ""))")," абораторный практикум   арта     семьи  типа  ards  cience 47013  абор должен содержать весь необходимый инструментарий  а также методическое руководство для преподавателя и учащихся     исис буфер    атные палочки    атрий хлор    нзим   rotease enzyme "&amp;"    етелинблу   ethylene blue plus stain     алибровочные пипетки    икропипетки     естовые пробирки    емейная     карта")</f>
        <v xml:space="preserve"> абораторный практикум   арта     семьи  типа  ards  cience 47013  абор должен содержать весь необходимый инструментарий  а также методическое руководство для преподавателя и учащихся     исис буфер    атные палочки    атрий хлор    нзим   rotease enzyme     етелинблу   ethylene blue plus stain     алибровочные пипетки    икропипетки     естовые пробирки    емейная     карта</v>
      </c>
    </row>
    <row r="1727" spans="1:8" ht="25.5" x14ac:dyDescent="0.2">
      <c r="A1727" s="31" t="s">
        <v>3901</v>
      </c>
      <c r="B1727" s="8" t="s">
        <v>3902</v>
      </c>
      <c r="C1727" s="27"/>
      <c r="D1727" s="33" t="s">
        <v>1506</v>
      </c>
      <c r="E1727" s="9"/>
      <c r="F1727" s="32"/>
      <c r="G1727" s="10"/>
      <c r="H1727" s="30" t="str">
        <f ca="1">IFERROR(__xludf.DUMMYFUNCTION("LOWER(REGEXREPLACE(B1727&amp;"" ""&amp;C1727,""[^а-яa-z0-9 ]"","" ""))")," рактикум   оссоздание кариотипирования  ")</f>
        <v xml:space="preserve"> рактикум   оссоздание кариотипирования  </v>
      </c>
    </row>
    <row r="1728" spans="1:8" ht="191.25" x14ac:dyDescent="0.2">
      <c r="A1728" s="31" t="s">
        <v>3903</v>
      </c>
      <c r="B1728" s="8" t="s">
        <v>3904</v>
      </c>
      <c r="C1728" s="27" t="s">
        <v>3905</v>
      </c>
      <c r="D1728" s="33" t="s">
        <v>1506</v>
      </c>
      <c r="E1728" s="34">
        <v>2</v>
      </c>
      <c r="F1728" s="36">
        <v>4.8899999999999997</v>
      </c>
      <c r="G1728" s="10">
        <v>77765</v>
      </c>
      <c r="H1728" s="30" t="str">
        <f ca="1">IFERROR(__xludf.DUMMYFUNCTION("LOWER(REGEXREPLACE(B1728&amp;"" ""&amp;C1728,""[^а-яa-z0-9 ]"","" ""))")," рактикум   оссоздание кариотипирования  типа  xperia    28  омплектация  кейс с крышкой   1 шт   лоток со вставкой   1шт  подготовленные образцы метафазных хромосом   20 шт   иксирующий раствор  500 мл   1 бутылка  аствор  имзы  100 мл   1 бутылка   омпь"&amp;"ютерная с программа для анализа изображений и составления кариограмм   1 шт   уфер для промывки  фосфатный буферный раствор        500 мл   1 бутылка   пипетки разного объема   10 шт наконечники дл пипеток   100 шт   икроцентрифужные пробирки  1 5 мл   10"&amp;"0 пробирок   анна для окрашивания слайдов   1 шт   нструкции и учебные пособия по кариотипированию   20 комплектов   езиновые перчатки   50 пар   скусственные модели хромосом    1 набор  хромосом  для каждого студента    23 шт   оллажные материалы для соз"&amp;"дания кариограммы   10 листов   опмлект цветных карандашов   10 шт   упы   10 шт  ллюстративные материалы о различных генетических расстройствах  связанных с хромосомами   20 шт   ечатные инструкции для учеников   20 шт   нтерактивные демонстрационные мат"&amp;"ериалы   5 шт   идеоматериалы с демонстрацией процесса кариотипирования   1 шт   икроскопические слайды с изображениями реальных кариограмм   1 шт ")</f>
        <v xml:space="preserve"> рактикум   оссоздание кариотипирования  типа  xperia    28  омплектация  кейс с крышкой   1 шт   лоток со вставкой   1шт  подготовленные образцы метафазных хромосом   20 шт   иксирующий раствор  500 мл   1 бутылка  аствор  имзы  100 мл   1 бутылка   омпьютерная с программа для анализа изображений и составления кариограмм   1 шт   уфер для промывки  фосфатный буферный раствор        500 мл   1 бутылка   пипетки разного объема   10 шт наконечники дл пипеток   100 шт   икроцентрифужные пробирки  1 5 мл   100 пробирок   анна для окрашивания слайдов   1 шт   нструкции и учебные пособия по кариотипированию   20 комплектов   езиновые перчатки   50 пар   скусственные модели хромосом    1 набор  хромосом  для каждого студента    23 шт   оллажные материалы для создания кариограммы   10 листов   опмлект цветных карандашов   10 шт   упы   10 шт  ллюстративные материалы о различных генетических расстройствах  связанных с хромосомами   20 шт   ечатные инструкции для учеников   20 шт   нтерактивные демонстрационные материалы   5 шт   идеоматериалы с демонстрацией процесса кариотипирования   1 шт   икроскопические слайды с изображениями реальных кариограмм   1 шт </v>
      </c>
    </row>
    <row r="1729" spans="1:8" ht="51" x14ac:dyDescent="0.2">
      <c r="A1729" s="31" t="s">
        <v>3906</v>
      </c>
      <c r="B1729" s="27" t="s">
        <v>3907</v>
      </c>
      <c r="C1729" s="27" t="s">
        <v>3908</v>
      </c>
      <c r="D1729" s="33" t="s">
        <v>1506</v>
      </c>
      <c r="E1729" s="34">
        <v>2</v>
      </c>
      <c r="F1729" s="35">
        <v>0.8</v>
      </c>
      <c r="G1729" s="10">
        <v>76550</v>
      </c>
      <c r="H1729" s="30" t="str">
        <f ca="1">IFERROR(__xludf.DUMMYFUNCTION("LOWER(REGEXREPLACE(B1729&amp;"" ""&amp;C1729,""[^а-яa-z0-9 ]"","" ""))")," рактикум   оссоздание кариотипирования  типа  ards  cience 47014   набор входит пошаговая инструкция    6 пластин кариотипирования  6 karyotype trays     6 пластин  1  6 chromosome plate  1    6 пластин  2  6 chromosome plate  2    6 пластин  3  6 chromo"&amp;"some plate  3    6 пластиковых пакетов")</f>
        <v xml:space="preserve"> рактикум   оссоздание кариотипирования  типа  ards  cience 47014   набор входит пошаговая инструкция    6 пластин кариотипирования  6 karyotype trays     6 пластин  1  6 chromosome plate  1    6 пластин  2  6 chromosome plate  2    6 пластин  3  6 chromosome plate  3    6 пластиковых пакетов</v>
      </c>
    </row>
    <row r="1730" spans="1:8" ht="25.5" x14ac:dyDescent="0.2">
      <c r="A1730" s="31" t="s">
        <v>3909</v>
      </c>
      <c r="B1730" s="8" t="s">
        <v>3910</v>
      </c>
      <c r="C1730" s="27"/>
      <c r="D1730" s="33" t="s">
        <v>1506</v>
      </c>
      <c r="E1730" s="9"/>
      <c r="F1730" s="32"/>
      <c r="G1730" s="10"/>
      <c r="H1730" s="30" t="str">
        <f ca="1">IFERROR(__xludf.DUMMYFUNCTION("LOWER(REGEXREPLACE(B1730&amp;"" ""&amp;C1730,""[^а-яa-z0-9 ]"","" ""))")," абораторный практикум   екомбинант      демонстрация моделей  ")</f>
        <v xml:space="preserve"> абораторный практикум   екомбинант      демонстрация моделей  </v>
      </c>
    </row>
    <row r="1731" spans="1:8" ht="63.75" x14ac:dyDescent="0.2">
      <c r="A1731" s="31" t="s">
        <v>3911</v>
      </c>
      <c r="B1731" s="27" t="s">
        <v>3912</v>
      </c>
      <c r="C1731" s="27" t="s">
        <v>3913</v>
      </c>
      <c r="D1731" s="33" t="s">
        <v>1506</v>
      </c>
      <c r="E1731" s="34">
        <v>2</v>
      </c>
      <c r="F1731" s="36">
        <v>4.2300000000000004</v>
      </c>
      <c r="G1731" s="10">
        <v>111348</v>
      </c>
      <c r="H1731" s="30" t="str">
        <f ca="1">IFERROR(__xludf.DUMMYFUNCTION("LOWER(REGEXREPLACE(B1731&amp;"" ""&amp;C1731,""[^а-яa-z0-9 ]"","" ""))")," абораторный практикум   екомбинант      демонстрация моделей  типа  xperia    29  омплектация   ейс с крышкой   1 шт    оток со вставкой   1шт   елые бусины   570 шт   расные бусины   570 шт   ранжевые бусины   140 шт   еленые бусины  140 шт   иние бусин"&amp;"ы  140 шт   елтые бусины  140 шт   иолетовые бусины  140 шт   озовые бусины  140 шт   розрачные соединители  300 шт   уководства для студентов  10 шт   чебное руководство и руководство для студентов  1 шт ")</f>
        <v xml:space="preserve"> абораторный практикум   екомбинант      демонстрация моделей  типа  xperia    29  омплектация   ейс с крышкой   1 шт    оток со вставкой   1шт   елые бусины   570 шт   расные бусины   570 шт   ранжевые бусины   140 шт   еленые бусины  140 шт   иние бусины  140 шт   елтые бусины  140 шт   иолетовые бусины  140 шт   озовые бусины  140 шт   розрачные соединители  300 шт   уководства для студентов  10 шт   чебное руководство и руководство для студентов  1 шт </v>
      </c>
    </row>
    <row r="1732" spans="1:8" ht="178.5" x14ac:dyDescent="0.2">
      <c r="A1732" s="31" t="s">
        <v>3914</v>
      </c>
      <c r="B1732" s="27" t="s">
        <v>3915</v>
      </c>
      <c r="C1732" s="27" t="s">
        <v>3916</v>
      </c>
      <c r="D1732" s="33" t="s">
        <v>1506</v>
      </c>
      <c r="E1732" s="34">
        <v>2</v>
      </c>
      <c r="F1732" s="34">
        <v>2</v>
      </c>
      <c r="G1732" s="10">
        <v>372672</v>
      </c>
      <c r="H1732" s="30" t="str">
        <f ca="1">IFERROR(__xludf.DUMMYFUNCTION("LOWER(REGEXREPLACE(B1732&amp;"" ""&amp;C1732,""[^а-яa-z0-9 ]"","" ""))")," абораторный практикум   екомбинант      демонстрация моделей  типа  ards  cience 47016  абор содержит     1  рагмент   иркулярнаяплазмида       1875     1   ircularplasmid     1  рагмент   иркулярнаяплазмида       2332     2   ircularplasmid    1  рагмен"&amp;"т   иркулярнаяплазмида       3755     3   ircularplasmid    1  рагмент   иркулярнаяплазмида       784     4   ircularplasmid    1  естрикционныйфермент   am     5   estrictionenzyme    1  естрикционныйфермент   ind      6   estrictionenzyme    2  инейныйф"&amp;"рагмент   g     1875     7   inearfrag     2  инейныйфрагмент   g    2332     8   inearfrag     2  инейныйфрагмент   g     3755     9   inearfrag     2  инейныйфрагмент   g     784     10   inearfrag     1  ельэлектрофорезнаядоска   g    11   el  lectroph"&amp;"oresis board     нструкция  12   nstructional manual    12  инейныйфрагмент   m     1875     1   inear frag     12  инейныйфрагмент   m    2332     2   inear frag     12  инейныйфрагмент   m     3755     3   inear frag     12  инейныйфрагмент   m    784  "&amp;"   4   inear frag     15  ельэлектрофорезнаядоска  5   el  lectrophoresis board    6 магнитов  magnets ")</f>
        <v xml:space="preserve"> абораторный практикум   екомбинант      демонстрация моделей  типа  ards  cience 47016  абор содержит     1  рагмент   иркулярнаяплазмида       1875     1   ircularplasmid     1  рагмент   иркулярнаяплазмида       2332     2   ircularplasmid    1  рагмент   иркулярнаяплазмида       3755     3   ircularplasmid    1  рагмент   иркулярнаяплазмида       784     4   ircularplasmid    1  естрикционныйфермент   am     5   estrictionenzyme    1  естрикционныйфермент   ind      6   estrictionenzyme    2  инейныйфрагмент   g     1875     7   inearfrag     2  инейныйфрагмент   g    2332     8   inearfrag     2  инейныйфрагмент   g     3755     9   inearfrag     2  инейныйфрагмент   g     784     10   inearfrag     1  ельэлектрофорезнаядоска   g    11   el  lectrophoresis board     нструкция  12   nstructional manual    12  инейныйфрагмент   m     1875     1   inear frag     12  инейныйфрагмент   m    2332     2   inear frag     12  инейныйфрагмент   m     3755     3   inear frag     12  инейныйфрагмент   m    784     4   inear frag     15  ельэлектрофорезнаядоска  5   el  lectrophoresis board    6 магнитов  magnets </v>
      </c>
    </row>
    <row r="1733" spans="1:8" ht="12.75" x14ac:dyDescent="0.2">
      <c r="A1733" s="31" t="s">
        <v>3917</v>
      </c>
      <c r="B1733" s="27" t="s">
        <v>3918</v>
      </c>
      <c r="C1733" s="27"/>
      <c r="D1733" s="33" t="s">
        <v>1506</v>
      </c>
      <c r="E1733" s="9"/>
      <c r="F1733" s="32"/>
      <c r="G1733" s="10"/>
      <c r="H1733" s="30" t="str">
        <f ca="1">IFERROR(__xludf.DUMMYFUNCTION("LOWER(REGEXREPLACE(B1733&amp;"" ""&amp;C1733,""[^а-яa-z0-9 ]"","" ""))")," абор для определения уровня антител ")</f>
        <v xml:space="preserve"> абор для определения уровня антител </v>
      </c>
    </row>
    <row r="1734" spans="1:8" ht="153" x14ac:dyDescent="0.2">
      <c r="A1734" s="31" t="s">
        <v>3919</v>
      </c>
      <c r="B1734" s="27" t="s">
        <v>3920</v>
      </c>
      <c r="C1734" s="27" t="s">
        <v>3921</v>
      </c>
      <c r="D1734" s="33" t="s">
        <v>1506</v>
      </c>
      <c r="E1734" s="34">
        <v>2</v>
      </c>
      <c r="F1734" s="36">
        <v>3.42</v>
      </c>
      <c r="G1734" s="10">
        <v>221130</v>
      </c>
      <c r="H1734" s="30" t="str">
        <f ca="1">IFERROR(__xludf.DUMMYFUNCTION("LOWER(REGEXREPLACE(B1734&amp;"" ""&amp;C1734,""[^а-яa-z0-9 ]"","" ""))")," абор для определения уровня антител типа  xperia    30  омплектация   ейс с крышкой   1 шт   лоток со вставкой   1шт  микропланшеты с прокаллиброванными ячейками для         6 шт  эталонные образцы антител с различными известными концентрациями  100 мкл "&amp;"  8 шт  образцы крови пациентов с неизвестными концентрациями антител  100 мкл   8 шт  раствор антигенов для образцов крови  50 мл   1 шт   фосфатный буферный раствор  100 мл   1 шт  растворы стандартных антител  1 мл   2 шт  ферментный конъюгат   10 мл  "&amp;" 1 шт  пероксидаза  10 мл   1 шт  алкалическая фосфатаза  10 мл   1 шт  раствор субстрата для ферментного действия  10 мл   1шт  реакционные емкости для        96 луночные микротитровые планшеты    6 шт  пипетки   30 шт  наконечники для пипеток   60 шт  с"&amp;"убстрат для ферментов   1 шт  калибровочные образцы с известными уровнями антител    2 шт  химические колбы конусовидные   5 шт  пробирки   16 шт ")</f>
        <v xml:space="preserve"> абор для определения уровня антител типа  xperia    30  омплектация   ейс с крышкой   1 шт   лоток со вставкой   1шт  микропланшеты с прокаллиброванными ячейками для         6 шт  эталонные образцы антител с различными известными концентрациями  100 мкл   8 шт  образцы крови пациентов с неизвестными концентрациями антител  100 мкл   8 шт  раствор антигенов для образцов крови  50 мл   1 шт   фосфатный буферный раствор  100 мл   1 шт  растворы стандартных антител  1 мл   2 шт  ферментный конъюгат   10 мл   1 шт  пероксидаза  10 мл   1 шт  алкалическая фосфатаза  10 мл   1 шт  раствор субстрата для ферментного действия  10 мл   1шт  реакционные емкости для        96 луночные микротитровые планшеты    6 шт  пипетки   30 шт  наконечники для пипеток   60 шт  субстрат для ферментов   1 шт  калибровочные образцы с известными уровнями антител    2 шт  химические колбы конусовидные   5 шт  пробирки   16 шт </v>
      </c>
    </row>
    <row r="1735" spans="1:8" ht="89.25" x14ac:dyDescent="0.2">
      <c r="A1735" s="31" t="s">
        <v>3922</v>
      </c>
      <c r="B1735" s="27" t="s">
        <v>3923</v>
      </c>
      <c r="C1735" s="27" t="s">
        <v>3924</v>
      </c>
      <c r="D1735" s="33" t="s">
        <v>1506</v>
      </c>
      <c r="E1735" s="34">
        <v>2</v>
      </c>
      <c r="F1735" s="35">
        <v>0.8</v>
      </c>
      <c r="G1735" s="10">
        <v>218566</v>
      </c>
      <c r="H1735" s="30" t="str">
        <f ca="1">IFERROR(__xludf.DUMMYFUNCTION("LOWER(REGEXREPLACE(B1735&amp;"" ""&amp;C1735,""[^а-яa-z0-9 ]"","" ""))")," абор для определения уровня антител типа  ards  cience 47017   набор входит    компонент       ntigen 1   темп  режим     компонент       ntigen 2   темп  режим     компонент       iluition buffer    темп  режим    компонент       rimary  ntibody     тем"&amp;"п  режим    компонент       rimery  ntibody     темп  режим    компонент      10x  ash buffer   темп  режим    компонент       econdary antibody    темп  режим    компонент             темп  режим    компонент       top solution    темп  режим    микропла"&amp;"стина планшет с углублениями    пластиковые пипетки и трубки")</f>
        <v xml:space="preserve"> абор для определения уровня антител типа  ards  cience 47017   набор входит    компонент       ntigen 1   темп  режим     компонент       ntigen 2   темп  режим     компонент       iluition buffer    темп  режим    компонент       rimary  ntibody     темп  режим    компонент       rimery  ntibody     темп  режим    компонент      10x  ash buffer   темп  режим    компонент       econdary antibody    темп  режим    компонент             темп  режим    компонент       top solution    темп  режим    микропластина планшет с углублениями    пластиковые пипетки и трубки</v>
      </c>
    </row>
    <row r="1736" spans="1:8" ht="12.75" x14ac:dyDescent="0.2">
      <c r="A1736" s="31" t="s">
        <v>3925</v>
      </c>
      <c r="B1736" s="27" t="s">
        <v>3926</v>
      </c>
      <c r="C1736" s="27"/>
      <c r="D1736" s="33" t="s">
        <v>1506</v>
      </c>
      <c r="E1736" s="9"/>
      <c r="F1736" s="32"/>
      <c r="G1736" s="10"/>
      <c r="H1736" s="30" t="str">
        <f ca="1">IFERROR(__xludf.DUMMYFUNCTION("LOWER(REGEXREPLACE(B1736&amp;"" ""&amp;C1736,""[^а-яa-z0-9 ]"","" ""))")," чебный набор   пределение диагноза  ")</f>
        <v xml:space="preserve"> чебный набор   пределение диагноза  </v>
      </c>
    </row>
    <row r="1737" spans="1:8" ht="102" x14ac:dyDescent="0.2">
      <c r="A1737" s="31" t="s">
        <v>3927</v>
      </c>
      <c r="B1737" s="8" t="s">
        <v>3928</v>
      </c>
      <c r="C1737" s="27" t="s">
        <v>3929</v>
      </c>
      <c r="D1737" s="33" t="s">
        <v>1506</v>
      </c>
      <c r="E1737" s="34">
        <v>2</v>
      </c>
      <c r="F1737" s="36">
        <v>1.85</v>
      </c>
      <c r="G1737" s="10">
        <v>167068</v>
      </c>
      <c r="H1737" s="30" t="str">
        <f ca="1">IFERROR(__xludf.DUMMYFUNCTION("LOWER(REGEXREPLACE(B1737&amp;"" ""&amp;C1737,""[^а-яa-z0-9 ]"","" ""))")," чебный набор   пределение диагноза  типа  xperia    31  омплектация  кейс с крышкой   1 шт   лоток со вставкой   1шт   10  раствор для промывки        20 мл   1 шт   аствор для разведения        15 мл   1 шт   нтиген  замороженный сублимат   10 мл   1 шт"&amp;"   ервичные антитела  замороженный сублимат   10 мл   1 шт   торичные антитела  замороженный сублимат   10 мл   1 шт        замороженный сублимат   10 мл   1 шт       буфер для реакции  20 мл   1 шт   икротитровая плита из 72 ячеек   1 шт   ипетки для пер"&amp;"еноса жидкостей  3 мл   7 шт   икроцентрифужные трубки с запирающимися крышками   10 шт   онические пробирки объемом 15 мл   2 шт    радуированные пипетки  астер   11 шт")</f>
        <v xml:space="preserve"> чебный набор   пределение диагноза  типа  xperia    31  омплектация  кейс с крышкой   1 шт   лоток со вставкой   1шт   10  раствор для промывки        20 мл   1 шт   аствор для разведения        15 мл   1 шт   нтиген  замороженный сублимат   10 мл   1 шт   ервичные антитела  замороженный сублимат   10 мл   1 шт   торичные антитела  замороженный сублимат   10 мл   1 шт        замороженный сублимат   10 мл   1 шт       буфер для реакции  20 мл   1 шт   икротитровая плита из 72 ячеек   1 шт   ипетки для переноса жидкостей  3 мл   7 шт   икроцентрифужные трубки с запирающимися крышками   10 шт   онические пробирки объемом 15 мл   2 шт    радуированные пипетки  астер   11 шт</v>
      </c>
    </row>
    <row r="1738" spans="1:8" ht="127.5" x14ac:dyDescent="0.2">
      <c r="A1738" s="31" t="s">
        <v>3930</v>
      </c>
      <c r="B1738" s="8" t="s">
        <v>3931</v>
      </c>
      <c r="C1738" s="27" t="s">
        <v>3932</v>
      </c>
      <c r="D1738" s="33" t="s">
        <v>1506</v>
      </c>
      <c r="E1738" s="34">
        <v>2</v>
      </c>
      <c r="F1738" s="35">
        <v>0.8</v>
      </c>
      <c r="G1738" s="10">
        <v>176263</v>
      </c>
      <c r="H1738" s="30" t="str">
        <f ca="1">IFERROR(__xludf.DUMMYFUNCTION("LOWER(REGEXREPLACE(B1738&amp;"" ""&amp;C1738,""[^а-яa-z0-9 ]"","" ""))")," чебный набор   пределение диагноза  типа  ards  cience 47018  абор содержит     компонентантиген           ntigens simulated   темп  режим    компонент       ositive control   темп  режим    компонент       onor 1  erum simulated   темп  режим    компоне"&amp;"нт       onor 2  erum simulated   темп  режим    компонент       onor 3  erum simulated   темп  режим    компонент       onor 4  erum  simulated   темп  режим    компонент       nti  g  peroxidase conjugate   темп  режим    компонент       ydrogen peroxid"&amp;"e stabilized   темп  режим    компонент       eroxide co substrate   темп  режим    компонент       hosphate buffered saline concentrate   темп  режим    микропластина с углублениями    пластиковые пипетки    микротрубки с колпачками")</f>
        <v xml:space="preserve"> чебный набор   пределение диагноза  типа  ards  cience 47018  абор содержит     компонентантиген           ntigens simulated   темп  режим    компонент       ositive control   темп  режим    компонент       onor 1  erum simulated   темп  режим    компонент       onor 2  erum simulated   темп  режим    компонент       onor 3  erum simulated   темп  режим    компонент       onor 4  erum  simulated   темп  режим    компонент       nti  g  peroxidase conjugate   темп  режим    компонент       ydrogen peroxide stabilized   темп  режим    компонент       eroxide co substrate   темп  режим    компонент       hosphate buffered saline concentrate   темп  режим    микропластина с углублениями    пластиковые пипетки    микротрубки с колпачками</v>
      </c>
    </row>
    <row r="1739" spans="1:8" ht="12.75" x14ac:dyDescent="0.2">
      <c r="A1739" s="31" t="s">
        <v>3933</v>
      </c>
      <c r="B1739" s="27" t="s">
        <v>3934</v>
      </c>
      <c r="C1739" s="27"/>
      <c r="D1739" s="33" t="s">
        <v>1506</v>
      </c>
      <c r="E1739" s="9"/>
      <c r="F1739" s="32"/>
      <c r="G1739" s="10"/>
      <c r="H1739" s="30" t="str">
        <f ca="1">IFERROR(__xludf.DUMMYFUNCTION("LOWER(REGEXREPLACE(B1739&amp;"" ""&amp;C1739,""[^а-яa-z0-9 ]"","" ""))")," омплект оборудования для ферментации ")</f>
        <v xml:space="preserve"> омплект оборудования для ферментации </v>
      </c>
    </row>
    <row r="1740" spans="1:8" ht="76.5" x14ac:dyDescent="0.2">
      <c r="A1740" s="31" t="s">
        <v>3935</v>
      </c>
      <c r="B1740" s="27" t="s">
        <v>3936</v>
      </c>
      <c r="C1740" s="27" t="s">
        <v>3937</v>
      </c>
      <c r="D1740" s="33" t="s">
        <v>1506</v>
      </c>
      <c r="E1740" s="34">
        <v>2</v>
      </c>
      <c r="F1740" s="36">
        <v>1.42</v>
      </c>
      <c r="G1740" s="10">
        <v>71013</v>
      </c>
      <c r="H1740" s="30" t="str">
        <f ca="1">IFERROR(__xludf.DUMMYFUNCTION("LOWER(REGEXREPLACE(B1740&amp;"" ""&amp;C1740,""[^а-яa-z0-9 ]"","" ""))")," омплект оборудования для ферментации типа  xperia    32  омплектация   ейс с крышкой   1 шт   оток со вставкой   1шт   патель ложка   6 шт    робирка 18смх1 8см   6 шт    рышка с отверстиями   6 шт  д 1 8 см   ильтрованная бумага   1 упаковка    теклянны"&amp;"е банки   250 мл    18 шт    ерный стакан 250 мл   6 шт    оздушный шарик 18 шт   лейкая лента 1 шт    accharomyces cerevisiae  пекарские дрожжи 2 3 гр   6 упаковка   ахар 50 гр    6 упаковка   абораторные весы 200 гр     1 шт    ермометр   3 шт ")</f>
        <v xml:space="preserve"> омплект оборудования для ферментации типа  xperia    32  омплектация   ейс с крышкой   1 шт   оток со вставкой   1шт   патель ложка   6 шт    робирка 18смх1 8см   6 шт    рышка с отверстиями   6 шт  д 1 8 см   ильтрованная бумага   1 упаковка    теклянные банки   250 мл    18 шт    ерный стакан 250 мл   6 шт    оздушный шарик 18 шт   лейкая лента 1 шт    accharomyces cerevisiae  пекарские дрожжи 2 3 гр   6 упаковка   ахар 50 гр    6 упаковка   абораторные весы 200 гр     1 шт    ермометр   3 шт </v>
      </c>
    </row>
    <row r="1741" spans="1:8" ht="51" x14ac:dyDescent="0.2">
      <c r="A1741" s="31" t="s">
        <v>3938</v>
      </c>
      <c r="B1741" s="27" t="s">
        <v>3939</v>
      </c>
      <c r="C1741" s="27" t="s">
        <v>3940</v>
      </c>
      <c r="D1741" s="33" t="s">
        <v>1506</v>
      </c>
      <c r="E1741" s="34">
        <v>2</v>
      </c>
      <c r="F1741" s="34">
        <v>4</v>
      </c>
      <c r="G1741" s="10">
        <v>2618736</v>
      </c>
      <c r="H1741" s="30" t="str">
        <f ca="1">IFERROR(__xludf.DUMMYFUNCTION("LOWER(REGEXREPLACE(B1741&amp;"" ""&amp;C1741,""[^а-яa-z0-9 ]"","" ""))")," омплект оборудования для ферментации типа  ards  cience 47019   комплект входят  1   агнитная мешалка с подогревом   2  р  метр   3   ермометр   4   акуумный насос   5   вторская стеклянная конструкция биоректора с соединительныеми элементами  включает в"&amp;" себя поршни  зажимы  резинки и пр    6  методическое пособие для лабораторных работ по ферментации ")</f>
        <v xml:space="preserve"> омплект оборудования для ферментации типа  ards  cience 47019   комплект входят  1   агнитная мешалка с подогревом   2  р  метр   3   ермометр   4   акуумный насос   5   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 </v>
      </c>
    </row>
    <row r="1742" spans="1:8" ht="25.5" x14ac:dyDescent="0.2">
      <c r="A1742" s="31" t="s">
        <v>3941</v>
      </c>
      <c r="B1742" s="27" t="s">
        <v>3942</v>
      </c>
      <c r="C1742" s="27"/>
      <c r="D1742" s="33" t="s">
        <v>1506</v>
      </c>
      <c r="E1742" s="9"/>
      <c r="F1742" s="32"/>
      <c r="G1742" s="10"/>
      <c r="H1742" s="30" t="str">
        <f ca="1">IFERROR(__xludf.DUMMYFUNCTION("LOWER(REGEXREPLACE(B1742&amp;"" ""&amp;C1742,""[^а-яa-z0-9 ]"","" ""))")," чебный набор   естирование продуктов ферментации  ")</f>
        <v xml:space="preserve"> чебный набор   естирование продуктов ферментации  </v>
      </c>
    </row>
    <row r="1743" spans="1:8" ht="89.25" x14ac:dyDescent="0.2">
      <c r="A1743" s="31" t="s">
        <v>3943</v>
      </c>
      <c r="B1743" s="27" t="s">
        <v>3944</v>
      </c>
      <c r="C1743" s="27" t="s">
        <v>3945</v>
      </c>
      <c r="D1743" s="33" t="s">
        <v>1506</v>
      </c>
      <c r="E1743" s="34">
        <v>2</v>
      </c>
      <c r="F1743" s="36">
        <v>1.1200000000000001</v>
      </c>
      <c r="G1743" s="10">
        <v>142901</v>
      </c>
      <c r="H1743" s="30" t="str">
        <f ca="1">IFERROR(__xludf.DUMMYFUNCTION("LOWER(REGEXREPLACE(B1743&amp;"" ""&amp;C1743,""[^а-яa-z0-9 ]"","" ""))")," чебный набор   естирование продуктов ферментации  типа  xperia    34  омплектация   ейс с крышкой   1 шт   оток со вставкой   1шт   икроорганизмы для ферментации 1 мл    5 ампул  итательная среда для культивирования микроорганизмов  100 мл   5 бутылок   "&amp;"робирки для культивирования микроорганизмов  15 мл    20 шт    аствор для остановки ферментации  250 мл   1 бутылка   омплект для определения содержания алкоголя   1 шт  p  тест полоски  100 полосок    комплект   ипетки   3 мл   10 шт   радуированые пипет"&amp;"ки  астера   20 т   икроцентрифужные пробирки  2 мл   50 шт")</f>
        <v xml:space="preserve"> чебный набор   естирование продуктов ферментации  типа  xperia    34  омплектация   ейс с крышкой   1 шт   оток со вставкой   1шт   икроорганизмы для ферментации 1 мл    5 ампул  итательная среда для культивирования микроорганизмов  100 мл   5 бутылок   робирки для культивирования микроорганизмов  15 мл    20 шт    аствор для остановки ферментации  250 мл   1 бутылка   омплект для определения содержания алкоголя   1 шт  p  тест полоски  100 полосок    комплект   ипетки   3 мл   10 шт   радуированые пипетки  астера   20 т   икроцентрифужные пробирки  2 мл   50 шт</v>
      </c>
    </row>
    <row r="1744" spans="1:8" ht="153" x14ac:dyDescent="0.2">
      <c r="A1744" s="31" t="s">
        <v>3946</v>
      </c>
      <c r="B1744" s="27" t="s">
        <v>3947</v>
      </c>
      <c r="C1744" s="27" t="s">
        <v>3948</v>
      </c>
      <c r="D1744" s="33" t="s">
        <v>1506</v>
      </c>
      <c r="E1744" s="34">
        <v>2</v>
      </c>
      <c r="F1744" s="34">
        <v>2</v>
      </c>
      <c r="G1744" s="10">
        <v>423535</v>
      </c>
      <c r="H1744" s="30" t="str">
        <f ca="1">IFERROR(__xludf.DUMMYFUNCTION("LOWER(REGEXREPLACE(B1744&amp;"" ""&amp;C1744,""[^а-яa-z0-9 ]"","" ""))")," чебный набор   естирование продуктов ферментации  типа  ards  cience 47021  абор содержит     1  олба  рленмейера 1 л    1 резиновая пробка 3 затычки    1 зажимкомпрес   1 бутылекмедиум      100 мл   1 bottleofsterile       noculum edium  100 mlwithmagne"&amp;"ticstirbar     1 бутылек      стерилныймедиум 500 мл  1 bottle of sterile      fermentation medium  500 ml      чаши петри с агаром       agarplates       темп  режим    2 стерильные трубки   2 sterile saline tubes  5 ml     1 изогнутый стержень из нержав"&amp;"еющей стали  1 bent stainless steel plating rod     2 стерильные мешалки  2 sterile inoculating loops    1 бутылексафранина 0 25   1 bottle of aqueous safranin 0 25  1 oz     1 бутылекспор окрашивающийраствор 10   1 bottle of spore staining solution 10   "&amp;"1 oz      1 агарный раствор  acillus licheniformis   темп  режим    1 агарный раствор  acillusthuringiensis var  israelensis   темп  режим  полоски ph  прищепоки  пакет для биологически опасных веществ  виниловаят рубка  шприц стерильных фильтров  слайды "&amp;"для микроскопа")</f>
        <v xml:space="preserve"> чебный набор   естирование продуктов ферментации  типа  ards  cience 47021  абор содержит     1  олба  рленмейера 1 л    1 резиновая пробка 3 затычки    1 зажимкомпрес   1 бутылекмедиум      100 мл   1 bottleofsterile       noculum edium  100 mlwithmagneticstirbar     1 бутылек      стерилныймедиум 500 мл  1 bottle of sterile      fermentation medium  500 ml      чаши петри с агаром       agarplates       темп  режим    2 стерильные трубки   2 sterile saline tubes  5 ml     1 изогнутый стержень из нержавеющей стали  1 bent stainless steel plating rod     2 стерильные мешалки  2 sterile inoculating loops    1 бутылексафранина 0 25   1 bottle of aqueous safranin 0 25  1 oz     1 бутылекспор окрашивающийраствор 10   1 bottle of spore staining solution 10   1 oz      1 агарный раствор  acillus licheniformis   темп  режим    1 агарный раствор  acillusthuringiensis var  israelensis   темп  режим  полоски ph  прищепоки  пакет для биологически опасных веществ  виниловаят рубка  шприц стерильных фильтров  слайды для микроскопа</v>
      </c>
    </row>
    <row r="1745" spans="1:8" ht="25.5" x14ac:dyDescent="0.2">
      <c r="A1745" s="31" t="s">
        <v>3949</v>
      </c>
      <c r="B1745" s="27" t="s">
        <v>3950</v>
      </c>
      <c r="C1745" s="27" t="s">
        <v>3951</v>
      </c>
      <c r="D1745" s="33" t="s">
        <v>1506</v>
      </c>
      <c r="E1745" s="34">
        <v>2</v>
      </c>
      <c r="F1745" s="35">
        <v>0.8</v>
      </c>
      <c r="G1745" s="10">
        <v>131946</v>
      </c>
      <c r="H1745" s="30" t="str">
        <f ca="1">IFERROR(__xludf.DUMMYFUNCTION("LOWER(REGEXREPLACE(B1745&amp;"" ""&amp;C1745,""[^а-яa-z0-9 ]"","" ""))")," чебный набор   естирование продуктов ферментации  типа  ards  cience 47060   комплект входит  50 г глюкозы 50 г сахарозы 50 г лактозы 50 г фруктозы 10 г дрожжей")</f>
        <v xml:space="preserve"> чебный набор   естирование продуктов ферментации  типа  ards  cience 47060   комплект входит  50 г глюкозы 50 г сахарозы 50 г лактозы 50 г фруктозы 10 г дрожжей</v>
      </c>
    </row>
    <row r="1746" spans="1:8" ht="25.5" x14ac:dyDescent="0.2">
      <c r="A1746" s="31" t="s">
        <v>3952</v>
      </c>
      <c r="B1746" s="27" t="s">
        <v>3953</v>
      </c>
      <c r="C1746" s="27"/>
      <c r="D1746" s="33" t="s">
        <v>1506</v>
      </c>
      <c r="E1746" s="9"/>
      <c r="F1746" s="32"/>
      <c r="G1746" s="10"/>
      <c r="H1746" s="30" t="str">
        <f ca="1">IFERROR(__xludf.DUMMYFUNCTION("LOWER(REGEXREPLACE(B1746&amp;"" ""&amp;C1746,""[^а-яa-z0-9 ]"","" ""))")," кспериментальный набор   зучение свойств энзимов на практике  ")</f>
        <v xml:space="preserve"> кспериментальный набор   зучение свойств энзимов на практике  </v>
      </c>
    </row>
    <row r="1747" spans="1:8" ht="25.5" x14ac:dyDescent="0.2">
      <c r="A1747" s="31" t="s">
        <v>3954</v>
      </c>
      <c r="B1747" s="27" t="s">
        <v>3955</v>
      </c>
      <c r="C1747" s="27"/>
      <c r="D1747" s="33" t="s">
        <v>1506</v>
      </c>
      <c r="E1747" s="34">
        <v>2</v>
      </c>
      <c r="F1747" s="35">
        <v>2.2000000000000002</v>
      </c>
      <c r="G1747" s="10">
        <v>148750</v>
      </c>
      <c r="H1747" s="30" t="str">
        <f ca="1">IFERROR(__xludf.DUMMYFUNCTION("LOWER(REGEXREPLACE(B1747&amp;"" ""&amp;C1747,""[^а-яa-z0-9 ]"","" ""))")," кспериментальный набор   зучение свойств энзимов на практике  типа  xperia    35 ")</f>
        <v xml:space="preserve"> кспериментальный набор   зучение свойств энзимов на практике  типа  xperia    35 </v>
      </c>
    </row>
    <row r="1748" spans="1:8" ht="25.5" x14ac:dyDescent="0.2">
      <c r="A1748" s="31" t="s">
        <v>3956</v>
      </c>
      <c r="B1748" s="27" t="s">
        <v>3957</v>
      </c>
      <c r="C1748" s="27"/>
      <c r="D1748" s="33" t="s">
        <v>1506</v>
      </c>
      <c r="E1748" s="34">
        <v>2</v>
      </c>
      <c r="F1748" s="34">
        <v>1</v>
      </c>
      <c r="G1748" s="10">
        <v>146048</v>
      </c>
      <c r="H1748" s="30" t="str">
        <f ca="1">IFERROR(__xludf.DUMMYFUNCTION("LOWER(REGEXREPLACE(B1748&amp;"" ""&amp;C1748,""[^а-яa-z0-9 ]"","" ""))")," кспериментальный набор   зучение свойств энзимов на практике  типа  ards  cience 47024 ")</f>
        <v xml:space="preserve"> кспериментальный набор   зучение свойств энзимов на практике  типа  ards  cience 47024 </v>
      </c>
    </row>
    <row r="1749" spans="1:8" ht="25.5" x14ac:dyDescent="0.2">
      <c r="A1749" s="31" t="s">
        <v>3958</v>
      </c>
      <c r="B1749" s="27" t="s">
        <v>3959</v>
      </c>
      <c r="C1749" s="27"/>
      <c r="D1749" s="33" t="s">
        <v>1506</v>
      </c>
      <c r="E1749" s="9"/>
      <c r="F1749" s="32"/>
      <c r="G1749" s="10"/>
      <c r="H1749" s="30" t="str">
        <f ca="1">IFERROR(__xludf.DUMMYFUNCTION("LOWER(REGEXREPLACE(B1749&amp;"" ""&amp;C1749,""[^а-яa-z0-9 ]"","" ""))")," абораторный практикум   ища  как инструмент научной деятельности лаборатории  ")</f>
        <v xml:space="preserve"> абораторный практикум   ища  как инструмент научной деятельности лаборатории  </v>
      </c>
    </row>
    <row r="1750" spans="1:8" ht="76.5" x14ac:dyDescent="0.2">
      <c r="A1750" s="31" t="s">
        <v>3960</v>
      </c>
      <c r="B1750" s="27" t="s">
        <v>3961</v>
      </c>
      <c r="C1750" s="27" t="s">
        <v>3962</v>
      </c>
      <c r="D1750" s="33" t="s">
        <v>1506</v>
      </c>
      <c r="E1750" s="34">
        <v>2</v>
      </c>
      <c r="F1750" s="35">
        <v>1.4</v>
      </c>
      <c r="G1750" s="10">
        <v>88810</v>
      </c>
      <c r="H1750" s="30" t="str">
        <f ca="1">IFERROR(__xludf.DUMMYFUNCTION("LOWER(REGEXREPLACE(B1750&amp;"" ""&amp;C1750,""[^а-яa-z0-9 ]"","" ""))")," абораторный практикум   ища  как инструмент научной деятельности лаборатории  типа  xperia    36  омплектация  кейс с крышкой   1 шт   лоток со вставкой   1шт  сухие дрожжи 7 гр   1 пакетик  крахмал 50 гр   1 пакетик  сахар 50 гр   1 пакетик  раствор йод"&amp;"а 100 мл   1 шт  лист фильтровальной бумаги на 36 полосок   1 шт  лакмусовая бумага   12 шт  большие пробирки  маленькие пробирки градуированные пипетки  астера   2 шт  деревянные аппликаторные палочки   2 шт  маленькие ложки   2 шт ")</f>
        <v xml:space="preserve"> абораторный практикум   ища  как инструмент научной деятельности лаборатории  типа  xperia    36  омплектация  кейс с крышкой   1 шт   лоток со вставкой   1шт  сухие дрожжи 7 гр   1 пакетик  крахмал 50 гр   1 пакетик  сахар 50 гр   1 пакетик  раствор йода 100 мл   1 шт  лист фильтровальной бумаги на 36 полосок   1 шт  лакмусовая бумага   12 шт  большие пробирки  маленькие пробирки градуированные пипетки  астера   2 шт  деревянные аппликаторные палочки   2 шт  маленькие ложки   2 шт </v>
      </c>
    </row>
    <row r="1751" spans="1:8" ht="51" x14ac:dyDescent="0.2">
      <c r="A1751" s="31" t="s">
        <v>3963</v>
      </c>
      <c r="B1751" s="27" t="s">
        <v>3964</v>
      </c>
      <c r="C1751" s="27" t="s">
        <v>3965</v>
      </c>
      <c r="D1751" s="33" t="s">
        <v>1506</v>
      </c>
      <c r="E1751" s="34">
        <v>2</v>
      </c>
      <c r="F1751" s="35">
        <v>0.8</v>
      </c>
      <c r="G1751" s="10">
        <v>86622</v>
      </c>
      <c r="H1751" s="30" t="str">
        <f ca="1">IFERROR(__xludf.DUMMYFUNCTION("LOWER(REGEXREPLACE(B1751&amp;"" ""&amp;C1751,""[^а-яa-z0-9 ]"","" ""))")," абораторный практикум   ища  как инструмент научной деятельности лаборатории  типа  ards  cience 47026  олжен включать в себя следующее    дрожжи бутылек     крахмал   сахар   иодин раствор   фильтр бумага    латмусовая бумага    большие тест трубки   ма"&amp;"лые тест трубки    калибровочные пипетки   аппликаторные деревянные палочки   маленькие ложки")</f>
        <v xml:space="preserve"> абораторный практикум   ища  как инструмент научной деятельности лаборатории  типа  ards  cience 47026  олжен включать в себя следующее    дрожжи бутылек     крахмал   сахар   иодин раствор   фильтр бумага    латмусовая бумага    большие тест трубки   малые тест трубки    калибровочные пипетки   аппликаторные деревянные палочки   маленькие ложки</v>
      </c>
    </row>
    <row r="1752" spans="1:8" ht="38.25" x14ac:dyDescent="0.2">
      <c r="A1752" s="31" t="s">
        <v>3966</v>
      </c>
      <c r="B1752" s="27" t="s">
        <v>3967</v>
      </c>
      <c r="C1752" s="27"/>
      <c r="D1752" s="33" t="s">
        <v>1506</v>
      </c>
      <c r="E1752" s="9"/>
      <c r="F1752" s="32"/>
      <c r="G1752" s="10"/>
      <c r="H1752" s="30" t="str">
        <f ca="1">IFERROR(__xludf.DUMMYFUNCTION("LOWER(REGEXREPLACE(B1752&amp;"" ""&amp;C1752,""[^а-яa-z0-9 ]"","" ""))")," абораторный практикум   еномодифицированные продукты  полиразмерная идентификация  ")</f>
        <v xml:space="preserve"> абораторный практикум   еномодифицированные продукты  полиразмерная идентификация  </v>
      </c>
    </row>
    <row r="1753" spans="1:8" ht="127.5" x14ac:dyDescent="0.2">
      <c r="A1753" s="31" t="s">
        <v>3968</v>
      </c>
      <c r="B1753" s="27" t="s">
        <v>3969</v>
      </c>
      <c r="C1753" s="27" t="s">
        <v>3970</v>
      </c>
      <c r="D1753" s="33" t="s">
        <v>1506</v>
      </c>
      <c r="E1753" s="34">
        <v>2</v>
      </c>
      <c r="F1753" s="36">
        <v>1.85</v>
      </c>
      <c r="G1753" s="10">
        <v>266915</v>
      </c>
      <c r="H1753" s="30" t="str">
        <f ca="1">IFERROR(__xludf.DUMMYFUNCTION("LOWER(REGEXREPLACE(B1753&amp;"" ""&amp;C1753,""[^а-яa-z0-9 ]"","" ""))")," абораторный практикум   еномодифицированные продукты  полиразмерная идентификация  типа  xperia    37  омплектация  кейс с крышкой   1 шт   лоток со вставкой   1шт  сертифицированный негенетически модифицированный продукт 5 шт   nsta ene  10 мл   1 шт  п"&amp;"озитивный контроль          500 мкл   1 шт  смесь для       aq     полимераза  d     буферы   5 мл   1шт  праймеры для      красные   500 мкл   1 шт  праймеры для гена   ll растений  зеленые   500 мкл   1 шт  молекулярный вес маркер для      1000 мкл   1 "&amp;"шт  оранжевый краситель для загрузки образцов  5 мл   1 шт   радуированная пипетка  1 мл   5 шт   икропипетка  10   больше мкл    5 шт    асадки для микропипеток   60 шт  пробирок с винтовой крышкой  1 5 мл   50 шт      пробирки 1 5 мл    30 шт   даптер д"&amp;"ля пробирок без крышки   5 шт   ержатель для     пробирок из пенопласта   5 шт ")</f>
        <v xml:space="preserve"> абораторный практикум   еномодифицированные продукты  полиразмерная идентификация  типа  xperia    37  омплектация  кейс с крышкой   1 шт   лоток со вставкой   1шт  сертифицированный негенетически модифицированный продукт 5 шт   nsta ene  10 мл   1 шт  позитивный контроль          500 мкл   1 шт  смесь для       aq     полимераза  d     буферы   5 мл   1шт  праймеры для      красные   500 мкл   1 шт  праймеры для гена   ll растений  зеленые   500 мкл   1 шт  молекулярный вес маркер для      1000 мкл   1 шт  оранжевый краситель для загрузки образцов  5 мл   1 шт   радуированная пипетка  1 мл   5 шт   икропипетка  10   больше мкл    5 шт    асадки для микропипеток   60 шт  пробирок с винтовой крышкой  1 5 мл   50 шт      пробирки 1 5 мл    30 шт   даптер для пробирок без крышки   5 шт   ержатель для     пробирок из пенопласта   5 шт </v>
      </c>
    </row>
    <row r="1754" spans="1:8" ht="89.25" x14ac:dyDescent="0.2">
      <c r="A1754" s="31" t="s">
        <v>3971</v>
      </c>
      <c r="B1754" s="27" t="s">
        <v>3972</v>
      </c>
      <c r="C1754" s="27" t="s">
        <v>3973</v>
      </c>
      <c r="D1754" s="33" t="s">
        <v>1506</v>
      </c>
      <c r="E1754" s="34">
        <v>2</v>
      </c>
      <c r="F1754" s="35">
        <v>0.8</v>
      </c>
      <c r="G1754" s="10">
        <v>264897</v>
      </c>
      <c r="H1754" s="30" t="str">
        <f ca="1">IFERROR(__xludf.DUMMYFUNCTION("LOWER(REGEXREPLACE(B1754&amp;"" ""&amp;C1754,""[^а-яa-z0-9 ]"","" ""))")," абораторный практикум   еномодифицированные продукты  полиразмерная идентификация  типа  ards  cience 47027  абор содержит      компонент   niversal      uffer   темп  режим       компонент     uffer   темп  режим        ypho rimer  ix  темп  режим      "&amp;"      ositive  ypho ontrol  темп  режим        a l  olution компонент  темп  режим            xtraction  uffer  темп  режим       100 base pair ladder  темп  режим     ультраспекагарозы    ltraspec agarose    буфер электрофореза 50x       electrophoresis "&amp;" uffer    микротрубки цнтрифужные    трубки для        калибровочние пипетки")</f>
        <v xml:space="preserve"> абораторный практикум   еномодифицированные продукты  полиразмерная идентификация  типа  ards  cience 47027  абор содержит      компонент   niversal      uffer   темп  режим       компонент     uffer   темп  режим        ypho rimer  ix  темп  режим            ositive  ypho ontrol  темп  режим        a l  olution компонент  темп  режим            xtraction  uffer  темп  режим       100 base pair ladder  темп  режим     ультраспекагарозы    ltraspec agarose    буфер электрофореза 50x       electrophoresis  uffer    микротрубки цнтрифужные    трубки для        калибровочние пипетки</v>
      </c>
    </row>
    <row r="1755" spans="1:8" ht="25.5" x14ac:dyDescent="0.2">
      <c r="A1755" s="31" t="s">
        <v>3974</v>
      </c>
      <c r="B1755" s="27" t="s">
        <v>3975</v>
      </c>
      <c r="C1755" s="27"/>
      <c r="D1755" s="33" t="s">
        <v>1506</v>
      </c>
      <c r="E1755" s="9"/>
      <c r="F1755" s="32"/>
      <c r="G1755" s="10"/>
      <c r="H1755" s="30" t="str">
        <f ca="1">IFERROR(__xludf.DUMMYFUNCTION("LOWER(REGEXREPLACE(B1755&amp;"" ""&amp;C1755,""[^а-яa-z0-9 ]"","" ""))")," абор микропрепаратов   кани   растений  грибов  животных  ")</f>
        <v xml:space="preserve"> абор микропрепаратов   кани   растений  грибов  животных  </v>
      </c>
    </row>
    <row r="1756" spans="1:8" ht="89.25" x14ac:dyDescent="0.2">
      <c r="A1756" s="31" t="s">
        <v>3976</v>
      </c>
      <c r="B1756" s="27" t="s">
        <v>3977</v>
      </c>
      <c r="C1756" s="27" t="s">
        <v>3978</v>
      </c>
      <c r="D1756" s="33" t="s">
        <v>1506</v>
      </c>
      <c r="E1756" s="34">
        <v>2</v>
      </c>
      <c r="F1756" s="36">
        <v>0.64</v>
      </c>
      <c r="G1756" s="10">
        <v>49014</v>
      </c>
      <c r="H1756" s="30" t="str">
        <f ca="1">IFERROR(__xludf.DUMMYFUNCTION("LOWER(REGEXREPLACE(B1756&amp;"" ""&amp;C1756,""[^а-яa-z0-9 ]"","" ""))")," абор микропрепаратов   кани   растений  грибов  животных  типа  xperia    38  омплектация    орская звезда  образование полярного тела    1 шт   орская звезда  раннее позднее клеваж    1 шт   орская звезда  поздний клеваж    1 шт   орская звезда  бластул"&amp;"а    1 шт   орская звезда  гаструла    1 шт   орская звезда  бипиннария личинка    1 шт   мбрион лягушки  поперечное срез    1 шт   мбрион курицы   48 часов   1 шт   мбрион курицы   56 часов  поперечное срез    1 шт   итоз животных  продольный срез    1 ш"&amp;"т   ейс с крышкой   1 шт   оток со вставкой   1шт ")</f>
        <v xml:space="preserve"> абор микропрепаратов   кани   растений  грибов  животных  типа  xperia    38  омплектация    орская звезда  образование полярного тела    1 шт   орская звезда  раннее позднее клеваж    1 шт   орская звезда  поздний клеваж    1 шт   орская звезда  бластула    1 шт   орская звезда  гаструла    1 шт   орская звезда  бипиннария личинка    1 шт   мбрион лягушки  поперечное срез    1 шт   мбрион курицы   48 часов   1 шт   мбрион курицы   56 часов  поперечное срез    1 шт   итоз животных  продольный срез    1 шт   ейс с крышкой   1 шт   оток со вставкой   1шт </v>
      </c>
    </row>
    <row r="1757" spans="1:8" ht="51" x14ac:dyDescent="0.2">
      <c r="A1757" s="31" t="s">
        <v>3979</v>
      </c>
      <c r="B1757" s="27" t="s">
        <v>3980</v>
      </c>
      <c r="C1757" s="27" t="s">
        <v>3981</v>
      </c>
      <c r="D1757" s="33" t="s">
        <v>1506</v>
      </c>
      <c r="E1757" s="34">
        <v>2</v>
      </c>
      <c r="F1757" s="35">
        <v>0.8</v>
      </c>
      <c r="G1757" s="10">
        <v>153098</v>
      </c>
      <c r="H1757" s="30" t="str">
        <f ca="1">IFERROR(__xludf.DUMMYFUNCTION("LOWER(REGEXREPLACE(B1757&amp;"" ""&amp;C1757,""[^а-яa-z0-9 ]"","" ""))")," абор микропрепаратов   кани   растений  грибов  животных  типа  ards  cience 47028  абор содержит следующие образцы    мбрион цыпленка   1  12 16 час   2  18 час   3  21 час   4 24 часа   5 28 часов   6  33 часа   7  40 часов   8  43 часа   9 48 часов   "&amp;"10  56 часов   11  72 часа   12  96 часов   нимание  часы могут отличаться   в зависимости созревания плода эмбриона ")</f>
        <v xml:space="preserve"> абор микропрепаратов   кани   растений  грибов  животных  типа  ards  cience 47028  абор содержит следующие образцы    мбрион цыпленка   1  12 16 час   2  18 час   3  21 час   4 24 часа   5 28 часов   6  33 часа   7  40 часов   8  43 часа   9 48 часов   10  56 часов   11  72 часа   12  96 часов   нимание  часы могут отличаться   в зависимости созревания плода эмбриона </v>
      </c>
    </row>
    <row r="1758" spans="1:8" ht="12.75" x14ac:dyDescent="0.2">
      <c r="A1758" s="31" t="s">
        <v>3982</v>
      </c>
      <c r="B1758" s="27" t="s">
        <v>3983</v>
      </c>
      <c r="C1758" s="27"/>
      <c r="D1758" s="33" t="s">
        <v>1506</v>
      </c>
      <c r="E1758" s="9"/>
      <c r="F1758" s="32"/>
      <c r="G1758" s="10"/>
      <c r="H1758" s="30" t="str">
        <f ca="1">IFERROR(__xludf.DUMMYFUNCTION("LOWER(REGEXREPLACE(B1758&amp;"" ""&amp;C1758,""[^а-яa-z0-9 ]"","" ""))")," абор   кани животных  ")</f>
        <v xml:space="preserve"> абор   кани животных  </v>
      </c>
    </row>
    <row r="1759" spans="1:8" ht="76.5" x14ac:dyDescent="0.2">
      <c r="A1759" s="31" t="s">
        <v>3984</v>
      </c>
      <c r="B1759" s="8" t="s">
        <v>3985</v>
      </c>
      <c r="C1759" s="27" t="s">
        <v>3986</v>
      </c>
      <c r="D1759" s="33" t="s">
        <v>1506</v>
      </c>
      <c r="E1759" s="34">
        <v>2</v>
      </c>
      <c r="F1759" s="35">
        <v>1.1000000000000001</v>
      </c>
      <c r="G1759" s="10">
        <v>61965</v>
      </c>
      <c r="H1759" s="30" t="str">
        <f ca="1">IFERROR(__xludf.DUMMYFUNCTION("LOWER(REGEXREPLACE(B1759&amp;"" ""&amp;C1759,""[^а-яa-z0-9 ]"","" ""))")," абор   кани животных  типа  xperia    39  омплектация  эпителиальная ткань   1 шт   эпидермис кожи   1 шт  соединительная ткань   1 шт  костная ткань   1 шт  хрящевая ткань   1 шт  жировая ткань   1 шт    ышечная ткань   1 шт  скелетная мышца   1 шт  сер"&amp;"дечная мышца   1 шт  гладкая мышца   1 шт    ервная ткань   1 шт  срез спинного мозга или нервные волокная   1 шт    абор для окрашивания тканей  1 шт   инцеты   5 шт    ейс с крышкой   1 шт   лоток со вставкой   1шт ")</f>
        <v xml:space="preserve"> абор   кани животных  типа  xperia    39  омплектация  эпителиальная ткань   1 шт   эпидермис кожи   1 шт  соединительная ткань   1 шт  костная ткань   1 шт  хрящевая ткань   1 шт  жировая ткань   1 шт    ышечная ткань   1 шт  скелетная мышца   1 шт  сердечная мышца   1 шт  гладкая мышца   1 шт    ервная ткань   1 шт  срез спинного мозга или нервные волокная   1 шт    абор для окрашивания тканей  1 шт   инцеты   5 шт    ейс с крышкой   1 шт   лоток со вставкой   1шт </v>
      </c>
    </row>
    <row r="1760" spans="1:8" ht="51" x14ac:dyDescent="0.2">
      <c r="A1760" s="31" t="s">
        <v>3987</v>
      </c>
      <c r="B1760" s="8" t="s">
        <v>3988</v>
      </c>
      <c r="C1760" s="27" t="s">
        <v>3989</v>
      </c>
      <c r="D1760" s="33" t="s">
        <v>1506</v>
      </c>
      <c r="E1760" s="34">
        <v>2</v>
      </c>
      <c r="F1760" s="35">
        <v>0.8</v>
      </c>
      <c r="G1760" s="10">
        <v>172234</v>
      </c>
      <c r="H1760" s="30" t="str">
        <f ca="1">IFERROR(__xludf.DUMMYFUNCTION("LOWER(REGEXREPLACE(B1760&amp;"" ""&amp;C1760,""[^а-яa-z0-9 ]"","" ""))")," абор   кани животных  типа  ards  cience 47029  абор содержит   истоклир по 2 бутылки 30 мл в упаковке  температурный режим  1 метанол  30 мл 1  osin    hloxine рабочего раствора 1 гематоксилин  1 спирт  99   1 пиколит     15 мл 1 бутылек сбалансированно"&amp;"го солевого раствора  енкс 100 мл  температурный режим ")</f>
        <v xml:space="preserve"> абор   кани животных  типа  ards  cience 47029  абор содержит   истоклир по 2 бутылки 30 мл в упаковке  температурный режим  1 метанол  30 мл 1  osin    hloxine рабочего раствора 1 гематоксилин  1 спирт  99   1 пиколит     15 мл 1 бутылек сбалансированного солевого раствора  енкс 100 мл  температурный режим </v>
      </c>
    </row>
    <row r="1761" spans="1:8" ht="25.5" x14ac:dyDescent="0.2">
      <c r="A1761" s="31" t="s">
        <v>3990</v>
      </c>
      <c r="B1761" s="8" t="s">
        <v>3991</v>
      </c>
      <c r="C1761" s="27"/>
      <c r="D1761" s="33" t="s">
        <v>1506</v>
      </c>
      <c r="E1761" s="9"/>
      <c r="F1761" s="32"/>
      <c r="G1761" s="10"/>
      <c r="H1761" s="30" t="str">
        <f ca="1">IFERROR(__xludf.DUMMYFUNCTION("LOWER(REGEXREPLACE(B1761&amp;"" ""&amp;C1761,""[^а-яa-z0-9 ]"","" ""))")," абор для исследования по выращивания клеток живой ткани ")</f>
        <v xml:space="preserve"> абор для исследования по выращивания клеток живой ткани </v>
      </c>
    </row>
    <row r="1762" spans="1:8" ht="89.25" x14ac:dyDescent="0.2">
      <c r="A1762" s="31" t="s">
        <v>3992</v>
      </c>
      <c r="B1762" s="8" t="s">
        <v>3993</v>
      </c>
      <c r="C1762" s="27" t="s">
        <v>3994</v>
      </c>
      <c r="D1762" s="33" t="s">
        <v>1506</v>
      </c>
      <c r="E1762" s="34">
        <v>2</v>
      </c>
      <c r="F1762" s="35">
        <v>2.2000000000000002</v>
      </c>
      <c r="G1762" s="10">
        <v>141017</v>
      </c>
      <c r="H1762" s="30" t="str">
        <f ca="1">IFERROR(__xludf.DUMMYFUNCTION("LOWER(REGEXREPLACE(B1762&amp;"" ""&amp;C1762,""[^а-яa-z0-9 ]"","" ""))")," абор для исследования по выращивания клеток живой ткани типа  xperia    40  омплектация   ейс с крышкой   1 шт   оток со вставкой   1шт   каневые клетки образцы    1 порция   реда для выращивания клеток  500 мл3   1 шт   ипетки    20 шт    татив для пипе"&amp;"ток   1 шт    ультура клеток   1 порция   тандартная среда 500 мл    1 шт   реда с повышенным содержанием глюкозы  500 мл   1 шт   реда с пониженным содержанием аминокислот  500 мл   1 шт   реда без добавления витаминов  500 мл   1 шт   реда с добавлением"&amp;" антибиотиков  500 мл   1шт   ")</f>
        <v xml:space="preserve"> абор для исследования по выращивания клеток живой ткани типа  xperia    40  омплектация   ейс с крышкой   1 шт   оток со вставкой   1шт   каневые клетки образцы    1 порция   реда для выращивания клеток  500 мл3   1 шт   ипетки    20 шт    татив для пипеток   1 шт    ультура клеток   1 порция   тандартная среда 500 мл    1 шт   реда с повышенным содержанием глюкозы  500 мл   1 шт   реда с пониженным содержанием аминокислот  500 мл   1 шт   реда без добавления витаминов  500 мл   1 шт   реда с добавлением антибиотиков  500 мл   1шт   </v>
      </c>
    </row>
    <row r="1763" spans="1:8" ht="51" x14ac:dyDescent="0.2">
      <c r="A1763" s="31" t="s">
        <v>3995</v>
      </c>
      <c r="B1763" s="27" t="s">
        <v>3996</v>
      </c>
      <c r="C1763" s="27" t="s">
        <v>3997</v>
      </c>
      <c r="D1763" s="33" t="s">
        <v>1506</v>
      </c>
      <c r="E1763" s="34">
        <v>2</v>
      </c>
      <c r="F1763" s="35">
        <v>0.8</v>
      </c>
      <c r="G1763" s="10">
        <v>140004</v>
      </c>
      <c r="H1763" s="30" t="str">
        <f ca="1">IFERROR(__xludf.DUMMYFUNCTION("LOWER(REGEXREPLACE(B1763&amp;"" ""&amp;C1763,""[^а-яa-z0-9 ]"","" ""))")," абор для исследования по выращивания клеток живой ткани типа  ards  cience 47030  абор содержит  1 трубка для культур   1 чаша петри   пробироки для культур   трубки  ерсена 10 мл   темп  режим   трубки медиум 10 мл   темп  режим   стерильные салфетки  п"&amp;"алочка для перемешивания  пипетки")</f>
        <v xml:space="preserve"> абор для исследования по выращивания клеток живой ткани типа  ards  cience 47030  абор содержит  1 трубка для культур   1 чаша петри   пробироки для культур   трубки  ерсена 10 мл   темп  режим   трубки медиум 10 мл   темп  режим   стерильные салфетки  палочка для перемешивания  пипетки</v>
      </c>
    </row>
    <row r="1764" spans="1:8" ht="12.75" x14ac:dyDescent="0.2">
      <c r="A1764" s="31" t="s">
        <v>3998</v>
      </c>
      <c r="B1764" s="27" t="s">
        <v>3999</v>
      </c>
      <c r="C1764" s="27"/>
      <c r="D1764" s="33" t="s">
        <v>1506</v>
      </c>
      <c r="E1764" s="9"/>
      <c r="F1764" s="32"/>
      <c r="G1764" s="10"/>
      <c r="H1764" s="30" t="str">
        <f ca="1">IFERROR(__xludf.DUMMYFUNCTION("LOWER(REGEXREPLACE(B1764&amp;"" ""&amp;C1764,""[^а-яa-z0-9 ]"","" ""))")," омплект   астительные ткани  ")</f>
        <v xml:space="preserve"> омплект   астительные ткани  </v>
      </c>
    </row>
    <row r="1765" spans="1:8" ht="89.25" x14ac:dyDescent="0.2">
      <c r="A1765" s="31" t="s">
        <v>4000</v>
      </c>
      <c r="B1765" s="27" t="s">
        <v>4001</v>
      </c>
      <c r="C1765" s="27" t="s">
        <v>4002</v>
      </c>
      <c r="D1765" s="33" t="s">
        <v>68</v>
      </c>
      <c r="E1765" s="34">
        <v>2</v>
      </c>
      <c r="F1765" s="35">
        <v>1.9</v>
      </c>
      <c r="G1765" s="10">
        <v>80493</v>
      </c>
      <c r="H1765" s="30" t="str">
        <f ca="1">IFERROR(__xludf.DUMMYFUNCTION("LOWER(REGEXREPLACE(B1765&amp;"" ""&amp;C1765,""[^а-яa-z0-9 ]"","" ""))")," омплект   астительные ткани  типа  xperia    41  омплектация   ейс с крышкой   1 шт   оток со вставкой   1шт  иропрепараты   llium  лук    1 шт   эпидермис  wm    1 шт   illium  лилия   1 шт  молодой бутон цветка  cs   1 шт   ea  кукуруза   1 шт  верхушк"&amp;"а корня  ls   1 шт   ea  стебель  cs   1 шт   ea  лист  cs   1 шт   ea  ядро и зародыш  ls   1 шт   apsella  пастушья сумка   1 шт  зрелые зародыши  ls   1 шт   igustrum  бирючина   1 шт  лист  cs   1 шт   anunculus  лютик   1 шт  зрелый корень  cs   1 шт"&amp;"   ilia  липа   1 шт  3 годовой стебель  cs   1 шт ")</f>
        <v xml:space="preserve"> омплект   астительные ткани  типа  xperia    41  омплектация   ейс с крышкой   1 шт   оток со вставкой   1шт  иропрепараты   llium  лук    1 шт   эпидермис  wm    1 шт   illium  лилия   1 шт  молодой бутон цветка  cs   1 шт   ea  кукуруза   1 шт  верхушка корня  ls   1 шт   ea  стебель  cs   1 шт   ea  лист  cs   1 шт   ea  ядро и зародыш  ls   1 шт   apsella  пастушья сумка   1 шт  зрелые зародыши  ls   1 шт   igustrum  бирючина   1 шт  лист  cs   1 шт   anunculus  лютик   1 шт  зрелый корень  cs   1 шт   ilia  липа   1 шт  3 годовой стебель  cs   1 шт </v>
      </c>
    </row>
    <row r="1766" spans="1:8" ht="63.75" x14ac:dyDescent="0.2">
      <c r="A1766" s="31" t="s">
        <v>4003</v>
      </c>
      <c r="B1766" s="27" t="s">
        <v>4004</v>
      </c>
      <c r="C1766" s="27" t="s">
        <v>4005</v>
      </c>
      <c r="D1766" s="33" t="s">
        <v>68</v>
      </c>
      <c r="E1766" s="34">
        <v>2</v>
      </c>
      <c r="F1766" s="35">
        <v>0.8</v>
      </c>
      <c r="G1766" s="10">
        <v>95687</v>
      </c>
      <c r="H1766" s="30" t="str">
        <f ca="1">IFERROR(__xludf.DUMMYFUNCTION("LOWER(REGEXREPLACE(B1766&amp;"" ""&amp;C1766,""[^а-яa-z0-9 ]"","" ""))")," омплект   астительные ткани  типа  ards  cience 47031  абор содержит следующие образцы   1   мешанная пыльца    2   ук эпидерма   3   илия  молодой цветочный зародыш   4   ерно  наконечник корня   5   снова   6   ист   7   дро и эмбрион   8   релые эмбри"&amp;"оны   9   ирючина  лист    10   ютик  зрелый корень   11   ипа американская  3 летняя основа   12   укуруза  кончик корня ")</f>
        <v xml:space="preserve"> омплект   астительные ткани  типа  ards  cience 47031  абор содержит следующие образцы   1   мешанная пыльца    2   ук эпидерма   3   илия  молодой цветочный зародыш   4   ерно  наконечник корня   5   снова   6   ист   7   дро и эмбрион   8   релые эмбрионы   9   ирючина  лист    10   ютик  зрелый корень   11   ипа американская  3 летняя основа   12   укуруза  кончик корня </v>
      </c>
    </row>
    <row r="1767" spans="1:8" ht="12.75" x14ac:dyDescent="0.2">
      <c r="A1767" s="31" t="s">
        <v>4006</v>
      </c>
      <c r="B1767" s="27" t="s">
        <v>4007</v>
      </c>
      <c r="C1767" s="27"/>
      <c r="D1767" s="33" t="s">
        <v>1506</v>
      </c>
      <c r="E1767" s="9"/>
      <c r="F1767" s="32"/>
      <c r="G1767" s="10"/>
      <c r="H1767" s="30" t="str">
        <f ca="1">IFERROR(__xludf.DUMMYFUNCTION("LOWER(REGEXREPLACE(B1767&amp;"" ""&amp;C1767,""[^а-яa-z0-9 ]"","" ""))")," абораторный набор   атология растений  ")</f>
        <v xml:space="preserve"> абораторный набор   атология растений  </v>
      </c>
    </row>
    <row r="1768" spans="1:8" ht="76.5" x14ac:dyDescent="0.2">
      <c r="A1768" s="31" t="s">
        <v>4008</v>
      </c>
      <c r="B1768" s="27" t="s">
        <v>4009</v>
      </c>
      <c r="C1768" s="27" t="s">
        <v>4010</v>
      </c>
      <c r="D1768" s="33" t="s">
        <v>1506</v>
      </c>
      <c r="E1768" s="34">
        <v>2</v>
      </c>
      <c r="F1768" s="36">
        <v>0.89</v>
      </c>
      <c r="G1768" s="10">
        <v>80040</v>
      </c>
      <c r="H1768" s="30" t="str">
        <f ca="1">IFERROR(__xludf.DUMMYFUNCTION("LOWER(REGEXREPLACE(B1768&amp;"" ""&amp;C1768,""[^а-яa-z0-9 ]"","" ""))")," абораторный набор   атология растений  типа  xperia    42  омплектация   ейс с крышкой   1 шт   оток со вставкой   1шт  микропрепараты   очанный корень капусты   1 шт   елая ржавчина  4 слайда   ожная мучнистая роса   2 слайда   ерная бородавка   1 шт   "&amp;"порынья ржаная   1 шт   учнистая роса   4 слайда   иняя цитрусовая плесень   1 шт   леновое звездное пятно   1 шт   блочная парша   2 горки   елчь из кедрового яблока   2 горки   ерновая ржавчина   1 шт   укурузная головня   1 шт   рибок древесной гнили  "&amp;" 1 шт ")</f>
        <v xml:space="preserve"> абораторный набор   атология растений  типа  xperia    42  омплектация   ейс с крышкой   1 шт   оток со вставкой   1шт  микропрепараты   очанный корень капусты   1 шт   елая ржавчина  4 слайда   ожная мучнистая роса   2 слайда   ерная бородавка   1 шт   порынья ржаная   1 шт   учнистая роса   4 слайда   иняя цитрусовая плесень   1 шт   леновое звездное пятно   1 шт   блочная парша   2 горки   елчь из кедрового яблока   2 горки   ерновая ржавчина   1 шт   укурузная головня   1 шт   рибок древесной гнили   1 шт </v>
      </c>
    </row>
    <row r="1769" spans="1:8" ht="63.75" x14ac:dyDescent="0.2">
      <c r="A1769" s="31" t="s">
        <v>4011</v>
      </c>
      <c r="B1769" s="27" t="s">
        <v>4012</v>
      </c>
      <c r="C1769" s="27" t="s">
        <v>4013</v>
      </c>
      <c r="D1769" s="33" t="s">
        <v>1506</v>
      </c>
      <c r="E1769" s="34">
        <v>2</v>
      </c>
      <c r="F1769" s="35">
        <v>0.8</v>
      </c>
      <c r="G1769" s="10">
        <v>100723</v>
      </c>
      <c r="H1769" s="30" t="str">
        <f ca="1">IFERROR(__xludf.DUMMYFUNCTION("LOWER(REGEXREPLACE(B1769&amp;"" ""&amp;C1769,""[^а-яa-z0-9 ]"","" ""))")," абораторный набор   атология растений  типа  ards  cience 47032  абор содержит 21 образец  включая   1   орень капусты   2   елая ржавчина  4 слайда    3   лесень  2 слайда    4   ерная бородавка   5   орошкообразная плесень  4 слайда    6   иняя почва ц"&amp;"итрусовых   7   ятно смолы клена   8   трупья яблока  2 слайда    9   лоба яблока кедра  2 слайда    10   ерновая ржавчина   11   рязь зерна   12   еревянный гриб гнили ")</f>
        <v xml:space="preserve"> абораторный набор   атология растений  типа  ards  cience 47032  абор содержит 21 образец  включая   1   орень капусты   2   елая ржавчина  4 слайда    3   лесень  2 слайда    4   ерная бородавка   5   орошкообразная плесень  4 слайда    6   иняя почва цитрусовых   7   ятно смолы клена   8   трупья яблока  2 слайда    9   лоба яблока кедра  2 слайда    10   ерновая ржавчина   11   рязь зерна   12   еревянный гриб гнили </v>
      </c>
    </row>
    <row r="1770" spans="1:8" ht="12.75" x14ac:dyDescent="0.2">
      <c r="A1770" s="31" t="s">
        <v>4014</v>
      </c>
      <c r="B1770" s="27" t="s">
        <v>4015</v>
      </c>
      <c r="C1770" s="27"/>
      <c r="D1770" s="33" t="s">
        <v>1506</v>
      </c>
      <c r="E1770" s="9"/>
      <c r="F1770" s="32"/>
      <c r="G1770" s="10"/>
      <c r="H1770" s="30" t="str">
        <f ca="1">IFERROR(__xludf.DUMMYFUNCTION("LOWER(REGEXREPLACE(B1770&amp;"" ""&amp;C1770,""[^а-яa-z0-9 ]"","" ""))"),"    набор   ирусы и бактерии ")</f>
        <v xml:space="preserve">    набор   ирусы и бактерии </v>
      </c>
    </row>
    <row r="1771" spans="1:8" ht="63.75" x14ac:dyDescent="0.2">
      <c r="A1771" s="31" t="s">
        <v>4016</v>
      </c>
      <c r="B1771" s="27" t="s">
        <v>4017</v>
      </c>
      <c r="C1771" s="27" t="s">
        <v>4018</v>
      </c>
      <c r="D1771" s="33" t="s">
        <v>1506</v>
      </c>
      <c r="E1771" s="34">
        <v>2</v>
      </c>
      <c r="F1771" s="36">
        <v>0.76</v>
      </c>
      <c r="G1771" s="10">
        <v>106928</v>
      </c>
      <c r="H1771" s="30" t="str">
        <f ca="1">IFERROR(__xludf.DUMMYFUNCTION("LOWER(REGEXREPLACE(B1771&amp;"" ""&amp;C1771,""[^а-яa-z0-9 ]"","" ""))"),"    набор   ирусы и бактерии типа  xperia    43  омплектация   ейс с крышкой   1 шт   оток со вставкой   1шт   актерии род   acillus   1 пачка   ухие  рожжи 7 гр   1 пачка   ристалловый фиолетовый грам окраска  10мл   1 шт   итательный агар 20 мл   1 шт  "&amp;" терильные пипетки  3 мл   30 шт   утритивная среда 100 мл   1 шт   одный раствор 100 мл   1 шт   робирки  16смх1 5 см   12 шт   рышки для пробирок с отверстиями   12 шт ")</f>
        <v xml:space="preserve">    набор   ирусы и бактерии типа  xperia    43  омплектация   ейс с крышкой   1 шт   оток со вставкой   1шт   актерии род   acillus   1 пачка   ухие  рожжи 7 гр   1 пачка   ристалловый фиолетовый грам окраска  10мл   1 шт   итательный агар 20 мл   1 шт   терильные пипетки  3 мл   30 шт   утритивная среда 100 мл   1 шт   одный раствор 100 мл   1 шт   робирки  16смх1 5 см   12 шт   рышки для пробирок с отверстиями   12 шт </v>
      </c>
    </row>
    <row r="1772" spans="1:8" ht="51" x14ac:dyDescent="0.2">
      <c r="A1772" s="31" t="s">
        <v>4019</v>
      </c>
      <c r="B1772" s="27" t="s">
        <v>4020</v>
      </c>
      <c r="C1772" s="27" t="s">
        <v>4021</v>
      </c>
      <c r="D1772" s="33" t="s">
        <v>1506</v>
      </c>
      <c r="E1772" s="34">
        <v>2</v>
      </c>
      <c r="F1772" s="35">
        <v>0.8</v>
      </c>
      <c r="G1772" s="10">
        <v>110795</v>
      </c>
      <c r="H1772" s="30" t="str">
        <f ca="1">IFERROR(__xludf.DUMMYFUNCTION("LOWER(REGEXREPLACE(B1772&amp;"" ""&amp;C1772,""[^а-яa-z0-9 ]"","" ""))"),"    набор   ирусы и бактерии типа  ards  cience 47033  омплектация   икроорганизмы температурный режим    quaspirillum serpens  спириллы     acillus cereus  бациллы    taphylococcus epidermidis  кокки     rystal violet gram stain   methylene blue stain   "&amp;"микроскобные слайды   icroscope slides    carbol fuchsin   ватные палочки   otton swabs ")</f>
        <v xml:space="preserve">    набор   ирусы и бактерии типа  ards  cience 47033  омплектация   икроорганизмы температурный режим    quaspirillum serpens  спириллы     acillus cereus  бациллы    taphylococcus epidermidis  кокки     rystal violet gram stain   methylene blue stain   микроскобные слайды   icroscope slides    carbol fuchsin   ватные палочки   otton swabs </v>
      </c>
    </row>
    <row r="1773" spans="1:8" ht="12.75" x14ac:dyDescent="0.2">
      <c r="A1773" s="31" t="s">
        <v>4022</v>
      </c>
      <c r="B1773" s="27" t="s">
        <v>4023</v>
      </c>
      <c r="C1773" s="27"/>
      <c r="D1773" s="33" t="s">
        <v>1506</v>
      </c>
      <c r="E1773" s="9"/>
      <c r="F1773" s="32"/>
      <c r="G1773" s="10"/>
      <c r="H1773" s="30" t="str">
        <f ca="1">IFERROR(__xludf.DUMMYFUNCTION("LOWER(REGEXREPLACE(B1773&amp;"" ""&amp;C1773,""[^а-яa-z0-9 ]"","" ""))")," абор слайдов по бактериологии ")</f>
        <v xml:space="preserve"> абор слайдов по бактериологии </v>
      </c>
    </row>
    <row r="1774" spans="1:8" ht="51" x14ac:dyDescent="0.2">
      <c r="A1774" s="31" t="s">
        <v>4024</v>
      </c>
      <c r="B1774" s="27" t="s">
        <v>4025</v>
      </c>
      <c r="C1774" s="27" t="s">
        <v>4026</v>
      </c>
      <c r="D1774" s="33" t="s">
        <v>1506</v>
      </c>
      <c r="E1774" s="34">
        <v>2</v>
      </c>
      <c r="F1774" s="36">
        <v>0.76</v>
      </c>
      <c r="G1774" s="10">
        <v>88493</v>
      </c>
      <c r="H1774" s="30" t="str">
        <f ca="1">IFERROR(__xludf.DUMMYFUNCTION("LOWER(REGEXREPLACE(B1774&amp;"" ""&amp;C1774,""[^а-яa-z0-9 ]"","" ""))")," абор слайдов по бактериологии типа  xperia    44  омплектация кейс с крышкой   1 шт   лоток со вставкой   1шт  слайд бактерии   2 шт   слайд волосы волокно   4 шт  слайды обычные вещи   7 шт  слайд печати   1 шт   слайд протисты   4 шт  слайды ячеек   2 "&amp;" шт  слайды растительные ткани   3 шт  слайды животные ткани   2 шт ")</f>
        <v xml:space="preserve"> абор слайдов по бактериологии типа  xperia    44  омплектация кейс с крышкой   1 шт   лоток со вставкой   1шт  слайд бактерии   2 шт   слайд волосы волокно   4 шт  слайды обычные вещи   7 шт  слайд печати   1 шт   слайд протисты   4 шт  слайды ячеек   2  шт  слайды растительные ткани   3 шт  слайды животные ткани   2 шт </v>
      </c>
    </row>
    <row r="1775" spans="1:8" ht="38.25" x14ac:dyDescent="0.2">
      <c r="A1775" s="31" t="s">
        <v>4027</v>
      </c>
      <c r="B1775" s="27" t="s">
        <v>4028</v>
      </c>
      <c r="C1775" s="27" t="s">
        <v>4029</v>
      </c>
      <c r="D1775" s="33" t="s">
        <v>1506</v>
      </c>
      <c r="E1775" s="34">
        <v>2</v>
      </c>
      <c r="F1775" s="35">
        <v>0.8</v>
      </c>
      <c r="G1775" s="10">
        <v>86622</v>
      </c>
      <c r="H1775" s="30" t="str">
        <f ca="1">IFERROR(__xludf.DUMMYFUNCTION("LOWER(REGEXREPLACE(B1775&amp;"" ""&amp;C1775,""[^а-яa-z0-9 ]"","" ""))")," абор слайдов по бактериологии типа  ards  cience 47034  омпоненты    zotobacter chroococcum   grobacterium tumefaciens   acillus anthracis   acillus subtilis   actococcus lactis   ycobacterium sp    roteus hauseri   hodospirillum rubrum   treptococcus py"&amp;"ogenes")</f>
        <v xml:space="preserve"> абор слайдов по бактериологии типа  ards  cience 47034  омпоненты    zotobacter chroococcum   grobacterium tumefaciens   acillus anthracis   acillus subtilis   actococcus lactis   ycobacterium sp    roteus hauseri   hodospirillum rubrum   treptococcus pyogenes</v>
      </c>
    </row>
    <row r="1776" spans="1:8" ht="25.5" x14ac:dyDescent="0.2">
      <c r="A1776" s="31" t="s">
        <v>4030</v>
      </c>
      <c r="B1776" s="27" t="s">
        <v>4031</v>
      </c>
      <c r="C1776" s="27"/>
      <c r="D1776" s="33" t="s">
        <v>1506</v>
      </c>
      <c r="E1776" s="9"/>
      <c r="F1776" s="32"/>
      <c r="G1776" s="10"/>
      <c r="H1776" s="30" t="str">
        <f ca="1">IFERROR(__xludf.DUMMYFUNCTION("LOWER(REGEXREPLACE(B1776&amp;"" ""&amp;C1776,""[^а-яa-z0-9 ]"","" ""))")," абораторный практикум   орфология цианобактерий  ")</f>
        <v xml:space="preserve"> абораторный практикум   орфология цианобактерий  </v>
      </c>
    </row>
    <row r="1777" spans="1:8" ht="140.25" x14ac:dyDescent="0.2">
      <c r="A1777" s="31" t="s">
        <v>4032</v>
      </c>
      <c r="B1777" s="27" t="s">
        <v>4033</v>
      </c>
      <c r="C1777" s="27" t="s">
        <v>4034</v>
      </c>
      <c r="D1777" s="33" t="s">
        <v>1506</v>
      </c>
      <c r="E1777" s="34">
        <v>2</v>
      </c>
      <c r="F1777" s="35">
        <v>1.4</v>
      </c>
      <c r="G1777" s="10">
        <v>107776</v>
      </c>
      <c r="H1777" s="30" t="str">
        <f ca="1">IFERROR(__xludf.DUMMYFUNCTION("LOWER(REGEXREPLACE(B1777&amp;"" ""&amp;C1777,""[^а-яa-z0-9 ]"","" ""))")," абораторный практикум   орфология цианобактерий  типа  xperia    45  омплектация    ейс с крышкой   1 шт   оток со вставкой   1шт   актериальная культура оциллятория   1 шт   актериальная культура носток   1 шт   актериальная культура глеокапса   1 шт   "&amp;"актериальная культура глеотрихия   1 шт        нитрат калия   4 г   1 шт   g    7     сульфат магния   2 г   1 шт     a l  2     хлорид кальция   2 г   1 шт   a l  хлорид натрия   2 г   1 шт          дигидрофосфат калия  1 г   1 шт   e    7     сульфат же"&amp;"леза       1 г   1 шт   а      гидрокарбонат натрия    1 г   1 шт    икроэлементный раствор  4 мл   1 шт   теклянные колбы для культивирования   4 шт   терильные пипетки   10 шт   терильные шпатели  5 шт   теклянные палочки для перемешивания   5 шт   тери"&amp;"льные пластиковые пробирки   20 шт ")</f>
        <v xml:space="preserve"> абораторный практикум   орфология цианобактерий  типа  xperia    45  омплектация    ейс с крышкой   1 шт   оток со вставкой   1шт   актериальная культура оциллятория   1 шт   актериальная культура носток   1 шт   актериальная культура глеокапса   1 шт   актериальная культура глеотрихия   1 шт        нитрат калия   4 г   1 шт   g    7     сульфат магния   2 г   1 шт     a l  2     хлорид кальция   2 г   1 шт   a l  хлорид натрия   2 г   1 шт          дигидрофосфат калия  1 г   1 шт   e    7     сульфат железа       1 г   1 шт   а      гидрокарбонат натрия    1 г   1 шт    икроэлементный раствор  4 мл   1 шт   теклянные колбы для культивирования   4 шт   терильные пипетки   10 шт   терильные шпатели  5 шт   теклянные палочки для перемешивания   5 шт   терильные пластиковые пробирки   20 шт </v>
      </c>
    </row>
    <row r="1778" spans="1:8" ht="51" x14ac:dyDescent="0.2">
      <c r="A1778" s="31" t="s">
        <v>4035</v>
      </c>
      <c r="B1778" s="27" t="s">
        <v>4036</v>
      </c>
      <c r="C1778" s="27" t="s">
        <v>4037</v>
      </c>
      <c r="D1778" s="33" t="s">
        <v>1506</v>
      </c>
      <c r="E1778" s="34">
        <v>2</v>
      </c>
      <c r="F1778" s="35">
        <v>0.8</v>
      </c>
      <c r="G1778" s="10">
        <v>83601</v>
      </c>
      <c r="H1778" s="30" t="str">
        <f ca="1">IFERROR(__xludf.DUMMYFUNCTION("LOWER(REGEXREPLACE(B1778&amp;"" ""&amp;C1778,""[^а-яa-z0-9 ]"","" ""))")," абораторный практикум   орфология цианобактерий  типа  ards  cience 47035  абор содержит   1   бразец цианобактерий    scillatoria   ostoc  filamentous    loeocapsa  colonial globular   and  loeotrichia  colonial filamentous   разновидность цианобактерий"&amp;" держать в холодильнике   2   дноразовые пипетки   4 шт   темп  режим ")</f>
        <v xml:space="preserve"> абораторный практикум   орфология цианобактерий  типа  ards  cience 47035  абор содержит   1   бразец цианобактерий    scillatoria   ostoc  filamentous    loeocapsa  colonial globular   and  loeotrichia  colonial filamentous   разновидность цианобактерий держать в холодильнике   2   дноразовые пипетки   4 шт   темп  режим </v>
      </c>
    </row>
    <row r="1779" spans="1:8" ht="25.5" x14ac:dyDescent="0.2">
      <c r="A1779" s="31" t="s">
        <v>4038</v>
      </c>
      <c r="B1779" s="27" t="s">
        <v>4039</v>
      </c>
      <c r="C1779" s="27"/>
      <c r="D1779" s="33" t="s">
        <v>1506</v>
      </c>
      <c r="E1779" s="9"/>
      <c r="F1779" s="32"/>
      <c r="G1779" s="10"/>
      <c r="H1779" s="30" t="str">
        <f ca="1">IFERROR(__xludf.DUMMYFUNCTION("LOWER(REGEXREPLACE(B1779&amp;"" ""&amp;C1779,""[^а-яa-z0-9 ]"","" ""))")," абор микропрепаратов   сновы бактериологии  ")</f>
        <v xml:space="preserve"> абор микропрепаратов   сновы бактериологии  </v>
      </c>
    </row>
    <row r="1780" spans="1:8" ht="102" x14ac:dyDescent="0.2">
      <c r="A1780" s="31" t="s">
        <v>4040</v>
      </c>
      <c r="B1780" s="27" t="s">
        <v>4041</v>
      </c>
      <c r="C1780" s="27" t="s">
        <v>4042</v>
      </c>
      <c r="D1780" s="33" t="s">
        <v>1506</v>
      </c>
      <c r="E1780" s="34">
        <v>2</v>
      </c>
      <c r="F1780" s="36">
        <v>1.89</v>
      </c>
      <c r="G1780" s="10">
        <v>147940</v>
      </c>
      <c r="H1780" s="30" t="str">
        <f ca="1">IFERROR(__xludf.DUMMYFUNCTION("LOWER(REGEXREPLACE(B1780&amp;"" ""&amp;C1780,""[^а-яa-z0-9 ]"","" ""))")," абор микропрепаратов   сновы бактериологии  типа   xperia    46  омплектация   ейс с крышкой   1 шт   оток со вставкой   1шт  колбы  рленмейера 250 мл   8 шт  стеклянная палочка   1 шт  пипетки  астера 5 мл   15 шт   ашки  етри   4 шт   актериологическая"&amp;" петля   1 шт   герметичные крышки для колб   6 шт  крышка 3 отверстиями для колб   1 шт  крышка с узким отверстием   1 шт   эробные   микроаэробные подвижные  acillus subtilis   1 шт    scherichia coli   12   1 шт  палочки    coli   1 шт    icrococcus lu"&amp;"teus   1 шт   orynebacterium glutamicum   1 шт       uria  ertani  среда 500 мл   1 шт   итательный агар  500   1 шт        rain  eart  nfusion  агар  500 мл   1 шт ")</f>
        <v xml:space="preserve"> абор микропрепаратов   сновы бактериологии  типа   xperia    46  омплектация   ейс с крышкой   1 шт   оток со вставкой   1шт  колбы  рленмейера 250 мл   8 шт  стеклянная палочка   1 шт  пипетки  астера 5 мл   15 шт   ашки  етри   4 шт   актериологическая петля   1 шт   герметичные крышки для колб   6 шт  крышка 3 отверстиями для колб   1 шт  крышка с узким отверстием   1 шт   эробные   микроаэробные подвижные  acillus subtilis   1 шт    scherichia coli   12   1 шт  палочки    coli   1 шт    icrococcus luteus   1 шт   orynebacterium glutamicum   1 шт       uria  ertani  среда 500 мл   1 шт   итательный агар  500   1 шт        rain  eart  nfusion  агар  500 мл   1 шт </v>
      </c>
    </row>
    <row r="1781" spans="1:8" ht="51" x14ac:dyDescent="0.2">
      <c r="A1781" s="31" t="s">
        <v>4043</v>
      </c>
      <c r="B1781" s="27" t="s">
        <v>4044</v>
      </c>
      <c r="C1781" s="27" t="s">
        <v>4045</v>
      </c>
      <c r="D1781" s="33" t="s">
        <v>1506</v>
      </c>
      <c r="E1781" s="34">
        <v>2</v>
      </c>
      <c r="F1781" s="35">
        <v>0.8</v>
      </c>
      <c r="G1781" s="10">
        <v>146047</v>
      </c>
      <c r="H1781" s="30" t="str">
        <f ca="1">IFERROR(__xludf.DUMMYFUNCTION("LOWER(REGEXREPLACE(B1781&amp;"" ""&amp;C1781,""[^а-яa-z0-9 ]"","" ""))")," абор микропрепаратов   сновы бактериологии  типа  ards  cience 47036  абор содержит 16 образцов  включая   1   пирохета  2   эробный  3   икроаэробный 4   эробная палочка 5   эробный кок 6   наэробный клей 7   наэробный кок  8   ок  9   бразующий эндоспо"&amp;"ры 10   еспорообразующие палочки  11   икобактерия")</f>
        <v xml:space="preserve"> абор микропрепаратов   сновы бактериологии  типа  ards  cience 47036  абор содержит 16 образцов  включая   1   пирохета  2   эробный  3   икроаэробный 4   эробная палочка 5   эробный кок 6   наэробный клей 7   наэробный кок  8   ок  9   бразующий эндоспоры 10   еспорообразующие палочки  11   икобактерия</v>
      </c>
    </row>
    <row r="1782" spans="1:8" ht="12.75" x14ac:dyDescent="0.2">
      <c r="A1782" s="31" t="s">
        <v>4046</v>
      </c>
      <c r="B1782" s="27" t="s">
        <v>4047</v>
      </c>
      <c r="C1782" s="27"/>
      <c r="D1782" s="33" t="s">
        <v>1506</v>
      </c>
      <c r="E1782" s="9"/>
      <c r="F1782" s="32"/>
      <c r="G1782" s="10"/>
      <c r="H1782" s="30" t="str">
        <f ca="1">IFERROR(__xludf.DUMMYFUNCTION("LOWER(REGEXREPLACE(B1782&amp;"" ""&amp;C1782,""[^а-яa-z0-9 ]"","" ""))")," абор микропрепаратов   труктура бактерий  ")</f>
        <v xml:space="preserve"> абор микропрепаратов   труктура бактерий  </v>
      </c>
    </row>
    <row r="1783" spans="1:8" ht="165.75" x14ac:dyDescent="0.2">
      <c r="A1783" s="31" t="s">
        <v>4048</v>
      </c>
      <c r="B1783" s="27" t="s">
        <v>4049</v>
      </c>
      <c r="C1783" s="27" t="s">
        <v>4050</v>
      </c>
      <c r="D1783" s="33" t="s">
        <v>1506</v>
      </c>
      <c r="E1783" s="34">
        <v>2</v>
      </c>
      <c r="F1783" s="35">
        <v>2.4</v>
      </c>
      <c r="G1783" s="10">
        <v>60747</v>
      </c>
      <c r="H1783" s="30" t="str">
        <f ca="1">IFERROR(__xludf.DUMMYFUNCTION("LOWER(REGEXREPLACE(B1783&amp;"" ""&amp;C1783,""[^а-яa-z0-9 ]"","" ""))")," абор микропрепаратов   труктура бактерий  типа  xperia    47  омплектация   ейс с крышкой   1 шт    оток со вставкой   1шт   ашки  етри   20 шт  градуированные пипетки пастера   50 шт   актериологическая петля   5 шт  раситель для капсул  красный конго  "&amp;"50мл   1шт  едный сульфат  20  раствор  50 мл  1шт   аневаль буфер 50 мл   1шт   имический фиксатор 50 мл   1шт   алахитовый зеленый раствор 50 мл   1шт   раситель  афранин 50 мл  1шт   олуидиновый синий 25 мл   1шт   лицерин  50 мл   1 шт   тиловый спирт"&amp;" по 50 мл каждого    од 50 мл   1шт   ристаллический фиолет 50 мл   1шт   ультуры бактерий   3 колонии   раситель  удан  ерный 50 мл   1шт  70  этиловый спирт 100 мл   1шт  96  этиловый спирт 100 мл   1шт   раситель кристаллический фиолетовый для  рамовой"&amp;" окраски 50мл   1шт   одный раствор для  рамовой окраски 50 мл   1шт   раситель фуксин для окраски по  иль  ильсену 50 мл   1шт   раситель метиленовый синий для окраски по  иль  ильсену 50 мл   1шт ")</f>
        <v xml:space="preserve"> абор микропрепаратов   труктура бактерий  типа  xperia    47  омплектация   ейс с крышкой   1 шт    оток со вставкой   1шт   ашки  етри   20 шт  градуированные пипетки пастера   50 шт   актериологическая петля   5 шт  раситель для капсул  красный конго  50мл   1шт  едный сульфат  20  раствор  50 мл  1шт   аневаль буфер 50 мл   1шт   имический фиксатор 50 мл   1шт   алахитовый зеленый раствор 50 мл   1шт   раситель  афранин 50 мл  1шт   олуидиновый синий 25 мл   1шт   лицерин  50 мл   1 шт   тиловый спирт по 50 мл каждого    од 50 мл   1шт   ристаллический фиолет 50 мл   1шт   ультуры бактерий   3 колонии   раситель  удан  ерный 50 мл   1шт  70  этиловый спирт 100 мл   1шт  96  этиловый спирт 100 мл   1шт   раситель кристаллический фиолетовый для  рамовой окраски 50мл   1шт   одный раствор для  рамовой окраски 50 мл   1шт   раситель фуксин для окраски по  иль  ильсену 50 мл   1шт   раситель метиленовый синий для окраски по  иль  ильсену 50 мл   1шт </v>
      </c>
    </row>
    <row r="1784" spans="1:8" ht="38.25" x14ac:dyDescent="0.2">
      <c r="A1784" s="31" t="s">
        <v>4051</v>
      </c>
      <c r="B1784" s="27" t="s">
        <v>4052</v>
      </c>
      <c r="C1784" s="27" t="s">
        <v>4053</v>
      </c>
      <c r="D1784" s="33" t="s">
        <v>1506</v>
      </c>
      <c r="E1784" s="34">
        <v>2</v>
      </c>
      <c r="F1784" s="35">
        <v>0.8</v>
      </c>
      <c r="G1784" s="10">
        <v>70507</v>
      </c>
      <c r="H1784" s="30" t="str">
        <f ca="1">IFERROR(__xludf.DUMMYFUNCTION("LOWER(REGEXREPLACE(B1784&amp;"" ""&amp;C1784,""[^а-яa-z0-9 ]"","" ""))")," абор микропрепаратов   труктура бактерий  типа  ards  cience 47037  абор содержит 6 образцов    стенка клетки    ировое тело    етахроматические гранулы     поравбактерии    болочкабактерии   обычная бактерия")</f>
        <v xml:space="preserve"> абор микропрепаратов   труктура бактерий  типа  ards  cience 47037  абор содержит 6 образцов    стенка клетки    ировое тело    етахроматические гранулы     поравбактерии    болочкабактерии   обычная бактерия</v>
      </c>
    </row>
    <row r="1785" spans="1:8" ht="25.5" x14ac:dyDescent="0.2">
      <c r="A1785" s="31" t="s">
        <v>4054</v>
      </c>
      <c r="B1785" s="27" t="s">
        <v>4055</v>
      </c>
      <c r="C1785" s="27"/>
      <c r="D1785" s="33" t="s">
        <v>1506</v>
      </c>
      <c r="E1785" s="9"/>
      <c r="F1785" s="32"/>
      <c r="G1785" s="10"/>
      <c r="H1785" s="30" t="str">
        <f ca="1">IFERROR(__xludf.DUMMYFUNCTION("LOWER(REGEXREPLACE(B1785&amp;"" ""&amp;C1785,""[^а-яa-z0-9 ]"","" ""))")," абораторный практикум   ведение в гистологию  ")</f>
        <v xml:space="preserve"> абораторный практикум   ведение в гистологию  </v>
      </c>
    </row>
    <row r="1786" spans="1:8" ht="140.25" x14ac:dyDescent="0.2">
      <c r="A1786" s="31" t="s">
        <v>4056</v>
      </c>
      <c r="B1786" s="27" t="s">
        <v>4057</v>
      </c>
      <c r="C1786" s="27" t="s">
        <v>4058</v>
      </c>
      <c r="D1786" s="33" t="s">
        <v>1506</v>
      </c>
      <c r="E1786" s="34">
        <v>2</v>
      </c>
      <c r="F1786" s="35">
        <v>2.1</v>
      </c>
      <c r="G1786" s="10">
        <v>170648</v>
      </c>
      <c r="H1786" s="30" t="str">
        <f ca="1">IFERROR(__xludf.DUMMYFUNCTION("LOWER(REGEXREPLACE(B1786&amp;"" ""&amp;C1786,""[^а-яa-z0-9 ]"","" ""))")," абораторный практикум   ведение в гистологию   типа  xperia    48  омплектация   ейс с крышкой   1 шт   оток со вставкой   1шт   пителий простого плоского типа  срез    1 шт  эпителий простого кубического типа  срез    1 шт  эпителий многослойного плоско"&amp;"го типа  срез    1 шт  гладкая мышца  поперечный продольный срез    1 шт  сердечная мышца  поперечный продольный срез    1 шт  скелетная мышца  поперечный продольный срез    1 шт  орган  гипофиз  срез    1 шт  спинной мозг  поперечный срез    1 шт  тимус "&amp;" срез    1 шт  щитовидная и околощитовидная железы  срез    1 шт  артерия  вена и нерв  срез    1 шт  легкое  срез    1 шт  желудок  продольный срез    1 шт  истина  срез    1 шт  ободочная кишка  поперечный срез    1 шт  печень  срез    1 шт  поджелудочн"&amp;"ая железа  срез    1 шт  почка  срез    1 шт  яичник  сперматогенез  срез    1 шт  и яичник  фолликул  срез    1 шт ")</f>
        <v xml:space="preserve"> абораторный практикум   ведение в гистологию   типа  xperia    48  омплектация   ейс с крышкой   1 шт   оток со вставкой   1шт   пителий простого плоского типа  срез    1 шт  эпителий простого кубического типа  срез    1 шт  эпителий многослойного плоского типа  срез    1 шт  гладкая мышца  поперечный продольный срез    1 шт  сердечная мышца  поперечный продольный срез    1 шт  скелетная мышца  поперечный продольный срез    1 шт  орган  гипофиз  срез    1 шт  спинной мозг  поперечный срез    1 шт  тимус  срез    1 шт  щитовидная и околощитовидная железы  срез    1 шт  артерия  вена и нерв  срез    1 шт  легкое  срез    1 шт  желудок  продольный срез    1 шт  истина  срез    1 шт  ободочная кишка  поперечный срез    1 шт  печень  срез    1 шт  поджелудочная железа  срез    1 шт  почка  срез    1 шт  яичник  сперматогенез  срез    1 шт  и яичник  фолликул  срез    1 шт </v>
      </c>
    </row>
    <row r="1787" spans="1:8" ht="114.75" x14ac:dyDescent="0.2">
      <c r="A1787" s="31" t="s">
        <v>4059</v>
      </c>
      <c r="B1787" s="27" t="s">
        <v>4060</v>
      </c>
      <c r="C1787" s="27" t="s">
        <v>4061</v>
      </c>
      <c r="D1787" s="33" t="s">
        <v>1506</v>
      </c>
      <c r="E1787" s="34">
        <v>2</v>
      </c>
      <c r="F1787" s="35">
        <v>0.8</v>
      </c>
      <c r="G1787" s="10">
        <v>169213</v>
      </c>
      <c r="H1787" s="30" t="str">
        <f ca="1">IFERROR(__xludf.DUMMYFUNCTION("LOWER(REGEXREPLACE(B1787&amp;"" ""&amp;C1787,""[^а-яa-z0-9 ]"","" ""))")," абораторный практикум   ведение в гистологию  типа  ards  cience 47038  абор содержит следующие образцы   1   ешуйчатый эпителий  2   реолярный   3   рящ 4   ссификация в соединительнотканной мембране 5   азвитие кости  6   игантские многополюсные нейрон"&amp;"ы  7   ирамидальные клетки и их процессы   8   рганы 9   ышцы 10  мышцы 11  мышцы  12   иелинизированные нервы 13   пинной мозг  млекопитающее 14   ртерия  вена 15   ерв 16   итовидная железа 17   одверхнечелюстная железа  18   ищевод 19   онкая кишка 20 "&amp;"  олстая кишка 21   ечень  22   очка 23   очевой пузырь 24   ичко  сперматогенезиз 25   ичник")</f>
        <v xml:space="preserve"> абораторный практикум   ведение в гистологию  типа  ards  cience 47038  абор содержит следующие образцы   1   ешуйчатый эпителий  2   реолярный   3   рящ 4   ссификация в соединительнотканной мембране 5   азвитие кости  6   игантские многополюсные нейроны  7   ирамидальные клетки и их процессы   8   рганы 9   ышцы 10  мышцы 11  мышцы  12   иелинизированные нервы 13   пинной мозг  млекопитающее 14   ртерия  вена 15   ерв 16   итовидная железа 17   одверхнечелюстная железа  18   ищевод 19   онкая кишка 20   олстая кишка 21   ечень  22   очка 23   очевой пузырь 24   ичко  сперматогенезиз 25   ичник</v>
      </c>
    </row>
    <row r="1788" spans="1:8" ht="25.5" x14ac:dyDescent="0.2">
      <c r="A1788" s="31" t="s">
        <v>4062</v>
      </c>
      <c r="B1788" s="27" t="s">
        <v>4063</v>
      </c>
      <c r="C1788" s="27"/>
      <c r="D1788" s="33" t="s">
        <v>1506</v>
      </c>
      <c r="E1788" s="9"/>
      <c r="F1788" s="32"/>
      <c r="G1788" s="10"/>
      <c r="H1788" s="30" t="str">
        <f ca="1">IFERROR(__xludf.DUMMYFUNCTION("LOWER(REGEXREPLACE(B1788&amp;"" ""&amp;C1788,""[^а-яa-z0-9 ]"","" ""))")," абораторный практикум   иоремедиация на нефть   еятельность бактерий  ")</f>
        <v xml:space="preserve"> абораторный практикум   иоремедиация на нефть   еятельность бактерий  </v>
      </c>
    </row>
    <row r="1789" spans="1:8" ht="63.75" x14ac:dyDescent="0.2">
      <c r="A1789" s="31" t="s">
        <v>4064</v>
      </c>
      <c r="B1789" s="27" t="s">
        <v>4065</v>
      </c>
      <c r="C1789" s="27" t="s">
        <v>4066</v>
      </c>
      <c r="D1789" s="33" t="s">
        <v>1506</v>
      </c>
      <c r="E1789" s="34">
        <v>2</v>
      </c>
      <c r="F1789" s="35">
        <v>1.7</v>
      </c>
      <c r="G1789" s="10">
        <v>124917</v>
      </c>
      <c r="H1789" s="30" t="str">
        <f ca="1">IFERROR(__xludf.DUMMYFUNCTION("LOWER(REGEXREPLACE(B1789&amp;"" ""&amp;C1789,""[^а-яa-z0-9 ]"","" ""))")," абораторный практикум   иоремедиация на нефть   еятельность бактерий   типа  xperia    49  омплектация   ейс с крышкой   1 шт   оток со вставкой   1шт   ерные колбы химические конусовидные  250 мл   4 шт    ерметичные крышки для колб   4 шт    робирки  1"&amp;"8смх1 8см   9 шт   ерметичные крышки для пробирок   6 шт    рышки для пробирок с отверстиями   3 шт   ермометр   1 шт    ндикатор p    1 шт    икробы       7 гр    a    50 мл  1 банка    l 50 мл    1 банка ")</f>
        <v xml:space="preserve"> абораторный практикум   иоремедиация на нефть   еятельность бактерий   типа  xperia    49  омплектация   ейс с крышкой   1 шт   оток со вставкой   1шт   ерные колбы химические конусовидные  250 мл   4 шт    ерметичные крышки для колб   4 шт    робирки  18смх1 8см   9 шт   ерметичные крышки для пробирок   6 шт    рышки для пробирок с отверстиями   3 шт   ермометр   1 шт    ндикатор p    1 шт    икробы       7 гр    a    50 мл  1 банка    l 50 мл    1 банка </v>
      </c>
    </row>
    <row r="1790" spans="1:8" ht="38.25" x14ac:dyDescent="0.2">
      <c r="A1790" s="31" t="s">
        <v>4067</v>
      </c>
      <c r="B1790" s="27" t="s">
        <v>4068</v>
      </c>
      <c r="C1790" s="27" t="s">
        <v>4069</v>
      </c>
      <c r="D1790" s="33" t="s">
        <v>1506</v>
      </c>
      <c r="E1790" s="34">
        <v>2</v>
      </c>
      <c r="F1790" s="35">
        <v>0.8</v>
      </c>
      <c r="G1790" s="10">
        <v>176263</v>
      </c>
      <c r="H1790" s="30" t="str">
        <f ca="1">IFERROR(__xludf.DUMMYFUNCTION("LOWER(REGEXREPLACE(B1790&amp;"" ""&amp;C1790,""[^а-яa-z0-9 ]"","" ""))")," абораторный практикум   иоремедиация на нефть   еятельность бактерий  типа  ards  cience 47040   набор входят  1   поры          enicillium sp    темп  режим  живые     seudomonas sp   темп  режим  живые   2   рансферные пипетки  3   атные палочки ")</f>
        <v xml:space="preserve"> абораторный практикум   иоремедиация на нефть   еятельность бактерий  типа  ards  cience 47040   набор входят  1   поры          enicillium sp    темп  режим  живые     seudomonas sp   темп  режим  живые   2   рансферные пипетки  3   атные палочки </v>
      </c>
    </row>
    <row r="1791" spans="1:8" ht="12.75" x14ac:dyDescent="0.2">
      <c r="A1791" s="31" t="s">
        <v>4070</v>
      </c>
      <c r="B1791" s="27" t="s">
        <v>4071</v>
      </c>
      <c r="C1791" s="27"/>
      <c r="D1791" s="33" t="s">
        <v>1506</v>
      </c>
      <c r="E1791" s="9"/>
      <c r="F1791" s="32"/>
      <c r="G1791" s="10"/>
      <c r="H1791" s="30" t="str">
        <f ca="1">IFERROR(__xludf.DUMMYFUNCTION("LOWER(REGEXREPLACE(B1791&amp;"" ""&amp;C1791,""[^а-яa-z0-9 ]"","" ""))")," рактикум   актерии в питьевой воде  ")</f>
        <v xml:space="preserve"> рактикум   актерии в питьевой воде  </v>
      </c>
    </row>
    <row r="1792" spans="1:8" ht="76.5" x14ac:dyDescent="0.2">
      <c r="A1792" s="31" t="s">
        <v>4072</v>
      </c>
      <c r="B1792" s="8" t="s">
        <v>4073</v>
      </c>
      <c r="C1792" s="27" t="s">
        <v>4074</v>
      </c>
      <c r="D1792" s="33" t="s">
        <v>1506</v>
      </c>
      <c r="E1792" s="34">
        <v>2</v>
      </c>
      <c r="F1792" s="36">
        <v>1.05</v>
      </c>
      <c r="G1792" s="10">
        <v>88845</v>
      </c>
      <c r="H1792" s="30" t="str">
        <f ca="1">IFERROR(__xludf.DUMMYFUNCTION("LOWER(REGEXREPLACE(B1792&amp;"" ""&amp;C1792,""[^а-яa-z0-9 ]"","" ""))")," рактикум   актерии в питьевой воде  типа  xperia    50  омплектация   ейс с крышкой   1 шт   оток со вставкой   1шт   олиформный бульон  10 мл   1 шт  стерильная вода 10 мл    1 шт  культура кишечной палочки на склоне   1 шт  микроинъекционные пробирки о"&amp;"бъемом 2 мл с винтовыми крышками   6 шт  градуированные пипетки  астера  1 мл   7 шт   стерильные ватные тампоны   1 шт  пластиковые стерильные пробирки объемом 15 мл с крышками   онтрольный раствор колиформных бактерий 10 мл   1 шт   алочка тампон   1 шт"&amp;" ")</f>
        <v xml:space="preserve"> рактикум   актерии в питьевой воде  типа  xperia    50  омплектация   ейс с крышкой   1 шт   оток со вставкой   1шт   олиформный бульон  10 мл   1 шт  стерильная вода 10 мл    1 шт  культура кишечной палочки на склоне   1 шт  микроинъекционные пробирки объемом 2 мл с винтовыми крышками   6 шт  градуированные пипетки  астера  1 мл   7 шт   стерильные ватные тампоны   1 шт  пластиковые стерильные пробирки объемом 15 мл с крышками   онтрольный раствор колиформных бактерий 10 мл   1 шт   алочка тампон   1 шт </v>
      </c>
    </row>
    <row r="1793" spans="1:8" ht="38.25" x14ac:dyDescent="0.2">
      <c r="A1793" s="31" t="s">
        <v>4075</v>
      </c>
      <c r="B1793" s="8" t="s">
        <v>4076</v>
      </c>
      <c r="C1793" s="27" t="s">
        <v>4077</v>
      </c>
      <c r="D1793" s="33" t="s">
        <v>1506</v>
      </c>
      <c r="E1793" s="34">
        <v>2</v>
      </c>
      <c r="F1793" s="32"/>
      <c r="G1793" s="10">
        <v>88634</v>
      </c>
      <c r="H1793" s="30" t="str">
        <f ca="1">IFERROR(__xludf.DUMMYFUNCTION("LOWER(REGEXREPLACE(B1793&amp;"" ""&amp;C1793,""[^а-яa-z0-9 ]"","" ""))")," рактикум   актерии в питьевой воде  типа  ards  cience 47041  абор включает в себя    бутылек среда агара   темп  режим   живые     бутылек среда агара   темп  режим   живые    транферные пипетки  теструбки   чаши петри")</f>
        <v xml:space="preserve"> рактикум   актерии в питьевой воде  типа  ards  cience 47041  абор включает в себя    бутылек среда агара   темп  режим   живые     бутылек среда агара   темп  режим   живые    транферные пипетки  теструбки   чаши петри</v>
      </c>
    </row>
    <row r="1794" spans="1:8" ht="12.75" x14ac:dyDescent="0.2">
      <c r="A1794" s="31" t="s">
        <v>4078</v>
      </c>
      <c r="B1794" s="27" t="s">
        <v>4079</v>
      </c>
      <c r="C1794" s="27"/>
      <c r="D1794" s="33" t="s">
        <v>1506</v>
      </c>
      <c r="E1794" s="9"/>
      <c r="F1794" s="32"/>
      <c r="G1794" s="10"/>
      <c r="H1794" s="30" t="str">
        <f ca="1">IFERROR(__xludf.DUMMYFUNCTION("LOWER(REGEXREPLACE(B1794&amp;"" ""&amp;C1794,""[^а-яa-z0-9 ]"","" ""))")," кспериментальный набор   пидемия ")</f>
        <v xml:space="preserve"> кспериментальный набор   пидемия </v>
      </c>
    </row>
    <row r="1795" spans="1:8" ht="25.5" x14ac:dyDescent="0.2">
      <c r="A1795" s="31" t="s">
        <v>4080</v>
      </c>
      <c r="B1795" s="27" t="s">
        <v>4081</v>
      </c>
      <c r="C1795" s="27"/>
      <c r="D1795" s="33" t="s">
        <v>1506</v>
      </c>
      <c r="E1795" s="34">
        <v>2</v>
      </c>
      <c r="F1795" s="35">
        <v>1.3</v>
      </c>
      <c r="G1795" s="10">
        <v>116732</v>
      </c>
      <c r="H1795" s="30" t="str">
        <f ca="1">IFERROR(__xludf.DUMMYFUNCTION("LOWER(REGEXREPLACE(B1795&amp;"" ""&amp;C1795,""[^а-яa-z0-9 ]"","" ""))")," кспериментальный набор   пидемия типа  xperia    51 ")</f>
        <v xml:space="preserve"> кспериментальный набор   пидемия типа  xperia    51 </v>
      </c>
    </row>
    <row r="1796" spans="1:8" ht="25.5" x14ac:dyDescent="0.2">
      <c r="A1796" s="31" t="s">
        <v>4082</v>
      </c>
      <c r="B1796" s="27" t="s">
        <v>4083</v>
      </c>
      <c r="C1796" s="27"/>
      <c r="D1796" s="33" t="s">
        <v>1506</v>
      </c>
      <c r="E1796" s="34">
        <v>2</v>
      </c>
      <c r="F1796" s="35">
        <v>0.8</v>
      </c>
      <c r="G1796" s="10">
        <v>114824</v>
      </c>
      <c r="H1796" s="30" t="str">
        <f ca="1">IFERROR(__xludf.DUMMYFUNCTION("LOWER(REGEXREPLACE(B1796&amp;"" ""&amp;C1796,""[^а-яa-z0-9 ]"","" ""))")," кспериментальный набор   пидемия типа  ards  cience 47042 ")</f>
        <v xml:space="preserve"> кспериментальный набор   пидемия типа  ards  cience 47042 </v>
      </c>
    </row>
    <row r="1797" spans="1:8" ht="12.75" x14ac:dyDescent="0.2">
      <c r="A1797" s="31" t="s">
        <v>4084</v>
      </c>
      <c r="B1797" s="27" t="s">
        <v>4085</v>
      </c>
      <c r="C1797" s="27"/>
      <c r="D1797" s="33" t="s">
        <v>1506</v>
      </c>
      <c r="E1797" s="9"/>
      <c r="F1797" s="32"/>
      <c r="G1797" s="10"/>
      <c r="H1797" s="30" t="str">
        <f ca="1">IFERROR(__xludf.DUMMYFUNCTION("LOWER(REGEXREPLACE(B1797&amp;"" ""&amp;C1797,""[^а-яa-z0-9 ]"","" ""))")," абораторный практикум   ллергия  ")</f>
        <v xml:space="preserve"> абораторный практикум   ллергия  </v>
      </c>
    </row>
    <row r="1798" spans="1:8" ht="63.75" x14ac:dyDescent="0.2">
      <c r="A1798" s="31" t="s">
        <v>4086</v>
      </c>
      <c r="B1798" s="27" t="s">
        <v>4087</v>
      </c>
      <c r="C1798" s="27" t="s">
        <v>4088</v>
      </c>
      <c r="D1798" s="33" t="s">
        <v>1506</v>
      </c>
      <c r="E1798" s="34">
        <v>2</v>
      </c>
      <c r="F1798" s="35">
        <v>0.7</v>
      </c>
      <c r="G1798" s="10">
        <v>110615</v>
      </c>
      <c r="H1798" s="30" t="str">
        <f ca="1">IFERROR(__xludf.DUMMYFUNCTION("LOWER(REGEXREPLACE(B1798&amp;"" ""&amp;C1798,""[^а-яa-z0-9 ]"","" ""))")," абораторный практикум   ллергия   типа  xperia    52  омплектация  кейс с крышкой   1 шт   лоток со вставкой   1шт  антитело к арахису 80 мл   1 шт   трицательный контроль 80 мл  1 шт   оложительный контроль 80 мл    1 шт   имулированный экстракт пищи 1 "&amp;"  100 мл   1 шт   имулированный экстракт пищи 2  100 мл    1 шт   торичное антитело 100 мл    1 шт   убстрат  100 мл    1 шт  олоски для микротитровых ячеек  3 шт   ипетки для переноса жидкости  12 шт ")</f>
        <v xml:space="preserve"> абораторный практикум   ллергия   типа  xperia    52  омплектация  кейс с крышкой   1 шт   лоток со вставкой   1шт  антитело к арахису 80 мл   1 шт   трицательный контроль 80 мл  1 шт   оложительный контроль 80 мл    1 шт   имулированный экстракт пищи 1   100 мл   1 шт   имулированный экстракт пищи 2  100 мл    1 шт   торичное антитело 100 мл    1 шт   убстрат  100 мл    1 шт  олоски для микротитровых ячеек  3 шт   ипетки для переноса жидкости  12 шт </v>
      </c>
    </row>
    <row r="1799" spans="1:8" ht="76.5" x14ac:dyDescent="0.2">
      <c r="A1799" s="31" t="s">
        <v>4089</v>
      </c>
      <c r="B1799" s="27" t="s">
        <v>4090</v>
      </c>
      <c r="C1799" s="27" t="s">
        <v>4091</v>
      </c>
      <c r="D1799" s="33" t="s">
        <v>1506</v>
      </c>
      <c r="E1799" s="34">
        <v>2</v>
      </c>
      <c r="F1799" s="35">
        <v>0.8</v>
      </c>
      <c r="G1799" s="10">
        <v>108781</v>
      </c>
      <c r="H1799" s="30" t="str">
        <f ca="1">IFERROR(__xludf.DUMMYFUNCTION("LOWER(REGEXREPLACE(B1799&amp;"" ""&amp;C1799,""[^а-яa-z0-9 ]"","" ""))")," абораторный практикум   ллергия  типа  ards  cience 47043  абор содержит     ореховое антитело компонент       eanut  ntibody      егатив контроль компонент       egative  ontrol      оложительный контроль компонент       ositive  ontrol     симуляция эк"&amp;"стракта еды 1 компонент       imulated  ood  xtract 1    симуляция экстракта еды 2 компонент       imulated ood xtract2     второстепенное антитело компонент        econdary  ntibody     субстрат компонент       ubstrate     микропластина с углублениями  "&amp;" пипетки")</f>
        <v xml:space="preserve"> абораторный практикум   ллергия  типа  ards  cience 47043  абор содержит     ореховое антитело компонент       eanut  ntibody      егатив контроль компонент       egative  ontrol      оложительный контроль компонент       ositive  ontrol     симуляция экстракта еды 1 компонент       imulated  ood  xtract 1    симуляция экстракта еды 2 компонент       imulated ood xtract2     второстепенное антитело компонент        econdary  ntibody     субстрат компонент       ubstrate     микропластина с углублениями   пипетки</v>
      </c>
    </row>
    <row r="1800" spans="1:8" ht="25.5" x14ac:dyDescent="0.2">
      <c r="A1800" s="31" t="s">
        <v>4092</v>
      </c>
      <c r="B1800" s="27" t="s">
        <v>4093</v>
      </c>
      <c r="C1800" s="27"/>
      <c r="D1800" s="33" t="s">
        <v>1506</v>
      </c>
      <c r="E1800" s="9"/>
      <c r="F1800" s="32"/>
      <c r="G1800" s="10"/>
      <c r="H1800" s="30" t="str">
        <f ca="1">IFERROR(__xludf.DUMMYFUNCTION("LOWER(REGEXREPLACE(B1800&amp;"" ""&amp;C1800,""[^а-яa-z0-9 ]"","" ""))")," абораторный практикум   отосинтез и клеточное дыхание  ")</f>
        <v xml:space="preserve"> абораторный практикум   отосинтез и клеточное дыхание  </v>
      </c>
    </row>
    <row r="1801" spans="1:8" ht="51" x14ac:dyDescent="0.2">
      <c r="A1801" s="31" t="s">
        <v>4094</v>
      </c>
      <c r="B1801" s="27" t="s">
        <v>4095</v>
      </c>
      <c r="C1801" s="27" t="s">
        <v>4096</v>
      </c>
      <c r="D1801" s="33" t="s">
        <v>1506</v>
      </c>
      <c r="E1801" s="34">
        <v>2</v>
      </c>
      <c r="F1801" s="34">
        <v>1</v>
      </c>
      <c r="G1801" s="10">
        <v>88584</v>
      </c>
      <c r="H1801" s="30" t="str">
        <f ca="1">IFERROR(__xludf.DUMMYFUNCTION("LOWER(REGEXREPLACE(B1801&amp;"" ""&amp;C1801,""[^а-яa-z0-9 ]"","" ""))")," абораторный практикум   отосинтез и клеточное дыхание   типа  xperia    53  омплектация   кейс с крышкой   1 шт   лоток со вставкой   1шт  пробирки   14 шт  пробки   14 шт  одноразовые пипетки   14 шт  сахароза 100 гр   1 шт  бромтимоловый синий 50 мл   "&amp;"1 шт  гидроксид натрия 50 гр    1 шт  соляная кислота    10 мл   1 шт ")</f>
        <v xml:space="preserve"> абораторный практикум   отосинтез и клеточное дыхание   типа  xperia    53  омплектация   кейс с крышкой   1 шт   лоток со вставкой   1шт  пробирки   14 шт  пробки   14 шт  одноразовые пипетки   14 шт  сахароза 100 гр   1 шт  бромтимоловый синий 50 мл   1 шт  гидроксид натрия 50 гр    1 шт  соляная кислота    10 мл   1 шт </v>
      </c>
    </row>
    <row r="1802" spans="1:8" ht="51" x14ac:dyDescent="0.2">
      <c r="A1802" s="31" t="s">
        <v>4097</v>
      </c>
      <c r="B1802" s="27" t="s">
        <v>4098</v>
      </c>
      <c r="C1802" s="27" t="s">
        <v>4099</v>
      </c>
      <c r="D1802" s="33" t="s">
        <v>1506</v>
      </c>
      <c r="E1802" s="34">
        <v>2</v>
      </c>
      <c r="F1802" s="35">
        <v>0.8</v>
      </c>
      <c r="G1802" s="10">
        <v>141011</v>
      </c>
      <c r="H1802" s="30" t="str">
        <f ca="1">IFERROR(__xludf.DUMMYFUNCTION("LOWER(REGEXREPLACE(B1802&amp;"" ""&amp;C1802,""[^а-яa-z0-9 ]"","" ""))")," абораторный практикум   отосинтез и клеточное дыхание  типа  ards  cience 47044  абор содержит     50 тест трубки   test tubes    40 пробки  corks     30 plastic pipets  пипетки    100g  ucrose  сахароза    0 5g  romothymol blue  бромитил    15 ml  odium"&amp;" hydroxide 2   содиумгидрооксид    15 ml  ydrochloric acid 0 1   гидрохлоридоксид  1 упаковка дрожжей")</f>
        <v xml:space="preserve"> абораторный практикум   отосинтез и клеточное дыхание  типа  ards  cience 47044  абор содержит     50 тест трубки   test tubes    40 пробки  corks     30 plastic pipets  пипетки    100g  ucrose  сахароза    0 5g  romothymol blue  бромитил    15 ml  odium hydroxide 2   содиумгидрооксид    15 ml  ydrochloric acid 0 1   гидрохлоридоксид  1 упаковка дрожжей</v>
      </c>
    </row>
    <row r="1803" spans="1:8" ht="25.5" x14ac:dyDescent="0.2">
      <c r="A1803" s="31" t="s">
        <v>4100</v>
      </c>
      <c r="B1803" s="27" t="s">
        <v>4101</v>
      </c>
      <c r="C1803" s="27"/>
      <c r="D1803" s="33" t="s">
        <v>1506</v>
      </c>
      <c r="E1803" s="9"/>
      <c r="F1803" s="32"/>
      <c r="G1803" s="10"/>
      <c r="H1803" s="30" t="str">
        <f ca="1">IFERROR(__xludf.DUMMYFUNCTION("LOWER(REGEXREPLACE(B1803&amp;"" ""&amp;C1803,""[^а-яa-z0-9 ]"","" ""))")," абораторный практикум   сновы микробиологической деятельности  ")</f>
        <v xml:space="preserve"> абораторный практикум   сновы микробиологической деятельности  </v>
      </c>
    </row>
    <row r="1804" spans="1:8" ht="76.5" x14ac:dyDescent="0.2">
      <c r="A1804" s="31" t="s">
        <v>4102</v>
      </c>
      <c r="B1804" s="27" t="s">
        <v>4103</v>
      </c>
      <c r="C1804" s="27" t="s">
        <v>4104</v>
      </c>
      <c r="D1804" s="33" t="s">
        <v>1506</v>
      </c>
      <c r="E1804" s="34">
        <v>2</v>
      </c>
      <c r="F1804" s="35">
        <v>1.1000000000000001</v>
      </c>
      <c r="G1804" s="10">
        <v>104231</v>
      </c>
      <c r="H1804" s="30" t="str">
        <f ca="1">IFERROR(__xludf.DUMMYFUNCTION("LOWER(REGEXREPLACE(B1804&amp;"" ""&amp;C1804,""[^а-яa-z0-9 ]"","" ""))")," абораторный практикум   сновы микробиологической деятельности  типа  xperia     54  омплектация   кейс с крышкой   1 шт   лоток со вставкой   1шт  питательные среда 180 мл   1 шт  красители  90 мл   1 шт  фиксативы 90 мл   1 шт  антибиотики   18 дисков  "&amp;"биохимические реактивы   6 шт  буферные растворы  180 мл   1 шт  ферменты 90 мл   1 шт  материалы для микробиологических анализов  стерильные петельки   6шт  стерильные пипетки   25 шт  стерильные пробирки   20 шт ")</f>
        <v xml:space="preserve"> абораторный практикум   сновы микробиологической деятельности  типа  xperia     54  омплектация   кейс с крышкой   1 шт   лоток со вставкой   1шт  питательные среда 180 мл   1 шт  красители  90 мл   1 шт  фиксативы 90 мл   1 шт  антибиотики   18 дисков  биохимические реактивы   6 шт  буферные растворы  180 мл   1 шт  ферменты 90 мл   1 шт  материалы для микробиологических анализов  стерильные петельки   6шт  стерильные пипетки   25 шт  стерильные пробирки   20 шт </v>
      </c>
    </row>
    <row r="1805" spans="1:8" ht="76.5" x14ac:dyDescent="0.2">
      <c r="A1805" s="31" t="s">
        <v>4105</v>
      </c>
      <c r="B1805" s="27" t="s">
        <v>4106</v>
      </c>
      <c r="C1805" s="27" t="s">
        <v>4107</v>
      </c>
      <c r="D1805" s="33" t="s">
        <v>1506</v>
      </c>
      <c r="E1805" s="34">
        <v>2</v>
      </c>
      <c r="F1805" s="35">
        <v>0.8</v>
      </c>
      <c r="G1805" s="10">
        <v>181299</v>
      </c>
      <c r="H1805" s="30" t="str">
        <f ca="1">IFERROR(__xludf.DUMMYFUNCTION("LOWER(REGEXREPLACE(B1805&amp;"" ""&amp;C1805,""[^а-яa-z0-9 ]"","" ""))")," абораторный практикум    сновы микробиологии  типа  ards  cience 47045  абор содержит     1 упаковка микроскопных слайдов   1 упаковка чашек петри     триптический соевый агар    триптический соевыйбульон    петля для мешания   метелинблу    сафранин 0 1"&amp;"     сафранин 0 25    safranin 0 25      раствор для спор   spore staining solution    иодин раствор   iodine solution    марганцовка  crystal violet     этиловый спирт   ethyl alcohol  95     прищепки  clothspins     био защитный пакет   biohazard bag ")</f>
        <v xml:space="preserve"> абораторный практикум    сновы микробиологии  типа  ards  cience 47045  абор содержит     1 упаковка микроскопных слайдов   1 упаковка чашек петри     триптический соевый агар    триптический соевыйбульон    петля для мешания   метелинблу    сафранин 0 1     сафранин 0 25    safranin 0 25      раствор для спор   spore staining solution    иодин раствор   iodine solution    марганцовка  crystal violet     этиловый спирт   ethyl alcohol  95     прищепки  clothspins     био защитный пакет   biohazard bag </v>
      </c>
    </row>
    <row r="1806" spans="1:8" ht="25.5" x14ac:dyDescent="0.2">
      <c r="A1806" s="31" t="s">
        <v>4108</v>
      </c>
      <c r="B1806" s="27" t="s">
        <v>4109</v>
      </c>
      <c r="C1806" s="27"/>
      <c r="D1806" s="33" t="s">
        <v>1506</v>
      </c>
      <c r="E1806" s="9"/>
      <c r="F1806" s="32"/>
      <c r="G1806" s="10"/>
      <c r="H1806" s="30" t="str">
        <f ca="1">IFERROR(__xludf.DUMMYFUNCTION("LOWER(REGEXREPLACE(B1806&amp;"" ""&amp;C1806,""[^а-яa-z0-9 ]"","" ""))")," абораторный набор   иффузия и размер клетки  ")</f>
        <v xml:space="preserve"> абораторный набор   иффузия и размер клетки  </v>
      </c>
    </row>
    <row r="1807" spans="1:8" ht="51" x14ac:dyDescent="0.2">
      <c r="A1807" s="31" t="s">
        <v>4110</v>
      </c>
      <c r="B1807" s="27" t="s">
        <v>4111</v>
      </c>
      <c r="C1807" s="27" t="s">
        <v>4112</v>
      </c>
      <c r="D1807" s="33" t="s">
        <v>1506</v>
      </c>
      <c r="E1807" s="34">
        <v>2</v>
      </c>
      <c r="F1807" s="36">
        <v>0.84</v>
      </c>
      <c r="G1807" s="10">
        <v>80669</v>
      </c>
      <c r="H1807" s="30" t="str">
        <f ca="1">IFERROR(__xludf.DUMMYFUNCTION("LOWER(REGEXREPLACE(B1807&amp;"" ""&amp;C1807,""[^а-яa-z0-9 ]"","" ""))")," абораторный набор   иффузия и размер клетки  типа  xperia    55  омплектация   ейс с крышкой   1 шт   оток со вставкой   1шт   одготовленные агаровые кубики  размером 1 см  2 см  3 см    15 шт   ластиковые ножи   5 шт  стеклянные колбы   5 шт   истиллиро"&amp;"ванный уксус  2 л   1 шт   инейки   5 шт ")</f>
        <v xml:space="preserve"> абораторный набор   иффузия и размер клетки  типа  xperia    55  омплектация   ейс с крышкой   1 шт   оток со вставкой   1шт   одготовленные агаровые кубики  размером 1 см  2 см  3 см    15 шт   ластиковые ножи   5 шт  стеклянные колбы   5 шт   истиллированный уксус  2 л   1 шт   инейки   5 шт </v>
      </c>
    </row>
    <row r="1808" spans="1:8" ht="63.75" x14ac:dyDescent="0.2">
      <c r="A1808" s="31" t="s">
        <v>4113</v>
      </c>
      <c r="B1808" s="27" t="s">
        <v>4114</v>
      </c>
      <c r="C1808" s="27" t="s">
        <v>4115</v>
      </c>
      <c r="D1808" s="33" t="s">
        <v>1506</v>
      </c>
      <c r="E1808" s="34">
        <v>2</v>
      </c>
      <c r="F1808" s="34">
        <v>1</v>
      </c>
      <c r="G1808" s="10">
        <v>90652</v>
      </c>
      <c r="H1808" s="30" t="str">
        <f ca="1">IFERROR(__xludf.DUMMYFUNCTION("LOWER(REGEXREPLACE(B1808&amp;"" ""&amp;C1808,""[^а-яa-z0-9 ]"","" ""))")," абораторный набор   иффузия и размер клетки  типа  ards  cience 47046  абор содержит     1 порошок фенофталеин агар   ackage of phenolphthalein agar powder    1 уксус  diffusion medium vinegar     пластиковые ножи   пластиковые ложки    пластиковые кружк"&amp;"и    поддон  rectangular trays    15 мл  a   содиум гидрооксид раствор 2   sodium hydroxide solution 2      метрические линейки   1 коробка одноразовых перчаток  1 box of  gloves ")</f>
        <v xml:space="preserve"> абораторный набор   иффузия и размер клетки  типа  ards  cience 47046  абор содержит     1 порошок фенофталеин агар   ackage of phenolphthalein agar powder    1 уксус  diffusion medium vinegar     пластиковые ножи   пластиковые ложки    пластиковые кружки    поддон  rectangular trays    15 мл  a   содиум гидрооксид раствор 2   sodium hydroxide solution 2      метрические линейки   1 коробка одноразовых перчаток  1 box of  gloves </v>
      </c>
    </row>
    <row r="1809" spans="1:8" ht="12.75" x14ac:dyDescent="0.2">
      <c r="A1809" s="31" t="s">
        <v>4116</v>
      </c>
      <c r="B1809" s="27" t="s">
        <v>4117</v>
      </c>
      <c r="C1809" s="27"/>
      <c r="D1809" s="33" t="s">
        <v>1506</v>
      </c>
      <c r="E1809" s="9"/>
      <c r="F1809" s="32"/>
      <c r="G1809" s="10"/>
      <c r="H1809" s="30" t="str">
        <f ca="1">IFERROR(__xludf.DUMMYFUNCTION("LOWER(REGEXREPLACE(B1809&amp;"" ""&amp;C1809,""[^а-яa-z0-9 ]"","" ""))")," абораторный практикум   ены в пробирке  ")</f>
        <v xml:space="preserve"> абораторный практикум   ены в пробирке  </v>
      </c>
    </row>
    <row r="1810" spans="1:8" ht="76.5" x14ac:dyDescent="0.2">
      <c r="A1810" s="31" t="s">
        <v>4118</v>
      </c>
      <c r="B1810" s="8" t="s">
        <v>4119</v>
      </c>
      <c r="C1810" s="27" t="s">
        <v>4120</v>
      </c>
      <c r="D1810" s="33" t="s">
        <v>1506</v>
      </c>
      <c r="E1810" s="34">
        <v>2</v>
      </c>
      <c r="F1810" s="36">
        <v>1.31</v>
      </c>
      <c r="G1810" s="10">
        <v>142632</v>
      </c>
      <c r="H1810" s="30" t="str">
        <f ca="1">IFERROR(__xludf.DUMMYFUNCTION("LOWER(REGEXREPLACE(B1810&amp;"" ""&amp;C1810,""[^а-яa-z0-9 ]"","" ""))")," абораторный практикум   ены в пробирке  типа  xperia    56  омплектация   ейс с крышкой   1 шт   оток со вставкой   1шт   аствор лизиса  15 мл   1 шт   ротеаза 30 мл   1 шт   рис буфер   15 мл   1 шт   аствор  lash  luе 15 мл   1 шт   акеты соли   1 паке"&amp;"т   розрачные пробирки для изоляции       3 шт   икроцентрифужные пробирки с крышками   3 шт   дноразовые градуированные пипетки  астера   12 шт   ить для ожерельев   3 шт   дноразовые пластиковые стаканчики   3 шт ")</f>
        <v xml:space="preserve"> абораторный практикум   ены в пробирке  типа  xperia    56  омплектация   ейс с крышкой   1 шт   оток со вставкой   1шт   аствор лизиса  15 мл   1 шт   ротеаза 30 мл   1 шт   рис буфер   15 мл   1 шт   аствор  lash  luе 15 мл   1 шт   акеты соли   1 пакет   розрачные пробирки для изоляции       3 шт   икроцентрифужные пробирки с крышками   3 шт   дноразовые градуированные пипетки  астера   12 шт   ить для ожерельев   3 шт   дноразовые пластиковые стаканчики   3 шт </v>
      </c>
    </row>
    <row r="1811" spans="1:8" ht="51" x14ac:dyDescent="0.2">
      <c r="A1811" s="31" t="s">
        <v>4121</v>
      </c>
      <c r="B1811" s="8" t="s">
        <v>4122</v>
      </c>
      <c r="C1811" s="27" t="s">
        <v>4123</v>
      </c>
      <c r="D1811" s="33" t="s">
        <v>1506</v>
      </c>
      <c r="E1811" s="34">
        <v>2</v>
      </c>
      <c r="F1811" s="35">
        <v>0.5</v>
      </c>
      <c r="G1811" s="10">
        <v>151082</v>
      </c>
      <c r="H1811" s="30" t="str">
        <f ca="1">IFERROR(__xludf.DUMMYFUNCTION("LOWER(REGEXREPLACE(B1811&amp;"" ""&amp;C1811,""[^а-яa-z0-9 ]"","" ""))")," абораторный практикум   ены в пробирке  типа  ards  cience 47047  абор содержит необходимый инструментарий  в том числе  бщая информация инструкция по применению    лисис буфер    ватные палочки    энзим протеаза    метелин блу  flash blue    калибровочн"&amp;"ые трансферные пипетки    тесттрубки   мешалка струнка")</f>
        <v xml:space="preserve"> абораторный практикум   ены в пробирке  типа  ards  cience 47047  абор содержит необходимый инструментарий  в том числе  бщая информация инструкция по применению    лисис буфер    ватные палочки    энзим протеаза    метелин блу  flash blue    калибровочные трансферные пипетки    тесттрубки   мешалка струнка</v>
      </c>
    </row>
    <row r="1812" spans="1:8" ht="25.5" x14ac:dyDescent="0.2">
      <c r="A1812" s="31" t="s">
        <v>4124</v>
      </c>
      <c r="B1812" s="8" t="s">
        <v>4125</v>
      </c>
      <c r="C1812" s="27"/>
      <c r="D1812" s="33" t="s">
        <v>1506</v>
      </c>
      <c r="E1812" s="9"/>
      <c r="F1812" s="32"/>
      <c r="G1812" s="10"/>
      <c r="H1812" s="30" t="str">
        <f ca="1">IFERROR(__xludf.DUMMYFUNCTION("LOWER(REGEXREPLACE(B1812&amp;"" ""&amp;C1812,""[^а-яa-z0-9 ]"","" ""))")," абораторный практикум   ринцип  енделя  ")</f>
        <v xml:space="preserve"> абораторный практикум   ринцип  енделя  </v>
      </c>
    </row>
    <row r="1813" spans="1:8" ht="76.5" x14ac:dyDescent="0.2">
      <c r="A1813" s="31" t="s">
        <v>4126</v>
      </c>
      <c r="B1813" s="8" t="s">
        <v>4127</v>
      </c>
      <c r="C1813" s="27" t="s">
        <v>4128</v>
      </c>
      <c r="D1813" s="33" t="s">
        <v>1506</v>
      </c>
      <c r="E1813" s="34">
        <v>2</v>
      </c>
      <c r="F1813" s="36">
        <v>2.54</v>
      </c>
      <c r="G1813" s="10">
        <v>103787</v>
      </c>
      <c r="H1813" s="30" t="str">
        <f ca="1">IFERROR(__xludf.DUMMYFUNCTION("LOWER(REGEXREPLACE(B1813&amp;"" ""&amp;C1813,""[^а-яa-z0-9 ]"","" ""))")," абораторный практикум   ринцип  енделя  типа  xperia    57  омплектация  кейс с крышкой   1 шт   лоток со вставкой   1шт   шейкер для чашек   15 шт  4 сторонние игральных кости   60 шт   о 15 прозрачных пластиковых дисков каждого цвета  желтый  зеленый  "&amp;"красный  синий  прозрачный желтый диск   15 шт  прозрачный зел ный диск   15 шт  прозрачный красный диск   15 шт   прозрачы синий диск   15 шт  красные аллельные дисков   150 шт  двусторонни пластиковые монеты    30 шт  синие восковые маркировочные ручки "&amp;"   8 шт ")</f>
        <v xml:space="preserve"> абораторный практикум   ринцип  енделя  типа  xperia    57  омплектация  кейс с крышкой   1 шт   лоток со вставкой   1шт   шейкер для чашек   15 шт  4 сторонние игральных кости   60 шт   о 15 прозрачных пластиковых дисков каждого цвета  желтый  зеленый  красный  синий  прозрачный желтый диск   15 шт  прозрачный зел ный диск   15 шт  прозрачный красный диск   15 шт   прозрачы синий диск   15 шт  красные аллельные дисков   150 шт  двусторонни пластиковые монеты    30 шт  синие восковые маркировочные ручки    8 шт </v>
      </c>
    </row>
    <row r="1814" spans="1:8" ht="38.25" x14ac:dyDescent="0.2">
      <c r="A1814" s="31" t="s">
        <v>4129</v>
      </c>
      <c r="B1814" s="8" t="s">
        <v>4130</v>
      </c>
      <c r="C1814" s="27" t="s">
        <v>4131</v>
      </c>
      <c r="D1814" s="33" t="s">
        <v>1506</v>
      </c>
      <c r="E1814" s="34">
        <v>2</v>
      </c>
      <c r="F1814" s="35">
        <v>0.8</v>
      </c>
      <c r="G1814" s="10">
        <v>101353</v>
      </c>
      <c r="H1814" s="30" t="str">
        <f ca="1">IFERROR(__xludf.DUMMYFUNCTION("LOWER(REGEXREPLACE(B1814&amp;"" ""&amp;C1814,""[^а-яa-z0-9 ]"","" ""))")," абораторный практикум   ринцип  енделя  типа  ards  cience 47048  ехническая характеристика    15 стаканчиков   4 х сторонние кубики   диски пластиковые  зеленые  желтые  красные  голубые    красные диски   пластиковые монеты    восковые маркеры")</f>
        <v xml:space="preserve"> абораторный практикум   ринцип  енделя  типа  ards  cience 47048  ехническая характеристика    15 стаканчиков   4 х сторонние кубики   диски пластиковые  зеленые  желтые  красные  голубые    красные диски   пластиковые монеты    восковые маркеры</v>
      </c>
    </row>
    <row r="1815" spans="1:8" ht="25.5" x14ac:dyDescent="0.2">
      <c r="A1815" s="31" t="s">
        <v>4132</v>
      </c>
      <c r="B1815" s="8" t="s">
        <v>4133</v>
      </c>
      <c r="C1815" s="27"/>
      <c r="D1815" s="33" t="s">
        <v>1506</v>
      </c>
      <c r="E1815" s="9"/>
      <c r="F1815" s="32"/>
      <c r="G1815" s="10"/>
      <c r="H1815" s="30" t="str">
        <f ca="1">IFERROR(__xludf.DUMMYFUNCTION("LOWER(REGEXREPLACE(B1815&amp;"" ""&amp;C1815,""[^а-яa-z0-9 ]"","" ""))")," абораторный практикум   ведение в определение наличия антител  ")</f>
        <v xml:space="preserve"> абораторный практикум   ведение в определение наличия антител  </v>
      </c>
    </row>
    <row r="1816" spans="1:8" ht="51" x14ac:dyDescent="0.2">
      <c r="A1816" s="31" t="s">
        <v>4134</v>
      </c>
      <c r="B1816" s="27" t="s">
        <v>4135</v>
      </c>
      <c r="C1816" s="27" t="s">
        <v>4136</v>
      </c>
      <c r="D1816" s="33" t="s">
        <v>1506</v>
      </c>
      <c r="E1816" s="34">
        <v>2</v>
      </c>
      <c r="F1816" s="36">
        <v>0.89</v>
      </c>
      <c r="G1816" s="10">
        <v>178736</v>
      </c>
      <c r="H1816" s="30" t="str">
        <f ca="1">IFERROR(__xludf.DUMMYFUNCTION("LOWER(REGEXREPLACE(B1816&amp;"" ""&amp;C1816,""[^а-яa-z0-9 ]"","" ""))")," абораторный практикум   ведение в определение наличия антител  типа  xperia    58  омплектация   кейс с крышкой   1 шт  лоток со вставкой   1шт  имитация крови   6 шт  антиген   6 шт  антитела   6 шт    ипетки   12 шт    икротитровая планшета   6 шт   ас"&amp;"твор для промывки 1 л   1 бутылка   еактивы для развития цвета   1 комплект ")</f>
        <v xml:space="preserve"> абораторный практикум   ведение в определение наличия антител  типа  xperia    58  омплектация   кейс с крышкой   1 шт  лоток со вставкой   1шт  имитация крови   6 шт  антиген   6 шт  антитела   6 шт    ипетки   12 шт    икротитровая планшета   6 шт   аствор для промывки 1 л   1 бутылка   еактивы для развития цвета   1 комплект </v>
      </c>
    </row>
    <row r="1817" spans="1:8" ht="89.25" x14ac:dyDescent="0.2">
      <c r="A1817" s="31" t="s">
        <v>4137</v>
      </c>
      <c r="B1817" s="27" t="s">
        <v>4138</v>
      </c>
      <c r="C1817" s="27" t="s">
        <v>4139</v>
      </c>
      <c r="D1817" s="33" t="s">
        <v>1506</v>
      </c>
      <c r="E1817" s="34">
        <v>2</v>
      </c>
      <c r="F1817" s="35">
        <v>0.8</v>
      </c>
      <c r="G1817" s="10">
        <v>176263</v>
      </c>
      <c r="H1817" s="30" t="str">
        <f ca="1">IFERROR(__xludf.DUMMYFUNCTION("LOWER(REGEXREPLACE(B1817&amp;"" ""&amp;C1817,""[^а-яa-z0-9 ]"","" ""))")," абораторный практикум   ведение в определение наличия антител  типа  ards  cience 47051  абор содержит     компонент       ntigens   темп  режим     компонент      whey antigen  liophilized    темп  режим     компонент      10x        темп  режим     ком"&amp;"понент       rimary antibody   темп  режим     компонент       econdary  ntybody   темп  режим     компонент       bts substrate   темп  режим     компонент       minosalicylic  cid   темп  режим     компонент       ydrogen peroxide   темп  режим     микр"&amp;"опластина с углублениями    пластиковые пипетки   микротрубки с колпочками    пластиковые трубки 15 мл")</f>
        <v xml:space="preserve"> абораторный практикум   ведение в определение наличия антител  типа  ards  cience 47051  абор содержит     компонент       ntigens   темп  режим     компонент      whey antigen  liophilized    темп  режим     компонент      10x        темп  режим     компонент       rimary antibody   темп  режим     компонент       econdary  ntybody   темп  режим     компонент       bts substrate   темп  режим     компонент       minosalicylic  cid   темп  режим     компонент       ydrogen peroxide   темп  режим     микропластина с углублениями    пластиковые пипетки   микротрубки с колпочками    пластиковые трубки 15 мл</v>
      </c>
    </row>
    <row r="1818" spans="1:8" ht="12.75" x14ac:dyDescent="0.2">
      <c r="A1818" s="31" t="s">
        <v>4140</v>
      </c>
      <c r="B1818" s="27" t="s">
        <v>4141</v>
      </c>
      <c r="C1818" s="27"/>
      <c r="D1818" s="33" t="s">
        <v>1506</v>
      </c>
      <c r="E1818" s="9"/>
      <c r="F1818" s="32"/>
      <c r="G1818" s="10"/>
      <c r="H1818" s="30" t="str">
        <f ca="1">IFERROR(__xludf.DUMMYFUNCTION("LOWER(REGEXREPLACE(B1818&amp;"" ""&amp;C1818,""[^а-яa-z0-9 ]"","" ""))")," абораторный практикум   аркотест  ")</f>
        <v xml:space="preserve"> абораторный практикум   аркотест  </v>
      </c>
    </row>
    <row r="1819" spans="1:8" ht="38.25" x14ac:dyDescent="0.2">
      <c r="A1819" s="31" t="s">
        <v>4142</v>
      </c>
      <c r="B1819" s="27" t="s">
        <v>4143</v>
      </c>
      <c r="C1819" s="27" t="s">
        <v>4144</v>
      </c>
      <c r="D1819" s="33" t="s">
        <v>1506</v>
      </c>
      <c r="E1819" s="34">
        <v>2</v>
      </c>
      <c r="F1819" s="35">
        <v>0.8</v>
      </c>
      <c r="G1819" s="10">
        <v>120867</v>
      </c>
      <c r="H1819" s="30" t="str">
        <f ca="1">IFERROR(__xludf.DUMMYFUNCTION("LOWER(REGEXREPLACE(B1819&amp;"" ""&amp;C1819,""[^а-яa-z0-9 ]"","" ""))")," абораторный практикум   аркотест  типа  ards  cience 47015  абор содержит    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 ")</f>
        <v xml:space="preserve"> абораторный практикум   аркотест  типа  ards  cience 47015  абор содержит    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 </v>
      </c>
    </row>
    <row r="1820" spans="1:8" ht="25.5" x14ac:dyDescent="0.2">
      <c r="A1820" s="31" t="s">
        <v>4145</v>
      </c>
      <c r="B1820" s="27" t="s">
        <v>4146</v>
      </c>
      <c r="C1820" s="27"/>
      <c r="D1820" s="33" t="s">
        <v>1506</v>
      </c>
      <c r="E1820" s="9"/>
      <c r="F1820" s="32"/>
      <c r="G1820" s="10"/>
      <c r="H1820" s="30" t="str">
        <f ca="1">IFERROR(__xludf.DUMMYFUNCTION("LOWER(REGEXREPLACE(B1820&amp;"" ""&amp;C1820,""[^а-яa-z0-9 ]"","" ""))")," чебный практикум   олиразмерный цепной анализ  ")</f>
        <v xml:space="preserve"> чебный практикум   олиразмерный цепной анализ  </v>
      </c>
    </row>
    <row r="1821" spans="1:8" ht="102" x14ac:dyDescent="0.2">
      <c r="A1821" s="31" t="s">
        <v>4147</v>
      </c>
      <c r="B1821" s="27" t="s">
        <v>4148</v>
      </c>
      <c r="C1821" s="27" t="s">
        <v>4149</v>
      </c>
      <c r="D1821" s="33" t="s">
        <v>1506</v>
      </c>
      <c r="E1821" s="34">
        <v>2</v>
      </c>
      <c r="F1821" s="35">
        <v>0.8</v>
      </c>
      <c r="G1821" s="10">
        <v>345473</v>
      </c>
      <c r="H1821" s="30" t="str">
        <f ca="1">IFERROR(__xludf.DUMMYFUNCTION("LOWER(REGEXREPLACE(B1821&amp;"" ""&amp;C1821,""[^а-яa-z0-9 ]"","" ""))")," чебный практикум   олиразмерный цепной анализ  типа  ards  cience 47022  абор содержит     компонент       niversal      uffer    компонент      1  itochondrial yphoprimer     компонент   2    2   92 primer    компонент   3    3       ypho rimer 1 80    "&amp;"  компонент         adder     компонент      1  itochondrial  ypho ontrol     компонент   2    2  lu  ypho ontrol   92    компонент   3        ypho ontrol   1 80    компонент          uffer  компоненты        темп  режим    ультраспек агарозы   ltra pec  "&amp;"garose    буфер эл  форез   lectrophoresis  uffer 50x     микрофуговыетрубки  microcentrifuge tubes    набор трубок и пр  пластика ")</f>
        <v xml:space="preserve"> чебный практикум   олиразмерный цепной анализ  типа  ards  cience 47022  абор содержит     компонент       niversal      uffer    компонент      1  itochondrial yphoprimer     компонент   2    2   92 primer    компонент   3    3       ypho rimer 1 80      компонент         adder     компонент      1  itochondrial  ypho ontrol     компонент   2    2  lu  ypho ontrol   92    компонент   3        ypho ontrol   1 80    компонент          uffer  компоненты        темп  режим    ультраспек агарозы   ltra pec  garose    буфер эл  форез   lectrophoresis  uffer 50x     микрофуговыетрубки  microcentrifuge tubes    набор трубок и пр  пластика </v>
      </c>
    </row>
    <row r="1822" spans="1:8" ht="25.5" x14ac:dyDescent="0.2">
      <c r="A1822" s="31" t="s">
        <v>4150</v>
      </c>
      <c r="B1822" s="27" t="s">
        <v>4151</v>
      </c>
      <c r="C1822" s="27"/>
      <c r="D1822" s="33" t="s">
        <v>68</v>
      </c>
      <c r="E1822" s="9"/>
      <c r="F1822" s="32"/>
      <c r="G1822" s="10"/>
      <c r="H1822" s="30" t="str">
        <f ca="1">IFERROR(__xludf.DUMMYFUNCTION("LOWER(REGEXREPLACE(B1822&amp;"" ""&amp;C1822,""[^а-яa-z0-9 ]"","" ""))")," омплект для полиразмерной реакции магнезия хлорида ")</f>
        <v xml:space="preserve"> омплект для полиразмерной реакции магнезия хлорида </v>
      </c>
    </row>
    <row r="1823" spans="1:8" ht="38.25" x14ac:dyDescent="0.2">
      <c r="A1823" s="31" t="s">
        <v>4152</v>
      </c>
      <c r="B1823" s="27" t="s">
        <v>4153</v>
      </c>
      <c r="C1823" s="27" t="s">
        <v>4154</v>
      </c>
      <c r="D1823" s="33" t="s">
        <v>68</v>
      </c>
      <c r="E1823" s="34">
        <v>2</v>
      </c>
      <c r="F1823" s="35">
        <v>0.1</v>
      </c>
      <c r="G1823" s="10">
        <v>185325</v>
      </c>
      <c r="H1823" s="30" t="str">
        <f ca="1">IFERROR(__xludf.DUMMYFUNCTION("LOWER(REGEXREPLACE(B1823&amp;"" ""&amp;C1823,""[^а-яa-z0-9 ]"","" ""))")," омплект для полиразмерной реакции магнезия хлорида типа  ards  cience 47023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реак"&amp;"ций   2 5 мл ")</f>
        <v xml:space="preserve"> омплект для полиразмерной реакции магнезия хлорида типа  ards  cience 47023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 мл </v>
      </c>
    </row>
    <row r="1824" spans="1:8" ht="12.75" x14ac:dyDescent="0.2">
      <c r="A1824" s="31" t="s">
        <v>4155</v>
      </c>
      <c r="B1824" s="27" t="s">
        <v>4156</v>
      </c>
      <c r="C1824" s="27"/>
      <c r="D1824" s="33" t="s">
        <v>68</v>
      </c>
      <c r="E1824" s="9"/>
      <c r="F1824" s="32"/>
      <c r="G1824" s="10"/>
      <c r="H1824" s="30" t="str">
        <f ca="1">IFERROR(__xludf.DUMMYFUNCTION("LOWER(REGEXREPLACE(B1824&amp;"" ""&amp;C1824,""[^а-яa-z0-9 ]"","" ""))")," омплект для полиразмерной реакции энзимов ")</f>
        <v xml:space="preserve"> омплект для полиразмерной реакции энзимов </v>
      </c>
    </row>
    <row r="1825" spans="1:8" ht="38.25" x14ac:dyDescent="0.2">
      <c r="A1825" s="31" t="s">
        <v>4157</v>
      </c>
      <c r="B1825" s="27" t="s">
        <v>4158</v>
      </c>
      <c r="C1825" s="27" t="s">
        <v>4154</v>
      </c>
      <c r="D1825" s="33" t="s">
        <v>68</v>
      </c>
      <c r="E1825" s="34">
        <v>2</v>
      </c>
      <c r="F1825" s="35">
        <v>0.1</v>
      </c>
      <c r="G1825" s="10">
        <v>185325</v>
      </c>
      <c r="H1825" s="30" t="str">
        <f ca="1">IFERROR(__xludf.DUMMYFUNCTION("LOWER(REGEXREPLACE(B1825&amp;"" ""&amp;C1825,""[^а-яa-z0-9 ]"","" ""))")," омплект для полиразмерной реакции энзимов типа  ards  cience 47025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5"&amp;" мл ")</f>
        <v xml:space="preserve"> омплект для полиразмерной реакции энзимов типа  ards  cience 47025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 мл </v>
      </c>
    </row>
    <row r="1826" spans="1:8" ht="12.75" x14ac:dyDescent="0.2">
      <c r="A1826" s="31" t="s">
        <v>4159</v>
      </c>
      <c r="B1826" s="27" t="s">
        <v>4160</v>
      </c>
      <c r="C1826" s="27"/>
      <c r="D1826" s="33" t="s">
        <v>1506</v>
      </c>
      <c r="E1826" s="9"/>
      <c r="F1826" s="32"/>
      <c r="G1826" s="10"/>
      <c r="H1826" s="30" t="str">
        <f ca="1">IFERROR(__xludf.DUMMYFUNCTION("LOWER(REGEXREPLACE(B1826&amp;"" ""&amp;C1826,""[^а-яa-z0-9 ]"","" ""))")," абор учебный   енетика  ")</f>
        <v xml:space="preserve"> абор учебный   енетика  </v>
      </c>
    </row>
    <row r="1827" spans="1:8" ht="38.25" x14ac:dyDescent="0.2">
      <c r="A1827" s="31" t="s">
        <v>4161</v>
      </c>
      <c r="B1827" s="27" t="s">
        <v>4162</v>
      </c>
      <c r="C1827" s="27" t="s">
        <v>4163</v>
      </c>
      <c r="D1827" s="33" t="s">
        <v>1506</v>
      </c>
      <c r="E1827" s="34">
        <v>2</v>
      </c>
      <c r="F1827" s="35">
        <v>0.3</v>
      </c>
      <c r="G1827" s="10">
        <v>189355</v>
      </c>
      <c r="H1827" s="30" t="str">
        <f ca="1">IFERROR(__xludf.DUMMYFUNCTION("LOWER(REGEXREPLACE(B1827&amp;"" ""&amp;C1827,""[^а-яa-z0-9 ]"","" ""))")," абор учебный по курсу   енетика  типа  ards  cience 47049   состав набора входит   1   гарный раствор для спаривания   2  чашки  етри   3  предметные стекла   4  покровные стекла   5  стерильные скальпели   6  одноразовые пипетки   7  одноразовые петли ")</f>
        <v xml:space="preserve"> абор учебный по курсу   енетика  типа  ards  cience 47049   состав набора входит   1   гарный раствор для спаривания   2  чашки  етри   3  предметные стекла   4  покровные стекла   5  стерильные скальпели   6  одноразовые пипетки   7  одноразовые петли </v>
      </c>
    </row>
    <row r="1828" spans="1:8" ht="25.5" x14ac:dyDescent="0.2">
      <c r="A1828" s="31" t="s">
        <v>4164</v>
      </c>
      <c r="B1828" s="27" t="s">
        <v>4165</v>
      </c>
      <c r="C1828" s="27"/>
      <c r="D1828" s="33" t="s">
        <v>1506</v>
      </c>
      <c r="E1828" s="9"/>
      <c r="F1828" s="32"/>
      <c r="G1828" s="10"/>
      <c r="H1828" s="30" t="str">
        <f ca="1">IFERROR(__xludf.DUMMYFUNCTION("LOWER(REGEXREPLACE(B1828&amp;"" ""&amp;C1828,""[^а-яa-z0-9 ]"","" ""))")," абор учебный   изуализация клеточных процессов  ")</f>
        <v xml:space="preserve"> абор учебный   изуализация клеточных процессов  </v>
      </c>
    </row>
    <row r="1829" spans="1:8" ht="51" x14ac:dyDescent="0.2">
      <c r="A1829" s="31" t="s">
        <v>4166</v>
      </c>
      <c r="B1829" s="27" t="s">
        <v>4167</v>
      </c>
      <c r="C1829" s="27" t="s">
        <v>4168</v>
      </c>
      <c r="D1829" s="33" t="s">
        <v>1506</v>
      </c>
      <c r="E1829" s="34">
        <v>2</v>
      </c>
      <c r="F1829" s="35">
        <v>2.5</v>
      </c>
      <c r="G1829" s="10">
        <v>261882</v>
      </c>
      <c r="H1829" s="30" t="str">
        <f ca="1">IFERROR(__xludf.DUMMYFUNCTION("LOWER(REGEXREPLACE(B1829&amp;"" ""&amp;C1829,""[^а-яa-z0-9 ]"","" ""))")," абор учебный по курсу   изуализация клеточных процессов  типа  ards  cience 470450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т"&amp;"ело   1  ленка   1 спирт  танол 95    thanol    4 круглых контейнера   4 квадратных контейнера ")</f>
        <v xml:space="preserve"> абор учебный по курсу   изуализация клеточных процессов  типа  ards  cience 470450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ленка   1 спирт  танол 95    thanol    4 круглых контейнера   4 квадратных контейнера </v>
      </c>
    </row>
    <row r="1830" spans="1:8" ht="25.5" x14ac:dyDescent="0.2">
      <c r="A1830" s="31" t="s">
        <v>4169</v>
      </c>
      <c r="B1830" s="27" t="s">
        <v>4170</v>
      </c>
      <c r="C1830" s="27"/>
      <c r="D1830" s="33" t="s">
        <v>1506</v>
      </c>
      <c r="E1830" s="9"/>
      <c r="F1830" s="32"/>
      <c r="G1830" s="10"/>
      <c r="H1830" s="30" t="str">
        <f ca="1">IFERROR(__xludf.DUMMYFUNCTION("LOWER(REGEXREPLACE(B1830&amp;"" ""&amp;C1830,""[^а-яa-z0-9 ]"","" ""))")," абораторный эксперимент    смос и диффузия  ")</f>
        <v xml:space="preserve"> абораторный эксперимент    смос и диффузия  </v>
      </c>
    </row>
    <row r="1831" spans="1:8" ht="76.5" x14ac:dyDescent="0.2">
      <c r="A1831" s="31" t="s">
        <v>4171</v>
      </c>
      <c r="B1831" s="27" t="s">
        <v>4172</v>
      </c>
      <c r="C1831" s="27" t="s">
        <v>4173</v>
      </c>
      <c r="D1831" s="33" t="s">
        <v>1506</v>
      </c>
      <c r="E1831" s="34">
        <v>2</v>
      </c>
      <c r="F1831" s="35">
        <v>1.2</v>
      </c>
      <c r="G1831" s="10">
        <v>322309</v>
      </c>
      <c r="H1831" s="30" t="str">
        <f ca="1">IFERROR(__xludf.DUMMYFUNCTION("LOWER(REGEXREPLACE(B1831&amp;"" ""&amp;C1831,""[^а-яa-z0-9 ]"","" ""))")," абораторный эксперимент    смос и диффузия  типа  ards  cience 47061  ксперимент должен демонстрировать полупроницаемость  осмос и молекулярную диффузию при изменениях   аблюдаемых в цветных растворах    состав входят    4 диализные трубки    1 бутылек г"&amp;"люкозы  250 мл    1 бутылек содиум хлорид  30 мл    4 красители    20 чаша петри    пластик ножи    пластик ложки    100 покрывные стекла    1 бутылек уксуса    1 бутылек альбумин    1 шт пластиковые линейки   1 сахар  5 пачек разный грамаж ")</f>
        <v xml:space="preserve"> абораторный эксперимент    смос и диффузия  типа  ards  cience 47061  ксперимент должен демонстрировать полупроницаемость  осмос и молекулярную диффузию при изменениях   аблюдаемых в цветных растворах    состав входят    4 диализные трубки    1 бутылек глюкозы  250 мл    1 бутылек содиум хлорид  30 мл    4 красители    20 чаша петри    пластик ножи    пластик ложки    100 покрывные стекла    1 бутылек уксуса    1 бутылек альбумин    1 шт пластиковые линейки   1 сахар  5 пачек разный грамаж </v>
      </c>
    </row>
    <row r="1832" spans="1:8" ht="25.5" x14ac:dyDescent="0.2">
      <c r="A1832" s="31" t="s">
        <v>4174</v>
      </c>
      <c r="B1832" s="27" t="s">
        <v>4175</v>
      </c>
      <c r="C1832" s="27"/>
      <c r="D1832" s="33" t="s">
        <v>1506</v>
      </c>
      <c r="E1832" s="9"/>
      <c r="F1832" s="32"/>
      <c r="G1832" s="10"/>
      <c r="H1832" s="30" t="str">
        <f ca="1">IFERROR(__xludf.DUMMYFUNCTION("LOWER(REGEXREPLACE(B1832&amp;"" ""&amp;C1832,""[^а-яa-z0-9 ]"","" ""))")," чебный практикум   зучение растений и митоза животных  ")</f>
        <v xml:space="preserve"> чебный практикум   зучение растений и митоза животных  </v>
      </c>
    </row>
    <row r="1833" spans="1:8" ht="102" x14ac:dyDescent="0.2">
      <c r="A1833" s="31" t="s">
        <v>4176</v>
      </c>
      <c r="B1833" s="27" t="s">
        <v>4177</v>
      </c>
      <c r="C1833" s="27" t="s">
        <v>4178</v>
      </c>
      <c r="D1833" s="33" t="s">
        <v>1506</v>
      </c>
      <c r="E1833" s="34">
        <v>2</v>
      </c>
      <c r="F1833" s="34">
        <v>1</v>
      </c>
      <c r="G1833" s="10">
        <v>219573</v>
      </c>
      <c r="H1833" s="30" t="str">
        <f ca="1">IFERROR(__xludf.DUMMYFUNCTION("LOWER(REGEXREPLACE(B1833&amp;"" ""&amp;C1833,""[^а-яa-z0-9 ]"","" ""))")," чебный практикум   зучение растений и митоза животных  типа  ards  cience 47062   1 корень растения  1 vival of specially grown root tips   темп  режим    1 коробка слайдов  1 box of mircoscope slides    1 коробка с пластинами пластиковыми  1 box of cove"&amp;"r slips    деревянные палочки   wooden stics    1 щипцы  1 tissue forceps    1  цето орцеин бутылек 30 мл   ropping  ottle of  ceto orcein  tain 30 ml    1 бутылек 1      6 мл  1 droping bottle 1      6ml    стирильные салфетки   4 бутылька для жидкостей "&amp;" 4 droppingbottles 3 ml    1 лоток   1 бутылек пиколита    15 мл   1 dropping bottle of  ounting  edia   iccolyte   15 ml    1 слайд клетки растения  1  lant cell  itosis referance slide ")</f>
        <v xml:space="preserve"> чебный практикум   зучение растений и митоза животных  типа  ards  cience 47062   1 корень растения  1 vival of specially grown root tips   темп  режим    1 коробка слайдов  1 box of mircoscope slides    1 коробка с пластинами пластиковыми  1 box of cover slips    деревянные палочки   wooden stics    1 щипцы  1 tissue forceps    1  цето орцеин бутылек 30 мл   ropping  ottle of  ceto orcein  tain 30 ml    1 бутылек 1      6 мл  1 droping bottle 1      6ml    стирильные салфетки   4 бутылька для жидкостей  4 droppingbottles 3 ml    1 лоток   1 бутылек пиколита    15 мл   1 dropping bottle of  ounting  edia   iccolyte   15 ml    1 слайд клетки растения  1  lant cell  itosis referance slide </v>
      </c>
    </row>
    <row r="1834" spans="1:8" ht="12.75" x14ac:dyDescent="0.2">
      <c r="A1834" s="31" t="s">
        <v>4179</v>
      </c>
      <c r="B1834" s="27" t="s">
        <v>4180</v>
      </c>
      <c r="C1834" s="27"/>
      <c r="D1834" s="33" t="s">
        <v>14</v>
      </c>
      <c r="E1834" s="9"/>
      <c r="F1834" s="32"/>
      <c r="G1834" s="10"/>
      <c r="H1834" s="30" t="str">
        <f ca="1">IFERROR(__xludf.DUMMYFUNCTION("LOWER(REGEXREPLACE(B1834&amp;"" ""&amp;C1834,""[^а-яa-z0-9 ]"","" ""))"),"    рансиллюминатор ")</f>
        <v xml:space="preserve">    рансиллюминатор </v>
      </c>
    </row>
    <row r="1835" spans="1:8" ht="12.75" x14ac:dyDescent="0.2">
      <c r="A1835" s="31" t="s">
        <v>4181</v>
      </c>
      <c r="B1835" s="27" t="s">
        <v>4182</v>
      </c>
      <c r="C1835" s="27"/>
      <c r="D1835" s="33" t="s">
        <v>14</v>
      </c>
      <c r="E1835" s="34">
        <v>2</v>
      </c>
      <c r="F1835" s="35">
        <v>2.5</v>
      </c>
      <c r="G1835" s="10">
        <v>1299298</v>
      </c>
      <c r="H1835" s="30" t="str">
        <f ca="1">IFERROR(__xludf.DUMMYFUNCTION("LOWER(REGEXREPLACE(B1835&amp;"" ""&amp;C1835,""[^а-яa-z0-9 ]"","" ""))"),"    рансиллюминатор типа  ards  cience ")</f>
        <v xml:space="preserve">    рансиллюминатор типа  ards  cience </v>
      </c>
    </row>
    <row r="1836" spans="1:8" ht="25.5" x14ac:dyDescent="0.2">
      <c r="A1836" s="31" t="s">
        <v>4183</v>
      </c>
      <c r="B1836" s="8" t="s">
        <v>4184</v>
      </c>
      <c r="C1836" s="27"/>
      <c r="D1836" s="32"/>
      <c r="E1836" s="9"/>
      <c r="F1836" s="32"/>
      <c r="G1836" s="10"/>
      <c r="H1836" s="30" t="str">
        <f ca="1">IFERROR(__xludf.DUMMYFUNCTION("LOWER(REGEXREPLACE(B1836&amp;"" ""&amp;C1836,""[^а-яa-z0-9 ]"","" ""))")," аборы и принадлежности для кабинета нанотехнологий ")</f>
        <v xml:space="preserve"> аборы и принадлежности для кабинета нанотехнологий </v>
      </c>
    </row>
    <row r="1837" spans="1:8" ht="25.5" x14ac:dyDescent="0.2">
      <c r="A1837" s="31" t="s">
        <v>4185</v>
      </c>
      <c r="B1837" s="8" t="s">
        <v>4186</v>
      </c>
      <c r="C1837" s="27"/>
      <c r="D1837" s="33" t="s">
        <v>1506</v>
      </c>
      <c r="E1837" s="9"/>
      <c r="F1837" s="32"/>
      <c r="G1837" s="10"/>
      <c r="H1837" s="30" t="str">
        <f ca="1">IFERROR(__xludf.DUMMYFUNCTION("LOWER(REGEXREPLACE(B1837&amp;"" ""&amp;C1837,""[^а-яa-z0-9 ]"","" ""))")," абор   еленая нанохимия  синтез наночастиц серебра  ")</f>
        <v xml:space="preserve"> абор   еленая нанохимия  синтез наночастиц серебра  </v>
      </c>
    </row>
    <row r="1838" spans="1:8" ht="51" x14ac:dyDescent="0.2">
      <c r="A1838" s="31" t="s">
        <v>4187</v>
      </c>
      <c r="B1838" s="8" t="s">
        <v>4188</v>
      </c>
      <c r="C1838" s="27" t="s">
        <v>4189</v>
      </c>
      <c r="D1838" s="33" t="s">
        <v>1506</v>
      </c>
      <c r="E1838" s="34">
        <v>2</v>
      </c>
      <c r="F1838" s="35">
        <v>1.4</v>
      </c>
      <c r="G1838" s="10">
        <v>78693</v>
      </c>
      <c r="H1838" s="30" t="str">
        <f ca="1">IFERROR(__xludf.DUMMYFUNCTION("LOWER(REGEXREPLACE(B1838&amp;"" ""&amp;C1838,""[^а-яa-z0-9 ]"","" ""))")," абор   еленая нанохимия  синтез наночастиц серебра  типа  xperia    61  омплектация  кейс с крышкой   1 шт  лоток со вставкой   1шт  50 мл нитрата серебра   1 шт  10 г декстрозы   1 шт  30 г растворимого крахмала   1 шт  150 мл гидроксида натрия   1 шт  "&amp;"пробирки   5 шт  пипетки   6 шт  цилиндр градуированный 250 мл   1 шт ")</f>
        <v xml:space="preserve"> абор   еленая нанохимия  синтез наночастиц серебра  типа  xperia    61  омплектация  кейс с крышкой   1 шт  лоток со вставкой   1шт  50 мл нитрата серебра   1 шт  10 г декстрозы   1 шт  30 г растворимого крахмала   1 шт  150 мл гидроксида натрия   1 шт  пробирки   5 шт  пипетки   6 шт  цилиндр градуированный 250 мл   1 шт </v>
      </c>
    </row>
    <row r="1839" spans="1:8" ht="38.25" x14ac:dyDescent="0.2">
      <c r="A1839" s="31" t="s">
        <v>4190</v>
      </c>
      <c r="B1839" s="27" t="s">
        <v>4191</v>
      </c>
      <c r="C1839" s="27" t="s">
        <v>4192</v>
      </c>
      <c r="D1839" s="33" t="s">
        <v>1506</v>
      </c>
      <c r="E1839" s="34">
        <v>2</v>
      </c>
      <c r="F1839" s="35">
        <v>0.8</v>
      </c>
      <c r="G1839" s="10">
        <v>75543</v>
      </c>
      <c r="H1839" s="30" t="str">
        <f ca="1">IFERROR(__xludf.DUMMYFUNCTION("LOWER(REGEXREPLACE(B1839&amp;"" ""&amp;C1839,""[^а-яa-z0-9 ]"","" ""))")," абор   еленая нанохимия  синтез наночастиц серебра  типа  ards  cience 47053   набор входит   1 бутылка  итрат серебра  0 1   1 мл   екстроза  люкоза 5 мл   астворимый крахмал   идроксид натрия 0 1   5 мл  пластиковые пипетки ")</f>
        <v xml:space="preserve"> абор   еленая нанохимия  синтез наночастиц серебра  типа  ards  cience 47053   набор входит   1 бутылка  итрат серебра  0 1   1 мл   екстроза  люкоза 5 мл   астворимый крахмал   идроксид натрия 0 1   5 мл  пластиковые пипетки </v>
      </c>
    </row>
    <row r="1840" spans="1:8" ht="12.75" x14ac:dyDescent="0.2">
      <c r="A1840" s="31" t="s">
        <v>4193</v>
      </c>
      <c r="B1840" s="27" t="s">
        <v>4194</v>
      </c>
      <c r="C1840" s="27"/>
      <c r="D1840" s="33" t="s">
        <v>1506</v>
      </c>
      <c r="E1840" s="9"/>
      <c r="F1840" s="32"/>
      <c r="G1840" s="10"/>
      <c r="H1840" s="30" t="str">
        <f ca="1">IFERROR(__xludf.DUMMYFUNCTION("LOWER(REGEXREPLACE(B1840&amp;"" ""&amp;C1840,""[^а-яa-z0-9 ]"","" ""))")," чебный набор   крытые отпечатки пальцев ")</f>
        <v xml:space="preserve"> чебный набор   крытые отпечатки пальцев </v>
      </c>
    </row>
    <row r="1841" spans="1:8" ht="76.5" x14ac:dyDescent="0.2">
      <c r="A1841" s="31" t="s">
        <v>4195</v>
      </c>
      <c r="B1841" s="27" t="s">
        <v>4196</v>
      </c>
      <c r="C1841" s="27" t="s">
        <v>4197</v>
      </c>
      <c r="D1841" s="33" t="s">
        <v>1506</v>
      </c>
      <c r="E1841" s="34">
        <v>2</v>
      </c>
      <c r="F1841" s="36">
        <v>1.29</v>
      </c>
      <c r="G1841" s="10">
        <v>147668</v>
      </c>
      <c r="H1841" s="30" t="str">
        <f ca="1">IFERROR(__xludf.DUMMYFUNCTION("LOWER(REGEXREPLACE(B1841&amp;"" ""&amp;C1841,""[^а-яa-z0-9 ]"","" ""))")," чебный набор   крытые отпечатки пальцев типа  xperia    62  омплектация  кейс с крышкой   1 шт   лоток со вставкой   1шт  порошок для отпечатков пальцев  25 гр  кисти для отпечатков пальцев   15 шт  увеличительные стекла   5 шт  ацетатные листы   15 шт  "&amp;"чернильная подушечка   3 шт   уководство для инструктора   1шт    актилоскопический порошок   1 шт    ингидрин   1 шт    цетон   1 шт   од  юголя   1 шт   ерчатки   3 пары   ипетки   3 шт   актилоскопическая скотч лента   1 шт   нструкции по способу работ"&amp;"ы   1 шт ")</f>
        <v xml:space="preserve"> чебный набор   крытые отпечатки пальцев типа  xperia    62  омплектация  кейс с крышкой   1 шт   лоток со вставкой   1шт  порошок для отпечатков пальцев  25 гр  кисти для отпечатков пальцев   15 шт  увеличительные стекла   5 шт  ацетатные листы   15 шт  чернильная подушечка   3 шт   уководство для инструктора   1шт    актилоскопический порошок   1 шт    ингидрин   1 шт    цетон   1 шт   од  юголя   1 шт   ерчатки   3 пары   ипетки   3 шт   актилоскопическая скотч лента   1 шт   нструкции по способу работы   1 шт </v>
      </c>
    </row>
    <row r="1842" spans="1:8" ht="38.25" x14ac:dyDescent="0.2">
      <c r="A1842" s="31" t="s">
        <v>4198</v>
      </c>
      <c r="B1842" s="27" t="s">
        <v>4199</v>
      </c>
      <c r="C1842" s="27" t="s">
        <v>4200</v>
      </c>
      <c r="D1842" s="33" t="s">
        <v>1506</v>
      </c>
      <c r="E1842" s="34">
        <v>2</v>
      </c>
      <c r="F1842" s="35">
        <v>0.8</v>
      </c>
      <c r="G1842" s="10">
        <v>146047</v>
      </c>
      <c r="H1842" s="30" t="str">
        <f ca="1">IFERROR(__xludf.DUMMYFUNCTION("LOWER(REGEXREPLACE(B1842&amp;"" ""&amp;C1842,""[^а-яa-z0-9 ]"","" ""))")," чебный набор   крытые отпечатки пальцев типа  ards  cience 47054  омплектность  1  магнитный порошок  1 гр  2  моток ленты   3  магнитный аппликатор 4   актилокарта 5  кейс  черный пластик 6  диск с инструкцией по использованию")</f>
        <v xml:space="preserve"> чебный набор   крытые отпечатки пальцев типа  ards  cience 47054  омплектность  1  магнитный порошок  1 гр  2  моток ленты   3  магнитный аппликатор 4   актилокарта 5  кейс  черный пластик 6  диск с инструкцией по использованию</v>
      </c>
    </row>
    <row r="1843" spans="1:8" ht="25.5" x14ac:dyDescent="0.2">
      <c r="A1843" s="31" t="s">
        <v>4201</v>
      </c>
      <c r="B1843" s="27" t="s">
        <v>4202</v>
      </c>
      <c r="C1843" s="27"/>
      <c r="D1843" s="33" t="s">
        <v>1506</v>
      </c>
      <c r="E1843" s="9"/>
      <c r="F1843" s="32"/>
      <c r="G1843" s="10"/>
      <c r="H1843" s="30" t="str">
        <f ca="1">IFERROR(__xludf.DUMMYFUNCTION("LOWER(REGEXREPLACE(B1843&amp;"" ""&amp;C1843,""[^а-яa-z0-9 ]"","" ""))")," абораторный практикум по курсу   пектроскопия  ")</f>
        <v xml:space="preserve"> абораторный практикум по курсу   пектроскопия  </v>
      </c>
    </row>
    <row r="1844" spans="1:8" ht="51" x14ac:dyDescent="0.2">
      <c r="A1844" s="31" t="s">
        <v>4203</v>
      </c>
      <c r="B1844" s="27" t="s">
        <v>4204</v>
      </c>
      <c r="C1844" s="27" t="s">
        <v>4205</v>
      </c>
      <c r="D1844" s="33" t="s">
        <v>1506</v>
      </c>
      <c r="E1844" s="34">
        <v>2</v>
      </c>
      <c r="F1844" s="36">
        <v>1.24</v>
      </c>
      <c r="G1844" s="10">
        <v>127973</v>
      </c>
      <c r="H1844" s="30" t="str">
        <f ca="1">IFERROR(__xludf.DUMMYFUNCTION("LOWER(REGEXREPLACE(B1844&amp;"" ""&amp;C1844,""[^а-яa-z0-9 ]"","" ""))")," абораторный практикум по курсу   пектроскопия  типа  xperia    63  омплектация   кейс с крышкой   1 шт   лоток со вставкой   1шт  синяя краска   1  cienceade  50 мл   1 шт  инструкции   1 шт  пипетки 5 мл   6 шт  пробирки   10 шт  градуированные цилиндры"&amp;" 100 мл   6 шт  клейкая лента  1 шт  спектроскоп ручной   6 шт")</f>
        <v xml:space="preserve"> абораторный практикум по курсу   пектроскопия  типа  xperia    63  омплектация   кейс с крышкой   1 шт   лоток со вставкой   1шт  синяя краска   1  cienceade  50 мл   1 шт  инструкции   1 шт  пипетки 5 мл   6 шт  пробирки   10 шт  градуированные цилиндры 100 мл   6 шт  клейкая лента  1 шт  спектроскоп ручной   6 шт</v>
      </c>
    </row>
    <row r="1845" spans="1:8" ht="63.75" x14ac:dyDescent="0.2">
      <c r="A1845" s="31" t="s">
        <v>4206</v>
      </c>
      <c r="B1845" s="27" t="s">
        <v>4207</v>
      </c>
      <c r="C1845" s="27" t="s">
        <v>4208</v>
      </c>
      <c r="D1845" s="33" t="s">
        <v>1506</v>
      </c>
      <c r="E1845" s="34">
        <v>2</v>
      </c>
      <c r="F1845" s="35">
        <v>0.8</v>
      </c>
      <c r="G1845" s="10">
        <v>126910</v>
      </c>
      <c r="H1845" s="30" t="str">
        <f ca="1">IFERROR(__xludf.DUMMYFUNCTION("LOWER(REGEXREPLACE(B1845&amp;"" ""&amp;C1845,""[^а-яa-z0-9 ]"","" ""))")," абораторный практикум по курсу   пектроскопия    дентификация металлов типа  ards  cience 47055  абор содержит  1  пектроскоп учебный   2 шт   ветные зажигательные свечи   olor flame candles  2  икроконфорки   icro burners  5 мл минерально солевой спирто"&amp;"вой раствор    ineral salt alcohol solution  15  ифракционные решетки   iffraction grating slides  24 лотка для свечей   andle holding trays ")</f>
        <v xml:space="preserve"> абораторный практикум по курсу   пектроскопия    дентификация металлов типа  ards  cience 47055  абор содержит  1  пектроскоп учебный   2 шт   ветные зажигательные свечи   olor flame candles  2  икроконфорки   icro burners  5 мл минерально солевой спиртовой раствор    ineral salt alcohol solution  15  ифракционные решетки   iffraction grating slides  24 лотка для свечей   andle holding trays </v>
      </c>
    </row>
    <row r="1846" spans="1:8" ht="38.25" x14ac:dyDescent="0.2">
      <c r="A1846" s="31" t="s">
        <v>4209</v>
      </c>
      <c r="B1846" s="27" t="s">
        <v>4210</v>
      </c>
      <c r="C1846" s="27"/>
      <c r="D1846" s="33" t="s">
        <v>1506</v>
      </c>
      <c r="E1846" s="9"/>
      <c r="F1846" s="32"/>
      <c r="G1846" s="10"/>
      <c r="H1846" s="30" t="str">
        <f ca="1">IFERROR(__xludf.DUMMYFUNCTION("LOWER(REGEXREPLACE(B1846&amp;"" ""&amp;C1846,""[^а-яa-z0-9 ]"","" ""))")," абор для лабораторных экспериментов по спектральному анализу и анализу окраски пламени ")</f>
        <v xml:space="preserve"> абор для лабораторных экспериментов по спектральному анализу и анализу окраски пламени </v>
      </c>
    </row>
    <row r="1847" spans="1:8" ht="63.75" x14ac:dyDescent="0.2">
      <c r="A1847" s="31" t="s">
        <v>4211</v>
      </c>
      <c r="B1847" s="27" t="s">
        <v>4212</v>
      </c>
      <c r="C1847" s="27" t="s">
        <v>4213</v>
      </c>
      <c r="D1847" s="33" t="s">
        <v>1506</v>
      </c>
      <c r="E1847" s="34">
        <v>2</v>
      </c>
      <c r="F1847" s="36">
        <v>1.28</v>
      </c>
      <c r="G1847" s="10">
        <v>141013</v>
      </c>
      <c r="H1847" s="30" t="str">
        <f ca="1">IFERROR(__xludf.DUMMYFUNCTION("LOWER(REGEXREPLACE(B1847&amp;"" ""&amp;C1847,""[^а-яa-z0-9 ]"","" ""))")," абор для лабораторных экспериментов по спектральному анализу и анализу окраски пламени типа  xperia    64  омплектация   кейс с крышкой   1 шт   лоток со вставкой   1шт   соль  ития   i l  100 гр   1 шт  соль  тронция   r l2 100 гр   1 шт  соль  ария   a"&amp;" l2 100 гр   1 шт  соль  алия    l 100 гр   1 шт  тестовые петли из нихромовой проволоки   4 шт  ручные спектроскопы   4 шт  руководство для учителя   1 шт   учебные пособия для студентов   30 шт ")</f>
        <v xml:space="preserve"> абор для лабораторных экспериментов по спектральному анализу и анализу окраски пламени типа  xperia    64  омплектация   кейс с крышкой   1 шт   лоток со вставкой   1шт   соль  ития   i l  100 гр   1 шт  соль  тронция   r l2 100 гр   1 шт  соль  ария   a l2 100 гр   1 шт  соль  алия    l 100 гр   1 шт  тестовые петли из нихромовой проволоки   4 шт  ручные спектроскопы   4 шт  руководство для учителя   1 шт   учебные пособия для студентов   30 шт </v>
      </c>
    </row>
    <row r="1848" spans="1:8" ht="38.25" x14ac:dyDescent="0.2">
      <c r="A1848" s="31" t="s">
        <v>4214</v>
      </c>
      <c r="B1848" s="27" t="s">
        <v>4215</v>
      </c>
      <c r="C1848" s="27" t="s">
        <v>4216</v>
      </c>
      <c r="D1848" s="33" t="s">
        <v>1506</v>
      </c>
      <c r="E1848" s="34">
        <v>2</v>
      </c>
      <c r="F1848" s="35">
        <v>0.8</v>
      </c>
      <c r="G1848" s="10">
        <v>127414</v>
      </c>
      <c r="H1848" s="30" t="str">
        <f ca="1">IFERROR(__xludf.DUMMYFUNCTION("LOWER(REGEXREPLACE(B1848&amp;"" ""&amp;C1848,""[^а-яa-z0-9 ]"","" ""))")," абор для лабораторных экспериментов по спектральному анализу и анализу окраски пламени типа  ards  cience 47058  абор содержит   4 соли  содиум хлорид  кальциум хлорид  стронциум хлорид  потассум хлорид    4 петли проволочные    6 спектроскопов    пособи"&amp;"е")</f>
        <v xml:space="preserve"> абор для лабораторных экспериментов по спектральному анализу и анализу окраски пламени типа  ards  cience 47058  абор содержит   4 соли  содиум хлорид  кальциум хлорид  стронциум хлорид  потассум хлорид    4 петли проволочные    6 спектроскопов    пособие</v>
      </c>
    </row>
    <row r="1849" spans="1:8" ht="25.5" x14ac:dyDescent="0.2">
      <c r="A1849" s="31" t="s">
        <v>4217</v>
      </c>
      <c r="B1849" s="27" t="s">
        <v>4218</v>
      </c>
      <c r="C1849" s="27"/>
      <c r="D1849" s="33" t="s">
        <v>1506</v>
      </c>
      <c r="E1849" s="9"/>
      <c r="F1849" s="32"/>
      <c r="G1849" s="10"/>
      <c r="H1849" s="30" t="str">
        <f ca="1">IFERROR(__xludf.DUMMYFUNCTION("LOWER(REGEXREPLACE(B1849&amp;"" ""&amp;C1849,""[^а-яa-z0-9 ]"","" ""))")," кспериментальный набор в чемодане для школьных опытов по нанотехнологиям ")</f>
        <v xml:space="preserve"> кспериментальный набор в чемодане для школьных опытов по нанотехнологиям </v>
      </c>
    </row>
    <row r="1850" spans="1:8" ht="38.25" x14ac:dyDescent="0.2">
      <c r="A1850" s="31" t="s">
        <v>4219</v>
      </c>
      <c r="B1850" s="27" t="s">
        <v>4220</v>
      </c>
      <c r="C1850" s="27"/>
      <c r="D1850" s="33" t="s">
        <v>1506</v>
      </c>
      <c r="E1850" s="34">
        <v>2</v>
      </c>
      <c r="F1850" s="35">
        <v>2.2000000000000002</v>
      </c>
      <c r="G1850" s="10">
        <v>310802</v>
      </c>
      <c r="H1850" s="30" t="str">
        <f ca="1">IFERROR(__xludf.DUMMYFUNCTION("LOWER(REGEXREPLACE(B1850&amp;"" ""&amp;C1850,""[^а-яa-z0-9 ]"","" ""))")," кспериментальный набор в чемодане для школьных опытов по нанотехнологиям типа  xperia    59 ")</f>
        <v xml:space="preserve"> кспериментальный набор в чемодане для школьных опытов по нанотехнологиям типа  xperia    59 </v>
      </c>
    </row>
    <row r="1851" spans="1:8" ht="38.25" x14ac:dyDescent="0.2">
      <c r="A1851" s="31" t="s">
        <v>4221</v>
      </c>
      <c r="B1851" s="27" t="s">
        <v>4222</v>
      </c>
      <c r="C1851" s="27"/>
      <c r="D1851" s="33" t="s">
        <v>1506</v>
      </c>
      <c r="E1851" s="34">
        <v>2</v>
      </c>
      <c r="F1851" s="35">
        <v>0.8</v>
      </c>
      <c r="G1851" s="10">
        <v>271947</v>
      </c>
      <c r="H1851" s="30" t="str">
        <f ca="1">IFERROR(__xludf.DUMMYFUNCTION("LOWER(REGEXREPLACE(B1851&amp;"" ""&amp;C1851,""[^а-яa-z0-9 ]"","" ""))")," кспериментальный набор в чемодане для школьных опытов по нанотехнологиям типа  ards  cience 47052 ")</f>
        <v xml:space="preserve"> кспериментальный набор в чемодане для школьных опытов по нанотехнологиям типа  ards  cience 47052 </v>
      </c>
    </row>
    <row r="1852" spans="1:8" ht="25.5" x14ac:dyDescent="0.2">
      <c r="A1852" s="31" t="s">
        <v>4223</v>
      </c>
      <c r="B1852" s="27" t="s">
        <v>4224</v>
      </c>
      <c r="C1852" s="27"/>
      <c r="D1852" s="33" t="s">
        <v>1506</v>
      </c>
      <c r="E1852" s="9"/>
      <c r="F1852" s="32"/>
      <c r="G1852" s="10"/>
      <c r="H1852" s="30" t="str">
        <f ca="1">IFERROR(__xludf.DUMMYFUNCTION("LOWER(REGEXREPLACE(B1852&amp;"" ""&amp;C1852,""[^а-яa-z0-9 ]"","" ""))")," абор   анотехнологии  для экспериментов базового уровня ")</f>
        <v xml:space="preserve"> абор   анотехнологии  для экспериментов базового уровня </v>
      </c>
    </row>
    <row r="1853" spans="1:8" ht="63.75" x14ac:dyDescent="0.2">
      <c r="A1853" s="31" t="s">
        <v>4225</v>
      </c>
      <c r="B1853" s="27" t="s">
        <v>4226</v>
      </c>
      <c r="C1853" s="27" t="s">
        <v>4227</v>
      </c>
      <c r="D1853" s="33" t="s">
        <v>1506</v>
      </c>
      <c r="E1853" s="34">
        <v>2</v>
      </c>
      <c r="F1853" s="35">
        <v>2.6</v>
      </c>
      <c r="G1853" s="10">
        <v>178518</v>
      </c>
      <c r="H1853" s="30" t="str">
        <f ca="1">IFERROR(__xludf.DUMMYFUNCTION("LOWER(REGEXREPLACE(B1853&amp;"" ""&amp;C1853,""[^а-яa-z0-9 ]"","" ""))")," абор   анотехнологии  для экспериментов базового уровня типа  xperia    60  омплектация     ейс с крышкой   1 шт    оток со вставкой   1шт   лорид железа   e l3  50 гр   1 шт   лорид железа   e l3  150 гр    1 шт   оляная кислота    l  150 мл   12 шт   и"&amp;"дроксид аммония    4    150 мл   1 шт   идроксид тетраметиламмония           150 мл   1 шт   ипетки   35 шт   ашки  етри   1 шт    теклянный стакан 250 мл   5 шт   ильтрующая бумага   1 пачка ")</f>
        <v xml:space="preserve"> абор   анотехнологии  для экспериментов базового уровня типа  xperia    60  омплектация     ейс с крышкой   1 шт    оток со вставкой   1шт   лорид железа   e l3  50 гр   1 шт   лорид железа   e l3  150 гр    1 шт   оляная кислота    l  150 мл   12 шт   идроксид аммония    4    150 мл   1 шт   идроксид тетраметиламмония           150 мл   1 шт   ипетки   35 шт   ашки  етри   1 шт    теклянный стакан 250 мл   5 шт   ильтрующая бумага   1 пачка </v>
      </c>
    </row>
    <row r="1854" spans="1:8" ht="38.25" x14ac:dyDescent="0.2">
      <c r="A1854" s="31" t="s">
        <v>4228</v>
      </c>
      <c r="B1854" s="27" t="s">
        <v>4229</v>
      </c>
      <c r="C1854" s="27" t="s">
        <v>4230</v>
      </c>
      <c r="D1854" s="33" t="s">
        <v>1506</v>
      </c>
      <c r="E1854" s="34">
        <v>2</v>
      </c>
      <c r="F1854" s="35">
        <v>0.8</v>
      </c>
      <c r="G1854" s="10">
        <v>166191</v>
      </c>
      <c r="H1854" s="30" t="str">
        <f ca="1">IFERROR(__xludf.DUMMYFUNCTION("LOWER(REGEXREPLACE(B1854&amp;"" ""&amp;C1854,""[^а-яa-z0-9 ]"","" ""))")," абор   анотехнологии  для экспериментов базового уровня типа  ards  cience 47059   набор входит  1  хлорид   ferrous chloride  1  хлорида железа  ferric chloride  1 соляной кислоты  10 н  2 гидроксида аммония 1  гидроксида тетраметиламмония 15 пипеток 15"&amp;" чашек  етри")</f>
        <v xml:space="preserve"> абор   анотехнологии  для экспериментов базового уровня типа  ards  cience 47059   набор входит  1  хлорид   ferrous chloride  1  хлорида железа  ferric chloride  1 соляной кислоты  10 н  2 гидроксида аммония 1  гидроксида тетраметиламмония 15 пипеток 15 чашек  етри</v>
      </c>
    </row>
    <row r="1855" spans="1:8" ht="63.75" x14ac:dyDescent="0.2">
      <c r="A1855" s="31" t="s">
        <v>4231</v>
      </c>
      <c r="B1855" s="27" t="s">
        <v>4232</v>
      </c>
      <c r="C1855" s="27" t="s">
        <v>4233</v>
      </c>
      <c r="D1855" s="33" t="s">
        <v>1506</v>
      </c>
      <c r="E1855" s="34">
        <v>2</v>
      </c>
      <c r="F1855" s="34">
        <v>4</v>
      </c>
      <c r="G1855" s="10">
        <v>329084</v>
      </c>
      <c r="H1855" s="30" t="str">
        <f ca="1">IFERROR(__xludf.DUMMYFUNCTION("LOWER(REGEXREPLACE(B1855&amp;"" ""&amp;C1855,""[^а-яa-z0-9 ]"","" ""))")," абор экспериментальный в чемодане для школьных опытов по нанотехнологиям  15 экспериментов   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"&amp;"проектной деятельности в курсе естествознания   борудование укомплектовано в пластиковый контейнер")</f>
        <v xml:space="preserve"> абор экспериментальный в чемодане для школьных опытов по нанотехнологиям  15 экспериментов   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борудование укомплектовано в пластиковый контейнер</v>
      </c>
    </row>
    <row r="1856" spans="1:8" ht="12.75" x14ac:dyDescent="0.2">
      <c r="A1856" s="31" t="s">
        <v>4234</v>
      </c>
      <c r="B1856" s="27" t="s">
        <v>4235</v>
      </c>
      <c r="C1856" s="27"/>
      <c r="D1856" s="33" t="s">
        <v>14</v>
      </c>
      <c r="E1856" s="9"/>
      <c r="F1856" s="32"/>
      <c r="G1856" s="10"/>
      <c r="H1856" s="30" t="str">
        <f ca="1">IFERROR(__xludf.DUMMYFUNCTION("LOWER(REGEXREPLACE(B1856&amp;"" ""&amp;C1856,""[^а-яa-z0-9 ]"","" ""))")," пектроскоп ")</f>
        <v xml:space="preserve"> пектроскоп </v>
      </c>
    </row>
    <row r="1857" spans="1:8" ht="38.25" x14ac:dyDescent="0.2">
      <c r="A1857" s="31" t="s">
        <v>4236</v>
      </c>
      <c r="B1857" s="8" t="s">
        <v>4237</v>
      </c>
      <c r="C1857" s="27" t="s">
        <v>4238</v>
      </c>
      <c r="D1857" s="33" t="s">
        <v>14</v>
      </c>
      <c r="E1857" s="34">
        <v>2</v>
      </c>
      <c r="F1857" s="35">
        <v>0.5</v>
      </c>
      <c r="G1857" s="10">
        <v>23734</v>
      </c>
      <c r="H1857" s="30" t="str">
        <f ca="1">IFERROR(__xludf.DUMMYFUNCTION("LOWER(REGEXREPLACE(B1857&amp;"" ""&amp;C1857,""[^а-яa-z0-9 ]"","" ""))")," пектроскоп учебный типа  ards  cience 47056  атериал  пластик   асштаб измерения  37 мм   иапазон длины волны  от 4 000 до 7 000  с точностью до  50    льтернатива стационарного спектрофотометра   нструкция по применению прилагается ")</f>
        <v xml:space="preserve"> пектроскоп учебный типа  ards  cience 47056  атериал  пластик   асштаб измерения  37 мм   иапазон длины волны  от 4 000 до 7 000  с точностью до  50    льтернатива стационарного спектрофотометра   нструкция по применению прилагается </v>
      </c>
    </row>
    <row r="1858" spans="1:8" ht="12.75" x14ac:dyDescent="0.2">
      <c r="A1858" s="31" t="s">
        <v>4239</v>
      </c>
      <c r="B1858" s="27" t="s">
        <v>4240</v>
      </c>
      <c r="C1858" s="27"/>
      <c r="D1858" s="32"/>
      <c r="E1858" s="9"/>
      <c r="F1858" s="32"/>
      <c r="G1858" s="10"/>
      <c r="H1858" s="30" t="str">
        <f ca="1">IFERROR(__xludf.DUMMYFUNCTION("LOWER(REGEXREPLACE(B1858&amp;"" ""&amp;C1858,""[^а-яa-z0-9 ]"","" ""))")," абинет   ончарное дело  ")</f>
        <v xml:space="preserve"> абинет   ончарное дело  </v>
      </c>
    </row>
    <row r="1859" spans="1:8" ht="12.75" x14ac:dyDescent="0.2">
      <c r="A1859" s="31" t="s">
        <v>4241</v>
      </c>
      <c r="B1859" s="27" t="s">
        <v>4242</v>
      </c>
      <c r="C1859" s="27"/>
      <c r="D1859" s="33" t="s">
        <v>14</v>
      </c>
      <c r="E1859" s="9"/>
      <c r="F1859" s="32"/>
      <c r="G1859" s="10"/>
      <c r="H1859" s="30" t="str">
        <f ca="1">IFERROR(__xludf.DUMMYFUNCTION("LOWER(REGEXREPLACE(B1859&amp;"" ""&amp;C1859,""[^а-яa-z0-9 ]"","" ""))")," борудование для гончарного дела ")</f>
        <v xml:space="preserve"> борудование для гончарного дела </v>
      </c>
    </row>
    <row r="1860" spans="1:8" ht="38.25" x14ac:dyDescent="0.2">
      <c r="A1860" s="31" t="s">
        <v>4243</v>
      </c>
      <c r="B1860" s="27" t="s">
        <v>4244</v>
      </c>
      <c r="C1860" s="27" t="s">
        <v>4245</v>
      </c>
      <c r="D1860" s="33" t="s">
        <v>14</v>
      </c>
      <c r="E1860" s="34">
        <v>2</v>
      </c>
      <c r="F1860" s="35">
        <v>15.4</v>
      </c>
      <c r="G1860" s="10">
        <v>603532</v>
      </c>
      <c r="H1860" s="30" t="str">
        <f ca="1">IFERROR(__xludf.DUMMYFUNCTION("LOWER(REGEXREPLACE(B1860&amp;"" ""&amp;C1860,""[^а-яa-z0-9 ]"","" ""))")," тстойник для глины типа  ottery agic  еператор для глины   пециализированное оборудование для очистки глины от примесей и получения однородной массы   атериал корпуса и разделителей   влагоустойчивый пластик ")</f>
        <v xml:space="preserve"> тстойник для глины типа  ottery agic  еператор для глины   пециализированное оборудование для очистки глины от примесей и получения однородной массы   атериал корпуса и разделителей   влагоустойчивый пластик </v>
      </c>
    </row>
    <row r="1861" spans="1:8" ht="51" x14ac:dyDescent="0.2">
      <c r="A1861" s="31" t="s">
        <v>4246</v>
      </c>
      <c r="B1861" s="27" t="s">
        <v>4247</v>
      </c>
      <c r="C1861" s="27" t="s">
        <v>4248</v>
      </c>
      <c r="D1861" s="33" t="s">
        <v>14</v>
      </c>
      <c r="E1861" s="34">
        <v>2</v>
      </c>
      <c r="F1861" s="36">
        <v>10.11</v>
      </c>
      <c r="G1861" s="10">
        <v>727387</v>
      </c>
      <c r="H1861" s="30" t="str">
        <f ca="1">IFERROR(__xludf.DUMMYFUNCTION("LOWER(REGEXREPLACE(B1861&amp;"" ""&amp;C1861,""[^а-яa-z0-9 ]"","" ""))")," аскатчик мини для глиняных пластов типа  ottery agic  ини раскатчик предназначен для работы с глиняными пластами   н обладает компактным размером и предназначен для раскатывания глины в плоские пласти различной толщины   орпус выполнен из прочного  влаго"&amp;"устойчивого металла ")</f>
        <v xml:space="preserve"> аскатчик мини для глиняных пластов типа  ottery agic  ини раскатчик предназначен для работы с глиняными пластами   н обладает компактным размером и предназначен для раскатывания глины в плоские пласти различной толщины   орпус выполнен из прочного  влагоустойчивого металла </v>
      </c>
    </row>
    <row r="1862" spans="1:8" ht="51" x14ac:dyDescent="0.2">
      <c r="A1862" s="31" t="s">
        <v>4249</v>
      </c>
      <c r="B1862" s="27" t="s">
        <v>4250</v>
      </c>
      <c r="C1862" s="27" t="s">
        <v>4251</v>
      </c>
      <c r="D1862" s="33" t="s">
        <v>14</v>
      </c>
      <c r="E1862" s="34">
        <v>2</v>
      </c>
      <c r="F1862" s="34">
        <v>15</v>
      </c>
      <c r="G1862" s="10">
        <v>905869</v>
      </c>
      <c r="H1862" s="30" t="str">
        <f ca="1">IFERROR(__xludf.DUMMYFUNCTION("LOWER(REGEXREPLACE(B1862&amp;"" ""&amp;C1862,""[^а-яa-z0-9 ]"","" ""))")," кструдер для глины настенный механический типа  ottery agic     115  rеmа  кструдер для глины является ручным и механическим устройством  включающим в себя 12 фильер   зготовлен из нержавеющей стали  цилиндр экструдера имеет диаметр 115 мм ")</f>
        <v xml:space="preserve"> кструдер для глины настенный механический типа  ottery agic     115  rеmа  кструдер для глины является ручным и механическим устройством  включающим в себя 12 фильер   зготовлен из нержавеющей стали  цилиндр экструдера имеет диаметр 115 мм </v>
      </c>
    </row>
    <row r="1863" spans="1:8" ht="102" x14ac:dyDescent="0.2">
      <c r="A1863" s="31" t="s">
        <v>4252</v>
      </c>
      <c r="B1863" s="27" t="s">
        <v>4253</v>
      </c>
      <c r="C1863" s="27" t="s">
        <v>4254</v>
      </c>
      <c r="D1863" s="33" t="s">
        <v>14</v>
      </c>
      <c r="E1863" s="34">
        <v>2</v>
      </c>
      <c r="F1863" s="35">
        <v>4.5</v>
      </c>
      <c r="G1863" s="10">
        <v>67543</v>
      </c>
      <c r="H1863" s="30" t="str">
        <f ca="1">IFERROR(__xludf.DUMMYFUNCTION("LOWER(REGEXREPLACE(B1863&amp;"" ""&amp;C1863,""[^а-яa-z0-9 ]"","" ""))")," урнетка типа  ottery agic  атериал  покрытый алюминий   пластиковая сталь   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и"&amp;"аметр  300 мм   то указывает на размер поворотного стола турнетки  который составляет 300 мм  высотой 50 мм   оворотный стол  360 градусов   урнетка имеет возможность поворачивать стол на 360 градусов  что позволяет удобно и точно поворачивать предметы в "&amp;"любое положение ")</f>
        <v xml:space="preserve"> урнетка типа  ottery agic  атериал  покрытый алюминий   пластиковая сталь   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иаметр  300 мм   то указывает на размер поворотного стола турнетки  который составляет 300 мм  высотой 50 мм   оворотный стол  360 градусов   урнетка имеет возможность поворачивать стол на 360 градусов  что позволяет удобно и точно поворачивать предметы в любое положение </v>
      </c>
    </row>
    <row r="1864" spans="1:8" ht="63.75" x14ac:dyDescent="0.2">
      <c r="A1864" s="31" t="s">
        <v>4255</v>
      </c>
      <c r="B1864" s="27" t="s">
        <v>4256</v>
      </c>
      <c r="C1864" s="27" t="s">
        <v>4257</v>
      </c>
      <c r="D1864" s="33" t="s">
        <v>14</v>
      </c>
      <c r="E1864" s="34">
        <v>2</v>
      </c>
      <c r="F1864" s="35">
        <v>32.4</v>
      </c>
      <c r="G1864" s="10">
        <v>722118</v>
      </c>
      <c r="H1864" s="30" t="str">
        <f ca="1">IFERROR(__xludf.DUMMYFUNCTION("LOWER(REGEXREPLACE(B1864&amp;"" ""&amp;C1864,""[^а-яa-z0-9 ]"","" ""))")," ончарный круг настольный типа  ottery agic  ончарный круг с возможностью работы на напряжении 220   и мощностью не менее 350  т   ощность 350  т    ончарный круг работает на электрической энергии  что облегчает и ускоряет процесс работы с глиной   н пред"&amp;"оставляет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 ")</f>
        <v xml:space="preserve"> ончарный круг настольный типа  ottery agic  ончарный круг с возможностью работы на напряжении 220   и мощностью не менее 350  т   ощность 350  т    ончарный круг работает на электрической энергии  что облегчает и ускоряет процесс работы с глиной   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 </v>
      </c>
    </row>
    <row r="1865" spans="1:8" ht="102" x14ac:dyDescent="0.2">
      <c r="A1865" s="31" t="s">
        <v>4258</v>
      </c>
      <c r="B1865" s="27" t="s">
        <v>4259</v>
      </c>
      <c r="C1865" s="27" t="s">
        <v>4260</v>
      </c>
      <c r="D1865" s="33" t="s">
        <v>14</v>
      </c>
      <c r="E1865" s="34">
        <v>2</v>
      </c>
      <c r="F1865" s="36">
        <v>69.75</v>
      </c>
      <c r="G1865" s="10">
        <v>1971252</v>
      </c>
      <c r="H1865" s="30" t="str">
        <f ca="1">IFERROR(__xludf.DUMMYFUNCTION("LOWER(REGEXREPLACE(B1865&amp;"" ""&amp;C1865,""[^а-яa-z0-9 ]"","" ""))")," ечь для обжига с вертикальной загрузкой типа  ottery agic  ечь для обжига с вертикальной загрузкой   ощность  не менее 8 к т   бъем  не более 60 литров  атериал  нержавеющая сталь   ечь изготовлена из нержавеющей стали  что обеспечивает прочность и устой"&amp;"чивость к высоким температурам   ежим управления   икрокомпьютерный     регулятор температуры      регулятор обеспечивает точное и стабильное поддержание заданной температуры во время обжига  что важно для качественного процесса обжига   аксимальная темпе"&amp;"ратура 1300 градусов ")</f>
        <v xml:space="preserve"> ечь для обжига с вертикальной загрузкой типа  ottery agic  ечь для обжига с вертикальной загрузкой   ощность  не менее 8 к т   бъем  не более 60 литров  атериал  нержавеющая сталь   ечь изготовлена из нержавеющей стали  что обеспечивает прочность и устойчивость к высоким температурам   ежим управления   икрокомпьютерный     регулятор температуры      регулятор обеспечивает точное и стабильное поддержание заданной температуры во время обжига  что важно для качественного процесса обжига   аксимальная температура 1300 градусов </v>
      </c>
    </row>
    <row r="1866" spans="1:8" ht="12.75" x14ac:dyDescent="0.2">
      <c r="A1866" s="31" t="s">
        <v>4261</v>
      </c>
      <c r="B1866" s="27" t="s">
        <v>4262</v>
      </c>
      <c r="C1866" s="27"/>
      <c r="D1866" s="33" t="s">
        <v>14</v>
      </c>
      <c r="E1866" s="9"/>
      <c r="F1866" s="32"/>
      <c r="G1866" s="10"/>
      <c r="H1866" s="30" t="str">
        <f ca="1">IFERROR(__xludf.DUMMYFUNCTION("LOWER(REGEXREPLACE(B1866&amp;"" ""&amp;C1866,""[^а-яa-z0-9 ]"","" ""))")," ебель для гончарного дела ")</f>
        <v xml:space="preserve"> ебель для гончарного дела </v>
      </c>
    </row>
    <row r="1867" spans="1:8" ht="38.25" x14ac:dyDescent="0.2">
      <c r="A1867" s="31" t="s">
        <v>4263</v>
      </c>
      <c r="B1867" s="27" t="s">
        <v>4264</v>
      </c>
      <c r="C1867" s="27" t="s">
        <v>4265</v>
      </c>
      <c r="D1867" s="33" t="s">
        <v>14</v>
      </c>
      <c r="E1867" s="34">
        <v>2</v>
      </c>
      <c r="F1867" s="36">
        <v>11.78</v>
      </c>
      <c r="G1867" s="10">
        <v>109141</v>
      </c>
      <c r="H1867" s="30" t="str">
        <f ca="1">IFERROR(__xludf.DUMMYFUNCTION("LOWER(REGEXREPLACE(B1867&amp;"" ""&amp;C1867,""[^а-яa-z0-9 ]"","" ""))")," тол для гончарного круга типа  raft ab  толешница       толщиной 32 мм   ожки из профильной трубы  сечением 30х30 мм  окрашенной в порошковую краску   а колесиках с функцией блокировки   абариты  500х500х350 мм")</f>
        <v xml:space="preserve"> тол для гончарного круга типа  raft ab  толешница       толщиной 32 мм   ожки из профильной трубы  сечением 30х30 мм  окрашенной в порошковую краску   а колесиках с функцией блокировки   абариты  500х500х350 мм</v>
      </c>
    </row>
    <row r="1868" spans="1:8" ht="51" x14ac:dyDescent="0.2">
      <c r="A1868" s="31" t="s">
        <v>4266</v>
      </c>
      <c r="B1868" s="27" t="s">
        <v>4267</v>
      </c>
      <c r="C1868" s="27" t="s">
        <v>4268</v>
      </c>
      <c r="D1868" s="33" t="s">
        <v>14</v>
      </c>
      <c r="E1868" s="34">
        <v>2</v>
      </c>
      <c r="F1868" s="35">
        <v>44.2</v>
      </c>
      <c r="G1868" s="10">
        <v>440159</v>
      </c>
      <c r="H1868" s="30" t="str">
        <f ca="1">IFERROR(__xludf.DUMMYFUNCTION("LOWER(REGEXREPLACE(B1868&amp;"" ""&amp;C1868,""[^а-яa-z0-9 ]"","" ""))")," теллаж для сушки и хранения готовых изделий 900 х 450 х 1900 мм типа   ottery agic   теллаж изготовлен из металла и предназначен для хранения керамических изделий в гончарной мастерской   н имеет прочную конструкцию с регулируемыми полками  а также колес"&amp;"ики для легкого перемещения   абариты 900 х 450 х 1900мм")</f>
        <v xml:space="preserve"> теллаж для сушки и хранения готовых изделий 900 х 450 х 1900 мм типа   ottery agic   теллаж изготовлен из металла и предназначен для хранения керамических изделий в гончарной мастерской   н имеет прочную конструкцию с регулируемыми полками  а также колесики для легкого перемещения   абариты 900 х 450 х 1900мм</v>
      </c>
    </row>
    <row r="1869" spans="1:8" ht="25.5" x14ac:dyDescent="0.2">
      <c r="A1869" s="31" t="s">
        <v>4269</v>
      </c>
      <c r="B1869" s="27" t="s">
        <v>4270</v>
      </c>
      <c r="C1869" s="27"/>
      <c r="D1869" s="32"/>
      <c r="E1869" s="9"/>
      <c r="F1869" s="32"/>
      <c r="G1869" s="10"/>
      <c r="H1869" s="30" t="str">
        <f ca="1">IFERROR(__xludf.DUMMYFUNCTION("LOWER(REGEXREPLACE(B1869&amp;"" ""&amp;C1869,""[^а-яa-z0-9 ]"","" ""))")," абинет ракетостроения и космических технологий ")</f>
        <v xml:space="preserve"> абинет ракетостроения и космических технологий </v>
      </c>
    </row>
    <row r="1870" spans="1:8" ht="12.75" x14ac:dyDescent="0.2">
      <c r="A1870" s="31" t="s">
        <v>4271</v>
      </c>
      <c r="B1870" s="27" t="s">
        <v>4272</v>
      </c>
      <c r="C1870" s="27"/>
      <c r="D1870" s="33" t="s">
        <v>1506</v>
      </c>
      <c r="E1870" s="9"/>
      <c r="F1870" s="32"/>
      <c r="G1870" s="10"/>
      <c r="H1870" s="30" t="str">
        <f ca="1">IFERROR(__xludf.DUMMYFUNCTION("LOWER(REGEXREPLACE(B1870&amp;"" ""&amp;C1870,""[^а-яa-z0-9 ]"","" ""))")," абор ракетостроения ")</f>
        <v xml:space="preserve"> абор ракетостроения </v>
      </c>
    </row>
    <row r="1871" spans="1:8" ht="140.25" x14ac:dyDescent="0.2">
      <c r="A1871" s="31" t="s">
        <v>4273</v>
      </c>
      <c r="B1871" s="27" t="s">
        <v>4274</v>
      </c>
      <c r="C1871" s="27" t="s">
        <v>4275</v>
      </c>
      <c r="D1871" s="33" t="s">
        <v>1506</v>
      </c>
      <c r="E1871" s="9"/>
      <c r="F1871" s="35">
        <v>0.6</v>
      </c>
      <c r="G1871" s="10">
        <v>178300</v>
      </c>
      <c r="H1871" s="30" t="str">
        <f ca="1">IFERROR(__xludf.DUMMYFUNCTION("LOWER(REGEXREPLACE(B1871&amp;"" ""&amp;C1871,""[^а-яa-z0-9 ]"","" ""))")," абор ракетостроения для начального и среднего уровней  с прогнозируемой высотой не менее 150 300 м типа  ocket ise  xplorer  et  абор ракетостроения для начального и среднего уровней представляет собой комплект  позволяющий достичь высоты до 150 300 метр"&amp;"ов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наборе также присутствует система спасения ракеты с несколькими парашютами разного диа"&amp;"метра  от 60 до 100 см    вигатели  входящие в комплект  имеют разные диаметры и высоты  зависимости от типа конструкции и мощности    наборе  представлены только базовые двигатели для начальных запусков   ля каждого типа ракеты предусмотрены крепления  с"&amp;"оответствующие различным двигателям    наборе имеется следующие крепление для двигателей   4 2   6 2   5 3   8 3   4 4   6 4   6 7 ")</f>
        <v xml:space="preserve"> абор ракетостроения для начального и среднего уровней  с прогнозируемой высотой не менее 150 300 м типа  ocket ise  xplorer  et  абор ракетостроения для начального и среднего уровней представляет собой комплект  позволяющий достичь высоты до 150 300 метров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наборе также присутствует система спасения ракеты с несколькими парашютами разного диаметра  от 60 до 100 см    вигатели  входящие в комплект  имеют разные диаметры и высоты  зависимости от типа конструкции и мощности    наборе  представлены только базовые двигатели для начальных запусков   ля каждого типа ракеты предусмотрены крепления  соответствующие различным двигателям    наборе имеется следующие крепление для двигателей   4 2   6 2   5 3   8 3   4 4   6 4   6 7 </v>
      </c>
    </row>
    <row r="1872" spans="1:8" ht="191.25" x14ac:dyDescent="0.2">
      <c r="A1872" s="31" t="s">
        <v>4276</v>
      </c>
      <c r="B1872" s="27" t="s">
        <v>4277</v>
      </c>
      <c r="C1872" s="27" t="s">
        <v>4278</v>
      </c>
      <c r="D1872" s="33" t="s">
        <v>1506</v>
      </c>
      <c r="E1872" s="9"/>
      <c r="F1872" s="36">
        <v>0.22</v>
      </c>
      <c r="G1872" s="10">
        <v>203031</v>
      </c>
      <c r="H1872" s="30" t="str">
        <f ca="1">IFERROR(__xludf.DUMMYFUNCTION("LOWER(REGEXREPLACE(B1872&amp;"" ""&amp;C1872,""[^а-яa-z0-9 ]"","" ""))")," абор ракетостроения с прогнозируемой высотой не менее 450 м типа  ocket ise  xplorer  et  абор ракетостроения   етающая модель  12 шт   абор включает 12 моделей ракет  спроектированных для достижения высоты полета не менее 450 метров   ровень масштаба   "&amp;"редний   аждая модель ракеты предоставляет опыт работы с более сложными конструкциями и позволяет развивать базовые навыки в создании и запуске ракет   екомендуемые двигатели    комплект не входят рекомендуемые двигатели  включая  8 3   4 4   6 4   6 5 и "&amp;" 6 7  предоставляя множество вариантов для разнообразных запусков   роектируемая максимальная высота    использованием двигателя  6 7  максимальная высота полета составляет 478 метров   риентировочное время сборки   редполагается  что каждая модель ракеты"&amp;" может быть собрана за 1 час  время высыхания клея не включено    истема запуска   омплект совместим со стартовой площадкой и электронно лучевым пусковым контроллером  а также с любой системой запуска  поддерживающей пусковой стержень диаметром 1 8 дюйма "&amp;"  озрастные ограничения   екомендуется для мальчиков и девочек старше 10 лет под присмотром взрослых  а также для ракетчиков всех возрастов ")</f>
        <v xml:space="preserve"> абор ракетостроения с прогнозируемой высотой не менее 450 м типа  ocket ise  xplorer  et  абор ракетостроения   етающая модель  12 шт   абор включает 12 моделей ракет  спроектированных для достижения высоты полета не менее 450 метров   ровень масштаба   редний   аждая модель ракеты предоставляет опыт работы с более сложными конструкциями и позволяет развивать базовые навыки в создании и запуске ракет   екомендуемые двигатели    комплект не входят рекомендуемые двигатели  включая  8 3   4 4   6 4   6 5 и  6 7  предоставляя множество вариантов для разнообразных запусков   роектируемая максимальная высота    использованием двигателя  6 7  максимальная высота полета составляет 478 метров   риентировочное время сборки   редполагается  что каждая модель ракеты может быть собрана за 1 час  время высыхания клея не включено    истема запуска   омплект совместим со стартовой площадкой и электронно лучевым пусковым контроллером  а также с любой системой запуска  поддерживающей пусковой стержень диаметром 1 8 дюйма   озрастные ограничения   екомендуется для мальчиков и девочек старше 10 лет под присмотром взрослых  а также для ракетчиков всех возрастов </v>
      </c>
    </row>
    <row r="1873" spans="1:8" ht="140.25" x14ac:dyDescent="0.2">
      <c r="A1873" s="31" t="s">
        <v>4279</v>
      </c>
      <c r="B1873" s="27" t="s">
        <v>4280</v>
      </c>
      <c r="C1873" s="27" t="s">
        <v>4281</v>
      </c>
      <c r="D1873" s="33" t="s">
        <v>1506</v>
      </c>
      <c r="E1873" s="9"/>
      <c r="F1873" s="36">
        <v>0.05</v>
      </c>
      <c r="G1873" s="10">
        <v>108589</v>
      </c>
      <c r="H1873" s="30" t="str">
        <f ca="1">IFERROR(__xludf.DUMMYFUNCTION("LOWER(REGEXREPLACE(B1873&amp;"" ""&amp;C1873,""[^а-яa-z0-9 ]"","" ""))")," абор ракетостроения с прогнозируемой высотой не менее 150 м типа  ocket ise  xplorer  et  абор ракетостроения  3 бандита  для начинающих    комплект входит 3 мини ракеты  каждая с предварительно раскрашенными деталями  что делает сборку удивительно прост"&amp;"ой и увлекательной   рогнозируемая высота полета не менее 150 метров обеспечивает захватывающие моменты на летном поле   риентировочное время сборки составляет всего 2 часа  без учета времени высыхания краски и клея   позволяя быстро отправиться на поле и"&amp;" насладиться запуском ракет   екомендуемые двигатели включают   3 4    10 3    предоставляя возможность выбора подходящего двигателя для различных результатов   тот набор делает первые шаги в исследовании астрономии и ракетостроения легкими и увлекательны"&amp;"ми  предоставляя начинающим ракетчикам возможность погрузиться в науку и технику с восторгом ")</f>
        <v xml:space="preserve"> абор ракетостроения с прогнозируемой высотой не менее 150 м типа  ocket ise  xplorer  et  абор ракетостроения  3 бандита  для начинающих    комплект входит 3 мини ракеты  каждая с предварительно раскрашенными деталями  что делает сборку удивительно простой и увлекательной   рогнозируемая высота полета не менее 150 метров обеспечивает захватывающие моменты на летном поле   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екомендуемые двигатели включают   3 4    10 3    предоставляя возможность выбора подходящего двигателя для различных результатов   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 </v>
      </c>
    </row>
    <row r="1874" spans="1:8" ht="165.75" x14ac:dyDescent="0.2">
      <c r="A1874" s="31" t="s">
        <v>4282</v>
      </c>
      <c r="B1874" s="27" t="s">
        <v>4283</v>
      </c>
      <c r="C1874" s="27" t="s">
        <v>4284</v>
      </c>
      <c r="D1874" s="33" t="s">
        <v>1506</v>
      </c>
      <c r="E1874" s="9"/>
      <c r="F1874" s="36">
        <v>0.06</v>
      </c>
      <c r="G1874" s="10">
        <v>117585</v>
      </c>
      <c r="H1874" s="30" t="str">
        <f ca="1">IFERROR(__xludf.DUMMYFUNCTION("LOWER(REGEXREPLACE(B1874&amp;"" ""&amp;C1874,""[^а-яa-z0-9 ]"","" ""))")," абор для сборки летающей модели с высотой полета не менее 60м  не менее 10 парашютов типа  ocket ise  xplorer  et  абор для сборки летающей модели   еркурий редстоун    никальная летающая модель   тот комплект предоставляет отличную возможность создать у"&amp;"никальную летающую модель  которая достигает высоты полета не менее 60 метров и оснащена не менее чем 10 парашютами   екомендуемые двигатели   ля оптимальных результатов рекомендуется использовать двигатели  6 4 или  5 5  обеспечивающие стабильность и выс"&amp;"оту полета   истема восстановления   истема восстановления включает парашюты длиной 40 см  которые обеспечивают безопасное и надежное возвращение модели на землю   рочные материалы   ебра модели изготовлены из лазерно резанного бальзового дерева  что гара"&amp;"нтирует прочность и стабильность в полете   печатляющий диаметр   иаметр модели составляет 50 мм  делая ее визуально впечатляющей и привлекательной ")</f>
        <v xml:space="preserve"> абор для сборки летающей модели с высотой полета не менее 60м  не менее 10 парашютов типа  ocket ise  xplorer  et  абор для сборки летающей модели   еркурий редстоун    никальная летающая модель   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екомендуемые двигатели   ля оптимальных результатов рекомендуется использовать двигатели  6 4 или  5 5  обеспечивающие стабильность и высоту полета   истема восстановления   истема восстановления включает парашюты длиной 40 см  которые обеспечивают безопасное и надежное возвращение модели на землю   рочные материалы   ебра модели изготовлены из лазерно резанного бальзового дерева  что гарантирует прочность и стабильность в полете   печатляющий диаметр   иаметр модели составляет 50 мм  делая ее визуально впечатляющей и привлекательной </v>
      </c>
    </row>
    <row r="1875" spans="1:8" ht="38.25" x14ac:dyDescent="0.2">
      <c r="A1875" s="31" t="s">
        <v>4285</v>
      </c>
      <c r="B1875" s="27" t="s">
        <v>4286</v>
      </c>
      <c r="C1875" s="27"/>
      <c r="D1875" s="33" t="s">
        <v>1506</v>
      </c>
      <c r="E1875" s="9"/>
      <c r="F1875" s="36">
        <v>1.18</v>
      </c>
      <c r="G1875" s="10">
        <v>209446</v>
      </c>
      <c r="H1875" s="30" t="str">
        <f ca="1">IFERROR(__xludf.DUMMYFUNCTION("LOWER(REGEXREPLACE(B1875&amp;"" ""&amp;C1875,""[^а-яa-z0-9 ]"","" ""))")," бразовательный набор для сборки ракеты с содержанием более 90 элементов типа  ocket ise  xplorer  et ")</f>
        <v xml:space="preserve"> бразовательный набор для сборки ракеты с содержанием более 90 элементов типа  ocket ise  xplorer  et </v>
      </c>
    </row>
    <row r="1876" spans="1:8" ht="114.75" x14ac:dyDescent="0.2">
      <c r="A1876" s="31" t="s">
        <v>4287</v>
      </c>
      <c r="B1876" s="27" t="s">
        <v>4288</v>
      </c>
      <c r="C1876" s="27" t="s">
        <v>4289</v>
      </c>
      <c r="D1876" s="33" t="s">
        <v>1506</v>
      </c>
      <c r="E1876" s="34">
        <v>2</v>
      </c>
      <c r="F1876" s="37">
        <v>7.4999999999999997E-2</v>
      </c>
      <c r="G1876" s="10">
        <v>48936</v>
      </c>
      <c r="H1876" s="30" t="str">
        <f ca="1">IFERROR(__xludf.DUMMYFUNCTION("LOWER(REGEXREPLACE(B1876&amp;"" ""&amp;C1876,""[^а-яa-z0-9 ]"","" ""))")," аполнение ракеты для спасательной системы типа  ocket ise  xplorer  et  истема параплана для медленного и безопасного спуска ракеты после запуска  лектроника для активации спасательной системы в нужный момент  одробное руководство по установке и активаци"&amp;"и спасательной системы  ип наполнения   пециальные элементы и материалы  предназначенные для создания эффективной спасательной системы в ракете   атериалы   ысококачественные и огнеустойчивые материалы  обеспечивающие надежность и безопасность системы   м"&amp;"естимость   ассчитано на оптимальное количество материалов  необходимых для функционирования спасательной системы ")</f>
        <v xml:space="preserve"> аполнение ракеты для спасательной системы типа  ocket ise  xplorer  et  истема параплана для медленного и безопасного спуска ракеты после запуска  лектроника для активации спасательной системы в нужный момент  одробное руководство по установке и активации спасательной системы  ип наполнения   пециальные элементы и материалы  предназначенные для создания эффективной спасательной системы в ракете   атериалы   ысококачественные и огнеустойчивые материалы  обеспечивающие надежность и безопасность системы   местимость   ассчитано на оптимальное количество материалов  необходимых для функционирования спасательной системы </v>
      </c>
    </row>
    <row r="1877" spans="1:8" ht="12.75" x14ac:dyDescent="0.2">
      <c r="A1877" s="31" t="s">
        <v>4290</v>
      </c>
      <c r="B1877" s="27" t="s">
        <v>4291</v>
      </c>
      <c r="C1877" s="27"/>
      <c r="D1877" s="33" t="s">
        <v>1506</v>
      </c>
      <c r="E1877" s="9"/>
      <c r="F1877" s="32"/>
      <c r="G1877" s="10"/>
      <c r="H1877" s="30" t="str">
        <f ca="1">IFERROR(__xludf.DUMMYFUNCTION("LOWER(REGEXREPLACE(B1877&amp;"" ""&amp;C1877,""[^а-яa-z0-9 ]"","" ""))")," абор твердотопливных двигателей ")</f>
        <v xml:space="preserve"> абор твердотопливных двигателей </v>
      </c>
    </row>
    <row r="1878" spans="1:8" ht="127.5" x14ac:dyDescent="0.2">
      <c r="A1878" s="31" t="s">
        <v>4292</v>
      </c>
      <c r="B1878" s="27" t="s">
        <v>4293</v>
      </c>
      <c r="C1878" s="27" t="s">
        <v>4294</v>
      </c>
      <c r="D1878" s="33" t="s">
        <v>1506</v>
      </c>
      <c r="E1878" s="34">
        <v>2</v>
      </c>
      <c r="F1878" s="36">
        <v>0.36</v>
      </c>
      <c r="G1878" s="10">
        <v>155619</v>
      </c>
      <c r="H1878" s="30" t="str">
        <f ca="1">IFERROR(__xludf.DUMMYFUNCTION("LOWER(REGEXREPLACE(B1878&amp;"" ""&amp;C1878,""[^а-яa-z0-9 ]"","" ""))")," абор твердотопливных двигателей типа  ocket ise  xplorer  et  азнообразные твердотопливные двигатели  включая 50   100  и 200    ажигательные системы для активации двигателей  азъемные стойки и крепежные элементы для сборки ракетных конструкций  одробное"&amp;" руководство по сборке  запуску и безопасности  омплект защитных средств для безопасного использования  абор запасных запчастей и необходимых инструментов  аксимальная мощность твердотопливных двигателей   арьируется от 50  до 200  тяги  иаметр корпуса дв"&amp;"игателей   азличные диаметры от 18 мм до 29 мм  родолжительность работы двигателей   т 2 до 5 секунд  в зависимости от модели")</f>
        <v xml:space="preserve"> абор твердотопливных двигателей типа  ocket ise  xplorer  et  азнообразные твердотопливные двигатели  включая 50   100  и 200    ажигательные системы для активации двигателей  азъемные стойки и крепежные элементы для сборки ракетных конструкций  одробное руководство по сборке  запуску и безопасности  омплект защитных средств для безопасного использования  абор запасных запчастей и необходимых инструментов  аксимальная мощность твердотопливных двигателей   арьируется от 50  до 200  тяги  иаметр корпуса двигателей   азличные диаметры от 18 мм до 29 мм  родолжительность работы двигателей   т 2 до 5 секунд  в зависимости от модели</v>
      </c>
    </row>
    <row r="1879" spans="1:8" ht="153" x14ac:dyDescent="0.2">
      <c r="A1879" s="31" t="s">
        <v>4295</v>
      </c>
      <c r="B1879" s="27" t="s">
        <v>4296</v>
      </c>
      <c r="C1879" s="27" t="s">
        <v>4297</v>
      </c>
      <c r="D1879" s="33" t="s">
        <v>1506</v>
      </c>
      <c r="E1879" s="34">
        <v>2</v>
      </c>
      <c r="F1879" s="36">
        <v>0.35</v>
      </c>
      <c r="G1879" s="10">
        <v>58595</v>
      </c>
      <c r="H1879" s="30" t="str">
        <f ca="1">IFERROR(__xludf.DUMMYFUNCTION("LOWER(REGEXREPLACE(B1879&amp;"" ""&amp;C1879,""[^а-яa-z0-9 ]"","" ""))")," абор креплений твердотопливных двигателей типа  ocket ise  xplorer  et  репления для твердотопливных двигателей различных размеров  ариативные стойки и подставки для настройки угла наклона  азнообразные соединительные элементы и фиксаторы  ополнительные "&amp;"элементы для крепления стабилизаторов и аэродинамических деталей  нструменты для монтажа и настройки креплений  одробное руководство по сборке и настройке креплений  нформация о безопасном использовании и эксплуатации ип креплений   азнообразные крепления"&amp;" для твердотопливных двигателей  аксимальная нагрузка   ассчитано на удержание двигателей с тягой до 200   атериал   рочные и огнеустойчивые материалы для безопасной работы  аксимальная нагрузка   ассчитано на удержание двигателей с тягой до 200 ")</f>
        <v xml:space="preserve"> абор креплений твердотопливных двигателей типа  ocket ise  xplorer  et  репления для твердотопливных двигателей различных размеров  ариативные стойки и подставки для настройки угла наклона  азнообразные соединительные элементы и фиксаторы  ополнительные элементы для крепления стабилизаторов и аэродинамических деталей  нструменты для монтажа и настройки креплений  одробное руководство по сборке и настройке креплений  нформация о безопасном использовании и эксплуатации ип креплений   азнообразные крепления для твердотопливных двигателей  аксимальная нагрузка   ассчитано на удержание двигателей с тягой до 200   атериал   рочные и огнеустойчивые материалы для безопасной работы  аксимальная нагрузка   ассчитано на удержание двигателей с тягой до 200 </v>
      </c>
    </row>
    <row r="1880" spans="1:8" ht="12.75" x14ac:dyDescent="0.2">
      <c r="A1880" s="31" t="s">
        <v>4298</v>
      </c>
      <c r="B1880" s="27" t="s">
        <v>4299</v>
      </c>
      <c r="C1880" s="27"/>
      <c r="D1880" s="33" t="s">
        <v>1506</v>
      </c>
      <c r="E1880" s="9"/>
      <c r="F1880" s="32"/>
      <c r="G1880" s="10"/>
      <c r="H1880" s="30" t="str">
        <f ca="1">IFERROR(__xludf.DUMMYFUNCTION("LOWER(REGEXREPLACE(B1880&amp;"" ""&amp;C1880,""[^а-яa-z0-9 ]"","" ""))")," одель ракеты сборочная модель ")</f>
        <v xml:space="preserve"> одель ракеты сборочная модель </v>
      </c>
    </row>
    <row r="1881" spans="1:8" ht="114.75" x14ac:dyDescent="0.2">
      <c r="A1881" s="31" t="s">
        <v>4300</v>
      </c>
      <c r="B1881" s="27" t="s">
        <v>4301</v>
      </c>
      <c r="C1881" s="27" t="s">
        <v>4302</v>
      </c>
      <c r="D1881" s="33" t="s">
        <v>1506</v>
      </c>
      <c r="E1881" s="34">
        <v>2</v>
      </c>
      <c r="F1881" s="37">
        <v>0.107</v>
      </c>
      <c r="G1881" s="10">
        <v>86100</v>
      </c>
      <c r="H1881" s="30" t="str">
        <f ca="1">IFERROR(__xludf.DUMMYFUNCTION("LOWER(REGEXREPLACE(B1881&amp;"" ""&amp;C1881,""[^а-яa-z0-9 ]"","" ""))")," одель ракеты сборочная для учеников среднего класса  ип 1  ocket ise  xplorer  et 1 2 6 2   8 3   8 5   4 4   6 6   6 5   6 7  рогнозируемая максимальная высота 1600 футов  488 м    истема восстановления  еребристый майларовый стример диаметром 24 дюйма "&amp;" 61 см   лина 16 8 дюйма  42 7 см   иаметр 0 74 дюйма  19 мм    асчетное время сборки 1 час  время покраски и высыхания клея не включено   атериалы для плавника картон   ип декали самоклеящаяся  истема запуска  orta  ad    и электронно лучевой пусковой ко"&amp;"нтроллер  азмер пусковой штанги 1 8 дюйм")</f>
        <v xml:space="preserve"> одель ракеты сборочная для учеников среднего класса  ип 1  ocket ise  xplorer  et 1 2 6 2   8 3   8 5   4 4   6 6   6 5   6 7  рогнозируемая максимальная высота 1600 футов  488 м    истема восстановления  еребристый майларовый стример диаметром 24 дюйма  61 см   лина 16 8 дюйма  42 7 см   иаметр 0 74 дюйма  19 мм    асчетное время сборки 1 час  время покраски и высыхания клея не включено   атериалы для плавника картон   ип декали самоклеящаяся  истема запуска  orta  ad    и электронно лучевой пусковой контроллер  азмер пусковой штанги 1 8 дюйм</v>
      </c>
    </row>
    <row r="1882" spans="1:8" ht="114.75" x14ac:dyDescent="0.2">
      <c r="A1882" s="31" t="s">
        <v>4303</v>
      </c>
      <c r="B1882" s="27" t="s">
        <v>4304</v>
      </c>
      <c r="C1882" s="27" t="s">
        <v>4305</v>
      </c>
      <c r="D1882" s="33" t="s">
        <v>1506</v>
      </c>
      <c r="E1882" s="34">
        <v>2</v>
      </c>
      <c r="F1882" s="37">
        <v>0.104</v>
      </c>
      <c r="G1882" s="10">
        <v>88352</v>
      </c>
      <c r="H1882" s="30" t="str">
        <f ca="1">IFERROR(__xludf.DUMMYFUNCTION("LOWER(REGEXREPLACE(B1882&amp;"" ""&amp;C1882,""[^а-яa-z0-9 ]"","" ""))")," одель ракеты сборочная для учеников среднего класса  ип 2  ocket ise  xplorer  et 1 2 6 2   8 3   8 5   4 4   6 6   6 5   6 7  рогнозируемая максимальная высота 1600 футов  488 м   истема восстановления  еребристый майларовый стример диаметром 24 дюйма  "&amp;"61 см   лина 16 8 дюйма  42 7 см   иаметр 0 74 дюйма  19 мм   асчетное время сборки 1 час  время покраски и высыхания клея не включено   атериалы для плавника  артон  ип декали  амоклеящаяся  истема запуска  orta  ad    и электронно лучевой пусковой контр"&amp;"оллер  азмер пусковой штанги 1 8 дюйм")</f>
        <v xml:space="preserve"> одель ракеты сборочная для учеников среднего класса  ип 2  ocket ise  xplorer  et 1 2 6 2   8 3   8 5   4 4   6 6   6 5   6 7  рогнозируемая максимальная высота 1600 футов  488 м   истема восстановления  еребристый майларовый стример диаметром 24 дюйма  61 см   лина 16 8 дюйма  42 7 см   иаметр 0 74 дюйма  19 мм   асчетное время сборки 1 час  время покраски и высыхания клея не включено   атериалы для плавника  артон  ип декали  амоклеящаяся  истема запуска  orta  ad    и электронно лучевой пусковой контроллер  азмер пусковой штанги 1 8 дюйм</v>
      </c>
    </row>
    <row r="1883" spans="1:8" ht="127.5" x14ac:dyDescent="0.2">
      <c r="A1883" s="31" t="s">
        <v>4306</v>
      </c>
      <c r="B1883" s="27" t="s">
        <v>4307</v>
      </c>
      <c r="C1883" s="27" t="s">
        <v>4308</v>
      </c>
      <c r="D1883" s="33" t="s">
        <v>1506</v>
      </c>
      <c r="E1883" s="34">
        <v>2</v>
      </c>
      <c r="F1883" s="37">
        <v>0.107</v>
      </c>
      <c r="G1883" s="10">
        <v>79357</v>
      </c>
      <c r="H1883" s="30" t="str">
        <f ca="1">IFERROR(__xludf.DUMMYFUNCTION("LOWER(REGEXREPLACE(B1883&amp;"" ""&amp;C1883,""[^а-яa-z0-9 ]"","" ""))")," одель ракеты сборочная для учеников среднего класса  ип 3  ocket ise  xplorer  et 1 2 6 2   8 3  рогнозируемая максимальная высота 500 футов  152 м   истема восстановления  eatherweight  лина 5 9 дюйма  15 см   иаметр 0 74 дюйма  19 мм   асчетное время с"&amp;"борки 1 час  время покраски и высыхания клея не включено   атериалы плавника  азерная резка дерева  ип деколи  одорастворимая  истема запуска  тартовая площадка  orta  ad    и электронно лучевой пусковой контроллер  азмер пусковой штанги 1 8 дюйм")</f>
        <v xml:space="preserve"> одель ракеты сборочная для учеников среднего класса  ип 3  ocket ise  xplorer  et 1 2 6 2   8 3  рогнозируемая максимальная высота 500 футов  152 м   истема восстановления  eatherweight  лина 5 9 дюйма  15 см   иаметр 0 74 дюйма  19 мм   асчетное время сборки 1 час  время покраски и высыхания клея не включено   атериалы плавника  азерная резка дерева  ип деколи  одорастворимая  истема запуска  тартовая площадка  orta  ad    и электронно лучевой пусковой контроллер  азмер пусковой штанги 1 8 дюйм</v>
      </c>
    </row>
    <row r="1884" spans="1:8" ht="102" x14ac:dyDescent="0.2">
      <c r="A1884" s="31" t="s">
        <v>4309</v>
      </c>
      <c r="B1884" s="27" t="s">
        <v>4310</v>
      </c>
      <c r="C1884" s="27" t="s">
        <v>4311</v>
      </c>
      <c r="D1884" s="33" t="s">
        <v>1506</v>
      </c>
      <c r="E1884" s="34">
        <v>2</v>
      </c>
      <c r="F1884" s="36">
        <v>0.09</v>
      </c>
      <c r="G1884" s="10">
        <v>117586</v>
      </c>
      <c r="H1884" s="30" t="str">
        <f ca="1">IFERROR(__xludf.DUMMYFUNCTION("LOWER(REGEXREPLACE(B1884&amp;"" ""&amp;C1884,""[^а-яa-z0-9 ]"","" ""))")," одель ракеты сборочная для учеников среднего класса  ип 4  ocket ise  xplorer  et  12 5   12 6  рогнозируемая максимальная высота 900 футов  274 м   истема восстановления  арашют длиной 18 дюймов  45 7 см   лина 45 2 дюйма  114 8 см   иаметр 1 64 дюйма  "&amp;"42 мм   асчетное время сборки 2 3 часа  время покраски и высыхания клея не включено   атериалы плавника  азерная резка дерева  ип деколи  одорастворимая  истема запуска  онтроллер запуска  orta  ad   и    азмер пусковой штанги 3 16 дюйм")</f>
        <v xml:space="preserve"> одель ракеты сборочная для учеников среднего класса  ип 4  ocket ise  xplorer  et  12 5   12 6  рогнозируемая максимальная высота 900 футов  274 м   истема восстановления  арашют длиной 18 дюймов  45 7 см   лина 45 2 дюйма  114 8 см   иаметр 1 64 дюйма  42 мм   асчетное время сборки 2 3 часа  время покраски и высыхания клея не включено   атериалы плавника  азерная резка дерева  ип деколи  одорастворимая  истема запуска  онтроллер запуска  orta  ad   и    азмер пусковой штанги 3 16 дюйм</v>
      </c>
    </row>
    <row r="1885" spans="1:8" ht="114.75" x14ac:dyDescent="0.2">
      <c r="A1885" s="31" t="s">
        <v>4312</v>
      </c>
      <c r="B1885" s="27" t="s">
        <v>4313</v>
      </c>
      <c r="C1885" s="27" t="s">
        <v>4314</v>
      </c>
      <c r="D1885" s="33" t="s">
        <v>1506</v>
      </c>
      <c r="E1885" s="34">
        <v>2</v>
      </c>
      <c r="F1885" s="36">
        <v>0.06</v>
      </c>
      <c r="G1885" s="10">
        <v>58794</v>
      </c>
      <c r="H1885" s="30" t="str">
        <f ca="1">IFERROR(__xludf.DUMMYFUNCTION("LOWER(REGEXREPLACE(B1885&amp;"" ""&amp;C1885,""[^а-яa-z0-9 ]"","" ""))")," одель ракеты сборочная для учеников среднего класса  ип 5  ocket ise  xplorer  et 1 2 6 2   8 3   8 5   4 4   6 4   6 6   6 5   6 7 с адаптером двигателя  продается отдельно     10 3   роектируемая максимальная высота 1600 футов  488 м   истема восстанов"&amp;"ления 18 дюймов  45 7 см   тример  лина 12 дюймов  30 5 см   иаметр 0 74 дюйма  19 мм   асчетное время сборки 1 час  время покраски и высыхания клея не включено   атериалы плавника  азерная резка дерева  ип декали  амоклеящаяся  истема запуска  orta  ad  "&amp;"  и электронно лучевой пусковой контроллер  азмер пусковой штанги 1 8 дюйм")</f>
        <v xml:space="preserve"> одель ракеты сборочная для учеников среднего класса  ип 5  ocket ise  xplorer  et 1 2 6 2   8 3   8 5   4 4   6 4   6 6   6 5   6 7 с адаптером двигателя  продается отдельно     10 3   роектируемая максимальная высота 1600 футов  488 м   истема восстановления 18 дюймов  45 7 см   тример  лина 12 дюймов  30 5 см   иаметр 0 74 дюйма  19 мм   асчетное время сборки 1 час  время покраски и высыхания клея не включено   атериалы плавника  азерная резка дерева  ип декали  амоклеящаяся  истема запуска  orta  ad    и электронно лучевой пусковой контроллер  азмер пусковой штанги 1 8 дюйм</v>
      </c>
    </row>
    <row r="1886" spans="1:8" ht="127.5" x14ac:dyDescent="0.2">
      <c r="A1886" s="31" t="s">
        <v>4315</v>
      </c>
      <c r="B1886" s="27" t="s">
        <v>4316</v>
      </c>
      <c r="C1886" s="27" t="s">
        <v>4317</v>
      </c>
      <c r="D1886" s="33" t="s">
        <v>1506</v>
      </c>
      <c r="E1886" s="34">
        <v>2</v>
      </c>
      <c r="F1886" s="36">
        <v>7.0000000000000007E-2</v>
      </c>
      <c r="G1886" s="10">
        <v>74533</v>
      </c>
      <c r="H1886" s="30" t="str">
        <f ca="1">IFERROR(__xludf.DUMMYFUNCTION("LOWER(REGEXREPLACE(B1886&amp;"" ""&amp;C1886,""[^а-яa-z0-9 ]"","" ""))")," одель ракеты сборочная для учеников среднего класса  ип 6  ocket ise  xplorer  et  4 2   6 4  рогнозируемая максимальная высота 700 футов  213 м   истема восстановления 2x 36 дюймов  91 4 см  майларовых стримеров  лина 21 1 дюйма  53 6 см   иаметр 1 8 дю"&amp;"йма  46 мм   асчетное время сборки 3 часа  время на покраску и сушку клея не включено   атериалы плавника  азерная резка дерева  ип деколи  одорастворимая  истема запуска  усковая площадка  orta  ad    и пусковой контроллер  ro  eries     азмер пусковой ш"&amp;"танги 1 8 дюйм")</f>
        <v xml:space="preserve"> одель ракеты сборочная для учеников среднего класса  ип 6  ocket ise  xplorer  et  4 2   6 4  рогнозируемая максимальная высота 700 футов  213 м   истема восстановления 2x 36 дюймов  91 4 см  майларовых стримеров  лина 21 1 дюйма  53 6 см   иаметр 1 8 дюйма  46 мм   асчетное время сборки 3 часа  время на покраску и сушку клея не включено   атериалы плавника  азерная резка дерева  ип деколи  одорастворимая  истема запуска  усковая площадка  orta  ad    и пусковой контроллер  ro  eries     азмер пусковой штанги 1 8 дюйм</v>
      </c>
    </row>
    <row r="1887" spans="1:8" ht="127.5" x14ac:dyDescent="0.2">
      <c r="A1887" s="31" t="s">
        <v>4318</v>
      </c>
      <c r="B1887" s="27" t="s">
        <v>4319</v>
      </c>
      <c r="C1887" s="27" t="s">
        <v>4320</v>
      </c>
      <c r="D1887" s="33" t="s">
        <v>1506</v>
      </c>
      <c r="E1887" s="34">
        <v>2</v>
      </c>
      <c r="F1887" s="36">
        <v>7.0000000000000007E-2</v>
      </c>
      <c r="G1887" s="10">
        <v>81280</v>
      </c>
      <c r="H1887" s="30" t="str">
        <f ca="1">IFERROR(__xludf.DUMMYFUNCTION("LOWER(REGEXREPLACE(B1887&amp;"" ""&amp;C1887,""[^а-яa-z0-9 ]"","" ""))")," одель ракеты сборочная для учеников среднего класса  ип 7  ocket ise  xplorer  et  6 4   6 6   6 5   6 7  ве ступени   акета   6 4   6 6   6 5   6 7  устер   6 0   6 0  рогнозируемая максимальная высота 1200 футов  366 м   истема восстановления  арашют 1"&amp;"2 дюймов  30 5 см   скольжение  кувыркание  лина 25 дюймов  63 5 см   иаметр 0 98 дюйма  25 мм   асчетное время сборки 4 часа  время на сушку клея и покраску не включено   атериалы плавника  азерная резка дерева  ип деколи  одорастворимая  истема запуска "&amp;" orta  ad    и электронно лучевой пусковой контроллер  азмер пусковой штанги 1 8 дюйм")</f>
        <v xml:space="preserve"> одель ракеты сборочная для учеников среднего класса  ип 7  ocket ise  xplorer  et  6 4   6 6   6 5   6 7  ве ступени   акета   6 4   6 6   6 5   6 7  устер   6 0   6 0  рогнозируемая максимальная высота 1200 футов  366 м   истема восстановления  арашют 12 дюймов  30 5 см   скольжение  кувыркание  лина 25 дюймов  63 5 см   иаметр 0 98 дюйма  25 мм   асчетное время сборки 4 часа  время на сушку клея и покраску не включено   атериалы плавника  азерная резка дерева  ип деколи  одорастворимая  истема запуска  orta  ad    и электронно лучевой пусковой контроллер  азмер пусковой штанги 1 8 дюйм</v>
      </c>
    </row>
    <row r="1888" spans="1:8" ht="102" x14ac:dyDescent="0.2">
      <c r="A1888" s="31" t="s">
        <v>4321</v>
      </c>
      <c r="B1888" s="27" t="s">
        <v>4322</v>
      </c>
      <c r="C1888" s="27" t="s">
        <v>4323</v>
      </c>
      <c r="D1888" s="33" t="s">
        <v>1506</v>
      </c>
      <c r="E1888" s="34">
        <v>2</v>
      </c>
      <c r="F1888" s="36">
        <v>0.19</v>
      </c>
      <c r="G1888" s="10">
        <v>198211</v>
      </c>
      <c r="H1888" s="30" t="str">
        <f ca="1">IFERROR(__xludf.DUMMYFUNCTION("LOWER(REGEXREPLACE(B1888&amp;"" ""&amp;C1888,""[^а-яa-z0-9 ]"","" ""))")," одель ракеты сборочная для учеников среднего класса  ип 8  ocket ise  xplorer  et  11 3   12 3   12 4   12 6  рогнозируемая максимальная высота 1000 футов  305 м   истема восстановления 1x 15 дюймов  38 1 см  парашют 1x 18 дюймов  45 7 см  парашют  лина "&amp;"26 8 дюйма  68 1 см   иаметр 2 62 дюйма  67 мм   асчетное время сборки 10 часов  время покраски и высыхания клея не включено   атериалы плавника  ластик  отлитый под давлением  ип декали  одорастворимая  истема запуска    aunch  ad и контроллер запуска  r"&amp;"o  eries     азмер пусковой штанги 3 16   axi  od  продается отдельно ")</f>
        <v xml:space="preserve"> одель ракеты сборочная для учеников среднего класса  ип 8  ocket ise  xplorer  et  11 3   12 3   12 4   12 6  рогнозируемая максимальная высота 1000 футов  305 м   истема восстановления 1x 15 дюймов  38 1 см  парашют 1x 18 дюймов  45 7 см  парашют  лина 26 8 дюйма  68 1 см   иаметр 2 62 дюйма  67 мм   асчетное время сборки 10 часов  время покраски и высыхания клея не включено   атериалы плавника  ластик  отлитый под давлением  ип декали  одорастворимая  истема запуска    aunch  ad и контроллер запуска  ro  eries     азмер пусковой штанги 3 16   axi  od  продается отдельно </v>
      </c>
    </row>
    <row r="1889" spans="1:8" ht="114.75" x14ac:dyDescent="0.2">
      <c r="A1889" s="31" t="s">
        <v>4324</v>
      </c>
      <c r="B1889" s="27" t="s">
        <v>4325</v>
      </c>
      <c r="C1889" s="27" t="s">
        <v>4326</v>
      </c>
      <c r="D1889" s="33" t="s">
        <v>1506</v>
      </c>
      <c r="E1889" s="34">
        <v>2</v>
      </c>
      <c r="F1889" s="37">
        <v>9.9000000000000005E-2</v>
      </c>
      <c r="G1889" s="10">
        <v>99269</v>
      </c>
      <c r="H1889" s="30" t="str">
        <f ca="1">IFERROR(__xludf.DUMMYFUNCTION("LOWER(REGEXREPLACE(B1889&amp;"" ""&amp;C1889,""[^а-яa-z0-9 ]"","" ""))")," одель ракеты сборочная для учеников среднего класса  ип 9  ocket ise  xplorer  et  ве ступени   акета   12 5   12 7   12 8  устер   12 0   12 0  рогнозируемая максимальная высота 2300 футов  701 м   истема восстановления  арашют 18 дюймов  45 7 см   лина"&amp;" 31 5 дюйма  80 см   иаметр 1 64 дюйма  42 мм   асчетное время сборки 6 часов  время на покраску и сушку клея не включено   атериалы плавника  азерная резка дерева  ип деколи  одорастворимая  истема запуска  онтроллер запуска  orta  ad    или  orta  ad   "&amp;"и    азмер пусковой штанги 3 16   axi  od  продается отдельно ")</f>
        <v xml:space="preserve"> одель ракеты сборочная для учеников среднего класса  ип 9  ocket ise  xplorer  et  ве ступени   акета   12 5   12 7   12 8  устер   12 0   12 0  рогнозируемая максимальная высота 2300 футов  701 м   истема восстановления  арашют 18 дюймов  45 7 см   лина 31 5 дюйма  80 см   иаметр 1 64 дюйма  42 мм   асчетное время сборки 6 часов  время на покраску и сушку клея не включено   атериалы плавника  азерная резка дерева  ип деколи  одорастворимая  истема запуска  онтроллер запуска  orta  ad    или  orta  ad   и    азмер пусковой штанги 3 16   axi  od  продается отдельно </v>
      </c>
    </row>
    <row r="1890" spans="1:8" ht="12.75" x14ac:dyDescent="0.2">
      <c r="A1890" s="31" t="s">
        <v>4327</v>
      </c>
      <c r="B1890" s="27" t="s">
        <v>4328</v>
      </c>
      <c r="C1890" s="27"/>
      <c r="D1890" s="33" t="s">
        <v>1506</v>
      </c>
      <c r="E1890" s="9"/>
      <c r="F1890" s="32"/>
      <c r="G1890" s="10"/>
      <c r="H1890" s="30" t="str">
        <f ca="1">IFERROR(__xludf.DUMMYFUNCTION("LOWER(REGEXREPLACE(B1890&amp;"" ""&amp;C1890,""[^а-яa-z0-9 ]"","" ""))")," тартер ")</f>
        <v xml:space="preserve"> тартер </v>
      </c>
    </row>
    <row r="1891" spans="1:8" ht="127.5" x14ac:dyDescent="0.2">
      <c r="A1891" s="31" t="s">
        <v>4329</v>
      </c>
      <c r="B1891" s="8" t="s">
        <v>4330</v>
      </c>
      <c r="C1891" s="27" t="s">
        <v>4331</v>
      </c>
      <c r="D1891" s="33" t="s">
        <v>1506</v>
      </c>
      <c r="E1891" s="34">
        <v>2</v>
      </c>
      <c r="F1891" s="37">
        <v>6.5000000000000002E-2</v>
      </c>
      <c r="G1891" s="10">
        <v>50664</v>
      </c>
      <c r="H1891" s="30" t="str">
        <f ca="1">IFERROR(__xludf.DUMMYFUNCTION("LOWER(REGEXREPLACE(B1891&amp;"" ""&amp;C1891,""[^а-яa-z0-9 ]"","" ""))")," тартер зажигания двигателя сборочной ракеты типа  ocket ise  xplorer  et  абор нихромовых стартеров различных сопротивлений  ополнительные провода для соединения стартеров с источником питания  одробное руководство по использованию и безопасности   ип ст"&amp;"артера   ихромовые стартеры  специально разработанные для активации двигателей сборочных ракет   атериал   ихромовая проволока  известная своей высокой температурной стойкостью и способностью к созданию надежных зажигательных искр   опротивление   азнообр"&amp;"азные нихромовые стартеры с разным сопротивлением для подбора оптимальных характеристик зажигания   одключение   аждый стартер оснащен удобными клеммами или проводами для простого подключения ")</f>
        <v xml:space="preserve"> тартер зажигания двигателя сборочной ракеты типа  ocket ise  xplorer  et  абор нихромовых стартеров различных сопротивлений  ополнительные провода для соединения стартеров с источником питания  одробное руководство по использованию и безопасности   ип стартера   ихромовые стартеры  специально разработанные для активации двигателей сборочных ракет   атериал   ихромовая проволока  известная своей высокой температурной стойкостью и способностью к созданию надежных зажигательных искр   опротивление   азнообразные нихромовые стартеры с разным сопротивлением для подбора оптимальных характеристик зажигания   одключение   аждый стартер оснащен удобными клеммами или проводами для простого подключения </v>
      </c>
    </row>
    <row r="1892" spans="1:8" ht="76.5" x14ac:dyDescent="0.2">
      <c r="A1892" s="31" t="s">
        <v>4332</v>
      </c>
      <c r="B1892" s="8" t="s">
        <v>4333</v>
      </c>
      <c r="C1892" s="27" t="s">
        <v>4334</v>
      </c>
      <c r="D1892" s="33" t="s">
        <v>1506</v>
      </c>
      <c r="E1892" s="34">
        <v>2</v>
      </c>
      <c r="F1892" s="37">
        <v>2.5000000000000001E-2</v>
      </c>
      <c r="G1892" s="10">
        <v>50664</v>
      </c>
      <c r="H1892" s="30" t="str">
        <f ca="1">IFERROR(__xludf.DUMMYFUNCTION("LOWER(REGEXREPLACE(B1892&amp;"" ""&amp;C1892,""[^а-яa-z0-9 ]"","" ""))")," репление стартера типа  ocket ise  xplorer  et  абор креплений для фиксации стартеров зажигания  одробное руководство по применению и безопасности  ип крепления   пециальные крепления  предназначенные для удержания и фиксации стартеров зажигания   атериа"&amp;"л   рочный и огнеустойчивый материал  обеспечивающий надежную поддержку и безопасность ")</f>
        <v xml:space="preserve"> репление стартера типа  ocket ise  xplorer  et  абор креплений для фиксации стартеров зажигания  одробное руководство по применению и безопасности  ип крепления   пециальные крепления  предназначенные для удержания и фиксации стартеров зажигания   атериал   рочный и огнеустойчивый материал  обеспечивающий надежную поддержку и безопасность </v>
      </c>
    </row>
    <row r="1893" spans="1:8" ht="12.75" x14ac:dyDescent="0.2">
      <c r="A1893" s="31" t="s">
        <v>4335</v>
      </c>
      <c r="B1893" s="27" t="s">
        <v>4336</v>
      </c>
      <c r="C1893" s="27"/>
      <c r="D1893" s="33" t="s">
        <v>14</v>
      </c>
      <c r="E1893" s="9"/>
      <c r="F1893" s="32"/>
      <c r="G1893" s="10"/>
      <c r="H1893" s="30" t="str">
        <f ca="1">IFERROR(__xludf.DUMMYFUNCTION("LOWER(REGEXREPLACE(B1893&amp;"" ""&amp;C1893,""[^а-яa-z0-9 ]"","" ""))")," арашют ")</f>
        <v xml:space="preserve"> арашют </v>
      </c>
    </row>
    <row r="1894" spans="1:8" ht="114.75" x14ac:dyDescent="0.2">
      <c r="A1894" s="31" t="s">
        <v>4337</v>
      </c>
      <c r="B1894" s="27" t="s">
        <v>4338</v>
      </c>
      <c r="C1894" s="27" t="s">
        <v>4339</v>
      </c>
      <c r="D1894" s="33" t="s">
        <v>14</v>
      </c>
      <c r="E1894" s="9"/>
      <c r="F1894" s="37">
        <v>2.3E-2</v>
      </c>
      <c r="G1894" s="10">
        <v>64502</v>
      </c>
      <c r="H1894" s="30" t="str">
        <f ca="1">IFERROR(__xludf.DUMMYFUNCTION("LOWER(REGEXREPLACE(B1894&amp;"" ""&amp;C1894,""[^а-яa-z0-9 ]"","" ""))")," арашют 24 дюйма типа  ocket ise  xplorer  et  азмер парашюта  24 дюйма  приблизительно 61 см   пециальные крепежные элементы для надежной фиксации парашюта к ракете  одробное руководство по установке и использованию парашюта  атериал   егкий и прочный ма"&amp;"териал  обеспечивающий надежное и плавное развертывание парашюта   азначение   спользуется для обеспечения медленного и контролируемого спуска ракеты после достижения максимальной высоты полета   ес ракеты   ассчитан на спасательное использование для раке"&amp;"т определенного веса и размера ")</f>
        <v xml:space="preserve"> арашют 24 дюйма типа  ocket ise  xplorer  et  азмер парашюта  24 дюйма  приблизительно 61 см   пециальные крепежные элементы для надежной фиксации парашюта к ракете  одробное руководство по установке и использованию парашюта  атериал   егкий и прочный материал  обеспечивающий надежное и плавное развертывание парашюта   азначение   спользуется для обеспечения медленного и контролируемого спуска ракеты после достижения максимальной высоты полета   ес ракеты   ассчитан на спасательное использование для ракет определенного веса и размера </v>
      </c>
    </row>
    <row r="1895" spans="1:8" ht="140.25" x14ac:dyDescent="0.2">
      <c r="A1895" s="31" t="s">
        <v>4340</v>
      </c>
      <c r="B1895" s="27" t="s">
        <v>4341</v>
      </c>
      <c r="C1895" s="27" t="s">
        <v>4342</v>
      </c>
      <c r="D1895" s="33" t="s">
        <v>14</v>
      </c>
      <c r="E1895" s="9"/>
      <c r="F1895" s="36">
        <v>0.02</v>
      </c>
      <c r="G1895" s="10">
        <v>29657</v>
      </c>
      <c r="H1895" s="30" t="str">
        <f ca="1">IFERROR(__xludf.DUMMYFUNCTION("LOWER(REGEXREPLACE(B1895&amp;"" ""&amp;C1895,""[^а-яa-z0-9 ]"","" ""))")," арашют 16 дюйма типа  ocket ise  xplorer  et  азмер парашюта  16 дюймов  приблизительно 41 см    пециальные карабины и нити для надежной фиксации парашюта к ракете  нструкция по установке и активации парашюта  атериал   ысокопрочный нейлон  обеспечивающи"&amp;"й надежное развертывание и долговечность парашюта   агрузочная способность   ассчитан на снижение скорости спуска ракеты массой до 500 грамм   пособ развертывания   войное кольцо для надежного и плавного развертывания при достижении определенной высоты   "&amp;"ес парашюта   егкий вес парашюта  что позволяет максимизировать эффективность и безопасность спуска ")</f>
        <v xml:space="preserve"> арашют 16 дюйма типа  ocket ise  xplorer  et  азмер парашюта  16 дюймов  приблизительно 41 см    пециальные карабины и нити для надежной фиксации парашюта к ракете  нструкция по установке и активации парашюта  атериал   ысокопрочный нейлон  обеспечивающий надежное развертывание и долговечность парашюта   агрузочная способность   ассчитан на снижение скорости спуска ракеты массой до 500 грамм   пособ развертывания   войное кольцо для надежного и плавного развертывания при достижении определенной высоты   ес парашюта   егкий вес парашюта  что позволяет максимизировать эффективность и безопасность спуска </v>
      </c>
    </row>
    <row r="1896" spans="1:8" ht="127.5" x14ac:dyDescent="0.2">
      <c r="A1896" s="31" t="s">
        <v>4343</v>
      </c>
      <c r="B1896" s="27" t="s">
        <v>4344</v>
      </c>
      <c r="C1896" s="27" t="s">
        <v>4345</v>
      </c>
      <c r="D1896" s="33" t="s">
        <v>14</v>
      </c>
      <c r="E1896" s="9"/>
      <c r="F1896" s="37">
        <v>1.2999999999999999E-2</v>
      </c>
      <c r="G1896" s="10">
        <v>26198</v>
      </c>
      <c r="H1896" s="30" t="str">
        <f ca="1">IFERROR(__xludf.DUMMYFUNCTION("LOWER(REGEXREPLACE(B1896&amp;"" ""&amp;C1896,""[^а-яa-z0-9 ]"","" ""))")," арашют 6 дюйма типа  ocket ise  xplorer  et  азмер парашюта  6 дюймов  приблизительно 15 см    елкие карабины и нити для надежной фиксации парашюта к ракете  нструкция по установке и активации парашюта  атериал   егкий и прочный нейлон  специально подобр"&amp;"анный для обеспечения надежного развертывания парашюта при небольших размерах   агрузочная способность   ассчитан на снижение скорости спуска ракеты массой до 250 грамм   пособ развертывания   диночное кольцо для быстрого и эффективного развертывания   ес"&amp;" парашюта   инимальный вес парашюта  что позволяет использовать его с небольшими ракетами и сохранять стабильность полета ")</f>
        <v xml:space="preserve"> арашют 6 дюйма типа  ocket ise  xplorer  et  азмер парашюта  6 дюймов  приблизительно 15 см    елкие карабины и нити для надежной фиксации парашюта к ракете  нструкция по установке и активации парашюта  атериал   егкий и прочный нейлон  специально подобранный для обеспечения надежного развертывания парашюта при небольших размерах   агрузочная способность   ассчитан на снижение скорости спуска ракеты массой до 250 грамм   пособ развертывания   диночное кольцо для быстрого и эффективного развертывания   ес парашюта   инимальный вес парашюта  что позволяет использовать его с небольшими ракетами и сохранять стабильность полета </v>
      </c>
    </row>
    <row r="1897" spans="1:8" ht="12.75" x14ac:dyDescent="0.2">
      <c r="A1897" s="31" t="s">
        <v>4346</v>
      </c>
      <c r="B1897" s="27" t="s">
        <v>4347</v>
      </c>
      <c r="C1897" s="27"/>
      <c r="D1897" s="33" t="s">
        <v>1506</v>
      </c>
      <c r="E1897" s="9"/>
      <c r="F1897" s="32"/>
      <c r="G1897" s="10"/>
      <c r="H1897" s="30" t="str">
        <f ca="1">IFERROR(__xludf.DUMMYFUNCTION("LOWER(REGEXREPLACE(B1897&amp;"" ""&amp;C1897,""[^а-яa-z0-9 ]"","" ""))")," танция и контроллер запуска ")</f>
        <v xml:space="preserve"> танция и контроллер запуска </v>
      </c>
    </row>
    <row r="1898" spans="1:8" ht="191.25" x14ac:dyDescent="0.2">
      <c r="A1898" s="31" t="s">
        <v>4348</v>
      </c>
      <c r="B1898" s="27" t="s">
        <v>4349</v>
      </c>
      <c r="C1898" s="27" t="s">
        <v>4350</v>
      </c>
      <c r="D1898" s="33" t="s">
        <v>1506</v>
      </c>
      <c r="E1898" s="34">
        <v>2</v>
      </c>
      <c r="F1898" s="37">
        <v>0.309</v>
      </c>
      <c r="G1898" s="10">
        <v>62523</v>
      </c>
      <c r="H1898" s="30" t="str">
        <f ca="1">IFERROR(__xludf.DUMMYFUNCTION("LOWER(REGEXREPLACE(B1898&amp;"" ""&amp;C1898,""[^а-яa-z0-9 ]"","" ""))")," танция запуска для средних моделей ракет типа  ocket ise  xplorer  et  ортативная станция сборки и запуска  истема удержания для надежной фиксации ракеты  ополнительные элементы для безопасной и стабильной работы станции  одробное руководство по сборке  "&amp;"настройке и использованию станции  ип станции   ортативная станция  предназначенная для запуска средних моделей ракет   атериал   рочный и устойчивый к воздействию погодных условий материал   азмер   птимальный размер  обеспечивающий устойчивость и безопа"&amp;"сность при запуске   аксимальная высота запуска   ассчитана на запуск ракет на высоту до 500 метров   егулируемая наклонная площадка   озволяет настраивать угол наклона ракеты для оптимальных полетных характеристик   истема удержания   борудована надежным"&amp;"и устройствами для фиксации ракеты во время запуска   аксимальная высота   о 1 5 метра  аксимальный диаметр ракеты   о 10 см  аксимальный угол наклона   о 45 градусов  ремя сборки   коло 15 минут")</f>
        <v xml:space="preserve"> танция запуска для средних моделей ракет типа  ocket ise  xplorer  et  ортативная станция сборки и запуска  истема удержания для надежной фиксации ракеты  ополнительные элементы для безопасной и стабильной работы станции  одробное руководство по сборке  настройке и использованию станции  ип станции   ортативная станция  предназначенная для запуска средних моделей ракет   атериал   рочный и устойчивый к воздействию погодных условий материал   азмер   птимальный размер  обеспечивающий устойчивость и безопасность при запуске   аксимальная высота запуска   ассчитана на запуск ракет на высоту до 500 метров   егулируемая наклонная площадка   озволяет настраивать угол наклона ракеты для оптимальных полетных характеристик   истема удержания   борудована надежными устройствами для фиксации ракеты во время запуска   аксимальная высота   о 1 5 метра  аксимальный диаметр ракеты   о 10 см  аксимальный угол наклона   о 45 градусов  ремя сборки   коло 15 минут</v>
      </c>
    </row>
    <row r="1899" spans="1:8" ht="229.5" x14ac:dyDescent="0.2">
      <c r="A1899" s="31" t="s">
        <v>4351</v>
      </c>
      <c r="B1899" s="27" t="s">
        <v>4352</v>
      </c>
      <c r="C1899" s="27" t="s">
        <v>4353</v>
      </c>
      <c r="D1899" s="33" t="s">
        <v>1506</v>
      </c>
      <c r="E1899" s="34">
        <v>2</v>
      </c>
      <c r="F1899" s="37">
        <v>0.86199999999999999</v>
      </c>
      <c r="G1899" s="10">
        <v>78092</v>
      </c>
      <c r="H1899" s="30" t="str">
        <f ca="1">IFERROR(__xludf.DUMMYFUNCTION("LOWER(REGEXREPLACE(B1899&amp;"" ""&amp;C1899,""[^а-яa-z0-9 ]"","" ""))")," танция запуска для высоких моделей ракет типа  ocket ise  xplorer  et  рофессиональная станция сборки и запуска высоких моделей ракет  егулируемая наклонная площадка с точной системой настройки угла наклона  родвинутая система удержания для безопасной и "&amp;"стабильной работы станции  ополнительные элементы для максимальной эффективности запуска  одробное руководство по сборке  настройке и использованию станции  ип станции   рофессиональная станция  разработанная для запуска высоких моделей ракет   атериал   "&amp;"ысокопрочный и устойчивый к воздействию экстремальных условий материал   азмер   ольшие размеры  обеспечивающие стабильность и надежность во время запусков   аксимальная высота запуска   ассчитана на запуск ракет на высоту до 1000 метров и выше   егулируе"&amp;"мая наклонная площадка   озволяет точно настроить угол наклона ракеты для оптимальных результатов   рофессиональная система удержания   снащена продвинутыми механизмами для надежной фиксации ракеты во время запуска   аксимальная высота   о 3 метров  аксим"&amp;"альный диаметр ракеты   о 20 см  аксимальный угол наклона   о 60 градусов  ремя сборки   коло 30 минут")</f>
        <v xml:space="preserve"> танция запуска для высоких моделей ракет типа  ocket ise  xplorer  et  рофессиональная станция сборки и запуска высоких моделей ракет  егулируемая наклонная площадка с точной системой настройки угла наклона  родвинутая система удержания для безопасной и стабильной работы станции  ополнительные элементы для максимальной эффективности запуска  одробное руководство по сборке  настройке и использованию станции  ип станции   рофессиональная станция  разработанная для запуска высоких моделей ракет   атериал   ысокопрочный и устойчивый к воздействию экстремальных условий материал   азмер   ольшие размеры  обеспечивающие стабильность и надежность во время запусков   аксимальная высота запуска   ассчитана на запуск ракет на высоту до 1000 метров и выше   егулируемая наклонная площадка   озволяет точно настроить угол наклона ракеты для оптимальных результатов   рофессиональная система удержания   снащена продвинутыми механизмами для надежной фиксации ракеты во время запуска   аксимальная высота   о 3 метров  аксимальный диаметр ракеты   о 20 см  аксимальный угол наклона   о 60 градусов  ремя сборки   коло 30 минут</v>
      </c>
    </row>
    <row r="1900" spans="1:8" ht="191.25" x14ac:dyDescent="0.2">
      <c r="A1900" s="31" t="s">
        <v>4354</v>
      </c>
      <c r="B1900" s="27" t="s">
        <v>4355</v>
      </c>
      <c r="C1900" s="27" t="s">
        <v>4356</v>
      </c>
      <c r="D1900" s="33" t="s">
        <v>1506</v>
      </c>
      <c r="E1900" s="34">
        <v>2</v>
      </c>
      <c r="F1900" s="36">
        <v>0.15</v>
      </c>
      <c r="G1900" s="10">
        <v>71172</v>
      </c>
      <c r="H1900" s="30" t="str">
        <f ca="1">IFERROR(__xludf.DUMMYFUNCTION("LOWER(REGEXREPLACE(B1900&amp;"" ""&amp;C1900,""[^а-яa-z0-9 ]"","" ""))")," онтроллер запуска двигателя ракеты для средних моделей ракет типа  ocket ise  xplorer  et  лектронный контроллер для запуска двигателя ракеты  нтерфейсный кабель для подключения к источнику питания  одробное руководство по настройке и использованию контр"&amp;"оллера  ип контроллера   лектронный контроллер  разработанный специально для управления запуском двигателя средних моделей ракет   нтерфейс   ростой и интуитивный интерфейс для удобной настройки параметров и активации запуска   апряжение питания  12   пос"&amp;"тоянного тока  обеспечивает стабильное и надежное питание контроллера   ащита   строенные механизмы защиты от неправильной активации и короткого замыкания   озможности программирования   озволяет настраивать задержку перед активацией двигателя и другие па"&amp;"раметры   аксимальная нагрузка   о 5    адержка перед запуском   т 0 до 10 секунд  настраиваемо   ходное напряжение  12   постоянного тока")</f>
        <v xml:space="preserve"> онтроллер запуска двигателя ракеты для средних моделей ракет типа  ocket ise  xplorer  et  лектронный контроллер для запуска двигателя ракеты  нтерфейсный кабель для подключения к источнику питания  одробное руководство по настройке и использованию контроллера  ип контроллера   лектронный контроллер  разработанный специально для управления запуском двигателя средних моделей ракет   нтерфейс   ростой и интуитивный интерфейс для удобной настройки параметров и активации запуска   апряжение питания  12   постоянного тока  обеспечивает стабильное и надежное питание контроллера   ащита   строенные механизмы защиты от неправильной активации и короткого замыкания   озможности программирования   озволяет настраивать задержку перед активацией двигателя и другие параметры   аксимальная нагрузка   о 5    адержка перед запуском   т 0 до 10 секунд  настраиваемо   ходное напряжение  12   постоянного тока</v>
      </c>
    </row>
    <row r="1901" spans="1:8" ht="216.75" x14ac:dyDescent="0.2">
      <c r="A1901" s="31" t="s">
        <v>4357</v>
      </c>
      <c r="B1901" s="27" t="s">
        <v>4358</v>
      </c>
      <c r="C1901" s="27" t="s">
        <v>4359</v>
      </c>
      <c r="D1901" s="33" t="s">
        <v>1506</v>
      </c>
      <c r="E1901" s="34">
        <v>2</v>
      </c>
      <c r="F1901" s="36">
        <v>0.15</v>
      </c>
      <c r="G1901" s="10">
        <v>81550</v>
      </c>
      <c r="H1901" s="30" t="str">
        <f ca="1">IFERROR(__xludf.DUMMYFUNCTION("LOWER(REGEXREPLACE(B1901&amp;"" ""&amp;C1901,""[^а-яa-z0-9 ]"","" ""))")," онтроллер запуска двигателя ракеты для высоких моделей ракет типа  ocket ise  xplorer  et  рофессиональный электронный контроллер для запуска двигателя ракеты  нтерфейсный кабель и разъемы для подключения к источнику питания и двигателю  одробное руковод"&amp;"ство по настройке  программированию и использованию контроллера  ип контроллера   рофессиональный электронный контроллер  специально разработанный для управления запуском двигателя высоких моделей ракет   нтерфейс   родвинутый интерфейс с возможностью про"&amp;"граммирования и настройки различных параметров запуска   апряжение питания  24   постоянного тока  обеспечивает стабильное и надежное питание контроллера   ащита   строенные механизмы защиты от перегрузки  короткого замыкания и неправильной активации   ро"&amp;"граммируемые параметры   озможность установки задержки перед активацией  контроля температуры и других параметров   аксимальная нагрузка   о 10    адержка перед запуском   т 0 до 30 секунд  программируемо   ходное напряжение  24   постоянного тока")</f>
        <v xml:space="preserve"> онтроллер запуска двигателя ракеты для высоких моделей ракет типа  ocket ise  xplorer  et  рофессиональный электронный контроллер для запуска двигателя ракеты  нтерфейсный кабель и разъемы для подключения к источнику питания и двигателю  одробное руководство по настройке  программированию и использованию контроллера  ип контроллера   рофессиональный электронный контроллер  специально разработанный для управления запуском двигателя высоких моделей ракет   нтерфейс   родвинутый интерфейс с возможностью программирования и настройки различных параметров запуска   апряжение питания  24   постоянного тока  обеспечивает стабильное и надежное питание контроллера   ащита   строенные механизмы защиты от перегрузки  короткого замыкания и неправильной активации   рограммируемые параметры   озможность установки задержки перед активацией  контроля температуры и других параметров   аксимальная нагрузка   о 10    адержка перед запуском   т 0 до 30 секунд  программируемо   ходное напряжение  24   постоянного тока</v>
      </c>
    </row>
    <row r="1902" spans="1:8" ht="191.25" x14ac:dyDescent="0.2">
      <c r="A1902" s="31" t="s">
        <v>4360</v>
      </c>
      <c r="B1902" s="27" t="s">
        <v>4361</v>
      </c>
      <c r="C1902" s="27" t="s">
        <v>4362</v>
      </c>
      <c r="D1902" s="33" t="s">
        <v>1506</v>
      </c>
      <c r="E1902" s="34">
        <v>2</v>
      </c>
      <c r="F1902" s="37">
        <v>0.113</v>
      </c>
      <c r="G1902" s="10">
        <v>59314</v>
      </c>
      <c r="H1902" s="30" t="str">
        <f ca="1">IFERROR(__xludf.DUMMYFUNCTION("LOWER(REGEXREPLACE(B1902&amp;"" ""&amp;C1902,""[^а-яa-z0-9 ]"","" ""))")," стройство отслеживания высоты  атчик высоты   стройство с интегрированными сенсорами для измерения высоты полета   исплей или индикатор   озможность отображения текущей высоты в реальном времени   апись данных   строенная память или возможность подключен"&amp;"ия для записи данных о высоте   енсоры   нтегрированные сенсоры для измерения атмосферного давления и других параметров   нтеграция   озможность интеграции с другими компонентами  ocket ise  xplorer  et для полноценного отслеживания полета ракеты   ип уст"&amp;"ройства   стройство отслеживания высоты  змеряемые параметры   ысота полета  ускорение  температура и др   иапазон измерений   апример  высота  от 0 до 5000 метров  ускорение  от  10g до  10g  очность измерений   апример  высота   1 метр  ускорение   0 1g"&amp;"  астота обновления данных   апример  1 измерение в секунду  истема передачи данных   еспроводная телеметрия  сточник питания   строенный аккумулятор или батареи  нтерфейс связи        luetooth   i  i  или другой  азмеры и вес   апример  10 x 5 x 2 см  10"&amp;"0 грамм  овместимость с платформами   indows  i     ndroid и т д ")</f>
        <v xml:space="preserve"> стройство отслеживания высоты  атчик высоты   стройство с интегрированными сенсорами для измерения высоты полета   исплей или индикатор   озможность отображения текущей высоты в реальном времени   апись данных   строенная память или возможность подключения для записи данных о высоте   енсоры   нтегрированные сенсоры для измерения атмосферного давления и других параметров   нтеграция   озможность интеграции с другими компонентами  ocket ise  xplorer  et для полноценного отслеживания полета ракеты   ип устройства   стройство отслеживания высоты  змеряемые параметры   ысота полета  ускорение  температура и др   иапазон измерений   апример  высота  от 0 до 5000 метров  ускорение  от  10g до  10g  очность измерений   апример  высота   1 метр  ускорение   0 1g  астота обновления данных   апример  1 измерение в секунду  истема передачи данных   еспроводная телеметрия  сточник питания   строенный аккумулятор или батареи  нтерфейс связи        luetooth   i  i  или другой  азмеры и вес   апример  10 x 5 x 2 см  100 грамм  овместимость с платформами   indows  i     ndroid и т д </v>
      </c>
    </row>
    <row r="1903" spans="1:8" ht="153" x14ac:dyDescent="0.2">
      <c r="A1903" s="31" t="s">
        <v>4363</v>
      </c>
      <c r="B1903" s="27" t="s">
        <v>4364</v>
      </c>
      <c r="C1903" s="27" t="s">
        <v>4365</v>
      </c>
      <c r="D1903" s="33" t="s">
        <v>1506</v>
      </c>
      <c r="E1903" s="34">
        <v>2</v>
      </c>
      <c r="F1903" s="36">
        <v>2.54</v>
      </c>
      <c r="G1903" s="10">
        <v>80080</v>
      </c>
      <c r="H1903" s="30" t="str">
        <f ca="1">IFERROR(__xludf.DUMMYFUNCTION("LOWER(REGEXREPLACE(B1903&amp;"" ""&amp;C1903,""[^а-яa-z0-9 ]"","" ""))")," орма для приклеивания ребер к корпусу ракеты  пециализированная форма для приклеивания ребер к корпусу ракеты  ополнительные элементы для обеспечения стабильности и точности при сборке  одробное руководство по использованию формы  ип формы   пециализиров"&amp;"анная форма  разработанная для точного и удобного приклеивания ребер к корпусу ракеты   атериал   рочный и гибкий материал  обеспечивающий прочное приклеивание и легкость извлечения ребер после склеивания   онструкция   птимальная конструкция с удерживающ"&amp;"ими элементами для стабильной фиксации ребер   оличество отверстий   ассчитана на приклеивание нескольких ребер одновременно  что ускоряет процесс сборки   аркировка   ндикаторы для точного позиционирования ребер и обеспечения одинакового расстояния между"&amp;" ними   местимость   о 4 ребер одновременно  азмер формы   риблизительно 20x20 см  оличество отверстий  8 отверстий для ребер")</f>
        <v xml:space="preserve"> орма для приклеивания ребер к корпусу ракеты  пециализированная форма для приклеивания ребер к корпусу ракеты  ополнительные элементы для обеспечения стабильности и точности при сборке  одробное руководство по использованию формы  ип формы   пециализированная форма  разработанная для точного и удобного приклеивания ребер к корпусу ракеты   атериал   рочный и гибкий материал  обеспечивающий прочное приклеивание и легкость извлечения ребер после склеивания   онструкция   птимальная конструкция с удерживающими элементами для стабильной фиксации ребер   оличество отверстий   ассчитана на приклеивание нескольких ребер одновременно  что ускоряет процесс сборки   аркировка   ндикаторы для точного позиционирования ребер и обеспечения одинакового расстояния между ними   местимость   о 4 ребер одновременно  азмер формы   риблизительно 20x20 см  оличество отверстий  8 отверстий для ребер</v>
      </c>
    </row>
    <row r="1904" spans="1:8" ht="114.75" x14ac:dyDescent="0.2">
      <c r="A1904" s="31" t="s">
        <v>4366</v>
      </c>
      <c r="B1904" s="27" t="s">
        <v>4367</v>
      </c>
      <c r="C1904" s="27" t="s">
        <v>4368</v>
      </c>
      <c r="D1904" s="33" t="s">
        <v>1506</v>
      </c>
      <c r="E1904" s="34">
        <v>2</v>
      </c>
      <c r="F1904" s="37">
        <v>2.8000000000000001E-2</v>
      </c>
      <c r="G1904" s="10">
        <v>61044</v>
      </c>
      <c r="H1904" s="30" t="str">
        <f ca="1">IFERROR(__xludf.DUMMYFUNCTION("LOWER(REGEXREPLACE(B1904&amp;"" ""&amp;C1904,""[^а-яa-z0-9 ]"","" ""))")," нструмент для разметки линии ребер  пециализированный инструмент для разметки линии ребер на корпусе ракеты  ополнительные маркеры для более точной разметки  одробное руководство по использованию инструмента  ип инструмента   пециальный инструмент  разра"&amp;"ботанный для точной разметки линии ребер на корпусе ракеты   атериал   рочный и негибкий материал  обеспечивающий точность и устойчивость инструмента   онструкция   добная и эргономичная конструкция для комфортной работы и точной разметки   аркировка   ис"&amp;"тема маркировки на инструменте для определения точной позиции ребер   лина инструмента   риблизительно 15 см  олщина инструмента   риблизительно 1 см")</f>
        <v xml:space="preserve"> нструмент для разметки линии ребер  пециализированный инструмент для разметки линии ребер на корпусе ракеты  ополнительные маркеры для более точной разметки  одробное руководство по использованию инструмента  ип инструмента   пециальный инструмент  разработанный для точной разметки линии ребер на корпусе ракеты   атериал   рочный и негибкий материал  обеспечивающий точность и устойчивость инструмента   онструкция   добная и эргономичная конструкция для комфортной работы и точной разметки   аркировка   истема маркировки на инструменте для определения точной позиции ребер   лина инструмента   риблизительно 15 см  олщина инструмента   риблизительно 1 см</v>
      </c>
    </row>
    <row r="1905" spans="1:8" ht="114.75" x14ac:dyDescent="0.2">
      <c r="A1905" s="31" t="s">
        <v>4369</v>
      </c>
      <c r="B1905" s="27" t="s">
        <v>4370</v>
      </c>
      <c r="C1905" s="27" t="s">
        <v>4371</v>
      </c>
      <c r="D1905" s="33" t="s">
        <v>1506</v>
      </c>
      <c r="E1905" s="34">
        <v>2</v>
      </c>
      <c r="F1905" s="36">
        <v>0.04</v>
      </c>
      <c r="G1905" s="10">
        <v>55855</v>
      </c>
      <c r="H1905" s="30" t="str">
        <f ca="1">IFERROR(__xludf.DUMMYFUNCTION("LOWER(REGEXREPLACE(B1905&amp;"" ""&amp;C1905,""[^а-яa-z0-9 ]"","" ""))")," одставка для моделей ракет  пециализированная подставка для моделей ракет  ополнительные элементы для стабильного и надежного размещения ракеты  одробное руководство по использованию подставки   ип подставки   пециальная подставка  предназначенная для уд"&amp;"обного и стабильного размещения моделей ракет   атериал   рочный и устойчивый к воздействию внешних факторов материал  обеспечивающий надежную поддержку ракеты   азмер   птимальные размеры  обеспечивающие устойчивость и визуальное привлекательность подста"&amp;"вки   изайн   ргономичный и стильный дизайн  подчеркивающий важность и значимость модели ракеты   асштаб   азмер подставки соответствует масштабу модели ракеты   азмер подставки   риблизительно 20x20 см")</f>
        <v xml:space="preserve"> одставка для моделей ракет  пециализированная подставка для моделей ракет  ополнительные элементы для стабильного и надежного размещения ракеты  одробное руководство по использованию подставки   ип подставки   пециальная подставка  предназначенная для удобного и стабильного размещения моделей ракет   атериал   рочный и устойчивый к воздействию внешних факторов материал  обеспечивающий надежную поддержку ракеты   азмер   птимальные размеры  обеспечивающие устойчивость и визуальное привлекательность подставки   изайн   ргономичный и стильный дизайн  подчеркивающий важность и значимость модели ракеты   асштаб   азмер подставки соответствует масштабу модели ракеты   азмер подставки   риблизительно 20x20 см</v>
      </c>
    </row>
    <row r="1906" spans="1:8" ht="25.5" x14ac:dyDescent="0.2">
      <c r="A1906" s="31" t="s">
        <v>4372</v>
      </c>
      <c r="B1906" s="27" t="s">
        <v>4373</v>
      </c>
      <c r="C1906" s="27"/>
      <c r="D1906" s="33" t="s">
        <v>1506</v>
      </c>
      <c r="E1906" s="9"/>
      <c r="F1906" s="32"/>
      <c r="G1906" s="10"/>
      <c r="H1906" s="30" t="str">
        <f ca="1">IFERROR(__xludf.DUMMYFUNCTION("LOWER(REGEXREPLACE(B1906&amp;"" ""&amp;C1906,""[^а-яa-z0-9 ]"","" ""))")," абинет по изучению основ микроэлектроники  радиотехники и телекоммуникации ")</f>
        <v xml:space="preserve"> абинет по изучению основ микроэлектроники  радиотехники и телекоммуникации </v>
      </c>
    </row>
    <row r="1907" spans="1:8" ht="12.75" x14ac:dyDescent="0.2">
      <c r="A1907" s="31" t="s">
        <v>4374</v>
      </c>
      <c r="B1907" s="27" t="s">
        <v>4375</v>
      </c>
      <c r="C1907" s="27"/>
      <c r="D1907" s="33" t="s">
        <v>1506</v>
      </c>
      <c r="E1907" s="9"/>
      <c r="F1907" s="32"/>
      <c r="G1907" s="10"/>
      <c r="H1907" s="30" t="str">
        <f ca="1">IFERROR(__xludf.DUMMYFUNCTION("LOWER(REGEXREPLACE(B1907&amp;"" ""&amp;C1907,""[^а-яa-z0-9 ]"","" ""))")," абор радиотехнический ")</f>
        <v xml:space="preserve"> абор радиотехнический </v>
      </c>
    </row>
    <row r="1908" spans="1:8" ht="63.75" x14ac:dyDescent="0.2">
      <c r="A1908" s="31" t="s">
        <v>4376</v>
      </c>
      <c r="B1908" s="27" t="s">
        <v>4377</v>
      </c>
      <c r="C1908" s="27" t="s">
        <v>4378</v>
      </c>
      <c r="D1908" s="33" t="s">
        <v>1506</v>
      </c>
      <c r="E1908" s="34">
        <v>2</v>
      </c>
      <c r="F1908" s="36">
        <v>5.75</v>
      </c>
      <c r="G1908" s="10">
        <v>2868221</v>
      </c>
      <c r="H1908" s="30" t="str">
        <f ca="1">IFERROR(__xludf.DUMMYFUNCTION("LOWER(REGEXREPLACE(B1908&amp;"" ""&amp;C1908,""[^а-яa-z0-9 ]"","" ""))")," абор радиотехнический для участия в международных соревнованиях типа     inder  it  омплектация   адиочастотный передатчик с возможностью регулировки частоты  ысокочастотный приемник  аушники  нтенны для приема и передачи")</f>
        <v xml:space="preserve"> абор радиотехнический для участия в международных соревнованиях типа     inder  it  омплектация   адиочастотный передатчик с возможностью регулировки частоты  ысокочастотный приемник  аушники  нтенны для приема и передачи</v>
      </c>
    </row>
    <row r="1909" spans="1:8" ht="63.75" x14ac:dyDescent="0.2">
      <c r="A1909" s="31" t="s">
        <v>4379</v>
      </c>
      <c r="B1909" s="27" t="s">
        <v>4380</v>
      </c>
      <c r="C1909" s="27" t="s">
        <v>4381</v>
      </c>
      <c r="D1909" s="33" t="s">
        <v>1506</v>
      </c>
      <c r="E1909" s="34">
        <v>2</v>
      </c>
      <c r="F1909" s="36">
        <v>7.95</v>
      </c>
      <c r="G1909" s="10">
        <v>2216160</v>
      </c>
      <c r="H1909" s="30" t="str">
        <f ca="1">IFERROR(__xludf.DUMMYFUNCTION("LOWER(REGEXREPLACE(B1909&amp;"" ""&amp;C1909,""[^а-яa-z0-9 ]"","" ""))")," онструктор малых космических апаратов  одули для сборки структуры аппарата с соответствующими размерами  олнечные панели для энергоснабжения   нтенны для связи и обмена данными   нергетические батареи и системы управления энергопотреблением   правляющие "&amp;"системы и сенсоры для ориентации и навигации   одробные учебные материалы по сборке  программированию и тестированию аппарата ")</f>
        <v xml:space="preserve"> онструктор малых космических апаратов  одули для сборки структуры аппарата с соответствующими размерами  олнечные панели для энергоснабжения   нтенны для связи и обмена данными   нергетические батареи и системы управления энергопотреблением   правляющие системы и сенсоры для ориентации и навигации   одробные учебные материалы по сборке  программированию и тестированию аппарата </v>
      </c>
    </row>
    <row r="1910" spans="1:8" ht="63.75" x14ac:dyDescent="0.2">
      <c r="A1910" s="31" t="s">
        <v>4382</v>
      </c>
      <c r="B1910" s="8" t="s">
        <v>4383</v>
      </c>
      <c r="C1910" s="27" t="s">
        <v>4384</v>
      </c>
      <c r="D1910" s="33" t="s">
        <v>1506</v>
      </c>
      <c r="E1910" s="34">
        <v>2</v>
      </c>
      <c r="F1910" s="37">
        <v>0.13400000000000001</v>
      </c>
      <c r="G1910" s="10">
        <v>325182</v>
      </c>
      <c r="H1910" s="30" t="str">
        <f ca="1">IFERROR(__xludf.DUMMYFUNCTION("LOWER(REGEXREPLACE(B1910&amp;"" ""&amp;C1910,""[^а-яa-z0-9 ]"","" ""))")," одуль беспроводной     приемников и передатчиков  онтроллер  rduino  например   rduino  no или подобный    еспроводные модули     приемников и передатчиков   азнообразные датчики  например  температурные  световые  движения и другие    ервоприводы для уп"&amp;"равления механизмами   ополнительные компоненты  резисторы       кнопки и т  д     чебные материалы с примерами проектов и инструкциями ")</f>
        <v xml:space="preserve"> одуль беспроводной     приемников и передатчиков  онтроллер  rduino  например   rduino  no или подобный    еспроводные модули     приемников и передатчиков   азнообразные датчики  например  температурные  световые  движения и другие    ервоприводы для управления механизмами   ополнительные компоненты  резисторы       кнопки и т  д     чебные материалы с примерами проектов и инструкциями </v>
      </c>
    </row>
    <row r="1911" spans="1:8" ht="395.25" x14ac:dyDescent="0.2">
      <c r="A1911" s="31" t="s">
        <v>4385</v>
      </c>
      <c r="B1911" s="27" t="s">
        <v>4386</v>
      </c>
      <c r="C1911" s="27" t="s">
        <v>4387</v>
      </c>
      <c r="D1911" s="33" t="s">
        <v>1506</v>
      </c>
      <c r="E1911" s="34">
        <v>2</v>
      </c>
      <c r="F1911" s="32"/>
      <c r="G1911" s="10">
        <v>3985535</v>
      </c>
      <c r="H1911" s="30" t="str">
        <f ca="1">IFERROR(__xludf.DUMMYFUNCTION("LOWER(REGEXREPLACE(B1911&amp;"" ""&amp;C1911,""[^а-яa-z0-9 ]"","" ""))")," омплект базовый цифрового лабораторного оборудования  мультиметры  генератор  осциллограф  анализатор    комплект входит   1   ифровой мультиметр    апряжение          2     20    ок          20 м    200 м    2    опротивление  2 к    20 к    200 к    2 "&amp;"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дифф"&amp;"еренциальных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ифров"&amp;"ой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азмеры  295 x 154   30 мм3   с"&amp;"троенные измерительные приборы   ва цифровых мультиметра   апряжение          2     20    ок          20 м    200 м    2    опротивление  2 к    20 к    200 к    2     втоматическое изменение для всех диапазонов измерений  ифровой функциональный генератор"&amp;"  цифровая генерация синусоидальных  треугольных  квадратных волн  а также сигналов постоянного тока  иапазон частот  0 5  ц   100 к ц  также постоянный ток  ыход           тактовая частота 0 5  ц   100 к ц  ыходное напряжение  макс   10     0   20     ых"&amp;"одной ток  макс   250 м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де"&amp;"л  иапазоны напряжения от 10 м  дел до 10   дел  риггер   1     4 и      с привязкой к земле   с шагом 4095  нарастающий спадающий фронт  ифровой анализатор  8 1 входов цифровых сигналов  ходное напряжение     совместимое  астота дискретизации  200  ц   2"&amp;"   ц  лубина памяти  9 бит x 2    рабатывание по любой комбинации состояний входов  ополнительные свойства  апряжение питания  15   3          нтерфейсы        thernet 100   ит   45      асширения   лот расширения  нтерфейс      тип          ветовая полос"&amp;"а и светодиоды для отображения состояния  амок безопасности для крепления экспериментальных плат  ащита от кражи  порт для замка  ensington ")</f>
        <v xml:space="preserve"> омплект базовый цифрового лабораторного оборудования  мультиметры  генератор  осциллограф  анализатор    комплект входит   1   ифровой мультиметр    апряжение          2     20    ок          20 м    200 м    2    опротивление  2 к    20 к    200 к    2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азмеры  295 x 154   30 мм3   строенные измерительные приборы   ва цифровых мультиметра   апряжение          2     20    ок          20 м    200 м    2    опротивление  2 к    20 к    200 к    2     втоматическое изменение для всех диапазонов измерений  ифровой функциональный генератор  цифровая генерация синусоидальных  треугольных  квадратных волн  а также сигналов постоянного тока  иапазон частот  0 5  ц   100 к ц  также постоянный ток  ыход           тактовая частота 0 5  ц   100 к ц  ыходное напряжение  макс   10     0   20     ыходной ток  макс   250 м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риггер   1     4 и      с привязкой к земле   с шагом 4095  нарастающий спадающий фронт  ифровой анализатор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апряжение питания  15   3          нтерфейсы        thernet 100   ит   45      асширения   лот расширения  нтерфейс      тип          ветовая полоса и светодиоды для отображения состояния  амок безопасности для крепления экспериментальных плат  ащита от кражи  порт для замка  ensington </v>
      </c>
    </row>
    <row r="1912" spans="1:8" ht="12.75" x14ac:dyDescent="0.2">
      <c r="A1912" s="31" t="s">
        <v>4388</v>
      </c>
      <c r="B1912" s="27" t="s">
        <v>4389</v>
      </c>
      <c r="C1912" s="27"/>
      <c r="D1912" s="33" t="s">
        <v>1506</v>
      </c>
      <c r="E1912" s="9"/>
      <c r="F1912" s="32"/>
      <c r="G1912" s="10"/>
      <c r="H1912" s="30" t="str">
        <f ca="1">IFERROR(__xludf.DUMMYFUNCTION("LOWER(REGEXREPLACE(B1912&amp;"" ""&amp;C1912,""[^а-яa-z0-9 ]"","" ""))")," елекоммуникационные технологии ")</f>
        <v xml:space="preserve"> елекоммуникационные технологии </v>
      </c>
    </row>
    <row r="1913" spans="1:8" ht="114.75" x14ac:dyDescent="0.2">
      <c r="A1913" s="31" t="s">
        <v>4390</v>
      </c>
      <c r="B1913" s="27" t="s">
        <v>4391</v>
      </c>
      <c r="C1913" s="27" t="s">
        <v>4392</v>
      </c>
      <c r="D1913" s="33" t="s">
        <v>1506</v>
      </c>
      <c r="E1913" s="9"/>
      <c r="F1913" s="32"/>
      <c r="G1913" s="10">
        <v>3514593</v>
      </c>
      <c r="H1913" s="30" t="str">
        <f ca="1">IFERROR(__xludf.DUMMYFUNCTION("LOWER(REGEXREPLACE(B1913&amp;"" ""&amp;C1913,""[^а-яa-z0-9 ]"","" ""))"),"   3    курс   ехнология передачи   433              урс    3      ехнология передачи данных   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ко"&amp;"торой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данном курсе рассматриваются принципы и законы работы "&amp;"цифровой техники   одержание курса  инструкции по проведению экспериментов и задачи преподаются с помощью программного обеспечения  предназначенного для данного курса  ")</f>
        <v xml:space="preserve">   3    курс   ехнология передачи   433              урс    3      ехнология передачи данных   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данном курсе рассматриваются принципы и законы работы цифровой техники   одержание курса  инструкции по проведению экспериментов и задачи преподаются с помощью программного обеспечения  предназначенного для данного курса  </v>
      </c>
    </row>
    <row r="1914" spans="1:8" ht="267.75" x14ac:dyDescent="0.2">
      <c r="A1914" s="31" t="s">
        <v>4393</v>
      </c>
      <c r="B1914" s="27" t="s">
        <v>4394</v>
      </c>
      <c r="C1914" s="27" t="s">
        <v>4395</v>
      </c>
      <c r="D1914" s="33" t="s">
        <v>1506</v>
      </c>
      <c r="E1914" s="9"/>
      <c r="F1914" s="32"/>
      <c r="G1914" s="10">
        <v>4002553</v>
      </c>
      <c r="H1914" s="30" t="str">
        <f ca="1">IFERROR(__xludf.DUMMYFUNCTION("LOWER(REGEXREPLACE(B1914&amp;"" ""&amp;C1914,""[^а-яa-z0-9 ]"","" ""))"),"   3    курс   елекоммуникационные линии типа              меет виртуальные лабораторные оборудования   сциллограф  ункциональный генератор  ультиметр  x2   ифровой анализатор     анализатор спектра  четчик частоты  оде модуль  ополнительные функции  осто"&amp;"ит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ксперименты подключаются с"&amp;" помощью 2 мм защитных кабелей   одержание курса  инструкции к экспериментам и задачи преподаются с помощью программного обеспечения для конкретного курса   хват учебной программы  астотные характеристики двухпроводных линий  пределение характеристическог"&amp;"о волнового сопротивления  змерение перекрестных помех на ближнем и дальнем концах  мпульсное поведение коаксиальных линий  ассогласование  ибридные и фантомные цепи  уплексная передача и дистанционное питание  арактеристические кривые светодиодов в оптич"&amp;"еской технике связи  атухание в волоконно оптических линиях  змерение оптической мощности  отери в муфте  отери на изгиб  иртуальная лаборатория  сциллограф  ункциональный генератор  ультиметр  x2   ифровой анализатор     анализатор спектра  четчик частот"&amp;"ы  оде модуль  ополнительные функции")</f>
        <v xml:space="preserve">   3    курс   елекоммуникационные линии типа              меет виртуальные лабораторные оборудования   сциллограф  ункциональный генератор  ультиметр  x2   ифровой анализатор     анализатор спектра  четчик частоты  оде модуль  ополнительные функции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ксперименты подключаются с помощью 2 мм защитных кабелей   одержание курса  инструкции к экспериментам и задачи преподаются с помощью программного обеспечения для конкретного курса   хват учебной программы  астотные характеристики двухпроводных линий  пределение характеристического волнового сопротивления  змерение перекрестных помех на ближнем и дальнем концах  мпульсное поведение коаксиальных линий  ассогласование  ибридные и фантомные цепи  уплексная передача и дистанционное питание  арактеристические кривые светодиодов в оптической технике связи  атухание в волоконно оптических линиях  змерение оптической мощности  отери в муфте  отери на изгиб  иртуальная лаборатория  сциллограф  ункциональный генератор  ультиметр  x2   ифровой анализатор     анализатор спектра  четчик частоты  оде модуль  ополнительные функции</v>
      </c>
    </row>
    <row r="1915" spans="1:8" ht="369.75" x14ac:dyDescent="0.2">
      <c r="A1915" s="31" t="s">
        <v>4396</v>
      </c>
      <c r="B1915" s="27" t="s">
        <v>4397</v>
      </c>
      <c r="C1915" s="27" t="s">
        <v>4398</v>
      </c>
      <c r="D1915" s="33" t="s">
        <v>1506</v>
      </c>
      <c r="E1915" s="9"/>
      <c r="F1915" s="32"/>
      <c r="G1915" s="10">
        <v>4010321</v>
      </c>
      <c r="H1915" s="30" t="str">
        <f ca="1">IFERROR(__xludf.DUMMYFUNCTION("LOWER(REGEXREPLACE(B1915&amp;"" ""&amp;C1915,""[^а-яa-z0-9 ]"","" ""))"),"   3    курс   ифровые коммуникационные технологии типа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обработк"&amp;"е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теле"&amp;"фонов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"&amp;"           пектр      ередискретизация   недодискретизация  глаживание  еорема  еннона  мпульсно кодовая модуляция        вантование линейное и нелинейное  жатие   расширение  одовые ошибки  ультиплексирование с временным разделением каналов        инхрон"&amp;"изация  ум квантования  азностная импульсно кодовая модуляция         ередача оптических сигналов  ередача сигнала по проводам  коаксиальная линия   двухпроводная линия   имплексная   дуплексная связь  остоит из экспериментальной платы  размещенной в держ"&amp;"ателе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оп"&amp;"тических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помощью"&amp;" специального программного обеспечения   хват учебной программы  арактеристики импульсных носителей  енерация          естественный             пектр    ")</f>
        <v xml:space="preserve">   3    курс   ифровые коммуникационные технологии типа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пектр      ередискретизация   недодискретизация  глаживание  еорема  еннона  мпульсно кодовая модуляция        вантование линейное и нелинейное  жатие   расширение  одовые ошибки  ультиплексирование с временным разделением каналов        инхронизация  ум квантования  азностная импульсно кодовая модуляция         ередача оптических сигналов  ередача сигнала по проводам  коаксиальная линия   двухпроводная линия   имплексная   дуплексная связь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пектр    </v>
      </c>
    </row>
    <row r="1916" spans="1:8" ht="395.25" x14ac:dyDescent="0.2">
      <c r="A1916" s="31" t="s">
        <v>4399</v>
      </c>
      <c r="B1916" s="27" t="s">
        <v>4400</v>
      </c>
      <c r="C1916" s="27" t="s">
        <v>4401</v>
      </c>
      <c r="D1916" s="33" t="s">
        <v>1506</v>
      </c>
      <c r="E1916" s="9"/>
      <c r="F1916" s="32"/>
      <c r="G1916" s="10">
        <v>2623952</v>
      </c>
      <c r="H1916" s="30" t="str">
        <f ca="1">IFERROR(__xludf.DUMMYFUNCTION("LOWER(REGEXREPLACE(B1916&amp;"" ""&amp;C1916,""[^а-яa-z0-9 ]"","" ""))"),"   3      ринадлежности для телекоммуникационных линий типа              абор включает следующие принадлежности для обучения курса  телекоммуникационных линий    абели   елекоммуникационные линии часто состоят из различных типов кабелей  таких как оптовол"&amp;"оконные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 для оптических кабелей   оммутаторы "&amp;"и маршрутизаторы   ти устройства играют важнейшую роль в направлении и управлении трафиком данных в телекоммуникационных сетях   одемы   одемы необходимы для подключения к  нтернету и могут быть частью телекоммуникационной системы   нтенны    беспроводных"&amp;" телекоммуникациях антенны играют важную роль в передаче и приеме сигналов   етрансляторы и бустеры   ти устройства позволяют увеличить радиус действия и улучшить качество сигнала в телекоммуникационных сетях   очки доступа   очки доступа используются для"&amp;" создания беспроводных сетей и расширения зон покрытия   борудование для тестирования и мониторинга   азличные инструменты и оборудование используются для тестирования и мониторинга работы телекоммуникационных линий   онтажное оборудование    ним относятс"&amp;"я кронштейны  стойки и шкафы  используемые для крепления и организации оборудования   сточники питания   ополнительные устройства могут включать в себя источники питания и системы резервного копирования для обеспечения бесперебойной работы   ротекторы и п"&amp;"одавители импульсных перенапряжений   ти устройства позволяют защитить телекоммуникационное оборудование от перепадов и скачков напряжения   рограммное обеспечение и микропрограммы   ксессуары для телекоммуникационного оборудования могут также включать об"&amp;"новление программного обеспечения и микропрограмм для таких устройств  как маршрутизаторы и коммутаторы   абели   елекоммуникационные линии часто состоят из различных типов кабелей  таких как оптоволоконные кабели  коаксиальные кабели и витые пары  исполь"&amp;"зуемые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f>
        <v xml:space="preserve">   3      ринадлежности для телекоммуникационных линий типа              абор включает следующие принадлежности для обучения курса  телекоммуникационных линий    абели   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 для оптических кабелей   оммутаторы и маршрутизаторы   ти устройства играют важнейшую роль в направлении и управлении трафиком данных в телекоммуникационных сетях   одемы   одемы необходимы для подключения к  нтернету и могут быть частью телекоммуникационной системы   нтенны    беспроводных телекоммуникациях антенны играют важную роль в передаче и приеме сигналов   етрансляторы и бустеры   ти устройства позволяют увеличить радиус действия и улучшить качество сигнала в телекоммуникационных сетях   очки доступа   очки доступа используются для создания беспроводных сетей и расширения зон покрытия   борудование для тестирования и мониторинга   азличные инструменты и оборудование используются для тестирования и мониторинга работы телекоммуникационных линий   онтажное оборудование    ним относятся кронштейны  стойки и шкафы  используемые для крепления и организации оборудования   сточники питания   ополнительные устройства могут включать в себя источники питания и системы резервного копирования для обеспечения бесперебойной работы   ротекторы и подавители импульсных перенапряжений   ти устройства позволяют защитить телекоммуникационное оборудование от перепадов и скачков напряжения   рограммное обеспечение и микропрограммы   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абели   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v>
      </c>
    </row>
    <row r="1917" spans="1:8" ht="357" x14ac:dyDescent="0.2">
      <c r="A1917" s="31" t="s">
        <v>4402</v>
      </c>
      <c r="B1917" s="27" t="s">
        <v>4403</v>
      </c>
      <c r="C1917" s="27" t="s">
        <v>4404</v>
      </c>
      <c r="D1917" s="33" t="s">
        <v>1506</v>
      </c>
      <c r="E1917" s="9"/>
      <c r="F1917" s="32"/>
      <c r="G1917" s="10">
        <v>3274717</v>
      </c>
      <c r="H1917" s="30" t="str">
        <f ca="1">IFERROR(__xludf.DUMMYFUNCTION("LOWER(REGEXREPLACE(B1917&amp;"" ""&amp;C1917,""[^а-яa-z0-9 ]"","" ""))"),"   3    курс   ехнология модема типа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сдви"&amp;"гом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мплит"&amp;"удная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ча"&amp;"стотной области  ценка полосы пропускания  корость модуляции   скорость передачи данных     и полоса пропускания  ппаратные средства модуляторов  ппаратные средства демодуляторов  осстановление несущей и синхронизация демодуляторов  оррекция ошибок  бнару"&amp;"жение ошибок  ежимы работы  симплекс  полудуплекс  полный дуплекс  инейный код      оделирование неисправностей  остоит из экспериментальной платы  размещенной в держателе платы и предназначенной для использования совместно с основным блоком для проведени"&amp;"я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обеспечения"&amp;"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сдвигов"&amp;"ым ключом во временной области  игналы со сдвиговым ключом в частотной области")</f>
        <v xml:space="preserve">   3    курс   ехнология модема типа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частотной области  ценка полосы пропускания  корость модуляции   скорость передачи данных     и полоса пропускания  ппаратные средства модуляторов  ппаратные средства демодуляторов  осстановление несущей и синхронизация демодуляторов  оррекция ошибок  бнаружение ошибок  ежимы работы  симплекс  полудуплекс  полный дуплекс  инейный код      оделирование неисправностей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частотной области</v>
      </c>
    </row>
    <row r="1918" spans="1:8" ht="89.25" x14ac:dyDescent="0.2">
      <c r="A1918" s="31" t="s">
        <v>4405</v>
      </c>
      <c r="B1918" s="27" t="s">
        <v>4406</v>
      </c>
      <c r="C1918" s="27" t="s">
        <v>4407</v>
      </c>
      <c r="D1918" s="33" t="s">
        <v>1506</v>
      </c>
      <c r="E1918" s="9"/>
      <c r="F1918" s="32"/>
      <c r="G1918" s="10">
        <v>2479622</v>
      </c>
      <c r="H1918" s="30" t="str">
        <f ca="1">IFERROR(__xludf.DUMMYFUNCTION("LOWER(REGEXREPLACE(B1918&amp;"" ""&amp;C1918,""[^а-яa-z0-9 ]"","" ""))")," истема обучения      типа              онтроллер  rduino  например   rduino  no или подобный        модули и метки разных типов и частот   азнообразные дополнительные компоненты для создания проектов  резисторы       кнопки и т  д     чебные материалы  в"&amp;"ключая инструкции по подключению  программированию и примеры проектов   рограммное обеспечение для программирования и тестирования      ")</f>
        <v xml:space="preserve"> истема обучения      типа              онтроллер  rduino  например   rduino  no или подобный        модули и метки разных типов и частот   азнообразные дополнительные компоненты для создания проектов  резисторы       кнопки и т  д     чебные материалы  включая инструкции по подключению  программированию и примеры проектов   рограммное обеспечение для программирования и тестирования      </v>
      </c>
    </row>
    <row r="1919" spans="1:8" ht="51" x14ac:dyDescent="0.2">
      <c r="A1919" s="31" t="s">
        <v>4408</v>
      </c>
      <c r="B1919" s="27" t="s">
        <v>4409</v>
      </c>
      <c r="C1919" s="27" t="s">
        <v>4410</v>
      </c>
      <c r="D1919" s="33" t="s">
        <v>1506</v>
      </c>
      <c r="E1919" s="9"/>
      <c r="F1919" s="32"/>
      <c r="G1919" s="10">
        <v>4010078</v>
      </c>
      <c r="H1919" s="30" t="str">
        <f ca="1">IFERROR(__xludf.DUMMYFUNCTION("LOWER(REGEXREPLACE(B1919&amp;"" ""&amp;C1919,""[^а-яa-z0-9 ]"","" ""))")," истема обучения  елекоммуникационное оборудование типа              адио передатчики и приемники разных типов и частот   нтенны и устройства для настройки и анализа сигналов   чебные материалы  включая теоретические основы и практические задачи   рограмм"&amp;"ное обеспечение для моделирования и анализа радиосигналов ")</f>
        <v xml:space="preserve"> истема обучения  елекоммуникационное оборудование типа              адио передатчики и приемники разных типов и частот   нтенны и устройства для настройки и анализа сигналов   чебные материалы  включая теоретические основы и практические задачи   рограммное обеспечение для моделирования и анализа радиосигналов </v>
      </c>
    </row>
    <row r="1920" spans="1:8" ht="38.25" x14ac:dyDescent="0.2">
      <c r="A1920" s="31" t="s">
        <v>4411</v>
      </c>
      <c r="B1920" s="27" t="s">
        <v>4412</v>
      </c>
      <c r="C1920" s="27" t="s">
        <v>4413</v>
      </c>
      <c r="D1920" s="33" t="s">
        <v>1506</v>
      </c>
      <c r="E1920" s="9"/>
      <c r="F1920" s="32"/>
      <c r="G1920" s="10">
        <v>189041</v>
      </c>
      <c r="H1920" s="30" t="str">
        <f ca="1">IFERROR(__xludf.DUMMYFUNCTION("LOWER(REGEXREPLACE(B1920&amp;"" ""&amp;C1920,""[^а-яa-z0-9 ]"","" ""))")," аладочная станция подогреватель печатных плат типа  rafttronics  ab  лектронная станция с подогревателем для печатных плат  азличные насадки и держатели для размещения и фиксации платы  одробное руководство по использованию станции")</f>
        <v xml:space="preserve"> аладочная станция подогреватель печатных плат типа  rafttronics  ab  лектронная станция с подогревателем для печатных плат  азличные насадки и держатели для размещения и фиксации платы  одробное руководство по использованию станции</v>
      </c>
    </row>
    <row r="1921" spans="1:8" ht="63.75" x14ac:dyDescent="0.2">
      <c r="A1921" s="31" t="s">
        <v>4414</v>
      </c>
      <c r="B1921" s="27" t="s">
        <v>4415</v>
      </c>
      <c r="C1921" s="27" t="s">
        <v>4416</v>
      </c>
      <c r="D1921" s="33" t="s">
        <v>1506</v>
      </c>
      <c r="E1921" s="9"/>
      <c r="F1921" s="32"/>
      <c r="G1921" s="10">
        <v>255168</v>
      </c>
      <c r="H1921" s="30" t="str">
        <f ca="1">IFERROR(__xludf.DUMMYFUNCTION("LOWER(REGEXREPLACE(B1921&amp;"" ""&amp;C1921,""[^а-яa-z0-9 ]"","" ""))")," абор  pcb  электронных компонентов типа  rafttronics  ab  азнообразные электронные компоненты  включая резисторы  конденсаторы  диоды  транзисторы и многое другое   ечатные платы       разных размеров и типов для создания собственных проектов   одробное "&amp;"руководство по использованию компонентов  созданию электронных схем и монтажу на     ")</f>
        <v xml:space="preserve"> абор  pcb  электронных компонентов типа  rafttronics  ab  азнообразные электронные компоненты  включая резисторы  конденсаторы  диоды  транзисторы и многое другое   ечатные платы       разных размеров и типов для создания собственных проектов   одробное руководство по использованию компонентов  созданию электронных схем и монтажу на     </v>
      </c>
    </row>
    <row r="1922" spans="1:8" ht="12.75" x14ac:dyDescent="0.2">
      <c r="A1922" s="31" t="s">
        <v>4417</v>
      </c>
      <c r="B1922" s="27" t="s">
        <v>4418</v>
      </c>
      <c r="C1922" s="27"/>
      <c r="D1922" s="32"/>
      <c r="E1922" s="9"/>
      <c r="F1922" s="32"/>
      <c r="G1922" s="10"/>
      <c r="H1922" s="30" t="str">
        <f ca="1">IFERROR(__xludf.DUMMYFUNCTION("LOWER(REGEXREPLACE(B1922&amp;"" ""&amp;C1922,""[^а-яa-z0-9 ]"","" ""))")," абинет авиамоделирования ")</f>
        <v xml:space="preserve"> абинет авиамоделирования </v>
      </c>
    </row>
    <row r="1923" spans="1:8" ht="12.75" x14ac:dyDescent="0.2">
      <c r="A1923" s="31" t="s">
        <v>4419</v>
      </c>
      <c r="B1923" s="27" t="s">
        <v>4420</v>
      </c>
      <c r="C1923" s="27"/>
      <c r="D1923" s="33" t="s">
        <v>1506</v>
      </c>
      <c r="E1923" s="9"/>
      <c r="F1923" s="32"/>
      <c r="G1923" s="10"/>
      <c r="H1923" s="30" t="str">
        <f ca="1">IFERROR(__xludf.DUMMYFUNCTION("LOWER(REGEXREPLACE(B1923&amp;"" ""&amp;C1923,""[^а-яa-z0-9 ]"","" ""))")," аборы по авиамоделированию ")</f>
        <v xml:space="preserve"> аборы по авиамоделированию </v>
      </c>
    </row>
    <row r="1924" spans="1:8" ht="51" x14ac:dyDescent="0.2">
      <c r="A1924" s="31" t="s">
        <v>4421</v>
      </c>
      <c r="B1924" s="27" t="s">
        <v>4422</v>
      </c>
      <c r="C1924" s="27" t="s">
        <v>4423</v>
      </c>
      <c r="D1924" s="33" t="s">
        <v>1506</v>
      </c>
      <c r="E1924" s="34">
        <v>2</v>
      </c>
      <c r="F1924" s="36">
        <v>0.67</v>
      </c>
      <c r="G1924" s="10">
        <v>117331</v>
      </c>
      <c r="H1924" s="30" t="str">
        <f ca="1">IFERROR(__xludf.DUMMYFUNCTION("LOWER(REGEXREPLACE(B1924&amp;"" ""&amp;C1924,""[^а-яa-z0-9 ]"","" ""))")," абор авиамодели для быстрой сборки тип 1 типа  via raft  xplore  it  учной планер с электрическим приводом   лина  420 мм  азмах крыльев  500 мм    комплект входят   ыстрый электродвигатель  перезаряжаемая батарея  зарядное устройство постоянного тока   "&amp;" комплект входят 4 батарейки типа    ell ")</f>
        <v xml:space="preserve"> абор авиамодели для быстрой сборки тип 1 типа  via raft  xplore  it  учной планер с электрическим приводом   лина  420 мм  азмах крыльев  500 мм    комплект входят   ыстрый электродвигатель  перезаряжаемая батарея  зарядное устройство постоянного тока    комплект входят 4 батарейки типа    ell </v>
      </c>
    </row>
    <row r="1925" spans="1:8" ht="38.25" x14ac:dyDescent="0.2">
      <c r="A1925" s="31" t="s">
        <v>4424</v>
      </c>
      <c r="B1925" s="27" t="s">
        <v>4425</v>
      </c>
      <c r="C1925" s="27" t="s">
        <v>4426</v>
      </c>
      <c r="D1925" s="33" t="s">
        <v>1506</v>
      </c>
      <c r="E1925" s="34">
        <v>2</v>
      </c>
      <c r="F1925" s="37">
        <v>0.54500000000000004</v>
      </c>
      <c r="G1925" s="10">
        <v>103355</v>
      </c>
      <c r="H1925" s="30" t="str">
        <f ca="1">IFERROR(__xludf.DUMMYFUNCTION("LOWER(REGEXREPLACE(B1925&amp;"" ""&amp;C1925,""[^а-яa-z0-9 ]"","" ""))")," абор авиамодели для быстрой сборки тип 2 типа  via raft  xplore  it  азмах крыла  550 мм   комплект входят   арядное устройство постоянного тока  требуются батареи   быстрый электродвигатель и перезаряжаемая батарея")</f>
        <v xml:space="preserve"> абор авиамодели для быстрой сборки тип 2 типа  via raft  xplore  it  азмах крыла  550 мм   комплект входят   арядное устройство постоянного тока  требуются батареи   быстрый электродвигатель и перезаряжаемая батарея</v>
      </c>
    </row>
    <row r="1926" spans="1:8" ht="51" x14ac:dyDescent="0.2">
      <c r="A1926" s="31" t="s">
        <v>4427</v>
      </c>
      <c r="B1926" s="27" t="s">
        <v>4428</v>
      </c>
      <c r="C1926" s="27" t="s">
        <v>4429</v>
      </c>
      <c r="D1926" s="33" t="s">
        <v>1506</v>
      </c>
      <c r="E1926" s="34">
        <v>2</v>
      </c>
      <c r="F1926" s="36">
        <v>0.76</v>
      </c>
      <c r="G1926" s="10">
        <v>157623</v>
      </c>
      <c r="H1926" s="30" t="str">
        <f ca="1">IFERROR(__xludf.DUMMYFUNCTION("LOWER(REGEXREPLACE(B1926&amp;"" ""&amp;C1926,""[^а-яa-z0-9 ]"","" ""))")," абор авиамодели для быстрой сборки тип 3 типа  via raft  xplore  it  эроплан с электрическим приводом   лина  460 мм  азмах крыльев  530 мм    комплект входят  быстрый электродвигатель  перезаряжаемая батарея  зарядное устройство постоянного тока  4 бата"&amp;"рейки типа    ell ")</f>
        <v xml:space="preserve"> абор авиамодели для быстрой сборки тип 3 типа  via raft  xplore  it  эроплан с электрическим приводом   лина  460 мм  азмах крыльев  530 мм    комплект входят  быстрый электродвигатель  перезаряжаемая батарея  зарядное устройство постоянного тока  4 батарейки типа    ell </v>
      </c>
    </row>
    <row r="1927" spans="1:8" ht="25.5" x14ac:dyDescent="0.2">
      <c r="A1927" s="31" t="s">
        <v>4430</v>
      </c>
      <c r="B1927" s="27" t="s">
        <v>4431</v>
      </c>
      <c r="C1927" s="27"/>
      <c r="D1927" s="33" t="s">
        <v>1506</v>
      </c>
      <c r="E1927" s="9"/>
      <c r="F1927" s="32"/>
      <c r="G1927" s="10"/>
      <c r="H1927" s="30" t="str">
        <f ca="1">IFERROR(__xludf.DUMMYFUNCTION("LOWER(REGEXREPLACE(B1927&amp;"" ""&amp;C1927,""[^а-яa-z0-9 ]"","" ""))")," борочные модели  детали  аппараты по авиамоделированию ")</f>
        <v xml:space="preserve"> борочные модели  детали  аппараты по авиамоделированию </v>
      </c>
    </row>
    <row r="1928" spans="1:8" ht="102" x14ac:dyDescent="0.2">
      <c r="A1928" s="31" t="s">
        <v>4432</v>
      </c>
      <c r="B1928" s="27" t="s">
        <v>4433</v>
      </c>
      <c r="C1928" s="27" t="s">
        <v>4434</v>
      </c>
      <c r="D1928" s="33" t="s">
        <v>1506</v>
      </c>
      <c r="E1928" s="34">
        <v>2</v>
      </c>
      <c r="F1928" s="35">
        <v>2.8</v>
      </c>
      <c r="G1928" s="10">
        <v>398215</v>
      </c>
      <c r="H1928" s="30" t="str">
        <f ca="1">IFERROR(__xludf.DUMMYFUNCTION("LOWER(REGEXREPLACE(B1928&amp;"" ""&amp;C1928,""[^а-яa-z0-9 ]"","" ""))")," борочная модель самолета из бальзового дерева типа  via raft  xplore  it  азмах крыла  1800 мм  70 дюйм   лина фюзеляжа  1150 мм  45 дюйм   олетный вес  2 8 кг приблизительно  зависит от выбранного силового агрегата   вигатель  3520 4250  500 600 ватт  б"&amp;"есщеточный внешний двигатель или газовый нитро эквивалент      60 80  подходит для батареи 6   ipo  ропеллер  11дюйм или больше в зависимости от выбранного силового агрегата  ккумулятор  3000 6000mah 4 6   ipo аккумулятор")</f>
        <v xml:space="preserve"> борочная модель самолета из бальзового дерева типа  via raft  xplore  it  азмах крыла  1800 мм  70 дюйм   лина фюзеляжа  1150 мм  45 дюйм   олетный вес  2 8 кг приблизительно  зависит от выбранного силового агрегата   вигатель  3520 4250  500 600 ватт  бесщеточный внешний двигатель или газовый нитро эквивалент      60 80  подходит для батареи 6   ipo  ропеллер  11дюйм или больше в зависимости от выбранного силового агрегата  ккумулятор  3000 6000mah 4 6   ipo аккумулятор</v>
      </c>
    </row>
    <row r="1929" spans="1:8" ht="38.25" x14ac:dyDescent="0.2">
      <c r="A1929" s="31" t="s">
        <v>4435</v>
      </c>
      <c r="B1929" s="27" t="s">
        <v>4436</v>
      </c>
      <c r="C1929" s="27" t="s">
        <v>4437</v>
      </c>
      <c r="D1929" s="33" t="s">
        <v>1506</v>
      </c>
      <c r="E1929" s="34">
        <v>2</v>
      </c>
      <c r="F1929" s="36">
        <v>0.16</v>
      </c>
      <c r="G1929" s="10">
        <v>440618</v>
      </c>
      <c r="H1929" s="30" t="str">
        <f ca="1">IFERROR(__xludf.DUMMYFUNCTION("LOWER(REGEXREPLACE(B1929&amp;"" ""&amp;C1929,""[^а-яa-z0-9 ]"","" ""))")," етательное крыло типа  via raft  xplore  it  азмах крыльев  990 мм  лина  730 мм  ес  160 г  лощадь крыла  11 17dm2  sq dm   агрузка на крыло  14 3 г дм2  5 4 унции кв фут ")</f>
        <v xml:space="preserve"> етательное крыло типа  via raft  xplore  it  азмах крыльев  990 мм  лина  730 мм  ес  160 г  лощадь крыла  11 17dm2  sq dm   агрузка на крыло  14 3 г дм2  5 4 унции кв фут </v>
      </c>
    </row>
    <row r="1930" spans="1:8" ht="89.25" x14ac:dyDescent="0.2">
      <c r="A1930" s="31" t="s">
        <v>4438</v>
      </c>
      <c r="B1930" s="27" t="s">
        <v>4439</v>
      </c>
      <c r="C1930" s="27" t="s">
        <v>4440</v>
      </c>
      <c r="D1930" s="33" t="s">
        <v>1506</v>
      </c>
      <c r="E1930" s="34">
        <v>2</v>
      </c>
      <c r="F1930" s="36">
        <v>0.89</v>
      </c>
      <c r="G1930" s="10">
        <v>408297</v>
      </c>
      <c r="H1930" s="30" t="str">
        <f ca="1">IFERROR(__xludf.DUMMYFUNCTION("LOWER(REGEXREPLACE(B1930&amp;"" ""&amp;C1930,""[^а-яa-z0-9 ]"","" ""))")," борочная модель самолета из сверхпрочной пены     типа  via raft  xplore  it  азмах крыльев  1550 мм  лина  948 мм  олетный вес  890 г  инамическая раскраска и полосы на днище для легкой ориентации     ополнительное шасси с клипсами     езопасные толкающ"&amp;"ие пропеллеры    гловые конические поверхности крыла и хвоста     пции     в носу и козырьке самолета    рыло из двух частей для быстрой сборки и хранения ")</f>
        <v xml:space="preserve"> борочная модель самолета из сверхпрочной пены     типа  via raft  xplore  it  азмах крыльев  1550 мм  лина  948 мм  олетный вес  890 г  инамическая раскраска и полосы на днище для легкой ориентации     ополнительное шасси с клипсами     езопасные толкающие пропеллеры    гловые конические поверхности крыла и хвоста     пции     в носу и козырьке самолета    рыло из двух частей для быстрой сборки и хранения </v>
      </c>
    </row>
    <row r="1931" spans="1:8" ht="38.25" x14ac:dyDescent="0.2">
      <c r="A1931" s="31" t="s">
        <v>4441</v>
      </c>
      <c r="B1931" s="27" t="s">
        <v>4442</v>
      </c>
      <c r="C1931" s="27" t="s">
        <v>4443</v>
      </c>
      <c r="D1931" s="33" t="s">
        <v>1506</v>
      </c>
      <c r="E1931" s="34">
        <v>2</v>
      </c>
      <c r="F1931" s="36">
        <v>0.67</v>
      </c>
      <c r="G1931" s="10">
        <v>504874</v>
      </c>
      <c r="H1931" s="30" t="str">
        <f ca="1">IFERROR(__xludf.DUMMYFUNCTION("LOWER(REGEXREPLACE(B1931&amp;"" ""&amp;C1931,""[^а-яa-z0-9 ]"","" ""))")," интажная модель самолета типа  via raft  xplore  it  азмах крыльев  1000 мм  лина  700 мм  ес всей конструкции    риблизительно 650 г в зависимости от установки  онструкция    альза  карбон  пластик")</f>
        <v xml:space="preserve"> интажная модель самолета типа  via raft  xplore  it  азмах крыльев  1000 мм  лина  700 мм  ес всей конструкции    риблизительно 650 г в зависимости от установки  онструкция    альза  карбон  пластик</v>
      </c>
    </row>
    <row r="1932" spans="1:8" ht="51" x14ac:dyDescent="0.2">
      <c r="A1932" s="31" t="s">
        <v>4444</v>
      </c>
      <c r="B1932" s="27" t="s">
        <v>4445</v>
      </c>
      <c r="C1932" s="27" t="s">
        <v>4446</v>
      </c>
      <c r="D1932" s="33" t="s">
        <v>1506</v>
      </c>
      <c r="E1932" s="34">
        <v>2</v>
      </c>
      <c r="F1932" s="36">
        <v>0.75</v>
      </c>
      <c r="G1932" s="10">
        <v>408160</v>
      </c>
      <c r="H1932" s="30" t="str">
        <f ca="1">IFERROR(__xludf.DUMMYFUNCTION("LOWER(REGEXREPLACE(B1932&amp;"" ""&amp;C1932,""[^а-яa-z0-9 ]"","" ""))")," иниатюрный летательный аппарат типа  via raft  xplore  it  азмах крыльев  1400 мм  лина  1036 мм  лощадь крыла  22 30дм2  вигатель  2212  rushless  utrunner 1350кв  ропеллер  9 x 5 дюйм складного типа      20  w      ервопривод  9г x 6")</f>
        <v xml:space="preserve"> иниатюрный летательный аппарат типа  via raft  xplore  it  азмах крыльев  1400 мм  лина  1036 мм  лощадь крыла  22 30дм2  вигатель  2212  rushless  utrunner 1350кв  ропеллер  9 x 5 дюйм складного типа      20  w      ервопривод  9г x 6</v>
      </c>
    </row>
    <row r="1933" spans="1:8" ht="63.75" x14ac:dyDescent="0.2">
      <c r="A1933" s="31" t="s">
        <v>4447</v>
      </c>
      <c r="B1933" s="27" t="s">
        <v>4448</v>
      </c>
      <c r="C1933" s="27" t="s">
        <v>4449</v>
      </c>
      <c r="D1933" s="33" t="s">
        <v>1506</v>
      </c>
      <c r="E1933" s="34">
        <v>2</v>
      </c>
      <c r="F1933" s="37">
        <v>0.42499999999999999</v>
      </c>
      <c r="G1933" s="10">
        <v>417247</v>
      </c>
      <c r="H1933" s="30" t="str">
        <f ca="1">IFERROR(__xludf.DUMMYFUNCTION("LOWER(REGEXREPLACE(B1933&amp;"" ""&amp;C1933,""[^а-яa-z0-9 ]"","" ""))")," оенный самолет сборочного типа  via raft  xplore  it  азмах крыла  750 мм  30 дюйм   лина  648 мм  25 5 дюйм   оотношение мощности и веса  1 1  отор  2408 1200   бесщеточный      20  бесщеточный  ироскоп  интеллектуальный 6 осевой с 2 режимами полета  но"&amp;"вичок эксперт   ервоприводы  9г x 4  ропеллер  8x6 4 лопасти")</f>
        <v xml:space="preserve"> оенный самолет сборочного типа  via raft  xplore  it  азмах крыла  750 мм  30 дюйм   лина  648 мм  25 5 дюйм   оотношение мощности и веса  1 1  отор  2408 1200   бесщеточный      20  бесщеточный  ироскоп  интеллектуальный 6 осевой с 2 режимами полета  новичок эксперт   ервоприводы  9г x 4  ропеллер  8x6 4 лопасти</v>
      </c>
    </row>
    <row r="1934" spans="1:8" ht="127.5" x14ac:dyDescent="0.2">
      <c r="A1934" s="31" t="s">
        <v>4450</v>
      </c>
      <c r="B1934" s="27" t="s">
        <v>4451</v>
      </c>
      <c r="C1934" s="27" t="s">
        <v>4452</v>
      </c>
      <c r="D1934" s="33" t="s">
        <v>1506</v>
      </c>
      <c r="E1934" s="34">
        <v>2</v>
      </c>
      <c r="F1934" s="36">
        <v>0.25</v>
      </c>
      <c r="G1934" s="10">
        <v>564833</v>
      </c>
      <c r="H1934" s="30" t="str">
        <f ca="1">IFERROR(__xludf.DUMMYFUNCTION("LOWER(REGEXREPLACE(B1934&amp;"" ""&amp;C1934,""[^а-яa-z0-9 ]"","" ""))")," ренажерный летательный аппарат типа  via raft  xplore  it  ип питания  лектрический  азмах крыла 24 3 дюйм  617 мм   вета схемы обшивки  иний  ровень мастерства 1  ервоприводы в комплекте  асси фиксированное основное с управляемым хвостовым колесом  егул"&amp;"ятор скорости в комплекте  атарея в комплекте  ип разъема    1 5   ltra  icro   лина изделия 16 3 дюйма  414 5 мм   еобходимый минимум  адио 6 канальное  адио продается отдельно  ехнологии   3  и       риемник в комплекте  арядное устройство продается отд"&amp;"ельно  риблизительное время сборки  борка не требуется  атериал    ")</f>
        <v xml:space="preserve"> ренажерный летательный аппарат типа  via raft  xplore  it  ип питания  лектрический  азмах крыла 24 3 дюйм  617 мм   вета схемы обшивки  иний  ровень мастерства 1  ервоприводы в комплекте  асси фиксированное основное с управляемым хвостовым колесом  егулятор скорости в комплекте  атарея в комплекте  ип разъема    1 5   ltra  icro   лина изделия 16 3 дюйма  414 5 мм   еобходимый минимум  адио 6 канальное  адио продается отдельно  ехнологии   3  и       риемник в комплекте  арядное устройство продается отдельно  риблизительное время сборки  борка не требуется  атериал    </v>
      </c>
    </row>
    <row r="1935" spans="1:8" ht="102" x14ac:dyDescent="0.2">
      <c r="A1935" s="31" t="s">
        <v>4453</v>
      </c>
      <c r="B1935" s="27" t="s">
        <v>4454</v>
      </c>
      <c r="C1935" s="27" t="s">
        <v>4455</v>
      </c>
      <c r="D1935" s="33" t="s">
        <v>1506</v>
      </c>
      <c r="E1935" s="34">
        <v>2</v>
      </c>
      <c r="F1935" s="36">
        <v>0.12</v>
      </c>
      <c r="G1935" s="10">
        <v>98999</v>
      </c>
      <c r="H1935" s="30" t="str">
        <f ca="1">IFERROR(__xludf.DUMMYFUNCTION("LOWER(REGEXREPLACE(B1935&amp;"" ""&amp;C1935,""[^а-яa-z0-9 ]"","" ""))")," анометр типа  via raft  xplore  it  анометр  reci ressure для контроля поверхности  иапазон измерения угла отклонения      55 мм  или  приблизительно     27 5 градусов  для точной настройки   ростой зажим с мягкой подкладкой  обеспечивающий надежное креп"&amp;"ление инструмента к управляющей поверхности модели   еталлический показатель с подшипниками  обеспечивающий точные измерения  и контрвес для стабильности при измерениях   одходит для настройки угла отклонения управляющих поверхностей на средних и больших "&amp;"моделях  обеспечивая точные и надежные измерения ")</f>
        <v xml:space="preserve"> анометр типа  via raft  xplore  it  анометр  reci ressure для контроля поверхности  иапазон измерения угла отклонения      55 мм  или  приблизительно     27 5 градусов  для точной настройки   ростой зажим с мягкой подкладкой  обеспечивающий надежное крепление инструмента к управляющей поверхности модели   еталлический показатель с подшипниками  обеспечивающий точные измерения  и контрвес для стабильности при измерениях   одходит для настройки угла отклонения управляющих поверхностей на средних и больших моделях  обеспечивая точные и надежные измерения </v>
      </c>
    </row>
    <row r="1936" spans="1:8" x14ac:dyDescent="0.2">
      <c r="A1936" s="12" t="s">
        <v>4456</v>
      </c>
      <c r="B1936" s="26"/>
      <c r="C1936" s="27"/>
      <c r="D1936" s="26"/>
      <c r="E1936" s="28"/>
      <c r="F1936" s="26"/>
      <c r="G1936" s="29"/>
      <c r="H1936" s="30" t="str">
        <f ca="1">IFERROR(__xludf.DUMMYFUNCTION("LOWER(REGEXREPLACE(B1936&amp;"" ""&amp;C1936,""[^а-яa-z0-9 ]"","" ""))")," ")</f>
        <v xml:space="preserve"> </v>
      </c>
    </row>
    <row r="1937" spans="1:8" ht="12.75" x14ac:dyDescent="0.2">
      <c r="A1937" s="31" t="s">
        <v>4457</v>
      </c>
      <c r="B1937" s="27" t="s">
        <v>4458</v>
      </c>
      <c r="C1937" s="27"/>
      <c r="D1937" s="32"/>
      <c r="E1937" s="9"/>
      <c r="F1937" s="32"/>
      <c r="G1937" s="10"/>
      <c r="H1937" s="30" t="str">
        <f ca="1">IFERROR(__xludf.DUMMYFUNCTION("LOWER(REGEXREPLACE(B1937&amp;"" ""&amp;C1937,""[^а-яa-z0-9 ]"","" ""))")," уризм и спортивные игры ")</f>
        <v xml:space="preserve"> уризм и спортивные игры </v>
      </c>
    </row>
    <row r="1938" spans="1:8" ht="12.75" x14ac:dyDescent="0.2">
      <c r="A1938" s="31" t="s">
        <v>4459</v>
      </c>
      <c r="B1938" s="27" t="s">
        <v>4460</v>
      </c>
      <c r="C1938" s="27"/>
      <c r="D1938" s="33" t="s">
        <v>14</v>
      </c>
      <c r="E1938" s="9"/>
      <c r="F1938" s="32"/>
      <c r="G1938" s="10"/>
      <c r="H1938" s="30" t="str">
        <f ca="1">IFERROR(__xludf.DUMMYFUNCTION("LOWER(REGEXREPLACE(B1938&amp;"" ""&amp;C1938,""[^а-яa-z0-9 ]"","" ""))")," илетка игровая с номером ")</f>
        <v xml:space="preserve"> илетка игровая с номером </v>
      </c>
    </row>
    <row r="1939" spans="1:8" ht="25.5" x14ac:dyDescent="0.2">
      <c r="A1939" s="31" t="s">
        <v>4461</v>
      </c>
      <c r="B1939" s="27" t="s">
        <v>4462</v>
      </c>
      <c r="C1939" s="27" t="s">
        <v>4463</v>
      </c>
      <c r="D1939" s="33" t="s">
        <v>14</v>
      </c>
      <c r="E1939" s="34">
        <v>1</v>
      </c>
      <c r="F1939" s="36">
        <v>0.25</v>
      </c>
      <c r="G1939" s="10">
        <v>2486</v>
      </c>
      <c r="H1939" s="30" t="str">
        <f ca="1">IFERROR(__xludf.DUMMYFUNCTION("LOWER(REGEXREPLACE(B1939&amp;"" ""&amp;C1939,""[^а-яa-z0-9 ]"","" ""))")," илетка игровая с номером     010  илетка игровая с номером  манишки      010   атериал манишки сетка   кань 100  полиэстер   ез окантовки")</f>
        <v xml:space="preserve"> илетка игровая с номером     010  илетка игровая с номером  манишки      010   атериал манишки сетка   кань 100  полиэстер   ез окантовки</v>
      </c>
    </row>
    <row r="1940" spans="1:8" ht="12.75" x14ac:dyDescent="0.2">
      <c r="A1940" s="31" t="s">
        <v>4464</v>
      </c>
      <c r="B1940" s="27" t="s">
        <v>4465</v>
      </c>
      <c r="C1940" s="27"/>
      <c r="D1940" s="33" t="s">
        <v>14</v>
      </c>
      <c r="E1940" s="9"/>
      <c r="F1940" s="32"/>
      <c r="G1940" s="10"/>
      <c r="H1940" s="30" t="str">
        <f ca="1">IFERROR(__xludf.DUMMYFUNCTION("LOWER(REGEXREPLACE(B1940&amp;"" ""&amp;C1940,""[^а-яa-z0-9 ]"","" ""))")," асы шахматные механические ")</f>
        <v xml:space="preserve"> асы шахматные механические </v>
      </c>
    </row>
    <row r="1941" spans="1:8" ht="12.75" x14ac:dyDescent="0.2">
      <c r="A1941" s="31" t="s">
        <v>4466</v>
      </c>
      <c r="B1941" s="27" t="s">
        <v>4465</v>
      </c>
      <c r="C1941" s="27" t="s">
        <v>4467</v>
      </c>
      <c r="D1941" s="33" t="s">
        <v>14</v>
      </c>
      <c r="E1941" s="34">
        <v>1</v>
      </c>
      <c r="F1941" s="35">
        <v>0.4</v>
      </c>
      <c r="G1941" s="10">
        <v>21124</v>
      </c>
      <c r="H1941" s="30" t="str">
        <f ca="1">IFERROR(__xludf.DUMMYFUNCTION("LOWER(REGEXREPLACE(B1941&amp;"" ""&amp;C1941,""[^а-яa-z0-9 ]"","" ""))")," асы шахматные механические  асы шахматные механические ")</f>
        <v xml:space="preserve"> асы шахматные механические  асы шахматные механические </v>
      </c>
    </row>
    <row r="1942" spans="1:8" x14ac:dyDescent="0.2">
      <c r="A1942" s="12" t="s">
        <v>4468</v>
      </c>
      <c r="B1942" s="26"/>
      <c r="C1942" s="27"/>
      <c r="D1942" s="26"/>
      <c r="E1942" s="28"/>
      <c r="F1942" s="26"/>
      <c r="G1942" s="29"/>
      <c r="H1942" s="30" t="str">
        <f ca="1">IFERROR(__xludf.DUMMYFUNCTION("LOWER(REGEXREPLACE(B1942&amp;"" ""&amp;C1942,""[^а-яa-z0-9 ]"","" ""))")," ")</f>
        <v xml:space="preserve"> </v>
      </c>
    </row>
    <row r="1943" spans="1:8" ht="38.25" x14ac:dyDescent="0.2">
      <c r="A1943" s="31" t="s">
        <v>4469</v>
      </c>
      <c r="B1943" s="27" t="s">
        <v>1620</v>
      </c>
      <c r="C1943" s="27"/>
      <c r="D1943" s="32"/>
      <c r="E1943" s="9"/>
      <c r="F1943" s="32"/>
      <c r="G1943" s="10"/>
      <c r="H1943" s="30" t="str">
        <f ca="1">IFERROR(__xludf.DUMMYFUNCTION("LOWER(REGEXREPLACE(B1943&amp;"" ""&amp;C1943,""[^а-яa-z0-9 ]"","" ""))")," нновационное и высокотехнологичное оборудование для занятий робототехникой  исследовательской и проектной деятельностью ")</f>
        <v xml:space="preserve"> нновационное и высокотехнологичное оборудование для занятий робототехникой  исследовательской и проектной деятельностью </v>
      </c>
    </row>
    <row r="1944" spans="1:8" ht="12.75" x14ac:dyDescent="0.2">
      <c r="A1944" s="31" t="s">
        <v>4470</v>
      </c>
      <c r="B1944" s="27" t="s">
        <v>4471</v>
      </c>
      <c r="C1944" s="27"/>
      <c r="D1944" s="33" t="s">
        <v>14</v>
      </c>
      <c r="E1944" s="9"/>
      <c r="F1944" s="32"/>
      <c r="G1944" s="10"/>
      <c r="H1944" s="30" t="str">
        <f ca="1">IFERROR(__xludf.DUMMYFUNCTION("LOWER(REGEXREPLACE(B1944&amp;"" ""&amp;C1944,""[^а-яa-z0-9 ]"","" ""))"),"3   принтер с пластиком для печати ")</f>
        <v xml:space="preserve">3   принтер с пластиком для печати </v>
      </c>
    </row>
    <row r="1945" spans="1:8" ht="38.25" x14ac:dyDescent="0.2">
      <c r="A1945" s="31" t="s">
        <v>4472</v>
      </c>
      <c r="B1945" s="27" t="s">
        <v>4473</v>
      </c>
      <c r="C1945" s="27"/>
      <c r="D1945" s="33" t="s">
        <v>14</v>
      </c>
      <c r="E1945" s="9"/>
      <c r="F1945" s="32"/>
      <c r="G1945" s="10">
        <v>98125</v>
      </c>
      <c r="H1945" s="30" t="str">
        <f ca="1">IFERROR(__xludf.DUMMYFUNCTION("LOWER(REGEXREPLACE(B1945&amp;"" ""&amp;C1945,""[^а-яa-z0-9 ]"","" ""))")," ринтер     aser et  211dw   4  29ppm  600x600dpi  64 b             i  i  tray 100 150  duplex ")</f>
        <v xml:space="preserve"> ринтер     aser et  211dw   4  29ppm  600x600dpi  64 b             i  i  tray 100 150  duplex </v>
      </c>
    </row>
    <row r="1946" spans="1:8" ht="25.5" x14ac:dyDescent="0.2">
      <c r="A1946" s="31" t="s">
        <v>4474</v>
      </c>
      <c r="B1946" s="27" t="s">
        <v>4475</v>
      </c>
      <c r="C1946" s="27"/>
      <c r="D1946" s="33" t="s">
        <v>14</v>
      </c>
      <c r="E1946" s="9"/>
      <c r="F1946" s="32"/>
      <c r="G1946" s="10">
        <v>144552</v>
      </c>
      <c r="H1946" s="30" t="str">
        <f ca="1">IFERROR(__xludf.DUMMYFUNCTION("LOWER(REGEXREPLACE(B1946&amp;"" ""&amp;C1946,""[^а-яa-z0-9 ]"","" ""))")," ринтер     aser et      404dn  4  print 1200x1200dpi  38ppm            tray 150 pages ")</f>
        <v xml:space="preserve"> ринтер     aser et      404dn  4  print 1200x1200dpi  38ppm            tray 150 pages </v>
      </c>
    </row>
    <row r="1947" spans="1:8" ht="25.5" x14ac:dyDescent="0.2">
      <c r="A1947" s="31" t="s">
        <v>4476</v>
      </c>
      <c r="B1947" s="27" t="s">
        <v>4477</v>
      </c>
      <c r="C1947" s="27"/>
      <c r="D1947" s="33" t="s">
        <v>14</v>
      </c>
      <c r="E1947" s="9"/>
      <c r="F1947" s="32"/>
      <c r="G1947" s="10">
        <v>165089</v>
      </c>
      <c r="H1947" s="30" t="str">
        <f ca="1">IFERROR(__xludf.DUMMYFUNCTION("LOWER(REGEXREPLACE(B1947&amp;"" ""&amp;C1947,""[^а-яa-z0-9 ]"","" ""))")," ринтер  erox  310      4  print 1200x1200dpi  40ppm  tray 900 pages             i  i  duplex ")</f>
        <v xml:space="preserve"> ринтер  erox  310      4  print 1200x1200dpi  40ppm  tray 900 pages             i  i  duplex </v>
      </c>
    </row>
    <row r="1948" spans="1:8" ht="38.25" x14ac:dyDescent="0.2">
      <c r="A1948" s="31" t="s">
        <v>4478</v>
      </c>
      <c r="B1948" s="27" t="s">
        <v>4479</v>
      </c>
      <c r="C1948" s="27"/>
      <c r="D1948" s="33" t="s">
        <v>14</v>
      </c>
      <c r="E1948" s="9"/>
      <c r="F1948" s="32"/>
      <c r="G1948" s="10">
        <v>271115</v>
      </c>
      <c r="H1948" s="30" t="str">
        <f ca="1">IFERROR(__xludf.DUMMYFUNCTION("LOWER(REGEXREPLACE(B1948&amp;"" ""&amp;C1948,""[^а-яa-z0-9 ]"","" ""))")," ринтер     aser et  nterprise  455dn   4  27 27ppm  600x600dpi  1 25 b  800  z          tray150 250 ")</f>
        <v xml:space="preserve"> ринтер     aser et  nterprise  455dn   4  27 27ppm  600x600dpi  1 25 b  800  z          tray150 250 </v>
      </c>
    </row>
    <row r="1949" spans="1:8" ht="25.5" x14ac:dyDescent="0.2">
      <c r="A1949" s="31" t="s">
        <v>4480</v>
      </c>
      <c r="B1949" s="27" t="s">
        <v>4481</v>
      </c>
      <c r="C1949" s="27"/>
      <c r="D1949" s="33" t="s">
        <v>14</v>
      </c>
      <c r="E1949" s="9"/>
      <c r="F1949" s="32"/>
      <c r="G1949" s="10">
        <v>207834</v>
      </c>
      <c r="H1949" s="30" t="str">
        <f ca="1">IFERROR(__xludf.DUMMYFUNCTION("LOWER(REGEXREPLACE(B1949&amp;"" ""&amp;C1949,""[^а-яa-z0-9 ]"","" ""))")," ринтер     aser et  ro  454dn   4  27 27ppm  1200x1200dpi  tray 150 page  50000 стр мес       ")</f>
        <v xml:space="preserve"> ринтер     aser et  ro  454dn   4  27 27ppm  1200x1200dpi  tray 150 page  50000 стр мес       </v>
      </c>
    </row>
    <row r="1950" spans="1:8" ht="89.25" x14ac:dyDescent="0.2">
      <c r="A1950" s="31" t="s">
        <v>4482</v>
      </c>
      <c r="B1950" s="8" t="s">
        <v>4483</v>
      </c>
      <c r="C1950" s="27"/>
      <c r="D1950" s="33" t="s">
        <v>14</v>
      </c>
      <c r="E1950" s="9"/>
      <c r="F1950" s="34">
        <v>38</v>
      </c>
      <c r="G1950" s="10">
        <v>1022285</v>
      </c>
      <c r="H1950" s="30" t="str">
        <f ca="1">IFERROR(__xludf.DUMMYFUNCTION("LOWER(REGEXREPLACE(B1950&amp;"" ""&amp;C1950,""[^а-яa-z0-9 ]"","" ""))"),"3   ринтер  lashforge  uider 2  количество экструдеров 1  максимальная температура экструдера 240    464     скорость печати 30 100мм с  диаметр нити 1 75 мм  0 069 дюйма   объем печати 280 250 300 мм  11 9 8 11 8 дюйма   толщина слоя 0 1 мм 0 4 мм  точно"&amp;"сть печати  0 2 мм ")</f>
        <v xml:space="preserve">3   ринтер  lashforge  uider 2  количество экструдеров 1  максимальная температура экструдера 240    464     скорость печати 30 100мм с  диаметр нити 1 75 мм  0 069 дюйма   объем печати 280 250 300 мм  11 9 8 11 8 дюйма   толщина слоя 0 1 мм 0 4 мм  точность печати  0 2 мм </v>
      </c>
    </row>
    <row r="1951" spans="1:8" ht="114.75" x14ac:dyDescent="0.2">
      <c r="A1951" s="31" t="s">
        <v>4484</v>
      </c>
      <c r="B1951" s="8" t="s">
        <v>4485</v>
      </c>
      <c r="C1951" s="27"/>
      <c r="D1951" s="33" t="s">
        <v>14</v>
      </c>
      <c r="E1951" s="9"/>
      <c r="F1951" s="34">
        <v>26</v>
      </c>
      <c r="G1951" s="10">
        <v>671843</v>
      </c>
      <c r="H1951" s="30" t="str">
        <f ca="1">IFERROR(__xludf.DUMMYFUNCTION("LOWER(REGEXREPLACE(B1951&amp;"" ""&amp;C1951,""[^а-яa-z0-9 ]"","" ""))")," 3   ринтер  lashforge  dventurer 4  филамент  количество экструдеров 1   аксимальная температура экструдера 265    509     скорость печати 10 150мм с  совместимость нити                                     диаметр нити 1 75 мм  0 069 дюйма   объем печати"&amp;" 220 200 250 мм  8 67 7 87 9 84 дюйма   толщина слоя 0 1 мм 0 4 мм  точность печати  0 1 мм  тест куба 100 мм   ")</f>
        <v xml:space="preserve"> 3   ринтер  lashforge  dventurer 4  филамент  количество экструдеров 1   аксимальная температура экструдера 265    509     скорость печати 10 150мм с  совместимость нити                                     диаметр нити 1 75 мм  0 069 дюйма   объем печати 220 200 250 мм  8 67 7 87 9 84 дюйма   толщина слоя 0 1 мм 0 4 мм  точность печати  0 1 мм  тест куба 100 мм   </v>
      </c>
    </row>
    <row r="1952" spans="1:8" ht="63.75" x14ac:dyDescent="0.2">
      <c r="A1952" s="31" t="s">
        <v>4486</v>
      </c>
      <c r="B1952" s="27" t="s">
        <v>4487</v>
      </c>
      <c r="C1952" s="27"/>
      <c r="D1952" s="33" t="s">
        <v>14</v>
      </c>
      <c r="E1952" s="9"/>
      <c r="F1952" s="35">
        <v>15.6</v>
      </c>
      <c r="G1952" s="10">
        <v>281882</v>
      </c>
      <c r="H1952" s="30" t="str">
        <f ca="1">IFERROR(__xludf.DUMMYFUNCTION("LOWER(REGEXREPLACE(B1952&amp;"" ""&amp;C1952,""[^а-яa-z0-9 ]"","" ""))"),"3   ринтер  lashforge  inder  филамент  экструдер с прямым приводом  точность печати  0 2 мм  скорость печати  180мм с  объем сборки 190 195 200мм  поддерживаемая нить                                 95  ")</f>
        <v xml:space="preserve">3   ринтер  lashforge  inder  филамент  экструдер с прямым приводом  точность печати  0 2 мм  скорость печати  180мм с  объем сборки 190 195 200мм  поддерживаемая нить                                 95  </v>
      </c>
    </row>
    <row r="1953" spans="1:8" ht="89.25" x14ac:dyDescent="0.2">
      <c r="A1953" s="31" t="s">
        <v>4488</v>
      </c>
      <c r="B1953" s="27" t="s">
        <v>4489</v>
      </c>
      <c r="C1953" s="27"/>
      <c r="D1953" s="33" t="s">
        <v>14</v>
      </c>
      <c r="E1953" s="9"/>
      <c r="F1953" s="35">
        <v>16.5</v>
      </c>
      <c r="G1953" s="10">
        <v>663721</v>
      </c>
      <c r="H1953" s="30" t="str">
        <f ca="1">IFERROR(__xludf.DUMMYFUNCTION("LOWER(REGEXREPLACE(B1953&amp;"" ""&amp;C1953,""[^а-яa-z0-9 ]"","" ""))"),"3   ринтер  lashforge  reamer  филамент  количество экструдеров 2  максимальная температура экструдера 240    464     скорость печати 30 100мм с  диаметр нити 1 75 мм  0 069 дюйма   объем печати 230 150 140 мм  9 1 5 9 5 5 дюйма   толщина слоя 0 1 мм 0 4 "&amp;"мм  точность печати  0 2 мм ")</f>
        <v xml:space="preserve">3   ринтер  lashforge  reamer  филамент  количество экструдеров 2  максимальная температура экструдера 240    464     скорость печати 30 100мм с  диаметр нити 1 75 мм  0 069 дюйма   объем печати 230 150 140 мм  9 1 5 9 5 5 дюйма   толщина слоя 0 1 мм 0 4 мм  точность печати  0 2 мм </v>
      </c>
    </row>
    <row r="1954" spans="1:8" ht="63.75" x14ac:dyDescent="0.2">
      <c r="A1954" s="31" t="s">
        <v>4490</v>
      </c>
      <c r="B1954" s="27" t="s">
        <v>4491</v>
      </c>
      <c r="C1954" s="27"/>
      <c r="D1954" s="33" t="s">
        <v>14</v>
      </c>
      <c r="E1954" s="9"/>
      <c r="F1954" s="35">
        <v>21.5</v>
      </c>
      <c r="G1954" s="10">
        <v>484328</v>
      </c>
      <c r="H1954" s="30" t="str">
        <f ca="1">IFERROR(__xludf.DUMMYFUNCTION("LOWER(REGEXREPLACE(B1954&amp;"" ""&amp;C1954,""[^а-яa-z0-9 ]"","" ""))"),"3   ринтер  lashforge  reator  ro 2  филамент  количество экструдеров 2  скорость печати 30 100мм с  диаметр нити 1 75 мм  0 069 дюйма   объем печати 200 148 150 мм  7 9 5 8 5 9 дюйма   толщина слоя 0 1 мм 0 4 мм ")</f>
        <v xml:space="preserve">3   ринтер  lashforge  reator  ro 2  филамент  количество экструдеров 2  скорость печати 30 100мм с  диаметр нити 1 75 мм  0 069 дюйма   объем печати 200 148 150 мм  7 9 5 8 5 9 дюйма   толщина слоя 0 1 мм 0 4 мм </v>
      </c>
    </row>
    <row r="1955" spans="1:8" ht="89.25" x14ac:dyDescent="0.2">
      <c r="A1955" s="31" t="s">
        <v>4492</v>
      </c>
      <c r="B1955" s="8" t="s">
        <v>4493</v>
      </c>
      <c r="C1955" s="27"/>
      <c r="D1955" s="33" t="s">
        <v>14</v>
      </c>
      <c r="E1955" s="9"/>
      <c r="F1955" s="35">
        <v>12.6</v>
      </c>
      <c r="G1955" s="10">
        <v>336497</v>
      </c>
      <c r="H1955" s="30" t="str">
        <f ca="1">IFERROR(__xludf.DUMMYFUNCTION("LOWER(REGEXREPLACE(B1955&amp;"" ""&amp;C1955,""[^а-яa-z0-9 ]"","" ""))"),"3   ринтер  lashforge  dventurer 3  филамент  количество экструдеров 1  максимальная температура экструдера 240    464     скорость печати 30 100 мм с  диаметр нити 1 75 мм  0 069 дюйма   объем печати 150 150 150 мм  5 9 5 9 5 9 дюйма   толщина слоя 0 1 м"&amp;"м 0 4 мм  точность печати  0 2 мм ")</f>
        <v xml:space="preserve">3   ринтер  lashforge  dventurer 3  филамент  количество экструдеров 1  максимальная температура экструдера 240    464     скорость печати 30 100 мм с  диаметр нити 1 75 мм  0 069 дюйма   объем печати 150 150 150 мм  5 9 5 9 5 9 дюйма   толщина слоя 0 1 мм 0 4 мм  точность печати  0 2 мм </v>
      </c>
    </row>
    <row r="1956" spans="1:8" ht="51" x14ac:dyDescent="0.2">
      <c r="A1956" s="31" t="s">
        <v>4494</v>
      </c>
      <c r="B1956" s="27" t="s">
        <v>4495</v>
      </c>
      <c r="C1956" s="27"/>
      <c r="D1956" s="33" t="s">
        <v>14</v>
      </c>
      <c r="E1956" s="34">
        <v>2</v>
      </c>
      <c r="F1956" s="34">
        <v>30</v>
      </c>
      <c r="G1956" s="10">
        <v>3386628</v>
      </c>
      <c r="H1956" s="30" t="str">
        <f ca="1">IFERROR(__xludf.DUMMYFUNCTION("LOWER(REGEXREPLACE(B1956&amp;"" ""&amp;C1956,""[^а-яa-z0-9 ]"","" ""))"),"3  принтер  диаметр выходного отверстия 0 4мм  максимальная скорость перемещения выходного отверстия по осям       250 мм с типа  ool ool           3  ")</f>
        <v xml:space="preserve">3  принтер  диаметр выходного отверстия 0 4мм  максимальная скорость перемещения выходного отверстия по осям       250 мм с типа  ool ool           3  </v>
      </c>
    </row>
    <row r="1957" spans="1:8" ht="51" x14ac:dyDescent="0.2">
      <c r="A1957" s="31" t="s">
        <v>4496</v>
      </c>
      <c r="B1957" s="27" t="s">
        <v>4497</v>
      </c>
      <c r="C1957" s="27" t="s">
        <v>4498</v>
      </c>
      <c r="D1957" s="33" t="s">
        <v>68</v>
      </c>
      <c r="E1957" s="9"/>
      <c r="F1957" s="35">
        <v>3.3</v>
      </c>
      <c r="G1957" s="10">
        <v>249113</v>
      </c>
      <c r="H1957" s="30" t="str">
        <f ca="1">IFERROR(__xludf.DUMMYFUNCTION("LOWER(REGEXREPLACE(B1957&amp;"" ""&amp;C1957,""[^а-яa-z0-9 ]"","" ""))")," омплект тренировочных полей для занятий робототехникой   ompetition fields        ego  eague  hallenge    оле для подготовки к международным соревнованиям для участия на соревнованиях среди средних классов         ego  eague  hallenge  имеет следующие ко"&amp;"мпоненты  1000   еталей 15х  гровых компонентов   иссии ")</f>
        <v xml:space="preserve"> омплект тренировочных полей для занятий робототехникой   ompetition fields        ego  eague  hallenge    оле для подготовки к международным соревнованиям для участия на соревнованиях среди средних классов         ego  eague  hallenge  имеет следующие компоненты  1000   еталей 15х  гровых компонентов   иссии </v>
      </c>
    </row>
    <row r="1958" spans="1:8" ht="114.75" x14ac:dyDescent="0.2">
      <c r="A1958" s="31" t="s">
        <v>4499</v>
      </c>
      <c r="B1958" s="8" t="s">
        <v>4500</v>
      </c>
      <c r="C1958" s="27" t="s">
        <v>4501</v>
      </c>
      <c r="D1958" s="33" t="s">
        <v>1506</v>
      </c>
      <c r="E1958" s="9"/>
      <c r="F1958" s="36">
        <v>3.56</v>
      </c>
      <c r="G1958" s="10">
        <v>458648</v>
      </c>
      <c r="H1958" s="30" t="str">
        <f ca="1">IFERROR(__xludf.DUMMYFUNCTION("LOWER(REGEXREPLACE(B1958&amp;"" ""&amp;C1958,""[^а-яa-z0-9 ]"","" ""))")," абор робототехнический программируемый  содержащий микропроцессор  мотор  датчики  конструкционные элементы  методические материалы          ego  eague championship  lass  ack  xplore  eague   абор включает следующие компоненты  1   абор по робототехнике"&amp;" для начальных классов  ego  ducation  pike  ssential 1 комплект 2   оревновательный набор по робототехнике для начальных классов 1 комплект 3   нженерный  блокнот x 1 4   уководство по работе с командой x 1 5   гровое поле x 1 6   гровые элементы по теме"&amp;" сезона  международной программы        700  деталей ")</f>
        <v xml:space="preserve"> абор робототехнический программируемый  содержащий микропроцессор  мотор  датчики  конструкционные элементы  методические материалы          ego  eague championship  lass  ack  xplore  eague   абор включает следующие компоненты  1   абор по робототехнике для начальных классов  ego  ducation  pike  ssential 1 комплект 2   оревновательный набор по робототехнике для начальных классов 1 комплект 3   нженерный  блокнот x 1 4   уководство по работе с командой x 1 5   гровое поле x 1 6   гровые элементы по теме сезона  международной программы        700  деталей </v>
      </c>
    </row>
    <row r="1959" spans="1:8" ht="76.5" x14ac:dyDescent="0.2">
      <c r="A1959" s="31" t="s">
        <v>4502</v>
      </c>
      <c r="B1959" s="27" t="s">
        <v>4503</v>
      </c>
      <c r="C1959" s="27" t="s">
        <v>4504</v>
      </c>
      <c r="D1959" s="33" t="s">
        <v>68</v>
      </c>
      <c r="E1959" s="9"/>
      <c r="F1959" s="37">
        <v>36.286999999999999</v>
      </c>
      <c r="G1959" s="10">
        <v>1046859</v>
      </c>
      <c r="H1959" s="30" t="str">
        <f ca="1">IFERROR(__xludf.DUMMYFUNCTION("LOWER(REGEXREPLACE(B1959&amp;"" ""&amp;C1959,""[^а-яa-z0-9 ]"","" ""))")," омплект тренировочных полей для занятий робототехникой и подготовки к международным соревнованиям среди старших классов   ompetition fields        ech  hallenge  hampionship    оле для подготовки к международным соревнованиям для участия на соревнованиях"&amp;" среди старших классов   ompetition fields for        ech  hallenge  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f>
        <v xml:space="preserve"> омплект тренировочных полей для занятий робототехникой и подготовки к международным соревнованиям среди старших классов   ompetition fields        ech  hallenge  hampionship    оле для подготовки к международным соревнованиям для участия на соревнованиях среди старших классов   ompetition fields for        ech  hallenge  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v>
      </c>
    </row>
    <row r="1960" spans="1:8" ht="63.75" x14ac:dyDescent="0.2">
      <c r="A1960" s="31" t="s">
        <v>4505</v>
      </c>
      <c r="B1960" s="27" t="s">
        <v>4506</v>
      </c>
      <c r="C1960" s="27"/>
      <c r="D1960" s="33" t="s">
        <v>1506</v>
      </c>
      <c r="E1960" s="9"/>
      <c r="F1960" s="32"/>
      <c r="G1960" s="10"/>
      <c r="H1960" s="30" t="str">
        <f ca="1">IFERROR(__xludf.DUMMYFUNCTION("LOWER(REGEXREPLACE(B1960&amp;"" ""&amp;C1960,""[^а-яa-z0-9 ]"",""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f>
        <v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v>
      </c>
    </row>
    <row r="1961" spans="1:8" ht="114.75" x14ac:dyDescent="0.2">
      <c r="A1961" s="31" t="s">
        <v>4507</v>
      </c>
      <c r="B1961" s="27" t="s">
        <v>4508</v>
      </c>
      <c r="C1961" s="27" t="s">
        <v>4509</v>
      </c>
      <c r="D1961" s="33" t="s">
        <v>1506</v>
      </c>
      <c r="E1961" s="34">
        <v>2</v>
      </c>
      <c r="F1961" s="37">
        <v>3.1459999999999999</v>
      </c>
      <c r="G1961" s="10">
        <v>662786</v>
      </c>
      <c r="H1961" s="30" t="str">
        <f ca="1">IFERROR(__xludf.DUMMYFUNCTION("LOWER(REGEXREPLACE(B1961&amp;"" ""&amp;C1961,""[^а-яa-z0-9 ]"",""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ego  eague  hampionship class pack for  hallenge  eague  омпл"&amp;"ект включает следующие компоненты  1   абор по робототехнике для средних классов  ego  ducation  pike  rime 1 комплект 2   есурсный набор по робототехнике для средних классов  ego  ducation  pike  rime  xpansion set 1 комплект 3   нженерная тетрадь 1 шт  "&amp;"4   уководство по работе с командой 1 шт  5   уководство по подготовке команды 6   гровое поле x 1 7   гровые элементы по теме сезона        1000  деталей ")</f>
        <v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ego  eague  hampionship class pack for  hallenge  eague  омплект включает следующие компоненты  1   абор по робототехнике для средних классов  ego  ducation  pike  rime 1 комплект 2   есурсный набор по робототехнике для средних классов  ego  ducation  pike  rime  xpansion set 1 комплект 3   нженерная тетрадь 1 шт  4   уководство по работе с командой 1 шт  5   уководство по подготовке команды 6   гровое поле x 1 7   гровые элементы по теме сезона        1000  деталей </v>
      </c>
    </row>
    <row r="1962" spans="1:8" ht="102" x14ac:dyDescent="0.2">
      <c r="A1962" s="31" t="s">
        <v>4510</v>
      </c>
      <c r="B1962" s="27" t="s">
        <v>4511</v>
      </c>
      <c r="C1962" s="27" t="s">
        <v>4512</v>
      </c>
      <c r="D1962" s="33" t="s">
        <v>1506</v>
      </c>
      <c r="E1962" s="34">
        <v>2</v>
      </c>
      <c r="F1962" s="36">
        <v>0.94</v>
      </c>
      <c r="G1962" s="10">
        <v>320059</v>
      </c>
      <c r="H1962" s="30" t="str">
        <f ca="1">IFERROR(__xludf.DUMMYFUNCTION("LOWER(REGEXREPLACE(B1962&amp;"" ""&amp;C1962,""[^а-яa-z0-9 ]"",""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xperia    06  омплектация   рограммируемый блок   3  ейс с крышкой "&amp;"  1 шт  оток со вставкой   1шт 2 больших двигателя  редний двигатель 2 шт датчика касания 1 шт  атчик цвета 1 шт  льтразвуковой датчик 1 шт  ироскопический датчик 7 шт соединительных кабелей 1 шт  абель     для программирования 1 шт  ккумулятор для блока "&amp;"528 шт строительных элементов  ")</f>
        <v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xperia    06  омплектация   рограммируемый блок   3  ейс с крышкой   1 шт  оток со вставкой   1шт 2 больших двигателя  редний двигатель 2 шт датчика касания 1 шт  атчик цвета 1 шт  льтразвуковой датчик 1 шт  ироскопический датчик 7 шт соединительных кабелей 1 шт  абель     для программирования 1 шт  ккумулятор для блока 528 шт строительных элементов  </v>
      </c>
    </row>
    <row r="1963" spans="1:8" ht="63.75" x14ac:dyDescent="0.2">
      <c r="A1963" s="31" t="s">
        <v>4513</v>
      </c>
      <c r="B1963" s="27" t="s">
        <v>4514</v>
      </c>
      <c r="C1963" s="27"/>
      <c r="D1963" s="33" t="s">
        <v>1506</v>
      </c>
      <c r="E1963" s="34">
        <v>2</v>
      </c>
      <c r="F1963" s="35">
        <v>3.8</v>
      </c>
      <c r="G1963" s="10">
        <v>815453</v>
      </c>
      <c r="H1963" s="30" t="str">
        <f ca="1">IFERROR(__xludf.DUMMYFUNCTION("LOWER(REGEXREPLACE(B1963&amp;"" ""&amp;C1963,""[^а-яa-z0-9 ]"","" ""))"),"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eeemake 551584 ")</f>
        <v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eeemake 551584 </v>
      </c>
    </row>
    <row r="1964" spans="1:8" ht="63.75" x14ac:dyDescent="0.2">
      <c r="A1964" s="31" t="s">
        <v>4515</v>
      </c>
      <c r="B1964" s="8" t="s">
        <v>4516</v>
      </c>
      <c r="C1964" s="27" t="s">
        <v>4517</v>
      </c>
      <c r="D1964" s="33" t="s">
        <v>1506</v>
      </c>
      <c r="E1964" s="34">
        <v>2</v>
      </c>
      <c r="F1964" s="35">
        <v>3.3</v>
      </c>
      <c r="G1964" s="10">
        <v>763809</v>
      </c>
      <c r="H1964" s="30" t="str">
        <f ca="1">IFERROR(__xludf.DUMMYFUNCTION("LOWER(REGEXREPLACE(B1964&amp;"" ""&amp;C1964,""[^а-яa-z0-9 ]"","" ""))")," абор роботехнический базовый типа  ischertechnik  obotics     4 0  559888   набор входят   онтроллер     4 0  ва мотора с энкодерами     камера  льтразвуковой дальномер    датчик маршрута  ва кнопочных переключателя  ри светодиода  ототранзистор  ермисто"&amp;"р  ккумулятор и зарядное устройство  етали для сборки конструкции  тандартный пластиковый лоток  ratnells  2  х х   427х312х150 мм")</f>
        <v xml:space="preserve"> абор роботехнический базовый типа  ischertechnik  obotics     4 0  559888   набор входят   онтроллер     4 0  ва мотора с энкодерами     камера  льтразвуковой дальномер    датчик маршрута  ва кнопочных переключателя  ри светодиода  ототранзистор  ермистор  ккумулятор и зарядное устройство  етали для сборки конструкции  тандартный пластиковый лоток  ratnells  2  х х   427х312х150 мм</v>
      </c>
    </row>
    <row r="1965" spans="1:8" ht="38.25" x14ac:dyDescent="0.2">
      <c r="A1965" s="31" t="s">
        <v>4518</v>
      </c>
      <c r="B1965" s="27" t="s">
        <v>4519</v>
      </c>
      <c r="C1965" s="27" t="s">
        <v>4520</v>
      </c>
      <c r="D1965" s="33" t="s">
        <v>14</v>
      </c>
      <c r="E1965" s="34">
        <v>2</v>
      </c>
      <c r="F1965" s="35">
        <v>0.1</v>
      </c>
      <c r="G1965" s="10">
        <v>56101</v>
      </c>
      <c r="H1965" s="30" t="str">
        <f ca="1">IFERROR(__xludf.DUMMYFUNCTION("LOWER(REGEXREPLACE(B1965&amp;"" ""&amp;C1965,""[^а-яa-z0-9 ]"","" ""))")," лок питания типа  ischertechnik  505287  напряжение на выходе  0 9    максимальный  ок  2 5     редназначен для конструкторских наборов   снащен встроенным регулятором напряжения и разъемами для подключения моделей в комплекте ")</f>
        <v xml:space="preserve"> лок питания типа  ischertechnik  505287  напряжение на выходе  0 9    максимальный  ок  2 5     редназначен для конструкторских наборов   снащен встроенным регулятором напряжения и разъемами для подключения моделей в комплекте </v>
      </c>
    </row>
    <row r="1966" spans="1:8" ht="38.25" x14ac:dyDescent="0.2">
      <c r="A1966" s="31" t="s">
        <v>4521</v>
      </c>
      <c r="B1966" s="8" t="s">
        <v>4522</v>
      </c>
      <c r="C1966" s="27" t="s">
        <v>4523</v>
      </c>
      <c r="D1966" s="33" t="s">
        <v>1506</v>
      </c>
      <c r="E1966" s="34">
        <v>2</v>
      </c>
      <c r="F1966" s="35">
        <v>0.5</v>
      </c>
      <c r="G1966" s="10">
        <v>117744</v>
      </c>
      <c r="H1966" s="30" t="str">
        <f ca="1">IFERROR(__xludf.DUMMYFUNCTION("LOWER(REGEXREPLACE(B1966&amp;"" ""&amp;C1966,""[^а-яa-z0-9 ]"","" ""))")," абор   втономное движение  типа  ischertechnik 559896   состав набора входят   асси  дифференциал  колеса   ервопривод светодиоды  улевое управление  етали для конструирования моделей")</f>
        <v xml:space="preserve"> абор   втономное движение  типа  ischertechnik 559896   состав набора входят   асси  дифференциал  колеса   ервопривод светодиоды  улевое управление  етали для конструирования моделей</v>
      </c>
    </row>
    <row r="1967" spans="1:8" ht="38.25" x14ac:dyDescent="0.2">
      <c r="A1967" s="31" t="s">
        <v>4524</v>
      </c>
      <c r="B1967" s="8" t="s">
        <v>4525</v>
      </c>
      <c r="C1967" s="27" t="s">
        <v>4526</v>
      </c>
      <c r="D1967" s="33" t="s">
        <v>1506</v>
      </c>
      <c r="E1967" s="34">
        <v>2</v>
      </c>
      <c r="F1967" s="35">
        <v>0.5</v>
      </c>
      <c r="G1967" s="10">
        <v>269227</v>
      </c>
      <c r="H1967" s="30" t="str">
        <f ca="1">IFERROR(__xludf.DUMMYFUNCTION("LOWER(REGEXREPLACE(B1967&amp;"" ""&amp;C1967,""[^а-яa-z0-9 ]"","" ""))")," абор ресурсный   мниколеса  типа  ischertechnik 559898   набор входит  2 мотора с энкодерами  сервомашинка  другие детали  необходимые для сборки колес  инструкция на нескольких языках ")</f>
        <v xml:space="preserve"> абор ресурсный   мниколеса  типа  ischertechnik 559898   набор входит  2 мотора с энкодерами  сервомашинка  другие детали  необходимые для сборки колес  инструкция на нескольких языках </v>
      </c>
    </row>
    <row r="1968" spans="1:8" ht="63.75" x14ac:dyDescent="0.2">
      <c r="A1968" s="31" t="s">
        <v>4527</v>
      </c>
      <c r="B1968" s="8" t="s">
        <v>4528</v>
      </c>
      <c r="C1968" s="27" t="s">
        <v>4529</v>
      </c>
      <c r="D1968" s="33" t="s">
        <v>1506</v>
      </c>
      <c r="E1968" s="34">
        <v>2</v>
      </c>
      <c r="F1968" s="34">
        <v>1</v>
      </c>
      <c r="G1968" s="10">
        <v>269228</v>
      </c>
      <c r="H1968" s="30" t="str">
        <f ca="1">IFERROR(__xludf.DUMMYFUNCTION("LOWER(REGEXREPLACE(B1968&amp;"" ""&amp;C1968,""[^а-яa-z0-9 ]"","" ""))")," абор ресурсный   оревнования  типа  ischertechnik 560842   набор входят  датчик       1 штука  датчик с функцией компаса  акселерометра  гироскопа   1 штука  дальномер ультразвуковой   1 штука  двигатели   2 штуки  звенья гусеничной цепи  шлейфы и другие"&amp;" детали  всего в количестве 200 штук ")</f>
        <v xml:space="preserve"> абор ресурсный   оревнования  типа  ischertechnik 560842   набор входят  датчик       1 штука  датчик с функцией компаса  акселерометра  гироскопа   1 штука  дальномер ультразвуковой   1 штука  двигатели   2 штуки  звенья гусеничной цепи  шлейфы и другие детали  всего в количестве 200 штук </v>
      </c>
    </row>
    <row r="1969" spans="1:8" ht="25.5" x14ac:dyDescent="0.2">
      <c r="A1969" s="31" t="s">
        <v>4530</v>
      </c>
      <c r="B1969" s="27" t="s">
        <v>4531</v>
      </c>
      <c r="C1969" s="27"/>
      <c r="D1969" s="33" t="s">
        <v>1506</v>
      </c>
      <c r="E1969" s="9"/>
      <c r="F1969" s="32"/>
      <c r="G1969" s="10"/>
      <c r="H1969" s="30" t="str">
        <f ca="1">IFERROR(__xludf.DUMMYFUNCTION("LOWER(REGEXREPLACE(B1969&amp;"" ""&amp;C1969,""[^а-яa-z0-9 ]"","" ""))")," абор для подготовки к соревнованиям по робототехнике ")</f>
        <v xml:space="preserve"> абор для подготовки к соревнованиям по робототехнике </v>
      </c>
    </row>
    <row r="1970" spans="1:8" ht="51" x14ac:dyDescent="0.2">
      <c r="A1970" s="31" t="s">
        <v>4532</v>
      </c>
      <c r="B1970" s="27" t="s">
        <v>4533</v>
      </c>
      <c r="C1970" s="27" t="s">
        <v>4534</v>
      </c>
      <c r="D1970" s="33" t="s">
        <v>1506</v>
      </c>
      <c r="E1970" s="34">
        <v>2</v>
      </c>
      <c r="F1970" s="36">
        <v>3.75</v>
      </c>
      <c r="G1970" s="10">
        <v>689767</v>
      </c>
      <c r="H1970" s="30" t="str">
        <f ca="1">IFERROR(__xludf.DUMMYFUNCTION("LOWER(REGEXREPLACE(B1970&amp;"" ""&amp;C1970,""[^а-яa-z0-9 ]"","" ""))")," абор для подготовки к соревнованиям по робототехнике типа лиги  ame  lements        ech  hallenge  hampionship  аборы должны включать в себе игровые элементы для соревновании по робототехнике лиги        ech  hallenge  состав которого должен соответствов"&amp;"ать сезона соревнования ")</f>
        <v xml:space="preserve"> абор для подготовки к соревнованиям по робототехнике типа лиги  ame  lements        ech  hallenge  hampionship  аборы должны включать в себе игровые элементы для соревновании по робототехнике лиги        ech  hallenge  состав которого должен соответствовать сезона соревнования </v>
      </c>
    </row>
    <row r="1971" spans="1:8" ht="25.5" x14ac:dyDescent="0.2">
      <c r="A1971" s="31" t="s">
        <v>4535</v>
      </c>
      <c r="B1971" s="27" t="s">
        <v>4536</v>
      </c>
      <c r="C1971" s="27" t="s">
        <v>4537</v>
      </c>
      <c r="D1971" s="33" t="s">
        <v>1506</v>
      </c>
      <c r="E1971" s="34">
        <v>2</v>
      </c>
      <c r="F1971" s="35">
        <v>4.9000000000000004</v>
      </c>
      <c r="G1971" s="10">
        <v>530328</v>
      </c>
      <c r="H1971" s="30" t="str">
        <f ca="1">IFERROR(__xludf.DUMMYFUNCTION("LOWER(REGEXREPLACE(B1971&amp;"" ""&amp;C1971,""[^а-яa-z0-9 ]"","" ""))")," абор для подготовки к соревнованиям типа  xperia    09 1 шт   строенный светодиод    ")</f>
        <v xml:space="preserve"> абор для подготовки к соревнованиям типа  xperia    09 1 шт   строенный светодиод    </v>
      </c>
    </row>
    <row r="1972" spans="1:8" ht="89.25" x14ac:dyDescent="0.2">
      <c r="A1972" s="31" t="s">
        <v>4538</v>
      </c>
      <c r="B1972" s="27" t="s">
        <v>4539</v>
      </c>
      <c r="C1972" s="27" t="s">
        <v>4540</v>
      </c>
      <c r="D1972" s="33" t="s">
        <v>1506</v>
      </c>
      <c r="E1972" s="9"/>
      <c r="F1972" s="37">
        <v>30.690999999999999</v>
      </c>
      <c r="G1972" s="10">
        <v>689854</v>
      </c>
      <c r="H1972" s="30" t="str">
        <f ca="1">IFERROR(__xludf.DUMMYFUNCTION("LOWER(REGEXREPLACE(B1972&amp;"" ""&amp;C1972,""[^а-яa-z0-9 ]"","" ""))")," абор робототехники для изучения основ  скусственного интеллекта  компьютерного зрения и технологии беспилотных автомобилей на языке программирования  ython          ech  hallenge  hampionship with the  ontrol  ommunication set and  lectronics  odules and"&amp;"  ensors  et    набор входят следующие компоненты  1   абор по робототехнике для средних и старших классов  irst  ech  hallenge    lobal kit 1 комплект 2   одуль ручного и автономного управления устроиства 3   одуль электроники  компьютерного зрения и иск"&amp;"усственного интеллекта")</f>
        <v xml:space="preserve"> абор робототехники для изучения основ  скусственного интеллекта  компьютерного зрения и технологии беспилотных автомобилей на языке программирования  ython          ech  hallenge  hampionship with the  ontrol  ommunication set and  lectronics  odules and  ensors  et    набор входят следующие компоненты  1   абор по робототехнике для средних и старших классов  irst  ech  hallenge    lobal kit 1 комплект 2   одуль ручного и автономного управления устроиства 3   одуль электроники  компьютерного зрения и искусственного интеллекта</v>
      </c>
    </row>
    <row r="1973" spans="1:8" ht="102" x14ac:dyDescent="0.2">
      <c r="A1973" s="31" t="s">
        <v>4541</v>
      </c>
      <c r="B1973" s="8" t="s">
        <v>4542</v>
      </c>
      <c r="C1973" s="27" t="s">
        <v>4543</v>
      </c>
      <c r="D1973" s="33" t="s">
        <v>1506</v>
      </c>
      <c r="E1973" s="34">
        <v>2</v>
      </c>
      <c r="F1973" s="35">
        <v>0.6</v>
      </c>
      <c r="G1973" s="10">
        <v>184356</v>
      </c>
      <c r="H1973" s="30" t="str">
        <f ca="1">IFERROR(__xludf.DUMMYFUNCTION("LOWER(REGEXREPLACE(B1973&amp;"" ""&amp;C1973,""[^а-яa-z0-9 ]"","" ""))")," обототехнический набор на датчиках   lanet                micro bit  ezha 48    1  nventors  it   ith micro bit  oard   абор содержит датчики и модули  включая светодиод  трубу  датчик влажности почвы  ультразвуковой датчик  датчик столкновения  датчик о"&amp;"тслеживания линии и более 400 штук строительных блоков    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"&amp;"   1 сервопривод  комплект соединительных проводов    2 колеса    1 колесо металический шар    1 инструмент для разборки")</f>
        <v xml:space="preserve"> обототехнический набор на датчиках   lanet                micro bit  ezha 48    1  nventors  it   ith micro bit  oard   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v>
      </c>
    </row>
    <row r="1974" spans="1:8" ht="12.75" x14ac:dyDescent="0.2">
      <c r="A1974" s="31" t="s">
        <v>4544</v>
      </c>
      <c r="B1974" s="27" t="s">
        <v>4545</v>
      </c>
      <c r="C1974" s="27"/>
      <c r="D1974" s="33" t="s">
        <v>1506</v>
      </c>
      <c r="E1974" s="9"/>
      <c r="F1974" s="32"/>
      <c r="G1974" s="10"/>
      <c r="H1974" s="30" t="str">
        <f ca="1">IFERROR(__xludf.DUMMYFUNCTION("LOWER(REGEXREPLACE(B1974&amp;"" ""&amp;C1974,""[^а-яa-z0-9 ]"","" ""))")," абор робототехнический ")</f>
        <v xml:space="preserve"> абор робототехнический </v>
      </c>
    </row>
    <row r="1975" spans="1:8" ht="102" x14ac:dyDescent="0.2">
      <c r="A1975" s="31" t="s">
        <v>4546</v>
      </c>
      <c r="B1975" s="27" t="s">
        <v>4547</v>
      </c>
      <c r="C1975" s="27" t="s">
        <v>4548</v>
      </c>
      <c r="D1975" s="33" t="s">
        <v>1506</v>
      </c>
      <c r="E1975" s="34">
        <v>2</v>
      </c>
      <c r="F1975" s="36">
        <v>1.24</v>
      </c>
      <c r="G1975" s="10">
        <v>75374</v>
      </c>
      <c r="H1975" s="30" t="str">
        <f ca="1">IFERROR(__xludf.DUMMYFUNCTION("LOWER(REGEXREPLACE(B1975&amp;"" ""&amp;C1975,""[^а-яa-z0-9 ]"","" ""))")," абор робототехнический типа  akeblock m ot  1 2  luetooth  ersion  lue 9  anguages  абор содержит   еханический материал   люминиевый сплав   сновной контроль m ore   актовая частота процесса 16   ц   ортовой датчик  уммер  датчик освещенности   ругие да"&amp;"тчики   льтразвуковой датчик     излучатель  датчик следования линии датчик цвета   зык кодирования  лочный   рдуино   корость вращения 200 об мин   10    аксимальное количество внешних электронных модулей  2 порта для двигателей и сервоприводов  4 порта "&amp;"для датчиков   ежим связи       luetooth  2 4    овместимость  олее 500 электронных и механических деталей из сборных блоков  кубики        aspberry  i")</f>
        <v xml:space="preserve"> абор робототехнический типа  akeblock m ot  1 2  luetooth  ersion  lue 9  anguages  абор содержит   еханический материал   люминиевый сплав   сновной контроль m ore   актовая частота процесса 16   ц   ортовой датчик  уммер  датчик освещенности   ругие датчики   льтразвуковой датчик     излучатель  датчик следования линии датчик цвета   зык кодирования  лочный   рдуино   корость вращения 200 об мин   10    аксимальное количество внешних электронных модулей  2 порта для двигателей и сервоприводов  4 порта для датчиков   ежим связи       luetooth  2 4    овместимость  олее 500 электронных и механических деталей из сборных блоков  кубики        aspberry  i</v>
      </c>
    </row>
    <row r="1976" spans="1:8" ht="153" x14ac:dyDescent="0.2">
      <c r="A1976" s="31" t="s">
        <v>4549</v>
      </c>
      <c r="B1976" s="27" t="s">
        <v>4550</v>
      </c>
      <c r="C1976" s="27" t="s">
        <v>4551</v>
      </c>
      <c r="D1976" s="33" t="s">
        <v>1506</v>
      </c>
      <c r="E1976" s="34">
        <v>2</v>
      </c>
      <c r="F1976" s="35">
        <v>1.2</v>
      </c>
      <c r="G1976" s="10">
        <v>311068</v>
      </c>
      <c r="H1976" s="30" t="str">
        <f ca="1">IFERROR(__xludf.DUMMYFUNCTION("LOWER(REGEXREPLACE(B1976&amp;"" ""&amp;C1976,""[^а-яa-z0-9 ]"","" ""))")," абор робототехнический программируемый  типа  xperia    13  омплектация  кейс с крышкой   1 шт   лоток со вставкой   1шт   орты  1 порт     4 x порта   11  подключение к датчику и модулям   11  2 порта для двигателей постоянного тока 6 контактный порт пр"&amp;"еобразования  4 из которых могут быть портами для шагового двигателя   энкодера   двигателя постоянного тока  1 порт     1 порт связи   luetooth 2 4 г   лектроника  1 светодиод     1 х зуммер 1 х кнопка  атчики и двигатели ")</f>
        <v xml:space="preserve"> абор робототехнический программируемый  типа  xperia    13  омплектация  кейс с крышкой   1 шт   лоток со вставкой   1шт   орты  1 порт     4 x порта   11  подключение к датчику и модулям   11  2 порта для двигателей постоянного тока 6 контактный порт преобразования  4 из которых могут быть портами для шагового двигателя   энкодера   двигателя постоянного тока  1 порт     1 порт связи   luetooth 2 4 г   лектроника  1 светодиод     1 х зуммер 1 х кнопка  атчики и двигатели </v>
      </c>
    </row>
    <row r="1977" spans="1:8" ht="102" x14ac:dyDescent="0.2">
      <c r="A1977" s="31" t="s">
        <v>4552</v>
      </c>
      <c r="B1977" s="27" t="s">
        <v>4553</v>
      </c>
      <c r="C1977" s="27" t="s">
        <v>4554</v>
      </c>
      <c r="D1977" s="33" t="s">
        <v>1506</v>
      </c>
      <c r="E1977" s="34">
        <v>2</v>
      </c>
      <c r="F1977" s="36">
        <v>1.86</v>
      </c>
      <c r="G1977" s="10">
        <v>427168</v>
      </c>
      <c r="H1977" s="30" t="str">
        <f ca="1">IFERROR(__xludf.DUMMYFUNCTION("LOWER(REGEXREPLACE(B1977&amp;"" ""&amp;C1977,""[^а-яa-z0-9 ]"","" ""))"),"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"&amp;"шт   нфракрасный датчик       2 шт   атчик цвета   1 шт   абель          1 шт   ровод 3 pin              30см   5 шт   ровод 3 pin           upont  30см   2шт   ровод 1 pin        upont  30см   25шт   лементы и блоки для крепления   777шт   онтейнер   1шт"&amp;"   i  i  luetooth модуль   1шт   кселерометр   1шт   ополнительная плата расширения   1шт ")</f>
        <v xml:space="preserve">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шт   нфракрасный датчик       2 шт   атчик цвета   1 шт   абель          1 шт   ровод 3 pin              30см   5 шт   ровод 3 pin           upont  30см   2шт   ровод 1 pin        upont  30см   25шт   лементы и блоки для крепления   777шт   онтейнер   1шт   i  i  luetooth модуль   1шт   кселерометр   1шт   ополнительная плата расширения   1шт </v>
      </c>
    </row>
    <row r="1978" spans="1:8" ht="89.25" x14ac:dyDescent="0.2">
      <c r="A1978" s="31" t="s">
        <v>4555</v>
      </c>
      <c r="B1978" s="27" t="s">
        <v>4556</v>
      </c>
      <c r="C1978" s="27" t="s">
        <v>4557</v>
      </c>
      <c r="D1978" s="33" t="s">
        <v>1506</v>
      </c>
      <c r="E1978" s="34">
        <v>2</v>
      </c>
      <c r="F1978" s="36">
        <v>1.84</v>
      </c>
      <c r="G1978" s="10">
        <v>386700</v>
      </c>
      <c r="H1978" s="30" t="str">
        <f ca="1">IFERROR(__xludf.DUMMYFUNCTION("LOWER(REGEXREPLACE(B1978&amp;"" ""&amp;C1978,""[^а-яa-z0-9 ]"","" ""))"),"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"&amp;"шт   нфракрасный датчик       2 шт   атчик цвета   1 шт   абель          1 шт   ровод 3 pin              30см   5 шт   ровод 3 pin           upont  30см   2шт   ровод 1 pin        upont  30см   25шт   лементы и блоки для крепления   457шт   онтейнер   1шт"&amp;"   ополнительная плата расширения   1шт ")</f>
        <v xml:space="preserve">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шт   нфракрасный датчик       2 шт   атчик цвета   1 шт   абель          1 шт   ровод 3 pin              30см   5 шт   ровод 3 pin           upont  30см   2шт   ровод 1 pin        upont  30см   25шт   лементы и блоки для крепления   457шт   онтейнер   1шт   ополнительная плата расширения   1шт </v>
      </c>
    </row>
    <row r="1979" spans="1:8" ht="38.25" x14ac:dyDescent="0.2">
      <c r="A1979" s="31" t="s">
        <v>4558</v>
      </c>
      <c r="B1979" s="27" t="s">
        <v>4559</v>
      </c>
      <c r="C1979" s="27" t="s">
        <v>4560</v>
      </c>
      <c r="D1979" s="33" t="s">
        <v>1506</v>
      </c>
      <c r="E1979" s="34">
        <v>2</v>
      </c>
      <c r="F1979" s="34">
        <v>2</v>
      </c>
      <c r="G1979" s="10">
        <v>178835</v>
      </c>
      <c r="H1979" s="30" t="str">
        <f ca="1">IFERROR(__xludf.DUMMYFUNCTION("LOWER(REGEXREPLACE(B1979&amp;"" ""&amp;C1979,""[^а-яa-z0-9 ]"","" ""))")," абор робототехнический типа          kit  ntry 1 го уровня   набор входят  309 шт  пластиковых деталей  3  динамичное строительство  4 цифровых высоко роботизированных сервопривода  знание механической физики   пособность к умению   оспроизведение")</f>
        <v xml:space="preserve"> абор робототехнический типа          kit  ntry 1 го уровня   набор входят  309 шт  пластиковых деталей  3  динамичное строительство  4 цифровых высоко роботизированных сервопривода  знание механической физики   пособность к умению   оспроизведение</v>
      </c>
    </row>
    <row r="1980" spans="1:8" ht="63.75" x14ac:dyDescent="0.2">
      <c r="A1980" s="31" t="s">
        <v>4561</v>
      </c>
      <c r="B1980" s="27" t="s">
        <v>4562</v>
      </c>
      <c r="C1980" s="27" t="s">
        <v>4563</v>
      </c>
      <c r="D1980" s="33" t="s">
        <v>1506</v>
      </c>
      <c r="E1980" s="34">
        <v>2</v>
      </c>
      <c r="F1980" s="35">
        <v>2.2999999999999998</v>
      </c>
      <c r="G1980" s="10">
        <v>222550</v>
      </c>
      <c r="H1980" s="30" t="str">
        <f ca="1">IFERROR(__xludf.DUMMYFUNCTION("LOWER(REGEXREPLACE(B1980&amp;"" ""&amp;C1980,""[^а-яa-z0-9 ]"","" ""))")," абор робототехнический типа          kit  dvanced 2 го уровня   набор входят  479 шт  пластиковых деталий  3  динамичное строительство  4 цифровых высоко роботизированных сервопривода  смарт модуль   нфракрасный сенсор  сенсорный датчик  светодиодные фон"&amp;"ари   luetooth динамик   lockly графическое программирование  3 официальных персонажа  3 сервопривода  1    датчик")</f>
        <v xml:space="preserve"> абор робототехнический типа          kit  dvanced 2 го уровня   набор входят  479 шт  пластиковых деталий  3  динамичное строительство  4 цифровых высоко роботизированных сервопривода  смарт модуль   нфракрасный сенсор  сенсорный датчик  светодиодные фонари   luetooth динамик   lockly графическое программирование  3 официальных персонажа  3 сервопривода  1    датчик</v>
      </c>
    </row>
    <row r="1981" spans="1:8" ht="51" x14ac:dyDescent="0.2">
      <c r="A1981" s="31" t="s">
        <v>4564</v>
      </c>
      <c r="B1981" s="27" t="s">
        <v>4565</v>
      </c>
      <c r="C1981" s="27" t="s">
        <v>4566</v>
      </c>
      <c r="D1981" s="33" t="s">
        <v>1506</v>
      </c>
      <c r="E1981" s="34">
        <v>2</v>
      </c>
      <c r="F1981" s="35">
        <v>2.6</v>
      </c>
      <c r="G1981" s="10">
        <v>302471</v>
      </c>
      <c r="H1981" s="30" t="str">
        <f ca="1">IFERROR(__xludf.DUMMYFUNCTION("LOWER(REGEXREPLACE(B1981&amp;"" ""&amp;C1981,""[^а-яa-z0-9 ]"","" ""))")," абор робототехнический типа          kit  xplore 3 го уровня   набор входят  600 шт   16 сервоприводов  4 датчика   luetooth динамик  светодиодный фонарь   рансформация робота гуманоида   латформа с открытым исходным кодом   rduino    екстовое программир"&amp;"ование             18 проектов  предлагается 24 36 уроков ")</f>
        <v xml:space="preserve"> абор робототехнический типа          kit  xplore 3 го уровня   набор входят  600 шт   16 сервоприводов  4 датчика   luetooth динамик  светодиодный фонарь   рансформация робота гуманоида   латформа с открытым исходным кодом   rduino    екстовое программирование             18 проектов  предлагается 24 36 уроков </v>
      </c>
    </row>
    <row r="1982" spans="1:8" ht="38.25" x14ac:dyDescent="0.2">
      <c r="A1982" s="31" t="s">
        <v>4567</v>
      </c>
      <c r="B1982" s="27" t="s">
        <v>4568</v>
      </c>
      <c r="C1982" s="27" t="s">
        <v>4569</v>
      </c>
      <c r="D1982" s="33" t="s">
        <v>1506</v>
      </c>
      <c r="E1982" s="34">
        <v>2</v>
      </c>
      <c r="F1982" s="35">
        <v>2.4</v>
      </c>
      <c r="G1982" s="10">
        <v>302029</v>
      </c>
      <c r="H1982" s="30" t="str">
        <f ca="1">IFERROR(__xludf.DUMMYFUNCTION("LOWER(REGEXREPLACE(B1982&amp;"" ""&amp;C1982,""[^а-яa-z0-9 ]"","" ""))")," абор робототехнический типа          kit  xplore  xtention  дополнение к набору 3 го уровня дополнение к набору 3 го уровня  дополнительно 300 шт   6 сервоприводов  10 датчиков   luetooth динамик  светодиодный фонарь")</f>
        <v xml:space="preserve"> абор робототехнический типа          kit  xplore  xtention  дополнение к набору 3 го уровня дополнение к набору 3 го уровня  дополнительно 300 шт   6 сервоприводов  10 датчиков   luetooth динамик  светодиодный фонарь</v>
      </c>
    </row>
    <row r="1983" spans="1:8" ht="114.75" x14ac:dyDescent="0.2">
      <c r="A1983" s="31" t="s">
        <v>4570</v>
      </c>
      <c r="B1983" s="27" t="s">
        <v>4571</v>
      </c>
      <c r="C1983" s="27" t="s">
        <v>4572</v>
      </c>
      <c r="D1983" s="33" t="s">
        <v>1506</v>
      </c>
      <c r="E1983" s="34">
        <v>2</v>
      </c>
      <c r="F1983" s="36">
        <v>4.18</v>
      </c>
      <c r="G1983" s="10">
        <v>326608</v>
      </c>
      <c r="H1983" s="30" t="str">
        <f ca="1">IFERROR(__xludf.DUMMYFUNCTION("LOWER(REGEXREPLACE(B1983&amp;"" ""&amp;C1983,""[^а-яa-z0-9 ]"","" ""))")," обототехнический набор  akeblock  ltimate  obot  it  2 0  абор содержит   сновной контроль  ega i   дро процессора       2560 16     актовая частота процесса        16   ц   атчики   льтразвуковой датчик  датчик следования линии  гироскоп  модуль шторки "&amp;"  зык кодирования   а основе блоков   rduino   ython  требуется дополнительный  aspberry  i    корость вращения 185 об мин   аксимальное количество внешних электронных модулей  11 портов для двигателей и сервоприводов  5 портов для датчиков   ежим связи  "&amp;"     luetooth  2 4    овместимость более 500 электронных и механических деталей из сборных блоков  датчики  rduino  кубики        aspberry  i")</f>
        <v xml:space="preserve"> обототехнический набор  akeblock  ltimate  obot  it  2 0  абор содержит   сновной контроль  ega i   дро процессора       2560 16     актовая частота процесса        16   ц   атчики   льтразвуковой датчик  датчик следования линии  гироскоп  модуль шторки   зык кодирования   а основе блоков   rduino   ython  требуется дополнительный  aspberry  i    корость вращения 185 об мин   аксимальное количество внешних электронных модулей  11 портов для двигателей и сервоприводов  5 портов для датчиков   ежим связи       luetooth  2 4    овместимость более 500 электронных и механических деталей из сборных блоков  датчики  rduino  кубики        aspberry  i</v>
      </c>
    </row>
    <row r="1984" spans="1:8" ht="114.75" x14ac:dyDescent="0.2">
      <c r="A1984" s="31" t="s">
        <v>4573</v>
      </c>
      <c r="B1984" s="8" t="s">
        <v>4574</v>
      </c>
      <c r="C1984" s="27" t="s">
        <v>4575</v>
      </c>
      <c r="D1984" s="33" t="s">
        <v>1506</v>
      </c>
      <c r="E1984" s="34">
        <v>2</v>
      </c>
      <c r="F1984" s="36">
        <v>1.82</v>
      </c>
      <c r="G1984" s="10">
        <v>167679</v>
      </c>
      <c r="H1984" s="30" t="str">
        <f ca="1">IFERROR(__xludf.DUMMYFUNCTION("LOWER(REGEXREPLACE(B1984&amp;"" ""&amp;C1984,""[^а-яa-z0-9 ]"","" ""))")," обототехнический набор  akeblock m ot  anger  obot  it  luetooth  ersion   абор содержит   еханический материал   люминиевый сплав   сновной контроль  e  uriga   дро процессора   mega2560   актовая частота процесса 16   ц   ортовые датчики   атчик темпер"&amp;"атуры  гироскоп  звуковой датчик  зуммер   атчик освещенности  ультразвуковой датчик  датчик следования по линии   зык кодирования  лочный   рдуино   корость вращения 350 об мин   5    аксимальное количество внешних электронных модулей  2 порта для двигат"&amp;"елей и сервоприводов  10 портов для датчиков   ежим связи       luetooth   овместимость более 500 электронных и механических деталей  кубики      ")</f>
        <v xml:space="preserve"> обототехнический набор  akeblock m ot  anger  obot  it  luetooth  ersion   абор содержит   еханический материал   люминиевый сплав   сновной контроль  e  uriga   дро процессора   mega2560   актовая частота процесса 16   ц   ортовые датчики   атчик температуры  гироскоп  звуковой датчик  зуммер   атчик освещенности  ультразвуковой датчик  датчик следования по линии   зык кодирования  лочный   рдуино   корость вращения 350 об мин   5    аксимальное количество внешних электронных модулей  2 порта для двигателей и сервоприводов  10 портов для датчиков   ежим связи       luetooth   овместимость более 500 электронных и механических деталей  кубики      </v>
      </c>
    </row>
    <row r="1985" spans="1:8" ht="38.25" x14ac:dyDescent="0.2">
      <c r="A1985" s="31" t="s">
        <v>4576</v>
      </c>
      <c r="B1985" s="27" t="s">
        <v>4577</v>
      </c>
      <c r="C1985" s="27" t="s">
        <v>4578</v>
      </c>
      <c r="D1985" s="33" t="s">
        <v>1506</v>
      </c>
      <c r="E1985" s="34">
        <v>2</v>
      </c>
      <c r="F1985" s="35">
        <v>0.4</v>
      </c>
      <c r="G1985" s="10">
        <v>170101</v>
      </c>
      <c r="H1985" s="30" t="str">
        <f ca="1">IFERROR(__xludf.DUMMYFUNCTION("LOWER(REGEXREPLACE(B1985&amp;"" ""&amp;C1985,""[^а-яa-z0-9 ]"","" ""))")," оботехнический набор  bit   сследователь 4 0   абор содержит   абор для обучения программированию   азовый модуль   icro bit      кабель   ит светодиода   ит температуры и влажности   ит кнопки   ит потенциометра   ит мотора   ит сервопривода   ит  олесо")</f>
        <v xml:space="preserve"> оботехнический набор  bit   сследователь 4 0   абор содержит   абор для обучения программированию   азовый модуль   icro bit      кабель   ит светодиода   ит температуры и влажности   ит кнопки   ит потенциометра   ит мотора   ит сервопривода   ит  олесо</v>
      </c>
    </row>
    <row r="1986" spans="1:8" ht="51" x14ac:dyDescent="0.2">
      <c r="A1986" s="31" t="s">
        <v>4579</v>
      </c>
      <c r="B1986" s="27" t="s">
        <v>4580</v>
      </c>
      <c r="C1986" s="27" t="s">
        <v>4581</v>
      </c>
      <c r="D1986" s="33" t="s">
        <v>1506</v>
      </c>
      <c r="E1986" s="34">
        <v>2</v>
      </c>
      <c r="F1986" s="34">
        <v>8</v>
      </c>
      <c r="G1986" s="10">
        <v>1092664</v>
      </c>
      <c r="H1986" s="30" t="str">
        <f ca="1">IFERROR(__xludf.DUMMYFUNCTION("LOWER(REGEXREPLACE(B1986&amp;"" ""&amp;C1986,""[^а-яa-z0-9 ]"","" ""))")," абор робототехнический для симуляции индустриальных процессов   imu ot    состав набора входит   еханический робот манипулятор  контроллер для управления роботом манипулятором  инструкция по установке и использованию  дополнительные аксессуары  инструмен"&amp;"ты для крепления  конвеер ")</f>
        <v xml:space="preserve"> абор робототехнический для симуляции индустриальных процессов   imu ot    состав набора входит   еханический робот манипулятор  контроллер для управления роботом манипулятором  инструкция по установке и использованию  дополнительные аксессуары  инструменты для крепления  конвеер </v>
      </c>
    </row>
    <row r="1987" spans="1:8" ht="25.5" x14ac:dyDescent="0.2">
      <c r="A1987" s="31" t="s">
        <v>4582</v>
      </c>
      <c r="B1987" s="27" t="s">
        <v>4583</v>
      </c>
      <c r="C1987" s="27"/>
      <c r="D1987" s="33" t="s">
        <v>1506</v>
      </c>
      <c r="E1987" s="9"/>
      <c r="F1987" s="32"/>
      <c r="G1987" s="10"/>
      <c r="H1987" s="30" t="str">
        <f ca="1">IFERROR(__xludf.DUMMYFUNCTION("LOWER(REGEXREPLACE(B1987&amp;"" ""&amp;C1987,""[^а-яa-z0-9 ]"","" ""))")," абор образовательный для изучения  aspberry i и  нтернет вещей ")</f>
        <v xml:space="preserve"> абор образовательный для изучения  aspberry i и  нтернет вещей </v>
      </c>
    </row>
    <row r="1988" spans="1:8" ht="76.5" x14ac:dyDescent="0.2">
      <c r="A1988" s="31" t="s">
        <v>4584</v>
      </c>
      <c r="B1988" s="27" t="s">
        <v>4585</v>
      </c>
      <c r="C1988" s="27" t="s">
        <v>4586</v>
      </c>
      <c r="D1988" s="33" t="s">
        <v>1506</v>
      </c>
      <c r="E1988" s="34">
        <v>2</v>
      </c>
      <c r="F1988" s="34">
        <v>2</v>
      </c>
      <c r="G1988" s="10">
        <v>221232</v>
      </c>
      <c r="H1988" s="30" t="str">
        <f ca="1">IFERROR(__xludf.DUMMYFUNCTION("LOWER(REGEXREPLACE(B1988&amp;"" ""&amp;C1988,""[^а-яa-z0-9 ]"","" ""))")," абор образовательный для изучения  aspberry i и  нтернет вещей типа  i onnect  du  it   состав набора входит  разъемы и провода для подключения датчиков  источник питания  распределительные платы и платы расширения       разъемы для монтажа  aspberry  i "&amp;"и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 распиновке и схемам подключения ")</f>
        <v xml:space="preserve"> абор образовательный для изучения  aspberry i и  нтернет вещей типа  i onnect  du  it   состав набора входит  разъемы и провода для подключения датчиков  источник питания  распределительные платы и платы расширения       разъемы для монтажа  aspberry  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 распиновке и схемам подключения </v>
      </c>
    </row>
    <row r="1989" spans="1:8" ht="306" x14ac:dyDescent="0.2">
      <c r="A1989" s="31" t="s">
        <v>4587</v>
      </c>
      <c r="B1989" s="27" t="s">
        <v>4588</v>
      </c>
      <c r="C1989" s="27" t="s">
        <v>4589</v>
      </c>
      <c r="D1989" s="33" t="s">
        <v>1506</v>
      </c>
      <c r="E1989" s="34">
        <v>2</v>
      </c>
      <c r="F1989" s="35">
        <v>3.1</v>
      </c>
      <c r="G1989" s="10">
        <v>170607</v>
      </c>
      <c r="H1989" s="30" t="str">
        <f ca="1">IFERROR(__xludf.DUMMYFUNCTION("LOWER(REGEXREPLACE(B1989&amp;"" ""&amp;C1989,""[^а-яa-z0-9 ]"","" ""))")," абор для изучения робототехники на базе  aspberry  i и  нтернета вещей типа  xperia    08  омплектация   ейс с крышкой   1 шт   лоток со вставкой   1шт    тладочная плата  ветодиоды  еремычки гибкие    в наборе 40 штук   еремычки гибкие    в наборе 40 шт"&amp;"ук   актовая кнопка   езисторы   ифровой датчик температуры   обильная платформа   нфракрасный передатчик и приемник   ервопривод      кронштейн   райвер двигателя   акетная плата на 400 точек   одуль беспроводной связи   икрокомпьютер  иниатюрный однопла"&amp;"тный компьютер  это полноценная замена    или ноутбука   латформа подойд т не только для веб с рфинга мировой паутины и общения в соцсетях  но и станет  мозгом  для робота или умного дома  днокристальная система   roadcom    2711   ентральный процессор  6"&amp;"4 битный      ortex  72  4 ядра по 1 5   ц    рафический процессор   ideo ore         2 ядра по 500   ц    перативная память  4      ифровой видеовыход  2  micro        тандарт  i  i  802 11 b g n ac  2 4   5   ц    тандарт  luetooth   luetooth 5 0   орты"&amp;" для периферии  2      2 0 и 2      3 0  онтроллер поддерживает аппаратное декодирование   265       до 4 p60  и   264  до 1080p60    то разгружает     при работе с потоковым видео в интернете и просмотре  тяж лых  видеофайлов в режиме медиацентра   сточн"&amp;"ик питания с выходным напряжением 5 вольт и током 3 ампера     орпус для микрокомпьютера   одуль камеры   одуль часов реального времени   лата расширения для микрокомпьютера   одуль распознавания жестов   одуль двух строчного дисплея   одуль реле   одуль "&amp;"датчика расстояния   одуль датчика барометрического давления   одуль датчика влажности и температуры   одуль преобразования уровней сигнала     дисплей   арта памяти с адаптером   eb   камера        накопитель ")</f>
        <v xml:space="preserve"> абор для изучения робототехники на базе  aspberry  i и  нтернета вещей типа  xperia    08  омплектация   ейс с крышкой   1 шт   лоток со вставкой   1шт    тладочная плата  ветодиоды  еремычки гибкие    в наборе 40 штук   еремычки гибкие    в наборе 40 штук   актовая кнопка   езисторы   ифровой датчик температуры   обильная платформа   нфракрасный передатчик и приемник   ервопривод      кронштейн   райвер двигателя   акетная плата на 400 точек   одуль беспроводной связи   икрокомпьютер  иниатюрный одноплатный компьютер  это полноценная замена    или ноутбука   латформа подойд т не только для веб с рфинга мировой паутины и общения в соцсетях  но и станет  мозгом  для робота или умного дома  днокристальная система   roadcom    2711   ентральный процессор  64 битный      ortex  72  4 ядра по 1 5   ц    рафический процессор   ideo ore         2 ядра по 500   ц    перативная память  4      ифровой видеовыход  2  micro        тандарт  i  i  802 11 b g n ac  2 4   5   ц    тандарт  luetooth   luetooth 5 0   орты для периферии  2      2 0 и 2      3 0  онтроллер поддерживает аппаратное декодирование   265       до 4 p60  и   264  до 1080p60    то разгружает     при работе с потоковым видео в интернете и просмотре  тяж лых  видеофайлов в режиме медиацентра   сточник питания с выходным напряжением 5 вольт и током 3 ампера     орпус для микрокомпьютера   одуль камеры   одуль часов реального времени   лата расширения для микрокомпьютера   одуль распознавания жестов   одуль двух строчного дисплея   одуль реле   одуль датчика расстояния   одуль датчика барометрического давления   одуль датчика влажности и температуры   одуль преобразования уровней сигнала     дисплей   арта памяти с адаптером   eb   камера        накопитель </v>
      </c>
    </row>
    <row r="1990" spans="1:8" ht="153" x14ac:dyDescent="0.2">
      <c r="A1990" s="31" t="s">
        <v>4590</v>
      </c>
      <c r="B1990" s="27" t="s">
        <v>4591</v>
      </c>
      <c r="C1990" s="27" t="s">
        <v>4592</v>
      </c>
      <c r="D1990" s="33" t="s">
        <v>1506</v>
      </c>
      <c r="E1990" s="34">
        <v>2</v>
      </c>
      <c r="F1990" s="35">
        <v>1.1000000000000001</v>
      </c>
      <c r="G1990" s="10">
        <v>260347</v>
      </c>
      <c r="H1990" s="30" t="str">
        <f ca="1">IFERROR(__xludf.DUMMYFUNCTION("LOWER(REGEXREPLACE(B1990&amp;"" ""&amp;C1990,""[^а-яa-z0-9 ]"","" ""))")," абор образовательный и интернет вещей типа  xperia    02  омплектация   кейс с крышкой   1 шт   лоток со вставкой   1шт  отладочная плата  светодиоды  перемычки гибкие mf в наборе 40 штук  перемычки гибкие ff в наборе 40 штук  тактовая кнопка  резисторы "&amp;"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ка"&amp;"меры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температур"&amp;"ы  модуль преобразования уровней сигнала  сенсорный жк дисплей для микрокомпьютера  карта памяти с адаптером  web   камера для микрокомпьютера  usb web   камера  usb   накопитель  картиридер  microsd  16 гб ")</f>
        <v xml:space="preserve"> абор образовательный и интернет вещей типа  xperia    02  омплектация   кейс с крышкой   1 шт   лоток со вставкой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камера для микрокомпьютера  usb web   камера  usb   накопитель  картиридер  microsd  16 гб </v>
      </c>
    </row>
    <row r="1991" spans="1:8" ht="165.75" x14ac:dyDescent="0.2">
      <c r="A1991" s="31" t="s">
        <v>4593</v>
      </c>
      <c r="B1991" s="27" t="s">
        <v>4594</v>
      </c>
      <c r="C1991" s="27" t="s">
        <v>4595</v>
      </c>
      <c r="D1991" s="33" t="s">
        <v>1506</v>
      </c>
      <c r="E1991" s="34">
        <v>2</v>
      </c>
      <c r="F1991" s="35">
        <v>0.3</v>
      </c>
      <c r="G1991" s="10">
        <v>309181</v>
      </c>
      <c r="H1991" s="30" t="str">
        <f ca="1">IFERROR(__xludf.DUMMYFUNCTION("LOWER(REGEXREPLACE(B1991&amp;"" ""&amp;C1991,""[^а-яa-z0-9 ]"","" ""))")," абор продвинутый для интернета вещей  ravity с  aspberry  i типа  hiwei  obotics    0104  остав набора    дноплатный компьютер  aspberry  i 2 модель   1 шт    абель  thernet 1 шт    арта памяти  icro   1 шт    даптер переменного   постоянного тока 1 шт  "&amp;"  лата расширения  rduino для  aspberry  i   1 шт    амоклеящийся медный радиатор для  aspberry  i 1 шт    абель      1 шт    ифровая кнопка 2 шт    налоговый кнопочный модуль 1 шт    ифровой зеленый светодиодный модуль 1 шт    ифровой красный светодиодны"&amp;"й модуль 1 шт    ифровой синий светодиодный модуль 1 шт    налоговый линейный датчик температуры 1 шт    налоговый датчик вращения  2 1 шт    налоговый датчик освещенности 1 шт    налоговый звуковой датчик 1 шт    атчик расстояния 1 шт    одуль реле 1 шт "&amp;"   одуль цифрового зуммера 1 шт    икросервомотор 1 шт    ироэлектрический датчик движения 1 шт    рехосевой акселерометр 1 шт    атчик влажности почвы 1 шт    одуль джойстика 1 шт ")</f>
        <v xml:space="preserve"> абор продвинутый для интернета вещей  ravity с  aspberry  i типа  hiwei  obotics    0104  остав набора    дноплатный компьютер  aspberry  i 2 модель   1 шт    абель  thernet 1 шт    арта памяти  icro   1 шт    даптер переменного   постоянного тока 1 шт    лата расширения  rduino для  aspberry  i   1 шт    амоклеящийся медный радиатор для  aspberry  i 1 шт    абель      1 шт    ифровая кнопка 2 шт    налоговый кнопочный модуль 1 шт    ифровой зеленый светодиодный модуль 1 шт    ифровой красный светодиодный модуль 1 шт    ифровой синий светодиодный модуль 1 шт    налоговый линейный датчик температуры 1 шт    налоговый датчик вращения  2 1 шт    налоговый датчик освещенности 1 шт    налоговый звуковой датчик 1 шт    атчик расстояния 1 шт    одуль реле 1 шт    одуль цифрового зуммера 1 шт    икросервомотор 1 шт    ироэлектрический датчик движения 1 шт    рехосевой акселерометр 1 шт    атчик влажности почвы 1 шт    одуль джойстика 1 шт </v>
      </c>
    </row>
    <row r="1992" spans="1:8" ht="38.25" x14ac:dyDescent="0.2">
      <c r="A1992" s="31" t="s">
        <v>4596</v>
      </c>
      <c r="B1992" s="27" t="s">
        <v>4597</v>
      </c>
      <c r="C1992" s="27" t="s">
        <v>4598</v>
      </c>
      <c r="D1992" s="33" t="s">
        <v>1506</v>
      </c>
      <c r="E1992" s="34">
        <v>2</v>
      </c>
      <c r="F1992" s="35">
        <v>0.5</v>
      </c>
      <c r="G1992" s="10">
        <v>151485</v>
      </c>
      <c r="H1992" s="30" t="str">
        <f ca="1">IFERROR(__xludf.DUMMYFUNCTION("LOWER(REGEXREPLACE(B1992&amp;"" ""&amp;C1992,""[^а-яa-z0-9 ]"","" ""))")," абор ресурсный   нтернет вещей  типа  ischertechnik 559897   состав набора входят  детали для сборки  комбинированный датчик параметров окружающей среды и датчик освещ нности  фоторезистор  ")</f>
        <v xml:space="preserve"> абор ресурсный   нтернет вещей  типа  ischertechnik 559897   состав набора входят  детали для сборки  комбинированный датчик параметров окружающей среды и датчик освещ нности  фоторезистор  </v>
      </c>
    </row>
    <row r="1993" spans="1:8" ht="12.75" x14ac:dyDescent="0.2">
      <c r="A1993" s="31" t="s">
        <v>4599</v>
      </c>
      <c r="B1993" s="27" t="s">
        <v>4600</v>
      </c>
      <c r="C1993" s="27"/>
      <c r="D1993" s="33" t="s">
        <v>1506</v>
      </c>
      <c r="E1993" s="9"/>
      <c r="F1993" s="32"/>
      <c r="G1993" s="10"/>
      <c r="H1993" s="30" t="str">
        <f ca="1">IFERROR(__xludf.DUMMYFUNCTION("LOWER(REGEXREPLACE(B1993&amp;"" ""&amp;C1993,""[^а-яa-z0-9 ]"","" ""))")," абор для изучения нейротехнологий ")</f>
        <v xml:space="preserve"> абор для изучения нейротехнологий </v>
      </c>
    </row>
    <row r="1994" spans="1:8" ht="63.75" x14ac:dyDescent="0.2">
      <c r="A1994" s="31" t="s">
        <v>4601</v>
      </c>
      <c r="B1994" s="8" t="s">
        <v>4602</v>
      </c>
      <c r="C1994" s="27" t="s">
        <v>4603</v>
      </c>
      <c r="D1994" s="33" t="s">
        <v>1506</v>
      </c>
      <c r="E1994" s="34">
        <v>2</v>
      </c>
      <c r="F1994" s="36">
        <v>0.55000000000000004</v>
      </c>
      <c r="G1994" s="10">
        <v>251444</v>
      </c>
      <c r="H1994" s="30" t="str">
        <f ca="1">IFERROR(__xludf.DUMMYFUNCTION("LOWER(REGEXREPLACE(B1994&amp;"" ""&amp;C1994,""[^а-яa-z0-9 ]"","" ""))")," абор для изучения нейротехнологий типа  ind ab  it   состав набора входит  модуль мышечной активности            модуль мозговой активности        оптический плетизмограф   ульс   модуль сопротивления кожи       платформа  rduino  no  eonardo  провода дл"&amp;"я подключения модулей  соединительные провода  электроды  светодиоды  резисторы  макетная плата  элемент питанияс соединительным кабелем ")</f>
        <v xml:space="preserve"> абор для изучения нейротехнологий типа  ind ab  it   состав набора входит  модуль мышечной активности            модуль мозговой активности        оптический плетизмограф   ульс   модуль сопротивления кожи       платформа  rduino  no  eonardo  провода для подключения модулей  соединительные провода  электроды  светодиоды  резисторы  макетная плата  элемент питанияс соединительным кабелем </v>
      </c>
    </row>
    <row r="1995" spans="1:8" ht="63.75" x14ac:dyDescent="0.2">
      <c r="A1995" s="31" t="s">
        <v>4604</v>
      </c>
      <c r="B1995" s="8" t="s">
        <v>4605</v>
      </c>
      <c r="C1995" s="27" t="s">
        <v>4606</v>
      </c>
      <c r="D1995" s="33" t="s">
        <v>1506</v>
      </c>
      <c r="E1995" s="34">
        <v>2</v>
      </c>
      <c r="F1995" s="36">
        <v>0.95</v>
      </c>
      <c r="G1995" s="10">
        <v>589845</v>
      </c>
      <c r="H1995" s="30" t="str">
        <f ca="1">IFERROR(__xludf.DUMMYFUNCTION("LOWER(REGEXREPLACE(B1995&amp;"" ""&amp;C1995,""[^а-яa-z0-9 ]"","" ""))")," абор для изучения нейротехнологий типа  xperia    03 комплектация  кейс с крышкой   1 шт   лоток со вставкой   1шт  на базе ардуино в корпусе   модуль ээг  одноканальный     1 шт  ободок ээг    1 шт  зарядное устройство для аккумулятора    1 шт  одноразо"&amp;"вые электроды эмг экг    20 шт  дополнительные электронные компоненты    1 шт   онструктивные детали робота  1 комплект флешка c по и метод  материалами  1 шт ")</f>
        <v xml:space="preserve"> абор для изучения нейротехнологий типа  xperia    03 комплектация  кейс с крышкой   1 шт   лоток со вставкой   1шт  на базе ардуино в корпусе   модуль ээг  одноканальный     1 шт  ободок ээг    1 шт  зарядное устройство для аккумулятора    1 шт  одноразовые электроды эмг экг    20 шт  дополнительные электронные компоненты    1 шт   онструктивные детали робота  1 комплект флешка c по и метод  материалами  1 шт </v>
      </c>
    </row>
    <row r="1996" spans="1:8" ht="25.5" x14ac:dyDescent="0.2">
      <c r="A1996" s="31" t="s">
        <v>4607</v>
      </c>
      <c r="B1996" s="8" t="s">
        <v>4608</v>
      </c>
      <c r="C1996" s="27"/>
      <c r="D1996" s="33" t="s">
        <v>1506</v>
      </c>
      <c r="E1996" s="9"/>
      <c r="F1996" s="32"/>
      <c r="G1996" s="10"/>
      <c r="H1996" s="30" t="str">
        <f ca="1">IFERROR(__xludf.DUMMYFUNCTION("LOWER(REGEXREPLACE(B1996&amp;"" ""&amp;C1996,""[^а-яa-z0-9 ]"","" ""))")," абор для исследований альтернативной энергетики с методическими материалами ")</f>
        <v xml:space="preserve"> абор для исследований альтернативной энергетики с методическими материалами </v>
      </c>
    </row>
    <row r="1997" spans="1:8" ht="63.75" x14ac:dyDescent="0.2">
      <c r="A1997" s="31" t="s">
        <v>4609</v>
      </c>
      <c r="B1997" s="27" t="s">
        <v>4610</v>
      </c>
      <c r="C1997" s="27" t="s">
        <v>4611</v>
      </c>
      <c r="D1997" s="33" t="s">
        <v>1506</v>
      </c>
      <c r="E1997" s="34">
        <v>2</v>
      </c>
      <c r="F1997" s="36">
        <v>1.65</v>
      </c>
      <c r="G1997" s="10">
        <v>677796</v>
      </c>
      <c r="H1997" s="30" t="str">
        <f ca="1">IFERROR(__xludf.DUMMYFUNCTION("LOWER(REGEXREPLACE(B1997&amp;"" ""&amp;C1997,""[^а-яa-z0-9 ]"","" ""))")," абор для исследований альтернативной энергетики с методическими материалами типа  reen ab  esearch  it   состав набора входит  двигатель  выходная мощность 10 50   коммутация  щетка  непрерывный ток 6 12    турбины  материал  пластик  количество лопастей"&amp;"   5шт   осветительные приборы для студенческих экспериментов  размер  5 25мм  тип   ed  инструменты для сборки   мультиметр  болты  кусачки  шнуры  магниты ")</f>
        <v xml:space="preserve"> абор для исследований альтернативной энергетики с методическими материалами типа  reen ab  esearch  it   состав набора входит  двигатель  выходная мощность 10 50   коммутация  щетка  непрерывный ток 6 12    турбины  материал  пластик  количество лопастей   5шт   осветительные приборы для студенческих экспериментов  размер  5 25мм  тип   ed  инструменты для сборки   мультиметр  болты  кусачки  шнуры  магниты </v>
      </c>
    </row>
    <row r="1998" spans="1:8" ht="76.5" x14ac:dyDescent="0.2">
      <c r="A1998" s="31" t="s">
        <v>4612</v>
      </c>
      <c r="B1998" s="8" t="s">
        <v>4613</v>
      </c>
      <c r="C1998" s="27" t="s">
        <v>4614</v>
      </c>
      <c r="D1998" s="33" t="s">
        <v>1506</v>
      </c>
      <c r="E1998" s="34">
        <v>2</v>
      </c>
      <c r="F1998" s="35">
        <v>1.9</v>
      </c>
      <c r="G1998" s="10">
        <v>310980</v>
      </c>
      <c r="H1998" s="30" t="str">
        <f ca="1">IFERROR(__xludf.DUMMYFUNCTION("LOWER(REGEXREPLACE(B1998&amp;"" ""&amp;C1998,""[^а-яa-z0-9 ]"","" ""))")," абор для исследований альтернативной энергетики типа  xperia    05  омплектация   ейс с крышкой   1 шт    оток со вставкой   1шт   роращивающие пластинки   1 шт   олнечные батареи   6 шт   лектродвигатель с пропеллером в корпусе   1 шт   ветодиод   1 шт "&amp;"  утылка с хлоридом натрия   1 шт ")</f>
        <v xml:space="preserve"> абор для исследований альтернативной энергетики типа  xperia    05  омплектация   ейс с крышкой   1 шт    оток со вставкой   1шт   роращивающие пластинки   1 шт   олнечные батареи   6 шт   лектродвигатель с пропеллером в корпусе   1 шт   ветодиод   1 шт   утылка с хлоридом натрия   1 шт </v>
      </c>
    </row>
    <row r="1999" spans="1:8" ht="12.75" x14ac:dyDescent="0.2">
      <c r="A1999" s="31" t="s">
        <v>4615</v>
      </c>
      <c r="B1999" s="27" t="s">
        <v>4616</v>
      </c>
      <c r="C1999" s="27"/>
      <c r="D1999" s="33" t="s">
        <v>68</v>
      </c>
      <c r="E1999" s="34">
        <v>2</v>
      </c>
      <c r="F1999" s="35">
        <v>3.1</v>
      </c>
      <c r="G1999" s="10"/>
      <c r="H1999" s="30" t="str">
        <f ca="1">IFERROR(__xludf.DUMMYFUNCTION("LOWER(REGEXREPLACE(B1999&amp;"" ""&amp;C1999,""[^а-яa-z0-9 ]"","" ""))")," чки виртуальной реальности     treme  ")</f>
        <v xml:space="preserve"> чки виртуальной реальности     treme  </v>
      </c>
    </row>
    <row r="2000" spans="1:8" ht="51" x14ac:dyDescent="0.2">
      <c r="A2000" s="31" t="s">
        <v>4617</v>
      </c>
      <c r="B2000" s="27" t="s">
        <v>4618</v>
      </c>
      <c r="C2000" s="27"/>
      <c r="D2000" s="33" t="s">
        <v>68</v>
      </c>
      <c r="E2000" s="34">
        <v>2</v>
      </c>
      <c r="F2000" s="34">
        <v>13</v>
      </c>
      <c r="G2000" s="10">
        <v>11645801</v>
      </c>
      <c r="H2000" s="30" t="str">
        <f ca="1">IFERROR(__xludf.DUMMYFUNCTION("LOWER(REGEXREPLACE(B2000&amp;"" ""&amp;C2000,""[^а-яa-z0-9 ]"","" ""))")," арнитура виртуальной реальности  lass    remium 64  в комплекте  8 пар очков  кейс для хранения со встроенной зарядной станцией  комплекты контролеров     ")</f>
        <v xml:space="preserve"> арнитура виртуальной реальности  lass    remium 64  в комплекте  8 пар очков  кейс для хранения со встроенной зарядной станцией  комплекты контролеров     </v>
      </c>
    </row>
    <row r="2001" spans="1:8" ht="12.75" x14ac:dyDescent="0.2">
      <c r="A2001" s="31" t="s">
        <v>4619</v>
      </c>
      <c r="B2001" s="27" t="s">
        <v>4620</v>
      </c>
      <c r="C2001" s="27"/>
      <c r="D2001" s="33" t="s">
        <v>1506</v>
      </c>
      <c r="E2001" s="9"/>
      <c r="F2001" s="32"/>
      <c r="G2001" s="10"/>
      <c r="H2001" s="30" t="str">
        <f ca="1">IFERROR(__xludf.DUMMYFUNCTION("LOWER(REGEXREPLACE(B2001&amp;"" ""&amp;C2001,""[^а-яa-z0-9 ]"","" ""))")," абор образовательный с квадрокоптером ")</f>
        <v xml:space="preserve"> абор образовательный с квадрокоптером </v>
      </c>
    </row>
    <row r="2002" spans="1:8" ht="38.25" x14ac:dyDescent="0.2">
      <c r="A2002" s="31" t="s">
        <v>4621</v>
      </c>
      <c r="B2002" s="27" t="s">
        <v>4622</v>
      </c>
      <c r="C2002" s="27" t="s">
        <v>4623</v>
      </c>
      <c r="D2002" s="33" t="s">
        <v>1506</v>
      </c>
      <c r="E2002" s="34">
        <v>2</v>
      </c>
      <c r="F2002" s="35">
        <v>2.1</v>
      </c>
      <c r="G2002" s="10">
        <v>429806</v>
      </c>
      <c r="H2002" s="30" t="str">
        <f ca="1">IFERROR(__xludf.DUMMYFUNCTION("LOWER(REGEXREPLACE(B2002&amp;"" ""&amp;C2002,""[^а-яa-z0-9 ]"","" ""))")," абор образовательный с квадрокоптером типа  ody ly  du  it   состав набора входит      дрон 5 дюймовый   1 шт   шлем для     режима 2 4 ц  1 шт   пульт управления 1 шт    аккумулятор  1 шт   квадрокоптер малых размеров  1 шт ")</f>
        <v xml:space="preserve"> абор образовательный с квадрокоптером типа  ody ly  du  it   состав набора входит      дрон 5 дюймовый   1 шт   шлем для     режима 2 4 ц  1 шт   пульт управления 1 шт    аккумулятор  1 шт   квадрокоптер малых размеров  1 шт </v>
      </c>
    </row>
    <row r="2003" spans="1:8" ht="140.25" x14ac:dyDescent="0.2">
      <c r="A2003" s="31" t="s">
        <v>4624</v>
      </c>
      <c r="B2003" s="27" t="s">
        <v>4625</v>
      </c>
      <c r="C2003" s="27" t="s">
        <v>4626</v>
      </c>
      <c r="D2003" s="33" t="s">
        <v>1506</v>
      </c>
      <c r="E2003" s="34">
        <v>2</v>
      </c>
      <c r="F2003" s="36">
        <v>0.87</v>
      </c>
      <c r="G2003" s="10">
        <v>1786884</v>
      </c>
      <c r="H2003" s="30" t="str">
        <f ca="1">IFERROR(__xludf.DUMMYFUNCTION("LOWER(REGEXREPLACE(B2003&amp;"" ""&amp;C2003,""[^а-яa-z0-9 ]"","" ""))")," абор образовательный с квадрокоптером типа  xperia    10  омплектация   ейс с крышкой   1 шт   оток со вставкой   1шт   етали конструктора квадракоптера   снование рамы   отор правого вращения   2 шт   отор левого вращения   2 шт   инт   8 шт демпферы   "&amp;"4 шт  винты     20 шт  тойки длинные 4   шт   тойки короткие 4   шт  асси верх   асси низ   тойки металлические короткие   4 шт  ропеллеры левого вращения 5030    2 шт   ропеллеры правого вращения 5030     2 шт 10 контактный шлейф   1 шт  12 контактный шл"&amp;"ейф   1 шт  ри мник     8    1 шт   иксирующая трубка  1 шт   снования защиты   4 шт   винты  2x6   8 шт   уга защиты   16 шт   перемычка защиты   16 шт   винты  3x10   16 шт   стойки длинные  16 шт   риемник  пульт управления ")</f>
        <v xml:space="preserve"> абор образовательный с квадрокоптером типа  xperia    10  омплектация   ейс с крышкой   1 шт   оток со вставкой   1шт   етали конструктора квадракоптера   снование рамы   отор правого вращения   2 шт   отор левого вращения   2 шт   инт   8 шт демпферы   4 шт  винты     20 шт  тойки длинные 4   шт   тойки короткие 4   шт  асси верх   асси низ   тойки металлические короткие   4 шт  ропеллеры левого вращения 5030    2 шт   ропеллеры правого вращения 5030     2 шт 10 контактный шлейф   1 шт  12 контактный шлейф   1 шт  ри мник     8    1 шт   иксирующая трубка  1 шт   снования защиты   4 шт   винты  2x6   8 шт   уга защиты   16 шт   перемычка защиты   16 шт   винты  3x10   16 шт   стойки длинные  16 шт   риемник  пульт управления </v>
      </c>
    </row>
    <row r="2004" spans="1:8" ht="12.75" x14ac:dyDescent="0.2">
      <c r="A2004" s="31" t="s">
        <v>4627</v>
      </c>
      <c r="B2004" s="27" t="s">
        <v>4628</v>
      </c>
      <c r="C2004" s="27"/>
      <c r="D2004" s="33" t="s">
        <v>14</v>
      </c>
      <c r="E2004" s="9"/>
      <c r="F2004" s="32"/>
      <c r="G2004" s="10"/>
      <c r="H2004" s="30" t="str">
        <f ca="1">IFERROR(__xludf.DUMMYFUNCTION("LOWER(REGEXREPLACE(B2004&amp;"" ""&amp;C2004,""[^а-яa-z0-9 ]"","" ""))")," обот антропоморфный ")</f>
        <v xml:space="preserve"> обот антропоморфный </v>
      </c>
    </row>
    <row r="2005" spans="1:8" ht="38.25" x14ac:dyDescent="0.2">
      <c r="A2005" s="31" t="s">
        <v>4629</v>
      </c>
      <c r="B2005" s="27" t="s">
        <v>4630</v>
      </c>
      <c r="C2005" s="27" t="s">
        <v>4631</v>
      </c>
      <c r="D2005" s="33" t="s">
        <v>14</v>
      </c>
      <c r="E2005" s="34">
        <v>2</v>
      </c>
      <c r="F2005" s="35">
        <v>4.8</v>
      </c>
      <c r="G2005" s="10">
        <v>585740</v>
      </c>
      <c r="H2005" s="30" t="str">
        <f ca="1">IFERROR(__xludf.DUMMYFUNCTION("LOWER(REGEXREPLACE(B2005&amp;"" ""&amp;C2005,""[^а-яa-z0-9 ]"","" ""))")," обот антропоморфный типа  obo ate  обот гуманоид  с 16 приводами  с функцией беспроводного управления   luetooth   материал корпуса пластик  детали из алюминиевых сплавов   нструкция сборки прилагается ")</f>
        <v xml:space="preserve"> обот антропоморфный типа  obo ate  обот гуманоид  с 16 приводами  с функцией беспроводного управления   luetooth   материал корпуса пластик  детали из алюминиевых сплавов   нструкция сборки прилагается </v>
      </c>
    </row>
    <row r="2006" spans="1:8" ht="51" x14ac:dyDescent="0.2">
      <c r="A2006" s="31" t="s">
        <v>4632</v>
      </c>
      <c r="B2006" s="27" t="s">
        <v>4633</v>
      </c>
      <c r="C2006" s="27" t="s">
        <v>4634</v>
      </c>
      <c r="D2006" s="33" t="s">
        <v>1506</v>
      </c>
      <c r="E2006" s="34">
        <v>2</v>
      </c>
      <c r="F2006" s="36">
        <v>0.94</v>
      </c>
      <c r="G2006" s="10">
        <v>620241</v>
      </c>
      <c r="H2006" s="30" t="str">
        <f ca="1">IFERROR(__xludf.DUMMYFUNCTION("LOWER(REGEXREPLACE(B2006&amp;"" ""&amp;C2006,""[^а-яa-z0-9 ]"","" ""))")," обот антропоморфный типа  xperia    11  омплектация   ейс с крышкой   1 шт   оток со вставкой   1шт   обот антропоморфный состоит из   онтроллер  1 шт   luetooth  модуль  1 шт   атарея  2 шт   ервопривод  16 шт   омплект проводов   нструкция   аклейки   "&amp;"орпусные детали ")</f>
        <v xml:space="preserve"> обот антропоморфный типа  xperia    11  омплектация   ейс с крышкой   1 шт   оток со вставкой   1шт   обот антропоморфный состоит из   онтроллер  1 шт   luetooth  модуль  1 шт   атарея  2 шт   ервопривод  16 шт   омплект проводов   нструкция   аклейки   орпусные детали </v>
      </c>
    </row>
    <row r="2007" spans="1:8" ht="127.5" x14ac:dyDescent="0.2">
      <c r="A2007" s="31" t="s">
        <v>4635</v>
      </c>
      <c r="B2007" s="27" t="s">
        <v>4636</v>
      </c>
      <c r="C2007" s="27" t="s">
        <v>4637</v>
      </c>
      <c r="D2007" s="33" t="s">
        <v>14</v>
      </c>
      <c r="E2007" s="34">
        <v>2</v>
      </c>
      <c r="F2007" s="35">
        <v>1.2</v>
      </c>
      <c r="G2007" s="10">
        <v>850429</v>
      </c>
      <c r="H2007" s="30" t="str">
        <f ca="1">IFERROR(__xludf.DUMMYFUNCTION("LOWER(REGEXREPLACE(B2007&amp;"" ""&amp;C2007,""[^а-яa-z0-9 ]"","" ""))")," обот антропоморфный типа  lpha       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rduin           собенности робототехнического комплекса     лочно"&amp;"е и строчное программирование в собственной и внешних средах разработки   озрастная группа 15   беспроводное взаимодействие с применением модулей  luetooth   i i  сотовых сетей   нтернет вещей и изучение взаимодействия элементов умного дома   олноценное к"&amp;"омпьютерное зрение  включая опознавание жестов   ашинное обучение   озможность отправлять  получать и обрабатывать запросы в облачные базы данных")</f>
        <v xml:space="preserve"> обот антропоморфный типа  lpha       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rduin           собенности робототехнического комплекса     лочное и строчное программирование в собственной и внешних средах разработки   озрастная группа 15   беспроводное взаимодействие с применением модулей  luetooth   i i  сотовых сетей   нтернет вещей и изучение взаимодействия элементов умного дома   олноценное компьютерное зрение  включая опознавание жестов   ашинное обучение   озможность отправлять  получать и обрабатывать запросы в облачные базы данных</v>
      </c>
    </row>
    <row r="2008" spans="1:8" ht="38.25" x14ac:dyDescent="0.2">
      <c r="A2008" s="31" t="s">
        <v>4638</v>
      </c>
      <c r="B2008" s="27" t="s">
        <v>4639</v>
      </c>
      <c r="C2008" s="27" t="s">
        <v>4640</v>
      </c>
      <c r="D2008" s="33" t="s">
        <v>14</v>
      </c>
      <c r="E2008" s="34">
        <v>2</v>
      </c>
      <c r="F2008" s="36">
        <v>1.06</v>
      </c>
      <c r="G2008" s="10">
        <v>100677</v>
      </c>
      <c r="H2008" s="30" t="str">
        <f ca="1">IFERROR(__xludf.DUMMYFUNCTION("LOWER(REGEXREPLACE(B2008&amp;"" ""&amp;C2008,""[^а-яa-z0-9 ]"","" ""))")," обот конструктор типа  imu  ocol  овместимое бесплатное    на  ndroid и i    управление по  luetooth   омплект деталей  документация  датчик управления  мотор монстр  мотор постоянного тока  световой модуль  пульт дистанционного управления")</f>
        <v xml:space="preserve"> обот конструктор типа  imu  ocol  овместимое бесплатное    на  ndroid и i    управление по  luetooth   омплект деталей  документация  датчик управления  мотор монстр  мотор постоянного тока  световой модуль  пульт дистанционного управления</v>
      </c>
    </row>
    <row r="2009" spans="1:8" ht="38.25" x14ac:dyDescent="0.2">
      <c r="A2009" s="31" t="s">
        <v>4641</v>
      </c>
      <c r="B2009" s="27" t="s">
        <v>4642</v>
      </c>
      <c r="C2009" s="27" t="s">
        <v>4643</v>
      </c>
      <c r="D2009" s="33" t="s">
        <v>14</v>
      </c>
      <c r="E2009" s="34">
        <v>2</v>
      </c>
      <c r="F2009" s="37">
        <v>1.2749999999999999</v>
      </c>
      <c r="G2009" s="10">
        <v>109951</v>
      </c>
      <c r="H2009" s="30" t="str">
        <f ca="1">IFERROR(__xludf.DUMMYFUNCTION("LOWER(REGEXREPLACE(B2009&amp;"" ""&amp;C2009,""[^а-яa-z0-9 ]"","" ""))")," обот конструктор типа  imu  uper  arrier  оличество деталей 630 шт   робот конструктор    ech  uper  arrier     213   омплект деталей  датчик управления  двигатель постоянного тока 2шт   световой модуль  пульт дистанционного управления  инструкция по экс"&amp;"плуатации")</f>
        <v xml:space="preserve"> обот конструктор типа  imu  uper  arrier  оличество деталей 630 шт   робот конструктор    ech  uper  arrier     213   омплект деталей  датчик управления  двигатель постоянного тока 2шт   световой модуль  пульт дистанционного управления  инструкция по эксплуатации</v>
      </c>
    </row>
    <row r="2010" spans="1:8" ht="38.25" x14ac:dyDescent="0.2">
      <c r="A2010" s="31" t="s">
        <v>4644</v>
      </c>
      <c r="B2010" s="27" t="s">
        <v>4645</v>
      </c>
      <c r="C2010" s="27" t="s">
        <v>4646</v>
      </c>
      <c r="D2010" s="33" t="s">
        <v>14</v>
      </c>
      <c r="E2010" s="34">
        <v>2</v>
      </c>
      <c r="F2010" s="36">
        <v>1.28</v>
      </c>
      <c r="G2010" s="10">
        <v>271558</v>
      </c>
      <c r="H2010" s="30" t="str">
        <f ca="1">IFERROR(__xludf.DUMMYFUNCTION("LOWER(REGEXREPLACE(B2010&amp;"" ""&amp;C2010,""[^а-яa-z0-9 ]"","" ""))")," обот конструктор типа  imu  ire  lazer  оличество деталий 950 шт   35  документаци  комплект деталий  пульт дистанционого управления  датчик управления  двигатель постоянного тока 2шт  световой модуль")</f>
        <v xml:space="preserve"> обот конструктор типа  imu  ire  lazer  оличество деталий 950 шт   35  документаци  комплект деталий  пульт дистанционого управления  датчик управления  двигатель постоянного тока 2шт  световой модуль</v>
      </c>
    </row>
    <row r="2011" spans="1:8" ht="51" x14ac:dyDescent="0.2">
      <c r="A2011" s="31" t="s">
        <v>4647</v>
      </c>
      <c r="B2011" s="27" t="s">
        <v>4648</v>
      </c>
      <c r="C2011" s="27"/>
      <c r="D2011" s="33" t="s">
        <v>1506</v>
      </c>
      <c r="E2011" s="9"/>
      <c r="F2011" s="32"/>
      <c r="G2011" s="10"/>
      <c r="H2011" s="30" t="str">
        <f ca="1">IFERROR(__xludf.DUMMYFUNCTION("LOWER(REGEXREPLACE(B2011&amp;"" ""&amp;C2011,""[^а-яa-z0-9 ]"","" ""))")," абор тренировочный для изучения программирования микроконтроллеров и датчиков  расположенных на общей физической плате с модулями интернет вещей ")</f>
        <v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v>
      </c>
    </row>
    <row r="2012" spans="1:8" ht="102" x14ac:dyDescent="0.2">
      <c r="A2012" s="31" t="s">
        <v>4649</v>
      </c>
      <c r="B2012" s="27" t="s">
        <v>4650</v>
      </c>
      <c r="C2012" s="27" t="s">
        <v>4651</v>
      </c>
      <c r="D2012" s="33" t="s">
        <v>1506</v>
      </c>
      <c r="E2012" s="34">
        <v>2</v>
      </c>
      <c r="F2012" s="36">
        <v>0.45</v>
      </c>
      <c r="G2012" s="10">
        <v>357771</v>
      </c>
      <c r="H2012" s="30" t="str">
        <f ca="1">IFERROR(__xludf.DUMMYFUNCTION("LOWER(REGEXREPLACE(B2012&amp;"" ""&amp;C2012,""[^а-яa-z0-9 ]"","" ""))")," 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oard  ne   состав набора входит   икроконтроллер   mega328    сточник питания  напряжение  5    ила ток"&amp;"а  2      атчик газа  увствительность  300 10000 ppm  питание  5  ольт  влажность воздуха  не более 95   интерфейс  аналоговый и цифровой    атчик освещенности  размер  5мм  диапозон сопротивление  12 100к м    атчик движения   иапазон угла слежения   110"&amp;"     абочий ток   до 0 05 м    егулируемое время задержки от 0 3 до 18 с    исплей  тип матрицы  жидкокристаллический  количество пикселов  16х2  тип подключение   2  ")</f>
        <v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oard  ne   состав набора входит   икроконтроллер   mega328    сточник питания  напряжение  5    ила тока  2      атчик газа  увствительность  300 10000 ppm  питание  5  ольт  влажность воздуха  не более 95   интерфейс  аналоговый и цифровой    атчик освещенности  размер  5мм  диапозон сопротивление  12 100к м    атчик движения   иапазон угла слежения   110     абочий ток   до 0 05 м    егулируемое время задержки от 0 3 до 18 с    исплей  тип матрицы  жидкокристаллический  количество пикселов  16х2  тип подключение   2  </v>
      </c>
    </row>
    <row r="2013" spans="1:8" ht="382.5" x14ac:dyDescent="0.2">
      <c r="A2013" s="31" t="s">
        <v>4652</v>
      </c>
      <c r="B2013" s="27" t="s">
        <v>4653</v>
      </c>
      <c r="C2013" s="27" t="s">
        <v>4654</v>
      </c>
      <c r="D2013" s="33" t="s">
        <v>1506</v>
      </c>
      <c r="E2013" s="9"/>
      <c r="F2013" s="32"/>
      <c r="G2013" s="10">
        <v>320955</v>
      </c>
      <c r="H2013" s="30" t="str">
        <f ca="1">IFERROR(__xludf.DUMMYFUNCTION("LOWER(REGEXREPLACE(B2013&amp;"" ""&amp;C2013,""[^а-яa-z0-9 ]"","" ""))")," 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xperia    12  омплек"&amp;"тация     ейс с крышкой   1 шт    оток со вставкой   1шт   айки и соединительные элементы   57 шт   алы и сопутствующие элементы   59 шт   инты   40 шт   труктурные компоненты   9 шт   олеса   2 шт   иаметр колеса 4 дюйма   олеса всенаправленного движения"&amp;"   2 шт   иаметр колеса 4 дюйма   ысокопрочные шестерни и вставки для них   13 шт   хват робота  без привода  1 компл   онтроллер управления роботом   1 шт   онтроллер управления роботом включает в себя  поддержка программирования на уровне  odkit  atural"&amp;"        ava cript   ython  размеры в сборе 101х139х13 мм   максимальная тактовая частота процессора 667   ц  количество ядер процессора   2 шт   периферийный процессор  тактовая частота перифирийского процессора 32   ц  оперативная память    2 mobile 128 "&amp;" б  встроенная       память 32  б  интерфейс     2 0  интерфейс  lue ooth 4 2  встроенный цветной сенсорный    дисплей  количество цветов дисплея   65000 шт   размер    дисплея по диагонали 4 25 дюйма   разрешение    дисплея 480х272 пиксель  порты для уст"&amp;"ановки моторов и или датчиков   21 шт   порты для установки трехпроводных моторов и или датчиков   8 шт   лот для настраиваемой памяти  тип настраиваемой памяти micro    максимальный объем настраиваемой памяти до 16     тип файловой системы    32  напряже"&amp;"ние питания 12 8    русскоязычный интерфейс   ульт управления роботом   1 шт    ульт управления включает в себя  джойстики   2 шт  кнопки   12 шт      экран   1 шт  размеры экрана 128х64 пикселя  беспроводная связь по каналу  luetooth 4 2   адиомодуль для"&amp;" создания соединений между контроллером и пультом управления   1 шт   ккумуляторная батарея   1 шт   емкость аккумуляторной батареи 1100 м ч  включает индикатор уровня заряда    омплект соединительных подключений 1 компл   риводы постоянного тока   4 шт  "&amp;"  пиковая мощность 11      крутящий момент 2 1  м    обратная связь по току  температуре  мощности  встроенный энкодер  максимальное разрешение энкодера 1800 тиков обратка   атчики касания типа бампера   2 шт   омплект инструментов 1 компл   репления для "&amp;"аккумуляторной батареи   2 шт   уководство пользователя   1 шт ")</f>
        <v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xperia    12  омплектация     ейс с крышкой   1 шт    оток со вставкой   1шт   айки и соединительные элементы   57 шт   алы и сопутствующие элементы   59 шт   инты   40 шт   труктурные компоненты   9 шт   олеса   2 шт   иаметр колеса 4 дюйма   олеса всенаправленного движения   2 шт   иаметр колеса 4 дюйма   ысокопрочные шестерни и вставки для них   13 шт   хват робота  без привода  1 компл   онтроллер управления роботом   1 шт   онтроллер управления роботом включает в себя  поддержка программирования на уровне  odkit  atural        ava cript   ython  размеры в сборе 101х139х13 мм   максимальная тактовая частота процессора 667   ц  количество ядер процессора   2 шт   периферийный процессор  тактовая частота перифирийского процессора 32   ц  оперативная память    2 mobile 128  б  встроенная       память 32  б  интерфейс     2 0  интерфейс  lue ooth 4 2  встроенный цветной сенсорный    дисплей  количество цветов дисплея   65000 шт   размер    дисплея по диагонали 4 25 дюйма   разрешение    дисплея 480х272 пиксель  порты для установки моторов и или датчиков   21 шт   порты для установки трехпроводных моторов и или датчиков   8 шт   лот для настраиваемой памяти  тип настраиваемой памяти micro    максимальный объем настраиваемой памяти до 16     тип файловой системы    32  напряжение питания 12 8    русскоязычный интерфейс   ульт управления роботом   1 шт    ульт управления включает в себя  джойстики   2 шт  кнопки   12 шт      экран   1 шт  размеры экрана 128х64 пикселя  беспроводная связь по каналу  luetooth 4 2   адиомодуль для создания соединений между контроллером и пультом управления   1 шт   ккумуляторная батарея   1 шт   емкость аккумуляторной батареи 1100 м ч  включает индикатор уровня заряда    омплект соединительных подключений 1 компл   риводы постоянного тока   4 шт    пиковая мощность 11      крутящий момент 2 1  м    обратная связь по току  температуре  мощности  встроенный энкодер  максимальное разрешение энкодера 1800 тиков обратка   атчики касания типа бампера   2 шт   омплект инструментов 1 компл   репления для аккумуляторной батареи   2 шт   уководство пользователя   1 шт </v>
      </c>
    </row>
    <row r="2014" spans="1:8" ht="38.25" x14ac:dyDescent="0.2">
      <c r="A2014" s="31" t="s">
        <v>4655</v>
      </c>
      <c r="B2014" s="27" t="s">
        <v>4656</v>
      </c>
      <c r="C2014" s="27" t="s">
        <v>4657</v>
      </c>
      <c r="D2014" s="33" t="s">
        <v>1506</v>
      </c>
      <c r="E2014" s="34">
        <v>2</v>
      </c>
      <c r="F2014" s="36">
        <v>0.45</v>
      </c>
      <c r="G2014" s="10">
        <v>278297</v>
      </c>
      <c r="H2014" s="30" t="str">
        <f ca="1">IFERROR(__xludf.DUMMYFUNCTION("LOWER(REGEXREPLACE(B2014&amp;"" ""&amp;C2014,""[^а-яa-z0-9 ]"","" ""))")," рограммируемый дрон   ody ly    состав набора входит    ппаратура управления  1шт   риемник  1шт   олетный контроллер  1шт  датчик      1шт   есколлекторные двигатели  4шт      регуляторы  4шт   ккумулятор  1шт   ропеллеры  4шт ")</f>
        <v xml:space="preserve"> рограммируемый дрон   ody ly    состав набора входит    ппаратура управления  1шт   риемник  1шт   олетный контроллер  1шт  датчик      1шт   есколлекторные двигатели  4шт      регуляторы  4шт   ккумулятор  1шт   ропеллеры  4шт </v>
      </c>
    </row>
    <row r="2015" spans="1:8" ht="25.5" x14ac:dyDescent="0.2">
      <c r="A2015" s="31" t="s">
        <v>4658</v>
      </c>
      <c r="B2015" s="27" t="s">
        <v>4659</v>
      </c>
      <c r="C2015" s="27"/>
      <c r="D2015" s="33" t="s">
        <v>1506</v>
      </c>
      <c r="E2015" s="9"/>
      <c r="F2015" s="32"/>
      <c r="G2015" s="10"/>
      <c r="H2015" s="30" t="str">
        <f ca="1">IFERROR(__xludf.DUMMYFUNCTION("LOWER(REGEXREPLACE(B2015&amp;"" ""&amp;C2015,""[^а-яa-z0-9 ]"","" ""))")," абор образовательный на базе  рдуино с научными датчиками ")</f>
        <v xml:space="preserve"> абор образовательный на базе  рдуино с научными датчиками </v>
      </c>
    </row>
    <row r="2016" spans="1:8" ht="51" x14ac:dyDescent="0.2">
      <c r="A2016" s="31" t="s">
        <v>4660</v>
      </c>
      <c r="B2016" s="27" t="s">
        <v>4661</v>
      </c>
      <c r="C2016" s="27" t="s">
        <v>4662</v>
      </c>
      <c r="D2016" s="33" t="s">
        <v>1506</v>
      </c>
      <c r="E2016" s="34">
        <v>2</v>
      </c>
      <c r="F2016" s="35">
        <v>1.2</v>
      </c>
      <c r="G2016" s="10">
        <v>39429</v>
      </c>
      <c r="H2016" s="30" t="str">
        <f ca="1">IFERROR(__xludf.DUMMYFUNCTION("LOWER(REGEXREPLACE(B2016&amp;"" ""&amp;C2016,""[^а-яa-z0-9 ]"","" ""))")," абор образовательный на базе  рдуино с научными датчиками типа  science  it   набор входит   микропроцессор  датчик температуры и влажности 1 шт   датчик света 1 шт   датчик движения 1 шт   датчик звука 1 шт   датчик расстояния  1 шт   датчик газа  1 шт "&amp;"  датчик вибрации 1 шт   датчик цвета 1 шт ")</f>
        <v xml:space="preserve"> абор образовательный на базе  рдуино с научными датчиками типа  science  it   набор входит   микропроцессор  датчик температуры и влажности 1 шт   датчик света 1 шт   датчик движения 1 шт   датчик звука 1 шт   датчик расстояния  1 шт   датчик газа  1 шт   датчик вибрации 1 шт   датчик цвета 1 шт </v>
      </c>
    </row>
    <row r="2017" spans="1:8" ht="127.5" x14ac:dyDescent="0.2">
      <c r="A2017" s="31" t="s">
        <v>4663</v>
      </c>
      <c r="B2017" s="27" t="s">
        <v>4664</v>
      </c>
      <c r="C2017" s="27" t="s">
        <v>4665</v>
      </c>
      <c r="D2017" s="33" t="s">
        <v>1506</v>
      </c>
      <c r="E2017" s="34">
        <v>2</v>
      </c>
      <c r="F2017" s="36">
        <v>0.65</v>
      </c>
      <c r="G2017" s="10">
        <v>133800</v>
      </c>
      <c r="H2017" s="30" t="str">
        <f ca="1">IFERROR(__xludf.DUMMYFUNCTION("LOWER(REGEXREPLACE(B2017&amp;"" ""&amp;C2017,""[^а-яa-z0-9 ]"","" ""))")," омплект по микроэлектронике  ravity   rduino  ero to  ero   состав комплекта входит   икроконтроллер на базе   mega328      кабель       оединительные кабели  не менее 40 шт   езистор 220  м    не менее 10 шт   езистор 4 7   м   не менее 20 шт   езистор "&amp;"10   м   не менее 20 шт   езистор 1   м   не менее 20 шт  5 мм светодиод   не менее 10 шт     приемник  иод  ини кнопка   атчик освещенности    не менее 2 шт   ранзистор       атчик наклона  8 сегментный светодиод  атчик температуры   уммер  10  потенциом"&amp;"етр   ини контроллер  с батареей внутри    акетная плата без пайки с 400 точками соединения  криловый держатель макетной платы   лата расширения  для микроконтроллера   налоговый датчик звука   ифровой модуль динамика  ифровой датчик движения         атчи"&amp;"к 6 степеней свободы")</f>
        <v xml:space="preserve"> омплект по микроэлектронике  ravity   rduino  ero to  ero   состав комплекта входит   икроконтроллер на базе   mega328      кабель       оединительные кабели  не менее 40 шт   езистор 220  м    не менее 10 шт   езистор 4 7   м   не менее 20 шт   езистор 10   м   не менее 20 шт   езистор 1   м   не менее 20 шт  5 мм светодиод   не менее 10 шт     приемник  иод  ини кнопка   атчик освещенности    не менее 2 шт   ранзистор       атчик наклона  8 сегментный светодиод  атчик температуры   уммер  10  потенциометр   ини контроллер  с батареей внутри    акетная плата без пайки с 400 точками соединения  криловый держатель макетной платы   лата расширения  для микроконтроллера   налоговый датчик звука   ифровой модуль динамика  ифровой датчик движения         атчик 6 степеней свободы</v>
      </c>
    </row>
    <row r="2018" spans="1:8" ht="38.25" x14ac:dyDescent="0.2">
      <c r="A2018" s="31" t="s">
        <v>4666</v>
      </c>
      <c r="B2018" s="27" t="s">
        <v>4667</v>
      </c>
      <c r="C2018" s="27" t="s">
        <v>4668</v>
      </c>
      <c r="D2018" s="33" t="s">
        <v>1506</v>
      </c>
      <c r="E2018" s="34">
        <v>2</v>
      </c>
      <c r="F2018" s="35">
        <v>1.2</v>
      </c>
      <c r="G2018" s="10">
        <v>41205</v>
      </c>
      <c r="H2018" s="30" t="str">
        <f ca="1">IFERROR(__xludf.DUMMYFUNCTION("LOWER(REGEXREPLACE(B2018&amp;"" ""&amp;C2018,""[^а-яa-z0-9 ]"","" ""))")," абор для изучения  рдуино  rduino   cience  ro  it   набор входит  микроконтроллер   mega328   который обеспечивает вычислительную мощность и управление входами и выходами  рабочее напряжение  не менее 5     лампы разных цветов с проводами   50 шт ")</f>
        <v xml:space="preserve"> абор для изучения  рдуино  rduino   cience  ro  it   набор входит  микроконтроллер   mega328   который обеспечивает вычислительную мощность и управление входами и выходами  рабочее напряжение  не менее 5     лампы разных цветов с проводами   50 шт </v>
      </c>
    </row>
    <row r="2019" spans="1:8" ht="38.25" x14ac:dyDescent="0.2">
      <c r="A2019" s="31" t="s">
        <v>4669</v>
      </c>
      <c r="B2019" s="27" t="s">
        <v>4670</v>
      </c>
      <c r="C2019" s="27" t="s">
        <v>4671</v>
      </c>
      <c r="D2019" s="33" t="s">
        <v>14</v>
      </c>
      <c r="E2019" s="34">
        <v>2</v>
      </c>
      <c r="F2019" s="35">
        <v>11.1</v>
      </c>
      <c r="G2019" s="10">
        <v>571619</v>
      </c>
      <c r="H2019" s="30" t="str">
        <f ca="1">IFERROR(__xludf.DUMMYFUNCTION("LOWER(REGEXREPLACE(B2019&amp;"" ""&amp;C2019,""[^а-яa-z0-9 ]"","" ""))")," ринтер 3   ni aker  it  ехнология печати   used  eposition  odeling        бласть печати  не менее 200 мм x 200 мм x 230 мм   корость печати  не менее 150 мм с  может изменяться в зависимости от настроек ")</f>
        <v xml:space="preserve"> ринтер 3   ni aker  it  ехнология печати   used  eposition  odeling        бласть печати  не менее 200 мм x 200 мм x 230 мм   корость печати  не менее 150 мм с  может изменяться в зависимости от настроек </v>
      </c>
    </row>
    <row r="2020" spans="1:8" ht="12.75" x14ac:dyDescent="0.2">
      <c r="A2020" s="31" t="s">
        <v>4672</v>
      </c>
      <c r="B2020" s="27" t="s">
        <v>4673</v>
      </c>
      <c r="C2020" s="27"/>
      <c r="D2020" s="33" t="s">
        <v>14</v>
      </c>
      <c r="E2020" s="34">
        <v>2</v>
      </c>
      <c r="F2020" s="35">
        <v>8.9</v>
      </c>
      <c r="G2020" s="10"/>
      <c r="H2020" s="30" t="str">
        <f ca="1">IFERROR(__xludf.DUMMYFUNCTION("LOWER(REGEXREPLACE(B2020&amp;"" ""&amp;C2020,""[^а-яa-z0-9 ]"","" ""))")," ринтер 3   ni aker  ro ")</f>
        <v xml:space="preserve"> ринтер 3   ni aker  ro </v>
      </c>
    </row>
    <row r="2021" spans="1:8" ht="25.5" x14ac:dyDescent="0.2">
      <c r="A2021" s="31" t="s">
        <v>4674</v>
      </c>
      <c r="B2021" s="27" t="s">
        <v>4675</v>
      </c>
      <c r="C2021" s="27"/>
      <c r="D2021" s="33" t="s">
        <v>14</v>
      </c>
      <c r="E2021" s="34">
        <v>2</v>
      </c>
      <c r="F2021" s="36">
        <v>7.15</v>
      </c>
      <c r="G2021" s="10">
        <v>1833613</v>
      </c>
      <c r="H2021" s="30" t="str">
        <f ca="1">IFERROR(__xludf.DUMMYFUNCTION("LOWER(REGEXREPLACE(B2021&amp;"" ""&amp;C2021,""[^а-яa-z0-9 ]"","" ""))"),"3  принтер с расходным материалом  ni aker  ro orge ")</f>
        <v xml:space="preserve">3  принтер с расходным материалом  ni aker  ro orge </v>
      </c>
    </row>
    <row r="2022" spans="1:8" ht="12.75" x14ac:dyDescent="0.2">
      <c r="A2022" s="31" t="s">
        <v>4676</v>
      </c>
      <c r="B2022" s="27" t="s">
        <v>4677</v>
      </c>
      <c r="C2022" s="27"/>
      <c r="D2022" s="33" t="s">
        <v>14</v>
      </c>
      <c r="E2022" s="34">
        <v>2</v>
      </c>
      <c r="F2022" s="34">
        <v>11</v>
      </c>
      <c r="G2022" s="10">
        <v>2149807</v>
      </c>
      <c r="H2022" s="30" t="str">
        <f ca="1">IFERROR(__xludf.DUMMYFUNCTION("LOWER(REGEXREPLACE(B2022&amp;"" ""&amp;C2022,""[^а-яa-z0-9 ]"","" ""))"),"3  принтер  ni aker    ")</f>
        <v xml:space="preserve">3  принтер  ni aker    </v>
      </c>
    </row>
    <row r="2023" spans="1:8" ht="25.5" x14ac:dyDescent="0.2">
      <c r="A2023" s="31" t="s">
        <v>4678</v>
      </c>
      <c r="B2023" s="27" t="s">
        <v>4679</v>
      </c>
      <c r="C2023" s="27" t="s">
        <v>4680</v>
      </c>
      <c r="D2023" s="33" t="s">
        <v>14</v>
      </c>
      <c r="E2023" s="34">
        <v>2</v>
      </c>
      <c r="F2023" s="36">
        <v>19.87</v>
      </c>
      <c r="G2023" s="10">
        <v>1220720</v>
      </c>
      <c r="H2023" s="30" t="str">
        <f ca="1">IFERROR(__xludf.DUMMYFUNCTION("LOWER(REGEXREPLACE(B2023&amp;"" ""&amp;C2023,""[^а-яa-z0-9 ]"","" ""))")," танок модульный для создания 3  моделей  ni hape  азмер 500х280х420мм  мощность  1300  т  тип пластика                          ips")</f>
        <v xml:space="preserve"> танок модульный для создания 3  моделей  ni hape  азмер 500х280х420мм  мощность  1300  т  тип пластика                          ips</v>
      </c>
    </row>
    <row r="2024" spans="1:8" ht="38.25" x14ac:dyDescent="0.2">
      <c r="A2024" s="31" t="s">
        <v>4681</v>
      </c>
      <c r="B2024" s="27" t="s">
        <v>4682</v>
      </c>
      <c r="C2024" s="27" t="s">
        <v>4683</v>
      </c>
      <c r="D2024" s="33" t="s">
        <v>14</v>
      </c>
      <c r="E2024" s="34">
        <v>2</v>
      </c>
      <c r="F2024" s="34">
        <v>19</v>
      </c>
      <c r="G2024" s="10">
        <v>362666</v>
      </c>
      <c r="H2024" s="30" t="str">
        <f ca="1">IFERROR(__xludf.DUMMYFUNCTION("LOWER(REGEXREPLACE(B2024&amp;"" ""&amp;C2024,""[^а-яa-z0-9 ]"","" ""))")," умба для 3  принтера   raft ab   размер 600мм х 550мм х 1300мм  орпус тумбы выполнен из       толщиной 16 мм  кромка       остоит из 2х частей  нижняя тумба с 3 мя выдвижными ящиками  верхняя рабочее пространство для 3  принтера ")</f>
        <v xml:space="preserve"> умба для 3  принтера   raft ab   размер 600мм х 550мм х 1300мм  орпус тумбы выполнен из       толщиной 16 мм  кромка       остоит из 2х частей  нижняя тумба с 3 мя выдвижными ящиками  верхняя рабочее пространство для 3  принтера </v>
      </c>
    </row>
    <row r="2025" spans="1:8" ht="12.75" x14ac:dyDescent="0.2">
      <c r="A2025" s="31" t="s">
        <v>4684</v>
      </c>
      <c r="B2025" s="27" t="s">
        <v>4685</v>
      </c>
      <c r="C2025" s="27"/>
      <c r="D2025" s="33" t="s">
        <v>14</v>
      </c>
      <c r="E2025" s="9"/>
      <c r="F2025" s="32"/>
      <c r="G2025" s="10"/>
      <c r="H2025" s="30" t="str">
        <f ca="1">IFERROR(__xludf.DUMMYFUNCTION("LOWER(REGEXREPLACE(B2025&amp;"" ""&amp;C2025,""[^а-яa-z0-9 ]"","" ""))")," тол для робототехники ")</f>
        <v xml:space="preserve"> тол для робототехники </v>
      </c>
    </row>
    <row r="2026" spans="1:8" ht="63.75" x14ac:dyDescent="0.2">
      <c r="A2026" s="31" t="s">
        <v>4686</v>
      </c>
      <c r="B2026" s="27" t="s">
        <v>4687</v>
      </c>
      <c r="C2026" s="27" t="s">
        <v>4688</v>
      </c>
      <c r="D2026" s="33" t="s">
        <v>14</v>
      </c>
      <c r="E2026" s="34">
        <v>2</v>
      </c>
      <c r="F2026" s="34">
        <v>95</v>
      </c>
      <c r="G2026" s="10">
        <v>576815</v>
      </c>
      <c r="H2026" s="30" t="str">
        <f ca="1">IFERROR(__xludf.DUMMYFUNCTION("LOWER(REGEXREPLACE(B2026&amp;"" ""&amp;C2026,""[^а-яa-z0-9 ]"","" ""))")," тол для полей  2430мм х1200мм  с бортиками и 4 выкатными тумбочками   raft ab   снова выполнена из       толщиной 16 мм  борты из клееного деревянного бруса  с защитным слоем из бесцветного лака   тол поле установлено к тумбе на петлях  что дает возможно"&amp;"сть изменить положение поля из горизонтального к вертикальному для большей эргономики и экономии пространства   абариты тумбы  длина 1400мм х 540мм х 840мм")</f>
        <v xml:space="preserve"> тол для полей  2430мм х1200мм  с бортиками и 4 выкатными тумбочками   raft ab   снова выполнена из       толщиной 16 мм  борты из клееного деревянного бруса  с защитным слоем из бесцветного лака   тол 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абариты тумбы  длина 1400мм х 540мм х 840мм</v>
      </c>
    </row>
    <row r="2027" spans="1:8" ht="89.25" x14ac:dyDescent="0.2">
      <c r="A2027" s="31" t="s">
        <v>4689</v>
      </c>
      <c r="B2027" s="27" t="s">
        <v>4690</v>
      </c>
      <c r="C2027" s="27" t="s">
        <v>4691</v>
      </c>
      <c r="D2027" s="33" t="s">
        <v>14</v>
      </c>
      <c r="E2027" s="34">
        <v>2</v>
      </c>
      <c r="F2027" s="34">
        <v>18</v>
      </c>
      <c r="G2027" s="10">
        <v>141903</v>
      </c>
      <c r="H2027" s="30" t="str">
        <f ca="1">IFERROR(__xludf.DUMMYFUNCTION("LOWER(REGEXREPLACE(B2027&amp;"" ""&amp;C2027,""[^а-яa-z0-9 ]"","" ""))")," тол для робототехники 1200х750х1020мм   толешница      22мм  надстройка  каркас из профильной трубы 40х40мм  тол на 2 х боковых   образных опорах  соединенных между собой траверсами  крышкой  и царгой  создающей эффект легкости и динамичности конструкции"&amp;"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надстройка размером 1198х220х270мм   аркас стола изгот"&amp;"овлен из профильной трубы 40х40мм  покрытие полимернопорошковое ")</f>
        <v xml:space="preserve"> тол для робототехники 1200х750х1020мм   толешница      22мм  надстройка  каркас из профильной трубы 40х40мм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надстройка размером 1198х220х270мм   аркас стола изготовлен из профильной трубы 40х40мм  покрытие полимернопорошковое </v>
      </c>
    </row>
    <row r="2028" spans="1:8" ht="114.75" x14ac:dyDescent="0.2">
      <c r="A2028" s="31" t="s">
        <v>4692</v>
      </c>
      <c r="B2028" s="27" t="s">
        <v>4693</v>
      </c>
      <c r="C2028" s="27" t="s">
        <v>4694</v>
      </c>
      <c r="D2028" s="33" t="s">
        <v>68</v>
      </c>
      <c r="E2028" s="34">
        <v>2</v>
      </c>
      <c r="F2028" s="34">
        <v>35</v>
      </c>
      <c r="G2028" s="10">
        <v>270431</v>
      </c>
      <c r="H2028" s="30" t="str">
        <f ca="1">IFERROR(__xludf.DUMMYFUNCTION("LOWER(REGEXREPLACE(B2028&amp;"" ""&amp;C2028,""[^а-яa-z0-9 ]"","" ""))")," тол для робототехники 1500х1500х750 850мм   толешница      22мм  бортик высотой 100мм  две мобильные тумбы  каркас из профильной трубы 40х20мм  тол на 4 х боковых   образных опорах  соединенных между собой траверсами  крышкой  создающей эффект легкости и"&amp;" динамичности конструкции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1мм    комплекте идет 2 тумбы мобильная размером 880х"&amp;"300х620мм   оп тумбы из      толщ 22мм  остальные детали из 16 толщ   адняя стенка        а столешнице  имеется бортик высотой 100мм    аркас стола изготовлен из профильной трубы 40х20мм  покрытие полимернопорошковое ")</f>
        <v xml:space="preserve"> тол для робототехники 1500х1500х750 850мм   толешница      22мм  бортик высотой 100мм  две мобильные тумбы  каркас из профильной трубы 40х20мм  тол на 4 х боковых   образных опорах  соединенных между собой траверсами  крышкой  создающей эффект легкости и динамичности конструкции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1мм    комплекте идет 2 тумбы мобильная размером 880х300х620мм   оп тумбы из      толщ 22мм  остальные детали из 16 толщ   адняя стенка        а столешнице  имеется бортик высотой 100мм    аркас стола изготовлен из профильной трубы 40х20мм  покрытие полимернопорошковое </v>
      </c>
    </row>
    <row r="2029" spans="1:8" ht="51" x14ac:dyDescent="0.2">
      <c r="A2029" s="31" t="s">
        <v>4695</v>
      </c>
      <c r="B2029" s="27" t="s">
        <v>4696</v>
      </c>
      <c r="C2029" s="27" t="s">
        <v>4697</v>
      </c>
      <c r="D2029" s="33" t="s">
        <v>14</v>
      </c>
      <c r="E2029" s="34">
        <v>2</v>
      </c>
      <c r="F2029" s="34">
        <v>81</v>
      </c>
      <c r="G2029" s="10">
        <v>124416</v>
      </c>
      <c r="H2029" s="30" t="str">
        <f ca="1">IFERROR(__xludf.DUMMYFUNCTION("LOWER(REGEXREPLACE(B2029&amp;"" ""&amp;C2029,""[^а-яa-z0-9 ]"","" ""))")," тол для робототехники 1200х1200мм  с тумбой и бортиками       16 мм  тол для робототехники 1200х1200мм  с тумбой 900х900х760мм   ортики  основание      16 мм   умба перемещается на колесиках со стопорами   нутрь тумбы на специальные направляющие можно по"&amp;"местить до 10 стандартных коробок        акже имеется полка для размещения соревновательных элементов")</f>
        <v xml:space="preserve"> тол для робототехники 1200х1200мм  с тумбой и бортиками       16 мм  тол для робототехники 1200х1200мм  с тумбой 900х900х760мм   ортики  основание      16 мм   умба перемещается на колесиках со стопорами   нутрь тумбы на специальные направляющие можно поместить до 10 стандартных коробок        акже имеется полка для размещения соревновательных элементов</v>
      </c>
    </row>
    <row r="2030" spans="1:8" ht="89.25" x14ac:dyDescent="0.2">
      <c r="A2030" s="31" t="s">
        <v>4698</v>
      </c>
      <c r="B2030" s="27" t="s">
        <v>4699</v>
      </c>
      <c r="C2030" s="27" t="s">
        <v>4700</v>
      </c>
      <c r="D2030" s="33" t="s">
        <v>14</v>
      </c>
      <c r="E2030" s="34">
        <v>2</v>
      </c>
      <c r="F2030" s="34">
        <v>3</v>
      </c>
      <c r="G2030" s="10">
        <v>264911</v>
      </c>
      <c r="H2030" s="30" t="str">
        <f ca="1">IFERROR(__xludf.DUMMYFUNCTION("LOWER(REGEXREPLACE(B2030&amp;"" ""&amp;C2030,""[^а-яa-z0-9 ]"","" ""))")," тол для робототехники 1200х1200х600мм с бортиками и тумбой мобильной  тол для занятий с роботами с бортиками 1200х1200х600мм с бортом 50мм   ерхняя часть представляет собой поле для занятий по робототехнике с бортами   ыполнена из       толщиной 16 мм  к"&amp;"ромка      борты выполнены из деревянного бруса  покрашенного в бесцветный лак   азмеры поля 1200х1200х50мм   умба выполнена из       толщиной 16мм   а тумбе присутствуют 2 дверцы   нутри установлена полка   абариты тумбы 700х700х600мм   умба установлена "&amp;"на колесах  диаметром 45мм  толщиной 30мм  с функцией блокировки ")</f>
        <v xml:space="preserve"> тол для робототехники 1200х1200х600мм с бортиками и тумбой мобильной  тол для занятий с роботами с бортиками 1200х1200х600мм с бортом 50мм   ерхняя часть представляет собой поле для занятий по робототехнике с бортами   ыполнена из       толщиной 16 мм  кромка      борты выполнены из деревянного бруса  покрашенного в бесцветный лак   азмеры поля 1200х1200х50мм   умба выполнена из       толщиной 16мм   а тумбе присутствуют 2 дверцы   нутри установлена полка   абариты тумбы 700х700х600мм   умба установлена на колесах  диаметром 45мм  толщиной 30мм  с функцией блокировки </v>
      </c>
    </row>
    <row r="2031" spans="1:8" ht="89.25" x14ac:dyDescent="0.2">
      <c r="A2031" s="31" t="s">
        <v>4701</v>
      </c>
      <c r="B2031" s="27" t="s">
        <v>4702</v>
      </c>
      <c r="C2031" s="27" t="s">
        <v>4703</v>
      </c>
      <c r="D2031" s="33" t="s">
        <v>14</v>
      </c>
      <c r="E2031" s="34">
        <v>2</v>
      </c>
      <c r="F2031" s="34">
        <v>41</v>
      </c>
      <c r="G2031" s="10">
        <v>76408</v>
      </c>
      <c r="H2031" s="30" t="str">
        <f ca="1">IFERROR(__xludf.DUMMYFUNCTION("LOWER(REGEXREPLACE(B2031&amp;"" ""&amp;C2031,""[^а-яa-z0-9 ]"","" ""))")," тол 1800х400х1100мм   толешница из      16мм с бортиком высотой 150мм  основание металлокаркас  тол  1800  400  1100мм   толешница выполнен из ж сткого      16 мм  кромка     с исполькозованием высокотемпературного клея   ортик у стола высотой 150мм     "&amp;" 16 мм  панель во всю длину и высоту стола  металлические части стола изготовлены из профилей 40x60x2мм и 50x25x1 5мм   зделия окрашены методом электростатического порошкового напыления  а торцы профилей закрыты пластиковыми заглушками для предотвращения "&amp;"повреждения пользователей ")</f>
        <v xml:space="preserve"> тол 1800х400х1100мм   толешница из      16мм с бортиком высотой 150мм  основание металлокаркас  тол  1800  400  1100мм   толешница выполнен из ж сткого      16 мм  кромка     с исполькозованием высокотемпературного клея   ортик у стола высотой 150мм      16 мм  панель во всю длину и высоту стола  металлические части стола изготовлены из профилей 40x60x2мм и 50x25x1 5мм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v>
      </c>
    </row>
    <row r="2032" spans="1:8" ht="127.5" x14ac:dyDescent="0.2">
      <c r="A2032" s="31" t="s">
        <v>4704</v>
      </c>
      <c r="B2032" s="27" t="s">
        <v>4705</v>
      </c>
      <c r="C2032" s="27" t="s">
        <v>4706</v>
      </c>
      <c r="D2032" s="33" t="s">
        <v>14</v>
      </c>
      <c r="E2032" s="34">
        <v>2</v>
      </c>
      <c r="F2032" s="34">
        <v>56</v>
      </c>
      <c r="G2032" s="10">
        <v>95489</v>
      </c>
      <c r="H2032" s="30" t="str">
        <f ca="1">IFERROR(__xludf.DUMMYFUNCTION("LOWER(REGEXREPLACE(B2032&amp;"" ""&amp;C2032,""[^а-яa-z0-9 ]"","" ""))")," тол для полей большой не регулируемый  размеры 2407х1207х800 мм  столешница из      16мм  с бортиком высотой 50мм  толешница выполнена из      16 мм  бортик высотой 50 мм закреплен к столешнице через конфирмат 6 3х50 мм  столешница установлена на металло"&amp;"каркас из прямоугольной профильной трубы 50х25 мм толщиной не менее 1 2 мм  окрашенной полимерной краской   аркас представляет собой 2 опоры 724х897 мм  скрепленных между собой рамной конструкцией  состоящей из 2х горизонтальных 2107 мм и 2х вертикальных "&amp;"674 мм труб  закрепленных на равном расстоянии   ак же имеются 2 усилителя из профильной трубы 50х25мм  толщиной не менее 1 2мм  между опорами 2095мм  в основании тубы установлена пластиковая пробка с резьбой  8  усилители крепиться к опорам 4 вина  6х40м"&amp;"м    4х винтов  8х80мм    основании конструкции установлены регулируемые опоры ")</f>
        <v xml:space="preserve"> тол для полей большой не регулируемый  размеры 2407х1207х800 мм  столешница из      16мм  с бортиком высотой 50мм  толешница выполнена из      16 мм  бортик высотой 50 мм закреплен к столешнице через конфирмат 6 3х50 мм  столешница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ак же имеются 2 усилителя из профильной трубы 50х25мм  толщиной не менее 1 2мм  между опорами 2095мм  в основании тубы установлена пластиковая пробка с резьбой  8  усилители крепиться к опорам 4 вина  6х40мм    4х винтов  8х80мм    основании конструкции установлены регулируемые опоры </v>
      </c>
    </row>
    <row r="2033" spans="1:8" ht="153" x14ac:dyDescent="0.2">
      <c r="A2033" s="31" t="s">
        <v>4707</v>
      </c>
      <c r="B2033" s="27" t="s">
        <v>4708</v>
      </c>
      <c r="C2033" s="27" t="s">
        <v>4709</v>
      </c>
      <c r="D2033" s="33" t="s">
        <v>14</v>
      </c>
      <c r="E2033" s="34">
        <v>2</v>
      </c>
      <c r="F2033" s="34">
        <v>145</v>
      </c>
      <c r="G2033" s="10">
        <v>231815</v>
      </c>
      <c r="H2033" s="30" t="str">
        <f ca="1">IFERROR(__xludf.DUMMYFUNCTION("LOWER(REGEXREPLACE(B2033&amp;"" ""&amp;C2033,""[^а-яa-z0-9 ]"","" ""))")," тол для полей с поворотной столешницей  размеры 2430х1200 мм   атериал столешницы      16 мм  кромка       о периметру столешницы бортики из       высотой 80 мм   еталлический каркас из профильной трубы  поворотные колесные опоры  ысота верхнего края сто"&amp;"лешницы над полом должна быть не менее 860 мм   толешница должна быть поворотная   о периметру столешницы должны быть бортики из       высотой 80 мм   атериал столешницы должен быть      толщиной не менее 16 мм   с кромкой     не менее 2 мм   еталлический"&amp;" каркас должен быть изготовлен из профильной трубы 40х40 мм  толщиной стенки не менее 1 2 мм   оворотный элемент изготовлены по технологии лазерной резки и гибка на листогибе из листового металла толщиной не менее 2 мм   акже на каркасе имеется две поворо"&amp;"тные опоры для удержания столешницы в горизонтальном состоянии    основаниях каркаса должны быть поворотные колесные опоры  на двух из которых имеется тормоз   еталлический каркас окрашен эпоксидно полиэфирной порошковой краской   вет по согласованию с за"&amp;"казчиком по каталогу     ")</f>
        <v xml:space="preserve"> тол для полей с поворотной столешницей  размеры 2430х1200 мм   атериал столешницы      16 мм  кромка       о периметру столешницы бортики из       высотой 80 мм   еталлический каркас из профильной трубы  поворотные колесные опоры  ысота верхнего края столешницы над полом должна быть не менее 860 мм   толешница должна быть поворотная   о периметру столешницы должны быть бортики из       высотой 80 мм   атериал столешницы должен быть      толщиной не менее 16 мм   с кромкой     не менее 2 мм   еталлический каркас должен быть изготовлен из профильной трубы 40х40 мм  толщиной стенки не менее 1 2 мм   оворотный элемент изготовлены по технологии лазерной резки и гибка на листогибе из листового металла толщиной не менее 2 мм   акже на каркасе имеется две поворотные опоры для удержания столешницы в горизонтальном состоянии    основаниях каркаса должны быть поворотные колесные опоры  на двух из которых имеется тормоз   еталлический каркас окрашен эпоксидно полиэфирной порошковой краской   вет по согласованию с заказчиком по каталогу     </v>
      </c>
    </row>
    <row r="2034" spans="1:8" ht="76.5" x14ac:dyDescent="0.2">
      <c r="A2034" s="31" t="s">
        <v>4710</v>
      </c>
      <c r="B2034" s="27" t="s">
        <v>4711</v>
      </c>
      <c r="C2034" s="27" t="s">
        <v>4712</v>
      </c>
      <c r="D2034" s="33" t="s">
        <v>1506</v>
      </c>
      <c r="E2034" s="34">
        <v>2</v>
      </c>
      <c r="F2034" s="36">
        <v>0.98</v>
      </c>
      <c r="G2034" s="10">
        <v>111425</v>
      </c>
      <c r="H2034" s="30" t="str">
        <f ca="1">IFERROR(__xludf.DUMMYFUNCTION("LOWER(REGEXREPLACE(B2034&amp;"" ""&amp;C2034,""[^а-яa-z0-9 ]"","" ""))")," абор для изучения робототехники на базе  рдуино  омплектация    ейс с крышкой   1 шт    оток со вставкой   1шт    rduino      3   1 шт   онтажная плата 830 контактов   1 шт   ветодиод 5мм с цветной линзой    спускаемый цвет   еленый   5 шт   ветодиод 5мм"&amp;" с цветной линзой    спускаемый цвет   расный   5 шт   ветодиод 5мм с цветной линзой    спускаемый цвет   елтый   5 шт   езисторы    опротивление  220  м  1 к м  10к м по   10 шт   ровода мама папа   10 шт   омплект проводов 30 шт  папа папа   1 шт ")</f>
        <v xml:space="preserve"> абор для изучения робототехники на базе  рдуино  омплектация    ейс с крышкой   1 шт    оток со вставкой   1шт    rduino      3   1 шт   онтажная плата 830 контактов   1 шт   ветодиод 5мм с цветной линзой    спускаемый цвет   еленый   5 шт   ветодиод 5мм с цветной линзой    спускаемый цвет   расный   5 шт   ветодиод 5мм с цветной линзой    спускаемый цвет   елтый   5 шт   езисторы    опротивление  220  м  1 к м  10к м по   10 шт   ровода мама папа   10 шт   омплект проводов 30 шт  папа папа   1 шт </v>
      </c>
    </row>
    <row r="2035" spans="1:8" ht="25.5" x14ac:dyDescent="0.2">
      <c r="A2035" s="31" t="s">
        <v>4713</v>
      </c>
      <c r="B2035" s="27" t="s">
        <v>4714</v>
      </c>
      <c r="C2035" s="27"/>
      <c r="D2035" s="33" t="s">
        <v>68</v>
      </c>
      <c r="E2035" s="9"/>
      <c r="F2035" s="32"/>
      <c r="G2035" s="10"/>
      <c r="H2035" s="30" t="str">
        <f ca="1">IFERROR(__xludf.DUMMYFUNCTION("LOWER(REGEXREPLACE(B2035&amp;"" ""&amp;C2035,""[^а-яa-z0-9 ]"","" ""))")," омплект тренировочных полей для занятий робототехникой ")</f>
        <v xml:space="preserve"> омплект тренировочных полей для занятий робототехникой </v>
      </c>
    </row>
    <row r="2036" spans="1:8" ht="63.75" x14ac:dyDescent="0.2">
      <c r="A2036" s="31" t="s">
        <v>4715</v>
      </c>
      <c r="B2036" s="27" t="s">
        <v>4716</v>
      </c>
      <c r="C2036" s="27" t="s">
        <v>4717</v>
      </c>
      <c r="D2036" s="33" t="s">
        <v>68</v>
      </c>
      <c r="E2036" s="34">
        <v>2</v>
      </c>
      <c r="F2036" s="35">
        <v>1.8</v>
      </c>
      <c r="G2036" s="10">
        <v>77754</v>
      </c>
      <c r="H2036" s="30" t="str">
        <f ca="1">IFERROR(__xludf.DUMMYFUNCTION("LOWER(REGEXREPLACE(B2036&amp;"" ""&amp;C2036,""[^а-яa-z0-9 ]"","" ""))")," омплект тренировочных полей для занятий робототехникой типа  нт парк  омплектация  не менее 2 полей и 1 тубус для хранения и транспортировки полей   убус изготовлен из пластика  диаметр 90мм  длина 1100мм   лина одного поля 2000мм  ширина 1000мм  на поле"&amp;" нанесены 2 черные линии   торое поле квадратной формы  длина стороны поля 1000мм  на поле нанесен рисунок   оля изготовлены из баннерной ткани и скатываются в рулон ")</f>
        <v xml:space="preserve"> омплект тренировочных полей для занятий робототехникой типа  нт парк  омплектация  не менее 2 полей и 1 тубус для хранения и транспортировки полей   убус изготовлен из пластика  диаметр 90мм  длина 1100мм   лина одного поля 2000мм  ширина 1000мм  на поле нанесены 2 черные линии   торое поле квадратной формы  длина стороны поля 1000мм  на поле нанесен рисунок   оля изготовлены из баннерной ткани и скатываются в рулон </v>
      </c>
    </row>
    <row r="2037" spans="1:8" ht="127.5" x14ac:dyDescent="0.2">
      <c r="A2037" s="31" t="s">
        <v>4718</v>
      </c>
      <c r="B2037" s="27" t="s">
        <v>4719</v>
      </c>
      <c r="C2037" s="27" t="s">
        <v>4720</v>
      </c>
      <c r="D2037" s="33" t="s">
        <v>14</v>
      </c>
      <c r="E2037" s="34">
        <v>2</v>
      </c>
      <c r="F2037" s="34">
        <v>34</v>
      </c>
      <c r="G2037" s="10">
        <v>256920</v>
      </c>
      <c r="H2037" s="30" t="str">
        <f ca="1">IFERROR(__xludf.DUMMYFUNCTION("LOWER(REGEXREPLACE(B2037&amp;"" ""&amp;C2037,""[^а-яa-z0-9 ]"","" ""))")," ашина универсальная для мойки и высушивания  пециализированные корзины и поддоны для размещения моющихся предметов  нструкция по использованию с подробными рекомендациями и советами  омплект дополнительных аксессуаров и насадок для разнообразных задач мо"&amp;"йки и высушивания  лектронная панель управления с сенсорным экраном для удобного выбора программ  абели и разъемы для подключения и питания  ощность мойки   о 1200  т  ощность высушивания   о 1000  т  рограммы мойки   еликатная  стандартная  интенсивная м"&amp;"ойка и другие опции   рограммы высушивания   еликатное  стандартное  быстрое высушивание и другие режимы   нтеллектуальный контроль   борудована сенсорами и автоматическими режимами для оптимальных результатов ")</f>
        <v xml:space="preserve"> ашина универсальная для мойки и высушивания  пециализированные корзины и поддоны для размещения моющихся предметов  нструкция по использованию с подробными рекомендациями и советами  омплект дополнительных аксессуаров и насадок для разнообразных задач мойки и высушивания  лектронная панель управления с сенсорным экраном для удобного выбора программ  абели и разъемы для подключения и питания  ощность мойки   о 1200  т  ощность высушивания   о 1000  т  рограммы мойки   еликатная  стандартная  интенсивная мойка и другие опции   рограммы высушивания   еликатное  стандартное  быстрое высушивание и другие режимы   нтеллектуальный контроль   борудована сенсорами и автоматическими режимами для оптимальных результатов </v>
      </c>
    </row>
    <row r="2038" spans="1:8" x14ac:dyDescent="0.2">
      <c r="A2038" s="7" t="s">
        <v>4721</v>
      </c>
      <c r="B2038" s="26"/>
      <c r="C2038" s="27"/>
      <c r="D2038" s="26"/>
      <c r="E2038" s="28"/>
      <c r="F2038" s="26"/>
      <c r="G2038" s="29"/>
      <c r="H2038" s="30" t="str">
        <f ca="1">IFERROR(__xludf.DUMMYFUNCTION("LOWER(REGEXREPLACE(B2038&amp;"" ""&amp;C2038,""[^а-яa-z0-9 ]"","" ""))")," ")</f>
        <v xml:space="preserve"> </v>
      </c>
    </row>
    <row r="2039" spans="1:8" ht="12.75" x14ac:dyDescent="0.2">
      <c r="A2039" s="31" t="s">
        <v>4722</v>
      </c>
      <c r="B2039" s="27" t="s">
        <v>4723</v>
      </c>
      <c r="C2039" s="27"/>
      <c r="D2039" s="32"/>
      <c r="E2039" s="9"/>
      <c r="F2039" s="32"/>
      <c r="G2039" s="10"/>
      <c r="H2039" s="30" t="str">
        <f ca="1">IFERROR(__xludf.DUMMYFUNCTION("LOWER(REGEXREPLACE(B2039&amp;"" ""&amp;C2039,""[^а-яa-z0-9 ]"","" ""))")," олифункциональное оборудование ")</f>
        <v xml:space="preserve"> олифункциональное оборудование </v>
      </c>
    </row>
    <row r="2040" spans="1:8" ht="12.75" x14ac:dyDescent="0.2">
      <c r="A2040" s="31" t="s">
        <v>4724</v>
      </c>
      <c r="B2040" s="27" t="s">
        <v>4725</v>
      </c>
      <c r="C2040" s="27"/>
      <c r="D2040" s="33" t="s">
        <v>14</v>
      </c>
      <c r="E2040" s="9"/>
      <c r="F2040" s="32"/>
      <c r="G2040" s="10"/>
      <c r="H2040" s="30" t="str">
        <f ca="1">IFERROR(__xludf.DUMMYFUNCTION("LOWER(REGEXREPLACE(B2040&amp;"" ""&amp;C2040,""[^а-яa-z0-9 ]"","" ""))")," ат напольный для создания мягкого пола ")</f>
        <v xml:space="preserve"> ат напольный для создания мягкого пола </v>
      </c>
    </row>
    <row r="2041" spans="1:8" ht="12.75" x14ac:dyDescent="0.2">
      <c r="A2041" s="31" t="s">
        <v>4726</v>
      </c>
      <c r="B2041" s="27" t="s">
        <v>4727</v>
      </c>
      <c r="C2041" s="27"/>
      <c r="D2041" s="33" t="s">
        <v>14</v>
      </c>
      <c r="E2041" s="9"/>
      <c r="F2041" s="32"/>
      <c r="G2041" s="10">
        <v>116912</v>
      </c>
      <c r="H2041" s="30" t="str">
        <f ca="1">IFERROR(__xludf.DUMMYFUNCTION("LOWER(REGEXREPLACE(B2041&amp;"" ""&amp;C2041,""[^а-яa-z0-9 ]"","" ""))")," ат напольный  размер  200х100х10 см ")</f>
        <v xml:space="preserve"> ат напольный  размер  200х100х10 см </v>
      </c>
    </row>
    <row r="2042" spans="1:8" ht="12.75" x14ac:dyDescent="0.2">
      <c r="A2042" s="31" t="s">
        <v>4728</v>
      </c>
      <c r="B2042" s="27" t="s">
        <v>4729</v>
      </c>
      <c r="C2042" s="27"/>
      <c r="D2042" s="33" t="s">
        <v>14</v>
      </c>
      <c r="E2042" s="9"/>
      <c r="F2042" s="32"/>
      <c r="G2042" s="10">
        <v>55425</v>
      </c>
      <c r="H2042" s="30" t="str">
        <f ca="1">IFERROR(__xludf.DUMMYFUNCTION("LOWER(REGEXREPLACE(B2042&amp;"" ""&amp;C2042,""[^а-яa-z0-9 ]"","" ""))")," ат напольный  размер  138х62х10 см ")</f>
        <v xml:space="preserve"> ат напольный  размер  138х62х10 см </v>
      </c>
    </row>
    <row r="2043" spans="1:8" ht="51" x14ac:dyDescent="0.2">
      <c r="A2043" s="31" t="s">
        <v>4730</v>
      </c>
      <c r="B2043" s="27" t="s">
        <v>4731</v>
      </c>
      <c r="C2043" s="27"/>
      <c r="D2043" s="33" t="s">
        <v>68</v>
      </c>
      <c r="E2043" s="9"/>
      <c r="F2043" s="32"/>
      <c r="G2043" s="10"/>
      <c r="H2043" s="30" t="str">
        <f ca="1">IFERROR(__xludf.DUMMYFUNCTION("LOWER(REGEXREPLACE(B2043&amp;"" ""&amp;C2043,""[^а-яa-z0-9 ]"","" ""))")," ухой бассейн с мягкими стенками разной конфигурации  угловые квадратные  круглые с наполнителем  цветные пластиковые шарики одного размера ")</f>
        <v xml:space="preserve"> ухой бассейн с мягкими стенками разной конфигурации  угловые квадратные  круглые с наполнителем  цветные пластиковые шарики одного размера </v>
      </c>
    </row>
    <row r="2044" spans="1:8" ht="12.75" x14ac:dyDescent="0.2">
      <c r="A2044" s="31" t="s">
        <v>4732</v>
      </c>
      <c r="B2044" s="27" t="s">
        <v>4733</v>
      </c>
      <c r="C2044" s="27"/>
      <c r="D2044" s="33" t="s">
        <v>68</v>
      </c>
      <c r="E2044" s="9"/>
      <c r="F2044" s="32"/>
      <c r="G2044" s="10">
        <v>363725</v>
      </c>
      <c r="H2044" s="30" t="str">
        <f ca="1">IFERROR(__xludf.DUMMYFUNCTION("LOWER(REGEXREPLACE(B2044&amp;"" ""&amp;C2044,""[^а-яa-z0-9 ]"","" ""))")," ухой бассейн  шаров 2000шт размер  200х200х50 ")</f>
        <v xml:space="preserve"> ухой бассейн  шаров 2000шт размер  200х200х50 </v>
      </c>
    </row>
    <row r="2045" spans="1:8" ht="63.75" x14ac:dyDescent="0.2">
      <c r="A2045" s="31" t="s">
        <v>4734</v>
      </c>
      <c r="B2045" s="27" t="s">
        <v>4735</v>
      </c>
      <c r="C2045" s="27" t="s">
        <v>4736</v>
      </c>
      <c r="D2045" s="33" t="s">
        <v>68</v>
      </c>
      <c r="E2045" s="9"/>
      <c r="F2045" s="32"/>
      <c r="G2045" s="10">
        <v>320424</v>
      </c>
      <c r="H2045" s="30" t="str">
        <f ca="1">IFERROR(__xludf.DUMMYFUNCTION("LOWER(REGEXREPLACE(B2045&amp;"" ""&amp;C2045,""[^а-яa-z0-9 ]"","" ""))")," ухой бассейн  шаров 1600шт размер  не менее 1500х1500х500мм  ухой бассейн с пластмассовыми полупрозрачными шарикам    комплекте не менее 1600 шаров  размер не менее 1500х1500х500 мм   атериалы для изготовления должны соответствовать санитарным и экологич"&amp;"еским характеристикам безопасности  не токсичные  антивандальные  с высоким процентом износоустойчивости   а также согласно цветовым решениям помещения ")</f>
        <v xml:space="preserve"> ухой бассейн  шаров 1600шт размер  не менее 1500х1500х500мм  ухой бассейн с пластмассовыми полупрозрачными шарикам    комплекте не менее 1600 шаров  размер не менее 1500х1500х500 мм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 </v>
      </c>
    </row>
    <row r="2046" spans="1:8" ht="12.75" x14ac:dyDescent="0.2">
      <c r="A2046" s="31" t="s">
        <v>4737</v>
      </c>
      <c r="B2046" s="27" t="s">
        <v>4738</v>
      </c>
      <c r="C2046" s="27"/>
      <c r="D2046" s="33" t="s">
        <v>68</v>
      </c>
      <c r="E2046" s="9"/>
      <c r="F2046" s="32"/>
      <c r="G2046" s="10"/>
      <c r="H2046" s="30" t="str">
        <f ca="1">IFERROR(__xludf.DUMMYFUNCTION("LOWER(REGEXREPLACE(B2046&amp;"" ""&amp;C2046,""[^а-яa-z0-9 ]"","" ""))")," ягкие полифункциональные конструкторы ")</f>
        <v xml:space="preserve"> ягкие полифункциональные конструкторы </v>
      </c>
    </row>
    <row r="2047" spans="1:8" ht="25.5" x14ac:dyDescent="0.2">
      <c r="A2047" s="31" t="s">
        <v>4739</v>
      </c>
      <c r="B2047" s="27" t="s">
        <v>4740</v>
      </c>
      <c r="C2047" s="27"/>
      <c r="D2047" s="33" t="s">
        <v>68</v>
      </c>
      <c r="E2047" s="9"/>
      <c r="F2047" s="32"/>
      <c r="G2047" s="10">
        <v>1138806</v>
      </c>
      <c r="H2047" s="30" t="str">
        <f ca="1">IFERROR(__xludf.DUMMYFUNCTION("LOWER(REGEXREPLACE(B2047&amp;"" ""&amp;C2047,""[^а-яa-z0-9 ]"","" ""))")," олифункциональный набор   адуга   омплектация  предметов 52  видов фигур 11 ")</f>
        <v xml:space="preserve"> олифункциональный набор   адуга   омплектация  предметов 52  видов фигур 11 </v>
      </c>
    </row>
    <row r="2048" spans="1:8" ht="25.5" x14ac:dyDescent="0.2">
      <c r="A2048" s="31" t="s">
        <v>4741</v>
      </c>
      <c r="B2048" s="27" t="s">
        <v>4742</v>
      </c>
      <c r="C2048" s="27"/>
      <c r="D2048" s="33" t="s">
        <v>68</v>
      </c>
      <c r="E2048" s="9"/>
      <c r="F2048" s="32"/>
      <c r="G2048" s="10">
        <v>805391</v>
      </c>
      <c r="H2048" s="30" t="str">
        <f ca="1">IFERROR(__xludf.DUMMYFUNCTION("LOWER(REGEXREPLACE(B2048&amp;"" ""&amp;C2048,""[^а-яa-z0-9 ]"","" ""))")," олифункциональный набор   адуга   омплектация  предметов 36  видов фигур 11 ")</f>
        <v xml:space="preserve"> олифункциональный набор   адуга   омплектация  предметов 36  видов фигур 11 </v>
      </c>
    </row>
    <row r="2049" spans="1:8" ht="38.25" x14ac:dyDescent="0.2">
      <c r="A2049" s="31" t="s">
        <v>4743</v>
      </c>
      <c r="B2049" s="8" t="s">
        <v>4744</v>
      </c>
      <c r="C2049" s="27"/>
      <c r="D2049" s="33" t="s">
        <v>68</v>
      </c>
      <c r="E2049" s="9"/>
      <c r="F2049" s="32"/>
      <c r="G2049" s="10">
        <v>502287</v>
      </c>
      <c r="H2049" s="30" t="str">
        <f ca="1">IFERROR(__xludf.DUMMYFUNCTION("LOWER(REGEXREPLACE(B2049&amp;"" ""&amp;C2049,""[^а-яa-z0-9 ]"","" ""))")," олифункциональный набор   адуга     203   омплектация  предметов 22  видов фигур 10 ")</f>
        <v xml:space="preserve"> олифункциональный набор   адуга     203   омплектация  предметов 22  видов фигур 10 </v>
      </c>
    </row>
    <row r="2050" spans="1:8" ht="25.5" x14ac:dyDescent="0.2">
      <c r="A2050" s="31" t="s">
        <v>4745</v>
      </c>
      <c r="B2050" s="27" t="s">
        <v>4746</v>
      </c>
      <c r="C2050" s="27"/>
      <c r="D2050" s="33" t="s">
        <v>68</v>
      </c>
      <c r="E2050" s="9"/>
      <c r="F2050" s="32"/>
      <c r="G2050" s="10">
        <v>424346</v>
      </c>
      <c r="H2050" s="30" t="str">
        <f ca="1">IFERROR(__xludf.DUMMYFUNCTION("LOWER(REGEXREPLACE(B2050&amp;"" ""&amp;C2050,""[^а-яa-z0-9 ]"","" ""))")," олифункциональный набор   адуга   омплектация  предметов 18  видов фигур 7 ")</f>
        <v xml:space="preserve"> олифункциональный набор   адуга   омплектация  предметов 18  видов фигур 7 </v>
      </c>
    </row>
    <row r="2051" spans="1:8" ht="25.5" x14ac:dyDescent="0.2">
      <c r="A2051" s="31" t="s">
        <v>4747</v>
      </c>
      <c r="B2051" s="27" t="s">
        <v>4748</v>
      </c>
      <c r="C2051" s="27"/>
      <c r="D2051" s="33" t="s">
        <v>68</v>
      </c>
      <c r="E2051" s="9"/>
      <c r="F2051" s="32"/>
      <c r="G2051" s="10">
        <v>216503</v>
      </c>
      <c r="H2051" s="30" t="str">
        <f ca="1">IFERROR(__xludf.DUMMYFUNCTION("LOWER(REGEXREPLACE(B2051&amp;"" ""&amp;C2051,""[^а-яa-z0-9 ]"","" ""))")," олифункциональный набор   адуга   омплектация  предметов 12  видов фигур 6 ")</f>
        <v xml:space="preserve"> олифункциональный набор   адуга   омплектация  предметов 12  видов фигур 6 </v>
      </c>
    </row>
    <row r="2052" spans="1:8" ht="25.5" x14ac:dyDescent="0.2">
      <c r="A2052" s="31" t="s">
        <v>4749</v>
      </c>
      <c r="B2052" s="27" t="s">
        <v>4750</v>
      </c>
      <c r="C2052" s="27"/>
      <c r="D2052" s="33" t="s">
        <v>68</v>
      </c>
      <c r="E2052" s="9"/>
      <c r="F2052" s="32"/>
      <c r="G2052" s="10">
        <v>348137</v>
      </c>
      <c r="H2052" s="30" t="str">
        <f ca="1">IFERROR(__xludf.DUMMYFUNCTION("LOWER(REGEXREPLACE(B2052&amp;"" ""&amp;C2052,""[^а-яa-z0-9 ]"","" ""))")," онструктор   астер    омплектация  предметов 24  видов фигур 8 ")</f>
        <v xml:space="preserve"> онструктор   астер    омплектация  предметов 24  видов фигур 8 </v>
      </c>
    </row>
    <row r="2053" spans="1:8" ht="25.5" x14ac:dyDescent="0.2">
      <c r="A2053" s="31" t="s">
        <v>4751</v>
      </c>
      <c r="B2053" s="27" t="s">
        <v>4752</v>
      </c>
      <c r="C2053" s="27"/>
      <c r="D2053" s="33" t="s">
        <v>68</v>
      </c>
      <c r="E2053" s="9"/>
      <c r="F2053" s="32"/>
      <c r="G2053" s="10">
        <v>688480</v>
      </c>
      <c r="H2053" s="30" t="str">
        <f ca="1">IFERROR(__xludf.DUMMYFUNCTION("LOWER(REGEXREPLACE(B2053&amp;"" ""&amp;C2053,""[^а-яa-z0-9 ]"","" ""))")," онструктор   антазия    омплектация  предметов 13  видов фигур 6 ")</f>
        <v xml:space="preserve"> онструктор   антазия    омплектация  предметов 13  видов фигур 6 </v>
      </c>
    </row>
    <row r="2054" spans="1:8" ht="25.5" x14ac:dyDescent="0.2">
      <c r="A2054" s="31" t="s">
        <v>4753</v>
      </c>
      <c r="B2054" s="27" t="s">
        <v>4754</v>
      </c>
      <c r="C2054" s="27"/>
      <c r="D2054" s="33" t="s">
        <v>68</v>
      </c>
      <c r="E2054" s="9"/>
      <c r="F2054" s="32"/>
      <c r="G2054" s="10">
        <v>247679</v>
      </c>
      <c r="H2054" s="30" t="str">
        <f ca="1">IFERROR(__xludf.DUMMYFUNCTION("LOWER(REGEXREPLACE(B2054&amp;"" ""&amp;C2054,""[^а-яa-z0-9 ]"","" ""))")," олифункциональный набор   номик   омплектация  предметов 28  видов фигур 7 ")</f>
        <v xml:space="preserve"> олифункциональный набор   номик   омплектация  предметов 28  видов фигур 7 </v>
      </c>
    </row>
    <row r="2055" spans="1:8" ht="25.5" x14ac:dyDescent="0.2">
      <c r="A2055" s="31" t="s">
        <v>4755</v>
      </c>
      <c r="B2055" s="27" t="s">
        <v>4756</v>
      </c>
      <c r="C2055" s="27"/>
      <c r="D2055" s="33" t="s">
        <v>68</v>
      </c>
      <c r="E2055" s="9"/>
      <c r="F2055" s="32"/>
      <c r="G2055" s="10">
        <v>190523</v>
      </c>
      <c r="H2055" s="30" t="str">
        <f ca="1">IFERROR(__xludf.DUMMYFUNCTION("LOWER(REGEXREPLACE(B2055&amp;"" ""&amp;C2055,""[^а-яa-z0-9 ]"","" ""))")," онструктор   стровок        омплектация  предметов 9  видов фигур 4 ")</f>
        <v xml:space="preserve"> онструктор   стровок        омплектация  предметов 9  видов фигур 4 </v>
      </c>
    </row>
    <row r="2056" spans="1:8" ht="25.5" x14ac:dyDescent="0.2">
      <c r="A2056" s="31" t="s">
        <v>4757</v>
      </c>
      <c r="B2056" s="27" t="s">
        <v>4758</v>
      </c>
      <c r="C2056" s="27"/>
      <c r="D2056" s="33" t="s">
        <v>68</v>
      </c>
      <c r="E2056" s="9"/>
      <c r="F2056" s="32"/>
      <c r="G2056" s="10">
        <v>147222</v>
      </c>
      <c r="H2056" s="30" t="str">
        <f ca="1">IFERROR(__xludf.DUMMYFUNCTION("LOWER(REGEXREPLACE(B2056&amp;"" ""&amp;C2056,""[^а-яa-z0-9 ]"","" ""))")," онструктор   орка     омплектация  предметов 3  видов фигур 3 ")</f>
        <v xml:space="preserve"> онструктор   орка     омплектация  предметов 3  видов фигур 3 </v>
      </c>
    </row>
    <row r="2057" spans="1:8" ht="38.25" x14ac:dyDescent="0.2">
      <c r="A2057" s="31" t="s">
        <v>4759</v>
      </c>
      <c r="B2057" s="27" t="s">
        <v>4760</v>
      </c>
      <c r="C2057" s="27"/>
      <c r="D2057" s="33" t="s">
        <v>68</v>
      </c>
      <c r="E2057" s="9"/>
      <c r="F2057" s="32"/>
      <c r="G2057" s="10">
        <v>207843</v>
      </c>
      <c r="H2057" s="30" t="str">
        <f ca="1">IFERROR(__xludf.DUMMYFUNCTION("LOWER(REGEXREPLACE(B2057&amp;"" ""&amp;C2057,""[^а-яa-z0-9 ]"","" ""))")," онструктор   литка     омплектация  6 треугольников  скрепленных шарнирно   азмер  303х40х44 см ")</f>
        <v xml:space="preserve"> онструктор   литка     омплектация  6 треугольников  скрепленных шарнирно   азмер  303х40х44 см </v>
      </c>
    </row>
    <row r="2058" spans="1:8" ht="25.5" x14ac:dyDescent="0.2">
      <c r="A2058" s="31" t="s">
        <v>4761</v>
      </c>
      <c r="B2058" s="27" t="s">
        <v>4762</v>
      </c>
      <c r="C2058" s="27"/>
      <c r="D2058" s="33" t="s">
        <v>68</v>
      </c>
      <c r="E2058" s="9"/>
      <c r="F2058" s="32"/>
      <c r="G2058" s="10">
        <v>129902</v>
      </c>
      <c r="H2058" s="30" t="str">
        <f ca="1">IFERROR(__xludf.DUMMYFUNCTION("LOWER(REGEXREPLACE(B2058&amp;"" ""&amp;C2058,""[^а-яa-z0-9 ]"","" ""))")," онструктор   азлы   2      омплектация  предметов 2  видов фигур 2 ")</f>
        <v xml:space="preserve"> онструктор   азлы   2      омплектация  предметов 2  видов фигур 2 </v>
      </c>
    </row>
    <row r="2059" spans="1:8" ht="12.75" x14ac:dyDescent="0.2">
      <c r="A2059" s="31" t="s">
        <v>4763</v>
      </c>
      <c r="B2059" s="27" t="s">
        <v>4764</v>
      </c>
      <c r="C2059" s="27"/>
      <c r="D2059" s="32"/>
      <c r="E2059" s="9"/>
      <c r="F2059" s="32"/>
      <c r="G2059" s="10"/>
      <c r="H2059" s="30" t="str">
        <f ca="1">IFERROR(__xludf.DUMMYFUNCTION("LOWER(REGEXREPLACE(B2059&amp;"" ""&amp;C2059,""[^а-яa-z0-9 ]"","" ""))")," нтерактивные модули и панно ")</f>
        <v xml:space="preserve"> нтерактивные модули и панно </v>
      </c>
    </row>
    <row r="2060" spans="1:8" ht="38.25" x14ac:dyDescent="0.2">
      <c r="A2060" s="31" t="s">
        <v>4765</v>
      </c>
      <c r="B2060" s="27" t="s">
        <v>4766</v>
      </c>
      <c r="C2060" s="27"/>
      <c r="D2060" s="33" t="s">
        <v>14</v>
      </c>
      <c r="E2060" s="9"/>
      <c r="F2060" s="32"/>
      <c r="G2060" s="10"/>
      <c r="H2060" s="30" t="str">
        <f ca="1">IFERROR(__xludf.DUMMYFUNCTION("LOWER(REGEXREPLACE(B2060&amp;"" ""&amp;C2060,""[^а-яa-z0-9 ]"","" ""))")," нтерактивная звуковая панель для звукового воздействия  развития логики  игровой терапии и различать голоса животных ")</f>
        <v xml:space="preserve"> нтерактивная звуковая панель для звукового воздействия  развития логики  игровой терапии и различать голоса животных </v>
      </c>
    </row>
    <row r="2061" spans="1:8" ht="25.5" x14ac:dyDescent="0.2">
      <c r="A2061" s="31" t="s">
        <v>4767</v>
      </c>
      <c r="B2061" s="27" t="s">
        <v>4768</v>
      </c>
      <c r="C2061" s="27"/>
      <c r="D2061" s="33" t="s">
        <v>14</v>
      </c>
      <c r="E2061" s="9"/>
      <c r="F2061" s="32"/>
      <c r="G2061" s="10">
        <v>440800</v>
      </c>
      <c r="H2061" s="30" t="str">
        <f ca="1">IFERROR(__xludf.DUMMYFUNCTION("LOWER(REGEXREPLACE(B2061&amp;"" ""&amp;C2061,""[^а-яa-z0-9 ]"","" ""))")," нтерактивная звуковая панель   жунгли  размер   100  100 ")</f>
        <v xml:space="preserve"> нтерактивная звуковая панель   жунгли  размер   100  100 </v>
      </c>
    </row>
    <row r="2062" spans="1:8" ht="25.5" x14ac:dyDescent="0.2">
      <c r="A2062" s="31" t="s">
        <v>4769</v>
      </c>
      <c r="B2062" s="27" t="s">
        <v>4770</v>
      </c>
      <c r="C2062" s="27"/>
      <c r="D2062" s="33" t="s">
        <v>14</v>
      </c>
      <c r="E2062" s="9"/>
      <c r="F2062" s="32"/>
      <c r="G2062" s="10">
        <v>440800</v>
      </c>
      <c r="H2062" s="30" t="str">
        <f ca="1">IFERROR(__xludf.DUMMYFUNCTION("LOWER(REGEXREPLACE(B2062&amp;"" ""&amp;C2062,""[^а-яa-z0-9 ]"","" ""))")," нтерактивная звуковая панель   омашние животные   размер   100  100 ")</f>
        <v xml:space="preserve"> нтерактивная звуковая панель   омашние животные   размер   100  100 </v>
      </c>
    </row>
    <row r="2063" spans="1:8" ht="25.5" x14ac:dyDescent="0.2">
      <c r="A2063" s="31" t="s">
        <v>4771</v>
      </c>
      <c r="B2063" s="27" t="s">
        <v>4772</v>
      </c>
      <c r="C2063" s="27"/>
      <c r="D2063" s="33" t="s">
        <v>14</v>
      </c>
      <c r="E2063" s="9"/>
      <c r="F2063" s="32"/>
      <c r="G2063" s="10">
        <v>465049</v>
      </c>
      <c r="H2063" s="30" t="str">
        <f ca="1">IFERROR(__xludf.DUMMYFUNCTION("LOWER(REGEXREPLACE(B2063&amp;"" ""&amp;C2063,""[^а-яa-z0-9 ]"","" ""))")," нтерактивная звуковая панель   гадай звук   размер   45  48 ")</f>
        <v xml:space="preserve"> нтерактивная звуковая панель   гадай звук   размер   45  48 </v>
      </c>
    </row>
    <row r="2064" spans="1:8" ht="25.5" x14ac:dyDescent="0.2">
      <c r="A2064" s="31" t="s">
        <v>4773</v>
      </c>
      <c r="B2064" s="27" t="s">
        <v>4774</v>
      </c>
      <c r="C2064" s="27"/>
      <c r="D2064" s="33" t="s">
        <v>14</v>
      </c>
      <c r="E2064" s="9"/>
      <c r="F2064" s="32"/>
      <c r="G2064" s="10">
        <v>465915</v>
      </c>
      <c r="H2064" s="30" t="str">
        <f ca="1">IFERROR(__xludf.DUMMYFUNCTION("LOWER(REGEXREPLACE(B2064&amp;"" ""&amp;C2064,""[^а-яa-z0-9 ]"","" ""))")," нтерактивная звуковая панель   гадай звук  сравни животное   размер   40  80  13 ")</f>
        <v xml:space="preserve"> нтерактивная звуковая панель   гадай звук  сравни животное   размер   40  80  13 </v>
      </c>
    </row>
    <row r="2065" spans="1:8" ht="12.75" x14ac:dyDescent="0.2">
      <c r="A2065" s="31" t="s">
        <v>4775</v>
      </c>
      <c r="B2065" s="27" t="s">
        <v>4776</v>
      </c>
      <c r="C2065" s="27"/>
      <c r="D2065" s="33" t="s">
        <v>14</v>
      </c>
      <c r="E2065" s="9"/>
      <c r="F2065" s="32"/>
      <c r="G2065" s="10"/>
      <c r="H2065" s="30" t="str">
        <f ca="1">IFERROR(__xludf.DUMMYFUNCTION("LOWER(REGEXREPLACE(B2065&amp;"" ""&amp;C2065,""[^а-яa-z0-9 ]"","" ""))")," кустическая настенная тактильная панель ")</f>
        <v xml:space="preserve"> кустическая настенная тактильная панель </v>
      </c>
    </row>
    <row r="2066" spans="1:8" ht="12.75" x14ac:dyDescent="0.2">
      <c r="A2066" s="31" t="s">
        <v>4777</v>
      </c>
      <c r="B2066" s="27" t="s">
        <v>4776</v>
      </c>
      <c r="C2066" s="27"/>
      <c r="D2066" s="33" t="s">
        <v>14</v>
      </c>
      <c r="E2066" s="9"/>
      <c r="F2066" s="32"/>
      <c r="G2066" s="10">
        <v>322157</v>
      </c>
      <c r="H2066" s="30" t="str">
        <f ca="1">IFERROR(__xludf.DUMMYFUNCTION("LOWER(REGEXREPLACE(B2066&amp;"" ""&amp;C2066,""[^а-яa-z0-9 ]"","" ""))")," кустическая настенная тактильная панель ")</f>
        <v xml:space="preserve"> кустическая настенная тактильная панель </v>
      </c>
    </row>
    <row r="2067" spans="1:8" ht="12.75" x14ac:dyDescent="0.2">
      <c r="A2067" s="31" t="s">
        <v>4778</v>
      </c>
      <c r="B2067" s="27" t="s">
        <v>4779</v>
      </c>
      <c r="C2067" s="27"/>
      <c r="D2067" s="32"/>
      <c r="E2067" s="9"/>
      <c r="F2067" s="32"/>
      <c r="G2067" s="10"/>
      <c r="H2067" s="30" t="str">
        <f ca="1">IFERROR(__xludf.DUMMYFUNCTION("LOWER(REGEXREPLACE(B2067&amp;"" ""&amp;C2067,""[^а-яa-z0-9 ]"","" ""))")," идактические и обучающие игры и пособия ")</f>
        <v xml:space="preserve"> идактические и обучающие игры и пособия </v>
      </c>
    </row>
    <row r="2068" spans="1:8" ht="25.5" x14ac:dyDescent="0.2">
      <c r="A2068" s="31" t="s">
        <v>4780</v>
      </c>
      <c r="B2068" s="27" t="s">
        <v>4781</v>
      </c>
      <c r="C2068" s="27"/>
      <c r="D2068" s="33" t="s">
        <v>68</v>
      </c>
      <c r="E2068" s="9"/>
      <c r="F2068" s="32"/>
      <c r="G2068" s="10">
        <v>255474</v>
      </c>
      <c r="H2068" s="30" t="str">
        <f ca="1">IFERROR(__xludf.DUMMYFUNCTION("LOWER(REGEXREPLACE(B2068&amp;"" ""&amp;C2068,""[^а-яa-z0-9 ]"","" ""))")," истемный дидактический материал для формирования математических знаний ")</f>
        <v xml:space="preserve"> истемный дидактический материал для формирования математических знаний </v>
      </c>
    </row>
    <row r="2069" spans="1:8" ht="25.5" x14ac:dyDescent="0.2">
      <c r="A2069" s="31" t="s">
        <v>4782</v>
      </c>
      <c r="B2069" s="27" t="s">
        <v>4783</v>
      </c>
      <c r="C2069" s="27"/>
      <c r="D2069" s="33" t="s">
        <v>68</v>
      </c>
      <c r="E2069" s="9"/>
      <c r="F2069" s="32"/>
      <c r="G2069" s="10"/>
      <c r="H2069" s="30" t="str">
        <f ca="1">IFERROR(__xludf.DUMMYFUNCTION("LOWER(REGEXREPLACE(B2069&amp;"" ""&amp;C2069,""[^а-яa-z0-9 ]"","" ""))")," ультимедийный интерактивный обучающий программно методический комплекс ")</f>
        <v xml:space="preserve"> ультимедийный интерактивный обучающий программно методический комплекс </v>
      </c>
    </row>
    <row r="2070" spans="1:8" ht="38.25" x14ac:dyDescent="0.2">
      <c r="A2070" s="31" t="s">
        <v>4784</v>
      </c>
      <c r="B2070" s="27" t="s">
        <v>4785</v>
      </c>
      <c r="C2070" s="27"/>
      <c r="D2070" s="33" t="s">
        <v>68</v>
      </c>
      <c r="E2070" s="9"/>
      <c r="F2070" s="32"/>
      <c r="G2070" s="10">
        <v>3204245</v>
      </c>
      <c r="H2070" s="30" t="str">
        <f ca="1">IFERROR(__xludf.DUMMYFUNCTION("LOWER(REGEXREPLACE(B2070&amp;"" ""&amp;C2070,""[^а-яa-z0-9 ]"","" ""))")," ультимедийный интерактивный обучающий программно методический комплекс  du uest   зраиль   с персональным компьютером ")</f>
        <v xml:space="preserve"> ультимедийный интерактивный обучающий программно методический комплекс  du uest   зраиль   с персональным компьютером </v>
      </c>
    </row>
    <row r="2071" spans="1:8" x14ac:dyDescent="0.2">
      <c r="A2071" s="12" t="s">
        <v>4786</v>
      </c>
      <c r="B2071" s="8"/>
      <c r="C2071" s="27"/>
      <c r="D2071" s="8"/>
      <c r="E2071" s="9"/>
      <c r="F2071" s="8"/>
      <c r="G2071" s="10"/>
      <c r="H2071" s="30" t="str">
        <f ca="1">IFERROR(__xludf.DUMMYFUNCTION("LOWER(REGEXREPLACE(B2071&amp;"" ""&amp;C2071,""[^а-яa-z0-9 ]"","" ""))")," ")</f>
        <v xml:space="preserve"> </v>
      </c>
    </row>
    <row r="2072" spans="1:8" ht="12.75" x14ac:dyDescent="0.2">
      <c r="A2072" s="31" t="s">
        <v>4787</v>
      </c>
      <c r="B2072" s="27" t="s">
        <v>4788</v>
      </c>
      <c r="C2072" s="27"/>
      <c r="D2072" s="32"/>
      <c r="E2072" s="9"/>
      <c r="F2072" s="32"/>
      <c r="G2072" s="10"/>
      <c r="H2072" s="30" t="str">
        <f ca="1">IFERROR(__xludf.DUMMYFUNCTION("LOWER(REGEXREPLACE(B2072&amp;"" ""&amp;C2072,""[^а-яa-z0-9 ]"","" ""))")," ал лечебной физкультуры ")</f>
        <v xml:space="preserve"> ал лечебной физкультуры </v>
      </c>
    </row>
    <row r="2073" spans="1:8" ht="12.75" x14ac:dyDescent="0.2">
      <c r="A2073" s="31" t="s">
        <v>4789</v>
      </c>
      <c r="B2073" s="27" t="s">
        <v>4790</v>
      </c>
      <c r="C2073" s="27"/>
      <c r="D2073" s="33" t="s">
        <v>14</v>
      </c>
      <c r="E2073" s="9"/>
      <c r="F2073" s="32"/>
      <c r="G2073" s="10"/>
      <c r="H2073" s="30" t="str">
        <f ca="1">IFERROR(__xludf.DUMMYFUNCTION("LOWER(REGEXREPLACE(B2073&amp;"" ""&amp;C2073,""[^а-яa-z0-9 ]"","" ""))")," есы медицинские ")</f>
        <v xml:space="preserve"> есы медицинские </v>
      </c>
    </row>
    <row r="2074" spans="1:8" ht="127.5" x14ac:dyDescent="0.2">
      <c r="A2074" s="31" t="s">
        <v>4791</v>
      </c>
      <c r="B2074" s="27" t="s">
        <v>4792</v>
      </c>
      <c r="C2074" s="27" t="s">
        <v>4793</v>
      </c>
      <c r="D2074" s="33" t="s">
        <v>14</v>
      </c>
      <c r="E2074" s="34">
        <v>2</v>
      </c>
      <c r="F2074" s="35">
        <v>2.2999999999999998</v>
      </c>
      <c r="G2074" s="10">
        <v>247025</v>
      </c>
      <c r="H2074" s="30" t="str">
        <f ca="1">IFERROR(__xludf.DUMMYFUNCTION("LOWER(REGEXREPLACE(B2074&amp;"" ""&amp;C2074,""[^а-яa-z0-9 ]"","" ""))")," есы электронные  eca 354   ифровые детские  предельная нагрузка  20 кг 44 фунта   диницы измерения  кг  фунты  есы для новорожденных   увствительность  10 г   10 кг   20 г  0 5 унции   22 фунта   1 унция   оток  съемный  подходит для детей от 0 до 1 года"&amp;"   сточник питания  батарейки   ункции тарирования  тарирование        автоматическое удержание  переключение между кг фунтами  автоматическое отключение   арактеристики     ункция забора грудного молока     обильность и надежность для транспортировки    "&amp;" етские и напольные весы в одном устройстве     азмеры    x   x     552 x 156 x 332 мм   21 7 x 6 1 x 13 1 дюйма    азмеры поддон    x   x     525 x 80 x 250 мм   20 7 x 3 1 x 9 8 дюйма    азмеры платформа    x   x     280 x 65 x 235 мм   11 x 2 6 x 9 3 д"&amp;"юйма    ес  2 3 кг   5 фунтов    итание  батарейки    омплектующие блоки    ключает 4 батарейки типа   ")</f>
        <v xml:space="preserve"> есы электронные  eca 354   ифровые детские  предельная нагрузка  20 кг 44 фунта   диницы измерения  кг  фунты  есы для новорожденных   увствительность  10 г   10 кг   20 г  0 5 унции   22 фунта   1 унция   оток  съемный  подходит для детей от 0 до 1 года   сточник питания  батарейки   ункции тарирования  тарирование        автоматическое удержание  переключение между кг фунтами  автоматическое отключение   арактеристики     ункция забора грудного молока     обильность и надежность для транспортировки     етские и напольные весы в одном устройстве     азмеры    x   x     552 x 156 x 332 мм   21 7 x 6 1 x 13 1 дюйма    азмеры поддон    x   x     525 x 80 x 250 мм   20 7 x 3 1 x 9 8 дюйма    азмеры платформа    x   x     280 x 65 x 235 мм   11 x 2 6 x 9 3 дюйма    ес  2 3 кг   5 фунтов    итание  батарейки    омплектующие блоки    ключает 4 батарейки типа   </v>
      </c>
    </row>
    <row r="2075" spans="1:8" ht="76.5" x14ac:dyDescent="0.2">
      <c r="A2075" s="31" t="s">
        <v>4794</v>
      </c>
      <c r="B2075" s="8" t="s">
        <v>4795</v>
      </c>
      <c r="C2075" s="27" t="s">
        <v>4796</v>
      </c>
      <c r="D2075" s="33" t="s">
        <v>14</v>
      </c>
      <c r="E2075" s="34">
        <v>2</v>
      </c>
      <c r="F2075" s="35">
        <v>6.2</v>
      </c>
      <c r="G2075" s="10">
        <v>732284</v>
      </c>
      <c r="H2075" s="30" t="str">
        <f ca="1">IFERROR(__xludf.DUMMYFUNCTION("LOWER(REGEXREPLACE(B2075&amp;"" ""&amp;C2075,""[^а-яa-z0-9 ]"","" ""))")," есы электронные  с ростомером   ип  взрослые  детские  с функцией измерения роста   очность первой калибровки    0 15      100 г   агрузка  200 кг   диницы измерения  кг фунты и см дюймы  латформа  с противоскользящим покрытием   ункции и свойства  тара "&amp;" удержание  автоматическое отключение  переключение единиц измерения  фунты кг  переключение единиц измерения  фунты кг ст  блокировка переключения единиц измерения  фунты кг        ена деления  100 г   итание  батарейки   оличество и тип батареек  6 x   ")</f>
        <v xml:space="preserve"> есы электронные  с ростомером   ип  взрослые  детские  с функцией измерения роста   очность первой калибровки    0 15      100 г   агрузка  200 кг   диницы измерения  кг фунты и см дюймы  латформа  с противоскользящим покрытием   ункции и свойства  тара  удержание  автоматическое отключение  переключение единиц измерения  фунты кг  переключение единиц измерения  фунты кг ст  блокировка переключения единиц измерения  фунты кг        ена деления  100 г   итание  батарейки   оличество и тип батареек  6 x   </v>
      </c>
    </row>
    <row r="2076" spans="1:8" ht="12.75" x14ac:dyDescent="0.2">
      <c r="A2076" s="31" t="s">
        <v>4797</v>
      </c>
      <c r="B2076" s="27" t="s">
        <v>4798</v>
      </c>
      <c r="C2076" s="27"/>
      <c r="D2076" s="33" t="s">
        <v>14</v>
      </c>
      <c r="E2076" s="9"/>
      <c r="F2076" s="32"/>
      <c r="G2076" s="10"/>
      <c r="H2076" s="30" t="str">
        <f ca="1">IFERROR(__xludf.DUMMYFUNCTION("LOWER(REGEXREPLACE(B2076&amp;"" ""&amp;C2076,""[^а-яa-z0-9 ]"","" ""))")," ента измерительная ")</f>
        <v xml:space="preserve"> ента измерительная </v>
      </c>
    </row>
    <row r="2077" spans="1:8" ht="25.5" x14ac:dyDescent="0.2">
      <c r="A2077" s="31" t="s">
        <v>4799</v>
      </c>
      <c r="B2077" s="27" t="s">
        <v>4800</v>
      </c>
      <c r="C2077" s="27" t="s">
        <v>4801</v>
      </c>
      <c r="D2077" s="33" t="s">
        <v>14</v>
      </c>
      <c r="E2077" s="9"/>
      <c r="F2077" s="35">
        <v>0.2</v>
      </c>
      <c r="G2077" s="10">
        <v>1528</v>
      </c>
      <c r="H2077" s="30" t="str">
        <f ca="1">IFERROR(__xludf.DUMMYFUNCTION("LOWER(REGEXREPLACE(B2077&amp;"" ""&amp;C2077,""[^а-яa-z0-9 ]"","" ""))")," ента измерительная  длина 1000 мм      с армированным нейлоном  делан из     с армированным нейлоном   лина ленты 1000мм  шкала с ценой деления 100мм ")</f>
        <v xml:space="preserve"> ента измерительная  длина 1000 мм      с армированным нейлоном  делан из     с армированным нейлоном   лина ленты 1000мм  шкала с ценой деления 100мм </v>
      </c>
    </row>
    <row r="2078" spans="1:8" ht="25.5" x14ac:dyDescent="0.2">
      <c r="A2078" s="31" t="s">
        <v>4802</v>
      </c>
      <c r="B2078" s="27" t="s">
        <v>4803</v>
      </c>
      <c r="C2078" s="27" t="s">
        <v>4804</v>
      </c>
      <c r="D2078" s="33" t="s">
        <v>14</v>
      </c>
      <c r="E2078" s="9"/>
      <c r="F2078" s="37">
        <v>5.0000000000000001E-3</v>
      </c>
      <c r="G2078" s="10">
        <v>530</v>
      </c>
      <c r="H2078" s="30" t="str">
        <f ca="1">IFERROR(__xludf.DUMMYFUNCTION("LOWER(REGEXREPLACE(B2078&amp;"" ""&amp;C2078,""[^а-яa-z0-9 ]"","" ""))")," ента измерительная  длина 1500 мм  гибкая с нанесенными делениями  ента измерительная двухсторонняя сантиметровая  гибкая с нанесенными делениями ")</f>
        <v xml:space="preserve"> ента измерительная  длина 1500 мм  гибкая с нанесенными делениями  ента измерительная двухсторонняя сантиметровая  гибкая с нанесенными делениями </v>
      </c>
    </row>
    <row r="2079" spans="1:8" ht="12.75" x14ac:dyDescent="0.2">
      <c r="A2079" s="31" t="s">
        <v>4805</v>
      </c>
      <c r="B2079" s="27" t="s">
        <v>4806</v>
      </c>
      <c r="C2079" s="27"/>
      <c r="D2079" s="33" t="s">
        <v>14</v>
      </c>
      <c r="E2079" s="9"/>
      <c r="F2079" s="32"/>
      <c r="G2079" s="10">
        <v>52604</v>
      </c>
      <c r="H2079" s="30" t="str">
        <f ca="1">IFERROR(__xludf.DUMMYFUNCTION("LOWER(REGEXREPLACE(B2079&amp;"" ""&amp;C2079,""[^а-яa-z0-9 ]"","" ""))")," ведская стенка ")</f>
        <v xml:space="preserve"> ведская стенка </v>
      </c>
    </row>
    <row r="2080" spans="1:8" ht="63.75" x14ac:dyDescent="0.2">
      <c r="A2080" s="31" t="s">
        <v>4807</v>
      </c>
      <c r="B2080" s="27" t="s">
        <v>4808</v>
      </c>
      <c r="C2080" s="27" t="s">
        <v>4809</v>
      </c>
      <c r="D2080" s="33" t="s">
        <v>14</v>
      </c>
      <c r="E2080" s="9"/>
      <c r="F2080" s="32"/>
      <c r="G2080" s="10">
        <v>58454</v>
      </c>
      <c r="H2080" s="30" t="str">
        <f ca="1">IFERROR(__xludf.DUMMYFUNCTION("LOWER(REGEXREPLACE(B2080&amp;"" ""&amp;C2080,""[^а-яa-z0-9 ]"","" ""))")," уннель каркасный  уннель каркасный   онструкция выполнена в виде складывающейся трубы   уннель можно установить как в небольшой комнате  так и на свежем воздухе   го легко передвигать по помещению и удобно брать с собой   конструкция компактно складывает"&amp;"ся   азмеры  1800 х 460 х 460 мм ")</f>
        <v xml:space="preserve"> уннель каркасный  уннель каркасный   онструкция выполнена в виде складывающейся трубы   уннель можно установить как в небольшой комнате  так и на свежем воздухе   го легко передвигать по помещению и удобно брать с собой   конструкция компактно складывается   азмеры  1800 х 460 х 460 мм </v>
      </c>
    </row>
    <row r="2081" spans="1:8" ht="12.75" x14ac:dyDescent="0.2">
      <c r="A2081" s="31" t="s">
        <v>4810</v>
      </c>
      <c r="B2081" s="27" t="s">
        <v>4811</v>
      </c>
      <c r="C2081" s="27"/>
      <c r="D2081" s="33" t="s">
        <v>14</v>
      </c>
      <c r="E2081" s="9"/>
      <c r="F2081" s="32"/>
      <c r="G2081" s="10"/>
      <c r="H2081" s="30" t="str">
        <f ca="1">IFERROR(__xludf.DUMMYFUNCTION("LOWER(REGEXREPLACE(B2081&amp;"" ""&amp;C2081,""[^а-яa-z0-9 ]"","" ""))")," атут ")</f>
        <v xml:space="preserve"> атут </v>
      </c>
    </row>
    <row r="2082" spans="1:8" ht="25.5" x14ac:dyDescent="0.2">
      <c r="A2082" s="31" t="s">
        <v>4812</v>
      </c>
      <c r="B2082" s="27" t="s">
        <v>4813</v>
      </c>
      <c r="C2082" s="27"/>
      <c r="D2082" s="33" t="s">
        <v>14</v>
      </c>
      <c r="E2082" s="9"/>
      <c r="F2082" s="32"/>
      <c r="G2082" s="10">
        <v>264134</v>
      </c>
      <c r="H2082" s="30" t="str">
        <f ca="1">IFERROR(__xludf.DUMMYFUNCTION("LOWER(REGEXREPLACE(B2082&amp;"" ""&amp;C2082,""[^а-яa-z0-9 ]"","" ""))")," етский каркасный пружинный батут   рыжок    азмер  120х120х29 см ")</f>
        <v xml:space="preserve"> етский каркасный пружинный батут   рыжок    азмер  120х120х29 см </v>
      </c>
    </row>
    <row r="2083" spans="1:8" ht="12.75" x14ac:dyDescent="0.2">
      <c r="A2083" s="31" t="s">
        <v>4814</v>
      </c>
      <c r="B2083" s="27" t="s">
        <v>4815</v>
      </c>
      <c r="C2083" s="27"/>
      <c r="D2083" s="32"/>
      <c r="E2083" s="9"/>
      <c r="F2083" s="32"/>
      <c r="G2083" s="10"/>
      <c r="H2083" s="30" t="str">
        <f ca="1">IFERROR(__xludf.DUMMYFUNCTION("LOWER(REGEXREPLACE(B2083&amp;"" ""&amp;C2083,""[^а-яa-z0-9 ]"","" ""))")," абинет логопеда ")</f>
        <v xml:space="preserve"> абинет логопеда </v>
      </c>
    </row>
    <row r="2084" spans="1:8" ht="12.75" x14ac:dyDescent="0.2">
      <c r="A2084" s="31" t="s">
        <v>4816</v>
      </c>
      <c r="B2084" s="27" t="s">
        <v>4817</v>
      </c>
      <c r="C2084" s="27"/>
      <c r="D2084" s="33" t="s">
        <v>68</v>
      </c>
      <c r="E2084" s="9"/>
      <c r="F2084" s="32"/>
      <c r="G2084" s="10"/>
      <c r="H2084" s="30" t="str">
        <f ca="1">IFERROR(__xludf.DUMMYFUNCTION("LOWER(REGEXREPLACE(B2084&amp;"" ""&amp;C2084,""[^а-яa-z0-9 ]"","" ""))")," огопедический зонд постановочный ")</f>
        <v xml:space="preserve"> огопедический зонд постановочный </v>
      </c>
    </row>
    <row r="2085" spans="1:8" ht="25.5" x14ac:dyDescent="0.2">
      <c r="A2085" s="31" t="s">
        <v>4818</v>
      </c>
      <c r="B2085" s="27" t="s">
        <v>4819</v>
      </c>
      <c r="C2085" s="27"/>
      <c r="D2085" s="33" t="s">
        <v>68</v>
      </c>
      <c r="E2085" s="9"/>
      <c r="F2085" s="32"/>
      <c r="G2085" s="10">
        <v>32042</v>
      </c>
      <c r="H2085" s="30" t="str">
        <f ca="1">IFERROR(__xludf.DUMMYFUNCTION("LOWER(REGEXREPLACE(B2085&amp;"" ""&amp;C2085,""[^а-яa-z0-9 ]"","" ""))")," онды постановочные  комплект из 7 штук  по методике      ау  ")</f>
        <v xml:space="preserve"> онды постановочные  комплект из 7 штук  по методике      ау  </v>
      </c>
    </row>
    <row r="2086" spans="1:8" ht="12.75" x14ac:dyDescent="0.2">
      <c r="A2086" s="31" t="s">
        <v>4820</v>
      </c>
      <c r="B2086" s="27" t="s">
        <v>4821</v>
      </c>
      <c r="C2086" s="27"/>
      <c r="D2086" s="33" t="s">
        <v>68</v>
      </c>
      <c r="E2086" s="9"/>
      <c r="F2086" s="32"/>
      <c r="G2086" s="10"/>
      <c r="H2086" s="30" t="str">
        <f ca="1">IFERROR(__xludf.DUMMYFUNCTION("LOWER(REGEXREPLACE(B2086&amp;"" ""&amp;C2086,""[^а-яa-z0-9 ]"","" ""))")," огопедический зонд массажный ")</f>
        <v xml:space="preserve"> огопедический зонд массажный </v>
      </c>
    </row>
    <row r="2087" spans="1:8" ht="12.75" x14ac:dyDescent="0.2">
      <c r="A2087" s="31" t="s">
        <v>4822</v>
      </c>
      <c r="B2087" s="27" t="s">
        <v>4823</v>
      </c>
      <c r="C2087" s="27"/>
      <c r="D2087" s="33" t="s">
        <v>68</v>
      </c>
      <c r="E2087" s="9"/>
      <c r="F2087" s="32"/>
      <c r="G2087" s="10">
        <v>38971</v>
      </c>
      <c r="H2087" s="30" t="str">
        <f ca="1">IFERROR(__xludf.DUMMYFUNCTION("LOWER(REGEXREPLACE(B2087&amp;"" ""&amp;C2087,""[^а-яa-z0-9 ]"","" ""))")," онды массажные  комплект из 12 штук ")</f>
        <v xml:space="preserve"> онды массажные  комплект из 12 штук </v>
      </c>
    </row>
    <row r="2088" spans="1:8" ht="12.75" x14ac:dyDescent="0.2">
      <c r="A2088" s="31" t="s">
        <v>4824</v>
      </c>
      <c r="B2088" s="27" t="s">
        <v>4825</v>
      </c>
      <c r="C2088" s="27"/>
      <c r="D2088" s="33" t="s">
        <v>68</v>
      </c>
      <c r="E2088" s="9"/>
      <c r="F2088" s="32"/>
      <c r="G2088" s="10">
        <v>20784</v>
      </c>
      <c r="H2088" s="30" t="str">
        <f ca="1">IFERROR(__xludf.DUMMYFUNCTION("LOWER(REGEXREPLACE(B2088&amp;"" ""&amp;C2088,""[^а-яa-z0-9 ]"","" ""))")," онды массажные  комплект из 8 штук ")</f>
        <v xml:space="preserve"> онды массажные  комплект из 8 штук </v>
      </c>
    </row>
    <row r="2089" spans="1:8" ht="12.75" x14ac:dyDescent="0.2">
      <c r="A2089" s="31" t="s">
        <v>4826</v>
      </c>
      <c r="B2089" s="27" t="s">
        <v>4827</v>
      </c>
      <c r="C2089" s="27"/>
      <c r="D2089" s="33" t="s">
        <v>68</v>
      </c>
      <c r="E2089" s="9"/>
      <c r="F2089" s="32"/>
      <c r="G2089" s="10">
        <v>17320</v>
      </c>
      <c r="H2089" s="30" t="str">
        <f ca="1">IFERROR(__xludf.DUMMYFUNCTION("LOWER(REGEXREPLACE(B2089&amp;"" ""&amp;C2089,""[^а-яa-z0-9 ]"","" ""))")," онды массажные  комплект из 4 штук ")</f>
        <v xml:space="preserve"> онды массажные  комплект из 4 штук </v>
      </c>
    </row>
    <row r="2090" spans="1:8" ht="12.75" x14ac:dyDescent="0.2">
      <c r="A2090" s="31" t="s">
        <v>4828</v>
      </c>
      <c r="B2090" s="27" t="s">
        <v>4829</v>
      </c>
      <c r="C2090" s="27"/>
      <c r="D2090" s="32"/>
      <c r="E2090" s="9"/>
      <c r="F2090" s="32"/>
      <c r="G2090" s="10"/>
      <c r="H2090" s="30" t="str">
        <f ca="1">IFERROR(__xludf.DUMMYFUNCTION("LOWER(REGEXREPLACE(B2090&amp;"" ""&amp;C2090,""[^а-яa-z0-9 ]"","" ""))")," абинет психолога ")</f>
        <v xml:space="preserve"> абинет психолога </v>
      </c>
    </row>
    <row r="2091" spans="1:8" ht="12.75" x14ac:dyDescent="0.2">
      <c r="A2091" s="31" t="s">
        <v>4830</v>
      </c>
      <c r="B2091" s="27" t="s">
        <v>4831</v>
      </c>
      <c r="C2091" s="27"/>
      <c r="D2091" s="33" t="s">
        <v>14</v>
      </c>
      <c r="E2091" s="9"/>
      <c r="F2091" s="32"/>
      <c r="G2091" s="10"/>
      <c r="H2091" s="30" t="str">
        <f ca="1">IFERROR(__xludf.DUMMYFUNCTION("LOWER(REGEXREPLACE(B2091&amp;"" ""&amp;C2091,""[^а-яa-z0-9 ]"","" ""))")," иван ")</f>
        <v xml:space="preserve"> иван </v>
      </c>
    </row>
    <row r="2092" spans="1:8" ht="63.75" x14ac:dyDescent="0.2">
      <c r="A2092" s="31" t="s">
        <v>4832</v>
      </c>
      <c r="B2092" s="8" t="s">
        <v>4833</v>
      </c>
      <c r="C2092" s="27"/>
      <c r="D2092" s="33" t="s">
        <v>14</v>
      </c>
      <c r="E2092" s="9"/>
      <c r="F2092" s="32"/>
      <c r="G2092" s="10">
        <v>125277</v>
      </c>
      <c r="H2092" s="30" t="str">
        <f ca="1">IFERROR(__xludf.DUMMYFUNCTION("LOWER(REGEXREPLACE(B2092&amp;"" ""&amp;C2092,""[^а-яa-z0-9 ]"","" ""))")," иван  модель  раво  3    лина  1820 мм  ширина  830 мм  высота  730 мм  посадочных мест  3  материал  обивка   эко кожа  наполнитель  поролон  синтепон  синтепух ")</f>
        <v xml:space="preserve"> иван  модель  раво  3    лина  1820 мм  ширина  830 мм  высота  730 мм  посадочных мест  3  материал  обивка   эко кожа  наполнитель  поролон  синтепон  синтепух </v>
      </c>
    </row>
    <row r="2093" spans="1:8" ht="38.25" x14ac:dyDescent="0.2">
      <c r="A2093" s="31" t="s">
        <v>4834</v>
      </c>
      <c r="B2093" s="27" t="s">
        <v>4835</v>
      </c>
      <c r="C2093" s="27"/>
      <c r="D2093" s="33" t="s">
        <v>14</v>
      </c>
      <c r="E2093" s="9"/>
      <c r="F2093" s="32"/>
      <c r="G2093" s="10">
        <v>122460</v>
      </c>
      <c r="H2093" s="30" t="str">
        <f ca="1">IFERROR(__xludf.DUMMYFUNCTION("LOWER(REGEXREPLACE(B2093&amp;"" ""&amp;C2093,""[^а-яa-z0-9 ]"","" ""))")," иван  модель   лья    лина  1920 мм  ширина  840 мм  высота  720 мм  посадочных мест  3  наполнитель  поролон  синтепон  синтепух ")</f>
        <v xml:space="preserve"> иван  модель   лья    лина  1920 мм  ширина  840 мм  высота  720 мм  посадочных мест  3  наполнитель  поролон  синтепон  синтепух </v>
      </c>
    </row>
    <row r="2094" spans="1:8" ht="51" x14ac:dyDescent="0.2">
      <c r="A2094" s="31" t="s">
        <v>4836</v>
      </c>
      <c r="B2094" s="8" t="s">
        <v>4837</v>
      </c>
      <c r="C2094" s="27"/>
      <c r="D2094" s="33" t="s">
        <v>14</v>
      </c>
      <c r="E2094" s="9"/>
      <c r="F2094" s="32"/>
      <c r="G2094" s="10">
        <v>142020</v>
      </c>
      <c r="H2094" s="30" t="str">
        <f ca="1">IFERROR(__xludf.DUMMYFUNCTION("LOWER(REGEXREPLACE(B2094&amp;"" ""&amp;C2094,""[^а-яa-z0-9 ]"","" ""))")," иван  модель  улагер  2    лина  1590 мм  ширина  900 мм  высота до сидения  650 мм  посадочных мест  2  материал  обивка   эко кожа  наполнитель  поролон  синтепон ")</f>
        <v xml:space="preserve"> иван  модель  улагер  2    лина  1590 мм  ширина  900 мм  высота до сидения  650 мм  посадочных мест  2  материал  обивка   эко кожа  наполнитель  поролон  синтепон </v>
      </c>
    </row>
    <row r="2095" spans="1:8" ht="51" x14ac:dyDescent="0.2">
      <c r="A2095" s="31" t="s">
        <v>4838</v>
      </c>
      <c r="B2095" s="8" t="s">
        <v>4839</v>
      </c>
      <c r="C2095" s="27"/>
      <c r="D2095" s="33" t="s">
        <v>14</v>
      </c>
      <c r="E2095" s="9"/>
      <c r="F2095" s="32"/>
      <c r="G2095" s="10">
        <v>158773</v>
      </c>
      <c r="H2095" s="30" t="str">
        <f ca="1">IFERROR(__xludf.DUMMYFUNCTION("LOWER(REGEXREPLACE(B2095&amp;"" ""&amp;C2095,""[^а-яa-z0-9 ]"","" ""))")," иван  модель  улагер  3    лина  1970 мм  ширина  900 мм  высота до сидения  650 мм  посадочных мест  3  материал  обивка   эко кожа  наполнитель  поролон  синтепон ")</f>
        <v xml:space="preserve"> иван  модель  улагер  3    лина  1970 мм  ширина  900 мм  высота до сидения  650 мм  посадочных мест  3  материал  обивка   эко кожа  наполнитель  поролон  синтепон </v>
      </c>
    </row>
    <row r="2096" spans="1:8" ht="63.75" x14ac:dyDescent="0.2">
      <c r="A2096" s="31" t="s">
        <v>4840</v>
      </c>
      <c r="B2096" s="27" t="s">
        <v>4841</v>
      </c>
      <c r="C2096" s="27"/>
      <c r="D2096" s="33" t="s">
        <v>14</v>
      </c>
      <c r="E2096" s="9"/>
      <c r="F2096" s="32"/>
      <c r="G2096" s="10">
        <v>164286</v>
      </c>
      <c r="H2096" s="30" t="str">
        <f ca="1">IFERROR(__xludf.DUMMYFUNCTION("LOWER(REGEXREPLACE(B2096&amp;"" ""&amp;C2096,""[^а-яa-z0-9 ]"","" ""))")," иван  модель  улагер  3    2 подушки   лина  1970 мм  ширина  900 мм  высота до сидения  650 мм  посадочных мест  3  материал  обивка   гобелен  ножки   металл  наполнитель  поролон  синтепон ")</f>
        <v xml:space="preserve"> иван  модель  улагер  3    2 подушки   лина  1970 мм  ширина  900 мм  высота до сидения  650 мм  посадочных мест  3  материал  обивка   гобелен  ножки   металл  наполнитель  поролон  синтепон </v>
      </c>
    </row>
    <row r="2097" spans="1:8" ht="51" x14ac:dyDescent="0.2">
      <c r="A2097" s="31" t="s">
        <v>4842</v>
      </c>
      <c r="B2097" s="27" t="s">
        <v>4843</v>
      </c>
      <c r="C2097" s="27"/>
      <c r="D2097" s="33" t="s">
        <v>14</v>
      </c>
      <c r="E2097" s="9"/>
      <c r="F2097" s="32"/>
      <c r="G2097" s="10">
        <v>160630</v>
      </c>
      <c r="H2097" s="30" t="str">
        <f ca="1">IFERROR(__xludf.DUMMYFUNCTION("LOWER(REGEXREPLACE(B2097&amp;"" ""&amp;C2097,""[^а-яa-z0-9 ]"","" ""))")," иван  модель  иверпуль  2    лина  1500 мм  ширина  940 мм  высота  890 мм  посадочных мест  2  материал  обивка   гобелен уплотненный  наполнитель  поролон  синтепон ")</f>
        <v xml:space="preserve"> иван  модель  иверпуль  2    лина  1500 мм  ширина  940 мм  высота  890 мм  посадочных мест  2  материал  обивка   гобелен уплотненный  наполнитель  поролон  синтепон </v>
      </c>
    </row>
    <row r="2098" spans="1:8" ht="51" x14ac:dyDescent="0.2">
      <c r="A2098" s="31" t="s">
        <v>4844</v>
      </c>
      <c r="B2098" s="27" t="s">
        <v>4845</v>
      </c>
      <c r="C2098" s="27"/>
      <c r="D2098" s="33" t="s">
        <v>14</v>
      </c>
      <c r="E2098" s="9"/>
      <c r="F2098" s="32"/>
      <c r="G2098" s="10">
        <v>184839</v>
      </c>
      <c r="H2098" s="30" t="str">
        <f ca="1">IFERROR(__xludf.DUMMYFUNCTION("LOWER(REGEXREPLACE(B2098&amp;"" ""&amp;C2098,""[^а-яa-z0-9 ]"","" ""))")," иван  модель  иверпуль  3    лина  2030 мм  ширина  940 мм  высота  890 мм  посадочных мест  3  наполнитель  поролон  синтепон  синтепух ")</f>
        <v xml:space="preserve"> иван  модель  иверпуль  3    лина  2030 мм  ширина  940 мм  высота  890 мм  посадочных мест  3  наполнитель  поролон  синтепон  синтепух </v>
      </c>
    </row>
    <row r="2099" spans="1:8" ht="63.75" x14ac:dyDescent="0.2">
      <c r="A2099" s="31" t="s">
        <v>4846</v>
      </c>
      <c r="B2099" s="8" t="s">
        <v>4847</v>
      </c>
      <c r="C2099" s="27"/>
      <c r="D2099" s="33" t="s">
        <v>14</v>
      </c>
      <c r="E2099" s="9"/>
      <c r="F2099" s="32"/>
      <c r="G2099" s="10">
        <v>99915</v>
      </c>
      <c r="H2099" s="30" t="str">
        <f ca="1">IFERROR(__xludf.DUMMYFUNCTION("LOWER(REGEXREPLACE(B2099&amp;"" ""&amp;C2099,""[^а-яa-z0-9 ]"","" ""))")," иван  модель   айс 2    лина  1330 мм  ширина  750 мм  высота  700 мм  посадочных мест  2  материал  обивка   эко кожа  наполнитель  поролон  синтепон  синтепух ")</f>
        <v xml:space="preserve"> иван  модель   айс 2    лина  1330 мм  ширина  750 мм  высота  700 мм  посадочных мест  2  материал  обивка   эко кожа  наполнитель  поролон  синтепон  синтепух </v>
      </c>
    </row>
    <row r="2100" spans="1:8" ht="63.75" x14ac:dyDescent="0.2">
      <c r="A2100" s="31" t="s">
        <v>4848</v>
      </c>
      <c r="B2100" s="8" t="s">
        <v>4849</v>
      </c>
      <c r="C2100" s="27"/>
      <c r="D2100" s="33" t="s">
        <v>14</v>
      </c>
      <c r="E2100" s="9"/>
      <c r="F2100" s="32"/>
      <c r="G2100" s="10">
        <v>128679</v>
      </c>
      <c r="H2100" s="30" t="str">
        <f ca="1">IFERROR(__xludf.DUMMYFUNCTION("LOWER(REGEXREPLACE(B2100&amp;"" ""&amp;C2100,""[^а-яa-z0-9 ]"","" ""))"),"  иван  модель  ллегро   2     лина  1760 мм  ширина  760 мм  высота  640 мм  посадочных мест  2  материал  обивка   эко кожа  наполнитель  поролон  синтепон  синтепух  ")</f>
        <v xml:space="preserve">  иван  модель  ллегро   2     лина  1760 мм  ширина  760 мм  высота  640 мм  посадочных мест  2  материал  обивка   эко кожа  наполнитель  поролон  синтепон  синтепух  </v>
      </c>
    </row>
    <row r="2101" spans="1:8" ht="63.75" x14ac:dyDescent="0.2">
      <c r="A2101" s="31" t="s">
        <v>4850</v>
      </c>
      <c r="B2101" s="8" t="s">
        <v>4851</v>
      </c>
      <c r="C2101" s="27"/>
      <c r="D2101" s="33" t="s">
        <v>14</v>
      </c>
      <c r="E2101" s="9"/>
      <c r="F2101" s="32"/>
      <c r="G2101" s="10">
        <v>103143</v>
      </c>
      <c r="H2101" s="30" t="str">
        <f ca="1">IFERROR(__xludf.DUMMYFUNCTION("LOWER(REGEXREPLACE(B2101&amp;"" ""&amp;C2101,""[^а-яa-z0-9 ]"","" ""))")," иван  модель  раво  2    лина  1350 мм  ширина  830 мм  высота  730 мм  посадочных мест  2  материал  обивка   эко кожа  наполнитель  поролон  синтепон  синтепух ")</f>
        <v xml:space="preserve"> иван  модель  раво  2    лина  1350 мм  ширина  830 мм  высота  730 мм  посадочных мест  2  материал  обивка   эко кожа  наполнитель  поролон  синтепон  синтепух </v>
      </c>
    </row>
    <row r="2102" spans="1:8" ht="63.75" x14ac:dyDescent="0.2">
      <c r="A2102" s="31" t="s">
        <v>4852</v>
      </c>
      <c r="B2102" s="27" t="s">
        <v>4853</v>
      </c>
      <c r="C2102" s="27"/>
      <c r="D2102" s="33" t="s">
        <v>14</v>
      </c>
      <c r="E2102" s="9"/>
      <c r="F2102" s="32"/>
      <c r="G2102" s="10">
        <v>108147</v>
      </c>
      <c r="H2102" s="30" t="str">
        <f ca="1">IFERROR(__xludf.DUMMYFUNCTION("LOWER(REGEXREPLACE(B2102&amp;"" ""&amp;C2102,""[^а-яa-z0-9 ]"","" ""))")," иван  модель  руно  2   2 подушки    лина  1780 мм  ширина  870 мм  высота  590 мм  посадочных мест  2  материал  ножки   металл  обивка   гобелен  наполнитель  поролон  синтепон  синтепух ")</f>
        <v xml:space="preserve"> иван  модель  руно  2   2 подушки    лина  1780 мм  ширина  870 мм  высота  590 мм  посадочных мест  2  материал  ножки   металл  обивка   гобелен  наполнитель  поролон  синтепон  синтепух </v>
      </c>
    </row>
    <row r="2103" spans="1:8" ht="51" x14ac:dyDescent="0.2">
      <c r="A2103" s="31" t="s">
        <v>4854</v>
      </c>
      <c r="B2103" s="27" t="s">
        <v>4855</v>
      </c>
      <c r="C2103" s="27"/>
      <c r="D2103" s="33" t="s">
        <v>14</v>
      </c>
      <c r="E2103" s="9"/>
      <c r="F2103" s="32"/>
      <c r="G2103" s="10">
        <v>131634</v>
      </c>
      <c r="H2103" s="30" t="str">
        <f ca="1">IFERROR(__xludf.DUMMYFUNCTION("LOWER(REGEXREPLACE(B2103&amp;"" ""&amp;C2103,""[^а-яa-z0-9 ]"","" ""))")," иван  модель  руно  3    лина  2250 мм  ширина  870 мм  высота  590 мм  посадочных мест  3  материал  обивка   гобелен кзам     наполнитель  поролон  синтепон  синтепух ")</f>
        <v xml:space="preserve"> иван  модель  руно  3    лина  2250 мм  ширина  870 мм  высота  590 мм  посадочных мест  3  материал  обивка   гобелен кзам     наполнитель  поролон  синтепон  синтепух </v>
      </c>
    </row>
    <row r="2104" spans="1:8" ht="63.75" x14ac:dyDescent="0.2">
      <c r="A2104" s="31" t="s">
        <v>4856</v>
      </c>
      <c r="B2104" s="27" t="s">
        <v>4857</v>
      </c>
      <c r="C2104" s="27"/>
      <c r="D2104" s="33" t="s">
        <v>14</v>
      </c>
      <c r="E2104" s="9"/>
      <c r="F2104" s="32"/>
      <c r="G2104" s="10">
        <v>131098</v>
      </c>
      <c r="H2104" s="30" t="str">
        <f ca="1">IFERROR(__xludf.DUMMYFUNCTION("LOWER(REGEXREPLACE(B2104&amp;"" ""&amp;C2104,""[^а-яa-z0-9 ]"","" ""))")," иван  модель  ерсаль  2    лина  1680 мм  ширина  850 мм  высота  750 мм  посадочных мест  2  материалы  обивка   комбинация материалов  кожа   эко кожа  наполнитель  поролон  синтепон  синтепух ")</f>
        <v xml:space="preserve"> иван  модель  ерсаль  2    лина  1680 мм  ширина  850 мм  высота  750 мм  посадочных мест  2  материалы  обивка   комбинация материалов  кожа   эко кожа  наполнитель  поролон  синтепон  синтепух </v>
      </c>
    </row>
    <row r="2105" spans="1:8" ht="51" x14ac:dyDescent="0.2">
      <c r="A2105" s="31" t="s">
        <v>4858</v>
      </c>
      <c r="B2105" s="27" t="s">
        <v>4859</v>
      </c>
      <c r="C2105" s="27"/>
      <c r="D2105" s="33" t="s">
        <v>14</v>
      </c>
      <c r="E2105" s="9"/>
      <c r="F2105" s="32"/>
      <c r="G2105" s="10">
        <v>164763</v>
      </c>
      <c r="H2105" s="30" t="str">
        <f ca="1">IFERROR(__xludf.DUMMYFUNCTION("LOWER(REGEXREPLACE(B2105&amp;"" ""&amp;C2105,""[^а-яa-z0-9 ]"","" ""))")," иван  модель  ерсаль  3    лина  2110 мм  ширина  840 мм  высота  750 мм  посадочных мест  3  наполнитель  поролон  синтепон  синтепух ")</f>
        <v xml:space="preserve"> иван  модель  ерсаль  3    лина  2110 мм  ширина  840 мм  высота  750 мм  посадочных мест  3  наполнитель  поролон  синтепон  синтепух </v>
      </c>
    </row>
    <row r="2106" spans="1:8" ht="51" x14ac:dyDescent="0.2">
      <c r="A2106" s="31" t="s">
        <v>4860</v>
      </c>
      <c r="B2106" s="27" t="s">
        <v>4861</v>
      </c>
      <c r="C2106" s="27"/>
      <c r="D2106" s="33" t="s">
        <v>14</v>
      </c>
      <c r="E2106" s="9"/>
      <c r="F2106" s="32"/>
      <c r="G2106" s="10">
        <v>168612</v>
      </c>
      <c r="H2106" s="30" t="str">
        <f ca="1">IFERROR(__xludf.DUMMYFUNCTION("LOWER(REGEXREPLACE(B2106&amp;"" ""&amp;C2106,""[^а-яa-z0-9 ]"","" ""))")," иван  модель  иктория  3    лина  2300 мм  ширина  960 мм  высота  640 мм  посадочных мест  3  материал  обивка   эко кожа  наполнитель  поролон  синтепон ")</f>
        <v xml:space="preserve"> иван  модель  иктория  3    лина  2300 мм  ширина  960 мм  высота  640 мм  посадочных мест  3  материал  обивка   эко кожа  наполнитель  поролон  синтепон </v>
      </c>
    </row>
    <row r="2107" spans="1:8" ht="63.75" x14ac:dyDescent="0.2">
      <c r="A2107" s="31" t="s">
        <v>4862</v>
      </c>
      <c r="B2107" s="8" t="s">
        <v>4863</v>
      </c>
      <c r="C2107" s="27"/>
      <c r="D2107" s="33" t="s">
        <v>14</v>
      </c>
      <c r="E2107" s="9"/>
      <c r="F2107" s="32"/>
      <c r="G2107" s="10">
        <v>134339</v>
      </c>
      <c r="H2107" s="30" t="str">
        <f ca="1">IFERROR(__xludf.DUMMYFUNCTION("LOWER(REGEXREPLACE(B2107&amp;"" ""&amp;C2107,""[^а-яa-z0-9 ]"","" ""))")," иван  модель  амильтон  3    лина  2140 мм  ширина  770 мм  высота  600 мм  посадочных мест  3  материал  обивка   эко кожа  наполнитель  поролон  синтепон  синтепух ")</f>
        <v xml:space="preserve"> иван  модель  амильтон  3    лина  2140 мм  ширина  770 мм  высота  600 мм  посадочных мест  3  материал  обивка   эко кожа  наполнитель  поролон  синтепон  синтепух </v>
      </c>
    </row>
    <row r="2108" spans="1:8" ht="51" x14ac:dyDescent="0.2">
      <c r="A2108" s="31" t="s">
        <v>4864</v>
      </c>
      <c r="B2108" s="27" t="s">
        <v>4865</v>
      </c>
      <c r="C2108" s="27"/>
      <c r="D2108" s="33" t="s">
        <v>14</v>
      </c>
      <c r="E2108" s="9"/>
      <c r="F2108" s="32"/>
      <c r="G2108" s="10">
        <v>133348</v>
      </c>
      <c r="H2108" s="30" t="str">
        <f ca="1">IFERROR(__xludf.DUMMYFUNCTION("LOWER(REGEXREPLACE(B2108&amp;"" ""&amp;C2108,""[^а-яa-z0-9 ]"","" ""))")," иван  модель   еральд 2    лина  1970 мм  ширина  800 мм  высота  700 мм  посадочных мест  2  материал  обивка   гобелен эко кожа  наполнитель  поролон  синтепон  синтепух ")</f>
        <v xml:space="preserve"> иван  модель   еральд 2    лина  1970 мм  ширина  800 мм  высота  700 мм  посадочных мест  2  материал  обивка   гобелен эко кожа  наполнитель  поролон  синтепон  синтепух </v>
      </c>
    </row>
    <row r="2109" spans="1:8" ht="38.25" x14ac:dyDescent="0.2">
      <c r="A2109" s="31" t="s">
        <v>4866</v>
      </c>
      <c r="B2109" s="27" t="s">
        <v>4867</v>
      </c>
      <c r="C2109" s="27"/>
      <c r="D2109" s="33" t="s">
        <v>14</v>
      </c>
      <c r="E2109" s="9"/>
      <c r="F2109" s="32"/>
      <c r="G2109" s="10">
        <v>133531</v>
      </c>
      <c r="H2109" s="30" t="str">
        <f ca="1">IFERROR(__xludf.DUMMYFUNCTION("LOWER(REGEXREPLACE(B2109&amp;"" ""&amp;C2109,""[^а-яa-z0-9 ]"","" ""))")," иван  модель   рион 3    лина  2050 мм  ширина  850 мм  высота  650 мм  посадочных мест  3  наполнитель  поролон  синтепон ")</f>
        <v xml:space="preserve"> иван  модель   рион 3    лина  2050 мм  ширина  850 мм  высота  650 мм  посадочных мест  3  наполнитель  поролон  синтепон </v>
      </c>
    </row>
    <row r="2110" spans="1:8" ht="38.25" x14ac:dyDescent="0.2">
      <c r="A2110" s="31" t="s">
        <v>4868</v>
      </c>
      <c r="B2110" s="27" t="s">
        <v>4869</v>
      </c>
      <c r="C2110" s="27"/>
      <c r="D2110" s="33" t="s">
        <v>14</v>
      </c>
      <c r="E2110" s="9"/>
      <c r="F2110" s="32"/>
      <c r="G2110" s="10">
        <v>123228</v>
      </c>
      <c r="H2110" s="30" t="str">
        <f ca="1">IFERROR(__xludf.DUMMYFUNCTION("LOWER(REGEXREPLACE(B2110&amp;"" ""&amp;C2110,""[^а-яa-z0-9 ]"","" ""))")," иван  модель   офи    лина  2070 мм  ширина  780 мм  высота  640 мм  посадочных мест  3  наполнитель  поролон  синтепон ")</f>
        <v xml:space="preserve"> иван  модель   офи    лина  2070 мм  ширина  780 мм  высота  640 мм  посадочных мест  3  наполнитель  поролон  синтепон </v>
      </c>
    </row>
    <row r="2111" spans="1:8" ht="51" x14ac:dyDescent="0.2">
      <c r="A2111" s="31" t="s">
        <v>4870</v>
      </c>
      <c r="B2111" s="27" t="s">
        <v>4871</v>
      </c>
      <c r="C2111" s="27"/>
      <c r="D2111" s="33" t="s">
        <v>14</v>
      </c>
      <c r="E2111" s="9"/>
      <c r="F2111" s="32"/>
      <c r="G2111" s="10">
        <v>100540</v>
      </c>
      <c r="H2111" s="30" t="str">
        <f ca="1">IFERROR(__xludf.DUMMYFUNCTION("LOWER(REGEXREPLACE(B2111&amp;"" ""&amp;C2111,""[^а-яa-z0-9 ]"","" ""))")," иван  модель   лья 2    лина  1460 мм  ширина  860 мм  высота  720 мм  посадочных мест  2  материал  обивка   гобелен  наполнитель  поролон  синтепон  синтепух ")</f>
        <v xml:space="preserve"> иван  модель   лья 2    лина  1460 мм  ширина  860 мм  высота  720 мм  посадочных мест  2  материал  обивка   гобелен  наполнитель  поролон  синтепон  синтепух </v>
      </c>
    </row>
    <row r="2112" spans="1:8" ht="38.25" x14ac:dyDescent="0.2">
      <c r="A2112" s="31" t="s">
        <v>4872</v>
      </c>
      <c r="B2112" s="8" t="s">
        <v>4873</v>
      </c>
      <c r="C2112" s="27"/>
      <c r="D2112" s="33" t="s">
        <v>14</v>
      </c>
      <c r="E2112" s="9"/>
      <c r="F2112" s="32"/>
      <c r="G2112" s="10">
        <v>222040</v>
      </c>
      <c r="H2112" s="30" t="str">
        <f ca="1">IFERROR(__xludf.DUMMYFUNCTION("LOWER(REGEXREPLACE(B2112&amp;"" ""&amp;C2112,""[^а-яa-z0-9 ]"","" ""))")," иван  модель   ксфорд 3    лина  2200 мм  ширина  850 мм  высота  700 мм  посадочных мест  3 ")</f>
        <v xml:space="preserve"> иван  модель   ксфорд 3    лина  2200 мм  ширина  850 мм  высота  700 мм  посадочных мест  3 </v>
      </c>
    </row>
    <row r="2113" spans="1:8" ht="51" x14ac:dyDescent="0.2">
      <c r="A2113" s="31" t="s">
        <v>4874</v>
      </c>
      <c r="B2113" s="8" t="s">
        <v>4875</v>
      </c>
      <c r="C2113" s="27"/>
      <c r="D2113" s="33" t="s">
        <v>14</v>
      </c>
      <c r="E2113" s="9"/>
      <c r="F2113" s="32"/>
      <c r="G2113" s="10">
        <v>109393</v>
      </c>
      <c r="H2113" s="30" t="str">
        <f ca="1">IFERROR(__xludf.DUMMYFUNCTION("LOWER(REGEXREPLACE(B2113&amp;"" ""&amp;C2113,""[^а-яa-z0-9 ]"","" ""))")," иван  модель  ивьера  2    лина  1720 мм  ширина  900 мм  высота  730 мм  посадочных мест  2  материал  обивка   эко кожа  наполнитель  поролон  синтепон ")</f>
        <v xml:space="preserve"> иван  модель  ивьера  2    лина  1720 мм  ширина  900 мм  высота  730 мм  посадочных мест  2  материал  обивка   эко кожа  наполнитель  поролон  синтепон </v>
      </c>
    </row>
    <row r="2114" spans="1:8" ht="63.75" x14ac:dyDescent="0.2">
      <c r="A2114" s="31" t="s">
        <v>4876</v>
      </c>
      <c r="B2114" s="27" t="s">
        <v>4877</v>
      </c>
      <c r="C2114" s="27"/>
      <c r="D2114" s="33" t="s">
        <v>14</v>
      </c>
      <c r="E2114" s="9"/>
      <c r="F2114" s="32"/>
      <c r="G2114" s="10">
        <v>149804</v>
      </c>
      <c r="H2114" s="30" t="str">
        <f ca="1">IFERROR(__xludf.DUMMYFUNCTION("LOWER(REGEXREPLACE(B2114&amp;"" ""&amp;C2114,""[^а-яa-z0-9 ]"","" ""))")," иван  модель  омеро  2    лина  1640 мм  ширина  920 мм  высота  750 мм  посадочных мест  2  материал  ножки   металл  обивка   гобелен  наполнитель  поролон  синтепон  синтепух ")</f>
        <v xml:space="preserve"> иван  модель  омеро  2    лина  1640 мм  ширина  920 мм  высота  750 мм  посадочных мест  2  материал  ножки   металл  обивка   гобелен  наполнитель  поролон  синтепон  синтепух </v>
      </c>
    </row>
    <row r="2115" spans="1:8" ht="25.5" x14ac:dyDescent="0.2">
      <c r="A2115" s="31" t="s">
        <v>4878</v>
      </c>
      <c r="B2115" s="27" t="s">
        <v>4879</v>
      </c>
      <c r="C2115" s="27"/>
      <c r="D2115" s="32"/>
      <c r="E2115" s="9"/>
      <c r="F2115" s="32"/>
      <c r="G2115" s="10"/>
      <c r="H2115" s="30" t="str">
        <f ca="1">IFERROR(__xludf.DUMMYFUNCTION("LOWER(REGEXREPLACE(B2115&amp;"" ""&amp;C2115,""[^а-яa-z0-9 ]"","" ""))")," абинет для детей раннего возраста  от 0 до 3 х лет  ")</f>
        <v xml:space="preserve"> абинет для детей раннего возраста  от 0 до 3 х лет  </v>
      </c>
    </row>
    <row r="2116" spans="1:8" ht="12.75" x14ac:dyDescent="0.2">
      <c r="A2116" s="31" t="s">
        <v>4880</v>
      </c>
      <c r="B2116" s="27" t="s">
        <v>4881</v>
      </c>
      <c r="C2116" s="27"/>
      <c r="D2116" s="33" t="s">
        <v>68</v>
      </c>
      <c r="E2116" s="9"/>
      <c r="F2116" s="32"/>
      <c r="G2116" s="10"/>
      <c r="H2116" s="30" t="str">
        <f ca="1">IFERROR(__xludf.DUMMYFUNCTION("LOWER(REGEXREPLACE(B2116&amp;"" ""&amp;C2116,""[^а-яa-z0-9 ]"","" ""))")," олифункциональный модуль ")</f>
        <v xml:space="preserve"> олифункциональный модуль </v>
      </c>
    </row>
    <row r="2117" spans="1:8" ht="25.5" x14ac:dyDescent="0.2">
      <c r="A2117" s="31" t="s">
        <v>4882</v>
      </c>
      <c r="B2117" s="27" t="s">
        <v>4883</v>
      </c>
      <c r="C2117" s="27"/>
      <c r="D2117" s="33" t="s">
        <v>68</v>
      </c>
      <c r="E2117" s="9"/>
      <c r="F2117" s="32"/>
      <c r="G2117" s="10">
        <v>277124</v>
      </c>
      <c r="H2117" s="30" t="str">
        <f ca="1">IFERROR(__xludf.DUMMYFUNCTION("LOWER(REGEXREPLACE(B2117&amp;"" ""&amp;C2117,""[^а-яa-z0-9 ]"","" ""))")," абор мягких модулей   алуны   омплектация  параллепипеды 9  лента 1   азмер  120х60х100 см ")</f>
        <v xml:space="preserve"> абор мягких модулей   алуны   омплектация  параллепипеды 9  лента 1   азмер  120х60х100 см </v>
      </c>
    </row>
    <row r="2118" spans="1:8" ht="38.25" x14ac:dyDescent="0.2">
      <c r="A2118" s="31" t="s">
        <v>4884</v>
      </c>
      <c r="B2118" s="27" t="s">
        <v>4885</v>
      </c>
      <c r="C2118" s="27"/>
      <c r="D2118" s="33" t="s">
        <v>68</v>
      </c>
      <c r="E2118" s="9"/>
      <c r="F2118" s="32"/>
      <c r="G2118" s="10">
        <v>163676</v>
      </c>
      <c r="H2118" s="30" t="str">
        <f ca="1">IFERROR(__xludf.DUMMYFUNCTION("LOWER(REGEXREPLACE(B2118&amp;"" ""&amp;C2118,""[^а-яa-z0-9 ]"","" ""))")," етский набор мягких модулей   астокол   омплектация  цилиндры 5  мат 1   азмер  120х60х100 см ")</f>
        <v xml:space="preserve"> етский набор мягких модулей   астокол   омплектация  цилиндры 5  мат 1   азмер  120х60х100 см </v>
      </c>
    </row>
    <row r="2119" spans="1:8" ht="25.5" x14ac:dyDescent="0.2">
      <c r="A2119" s="31" t="s">
        <v>4886</v>
      </c>
      <c r="B2119" s="27" t="s">
        <v>4887</v>
      </c>
      <c r="C2119" s="27"/>
      <c r="D2119" s="33" t="s">
        <v>68</v>
      </c>
      <c r="E2119" s="9"/>
      <c r="F2119" s="32"/>
      <c r="G2119" s="10">
        <v>288382</v>
      </c>
      <c r="H2119" s="30" t="str">
        <f ca="1">IFERROR(__xludf.DUMMYFUNCTION("LOWER(REGEXREPLACE(B2119&amp;"" ""&amp;C2119,""[^а-яa-z0-9 ]"","" ""))")," етский набор мягких модулей   омашка  1   омплектация  предметов 9 ")</f>
        <v xml:space="preserve"> етский набор мягких модулей   омашка  1   омплектация  предметов 9 </v>
      </c>
    </row>
    <row r="2120" spans="1:8" ht="25.5" x14ac:dyDescent="0.2">
      <c r="A2120" s="31" t="s">
        <v>4888</v>
      </c>
      <c r="B2120" s="27" t="s">
        <v>4889</v>
      </c>
      <c r="C2120" s="27"/>
      <c r="D2120" s="33" t="s">
        <v>68</v>
      </c>
      <c r="E2120" s="9"/>
      <c r="F2120" s="32"/>
      <c r="G2120" s="10">
        <v>387107</v>
      </c>
      <c r="H2120" s="30" t="str">
        <f ca="1">IFERROR(__xludf.DUMMYFUNCTION("LOWER(REGEXREPLACE(B2120&amp;"" ""&amp;C2120,""[^а-яa-z0-9 ]"","" ""))")," етский набор мягких модулей   омашка  2   омплектация  предметов 15 ")</f>
        <v xml:space="preserve"> етский набор мягких модулей   омашка  2   омплектация  предметов 15 </v>
      </c>
    </row>
    <row r="2121" spans="1:8" ht="25.5" x14ac:dyDescent="0.2">
      <c r="A2121" s="31" t="s">
        <v>4890</v>
      </c>
      <c r="B2121" s="27" t="s">
        <v>4891</v>
      </c>
      <c r="C2121" s="27"/>
      <c r="D2121" s="33" t="s">
        <v>68</v>
      </c>
      <c r="E2121" s="9"/>
      <c r="F2121" s="32"/>
      <c r="G2121" s="10">
        <v>467647</v>
      </c>
      <c r="H2121" s="30" t="str">
        <f ca="1">IFERROR(__xludf.DUMMYFUNCTION("LOWER(REGEXREPLACE(B2121&amp;"" ""&amp;C2121,""[^а-яa-z0-9 ]"","" ""))")," етский набор мягких модулей   омашка  3   омплектация  предметов 19 ")</f>
        <v xml:space="preserve"> етский набор мягких модулей   омашка  3   омплектация  предметов 19 </v>
      </c>
    </row>
    <row r="2122" spans="1:8" ht="25.5" x14ac:dyDescent="0.2">
      <c r="A2122" s="31" t="s">
        <v>4892</v>
      </c>
      <c r="B2122" s="27" t="s">
        <v>4893</v>
      </c>
      <c r="C2122" s="27"/>
      <c r="D2122" s="33" t="s">
        <v>68</v>
      </c>
      <c r="E2122" s="9"/>
      <c r="F2122" s="32"/>
      <c r="G2122" s="10">
        <v>282320</v>
      </c>
      <c r="H2122" s="30" t="str">
        <f ca="1">IFERROR(__xludf.DUMMYFUNCTION("LOWER(REGEXREPLACE(B2122&amp;"" ""&amp;C2122,""[^а-яa-z0-9 ]"","" ""))")," етский конструктор   еселый паровозик   омплектация  предметов 15  видов фигур 5 ")</f>
        <v xml:space="preserve"> етский конструктор   еселый паровозик   омплектация  предметов 15  видов фигур 5 </v>
      </c>
    </row>
    <row r="2123" spans="1:8" ht="25.5" x14ac:dyDescent="0.2">
      <c r="A2123" s="31" t="s">
        <v>4894</v>
      </c>
      <c r="B2123" s="27" t="s">
        <v>4895</v>
      </c>
      <c r="C2123" s="27"/>
      <c r="D2123" s="33" t="s">
        <v>68</v>
      </c>
      <c r="E2123" s="9"/>
      <c r="F2123" s="32"/>
      <c r="G2123" s="10">
        <v>160212</v>
      </c>
      <c r="H2123" s="30" t="str">
        <f ca="1">IFERROR(__xludf.DUMMYFUNCTION("LOWER(REGEXREPLACE(B2123&amp;"" ""&amp;C2123,""[^а-яa-z0-9 ]"","" ""))")," етский конструктор   еселые сундучки   омплектация  предметов 4  видов фигур 4 ")</f>
        <v xml:space="preserve"> етский конструктор   еселые сундучки   омплектация  предметов 4  видов фигур 4 </v>
      </c>
    </row>
    <row r="2124" spans="1:8" ht="25.5" x14ac:dyDescent="0.2">
      <c r="A2124" s="31" t="s">
        <v>4896</v>
      </c>
      <c r="B2124" s="27" t="s">
        <v>4897</v>
      </c>
      <c r="C2124" s="27"/>
      <c r="D2124" s="33" t="s">
        <v>68</v>
      </c>
      <c r="E2124" s="9"/>
      <c r="F2124" s="32"/>
      <c r="G2124" s="10">
        <v>72745</v>
      </c>
      <c r="H2124" s="30" t="str">
        <f ca="1">IFERROR(__xludf.DUMMYFUNCTION("LOWER(REGEXREPLACE(B2124&amp;"" ""&amp;C2124,""[^а-яa-z0-9 ]"","" ""))")," омплект для скрининга психофизического развития детей раннего возраста ")</f>
        <v xml:space="preserve"> омплект для скрининга психофизического развития детей раннего возраста </v>
      </c>
    </row>
    <row r="2125" spans="1:8" x14ac:dyDescent="0.2">
      <c r="A2125" s="12" t="s">
        <v>4898</v>
      </c>
      <c r="B2125" s="26"/>
      <c r="C2125" s="27"/>
      <c r="D2125" s="26"/>
      <c r="E2125" s="28"/>
      <c r="F2125" s="26"/>
      <c r="G2125" s="29"/>
      <c r="H2125" s="30" t="str">
        <f ca="1">IFERROR(__xludf.DUMMYFUNCTION("LOWER(REGEXREPLACE(B2125&amp;"" ""&amp;C2125,""[^а-яa-z0-9 ]"","" ""))")," ")</f>
        <v xml:space="preserve"> </v>
      </c>
    </row>
    <row r="2126" spans="1:8" ht="25.5" x14ac:dyDescent="0.2">
      <c r="A2126" s="31" t="s">
        <v>4899</v>
      </c>
      <c r="B2126" s="8" t="s">
        <v>4900</v>
      </c>
      <c r="C2126" s="27"/>
      <c r="D2126" s="32"/>
      <c r="E2126" s="9"/>
      <c r="F2126" s="32"/>
      <c r="G2126" s="10"/>
      <c r="H2126" s="30" t="str">
        <f ca="1">IFERROR(__xludf.DUMMYFUNCTION("LOWER(REGEXREPLACE(B2126&amp;"" ""&amp;C2126,""[^а-яa-z0-9 ]"","" ""))")," абинет для психолого медико педагогических консультаций ")</f>
        <v xml:space="preserve"> абинет для психолого медико педагогических консультаций </v>
      </c>
    </row>
    <row r="2127" spans="1:8" ht="12.75" x14ac:dyDescent="0.2">
      <c r="A2127" s="31" t="s">
        <v>4901</v>
      </c>
      <c r="B2127" s="27" t="s">
        <v>4902</v>
      </c>
      <c r="C2127" s="27"/>
      <c r="D2127" s="33" t="s">
        <v>14</v>
      </c>
      <c r="E2127" s="9"/>
      <c r="F2127" s="32"/>
      <c r="G2127" s="10"/>
      <c r="H2127" s="30" t="str">
        <f ca="1">IFERROR(__xludf.DUMMYFUNCTION("LOWER(REGEXREPLACE(B2127&amp;"" ""&amp;C2127,""[^а-яa-z0-9 ]"","" ""))")," толик пеленальный ")</f>
        <v xml:space="preserve"> толик пеленальный </v>
      </c>
    </row>
    <row r="2128" spans="1:8" ht="12.75" x14ac:dyDescent="0.2">
      <c r="A2128" s="31" t="s">
        <v>4903</v>
      </c>
      <c r="B2128" s="27" t="s">
        <v>4904</v>
      </c>
      <c r="C2128" s="27"/>
      <c r="D2128" s="33" t="s">
        <v>14</v>
      </c>
      <c r="E2128" s="9"/>
      <c r="F2128" s="32"/>
      <c r="G2128" s="10">
        <v>43650</v>
      </c>
      <c r="H2128" s="30" t="str">
        <f ca="1">IFERROR(__xludf.DUMMYFUNCTION("LOWER(REGEXREPLACE(B2128&amp;"" ""&amp;C2128,""[^а-яa-z0-9 ]"","" ""))")," тол пеленальный с полкой ")</f>
        <v xml:space="preserve"> тол пеленальный с полкой </v>
      </c>
    </row>
    <row r="2129" spans="1:8" x14ac:dyDescent="0.2">
      <c r="A2129" s="12" t="s">
        <v>4905</v>
      </c>
      <c r="B2129" s="26"/>
      <c r="C2129" s="27"/>
      <c r="D2129" s="26"/>
      <c r="E2129" s="28"/>
      <c r="F2129" s="26"/>
      <c r="G2129" s="29"/>
      <c r="H2129" s="30" t="str">
        <f ca="1">IFERROR(__xludf.DUMMYFUNCTION("LOWER(REGEXREPLACE(B2129&amp;"" ""&amp;C2129,""[^а-яa-z0-9 ]"","" ""))")," ")</f>
        <v xml:space="preserve"> </v>
      </c>
    </row>
    <row r="2130" spans="1:8" ht="12.75" x14ac:dyDescent="0.2">
      <c r="A2130" s="31" t="s">
        <v>4906</v>
      </c>
      <c r="B2130" s="27" t="s">
        <v>4788</v>
      </c>
      <c r="C2130" s="27"/>
      <c r="D2130" s="32"/>
      <c r="E2130" s="9"/>
      <c r="F2130" s="32"/>
      <c r="G2130" s="10"/>
      <c r="H2130" s="30" t="str">
        <f ca="1">IFERROR(__xludf.DUMMYFUNCTION("LOWER(REGEXREPLACE(B2130&amp;"" ""&amp;C2130,""[^а-яa-z0-9 ]"","" ""))")," ал лечебной физкультуры ")</f>
        <v xml:space="preserve"> ал лечебной физкультуры </v>
      </c>
    </row>
    <row r="2131" spans="1:8" ht="25.5" x14ac:dyDescent="0.2">
      <c r="A2131" s="31" t="s">
        <v>4907</v>
      </c>
      <c r="B2131" s="27" t="s">
        <v>4908</v>
      </c>
      <c r="C2131" s="27"/>
      <c r="D2131" s="33" t="s">
        <v>14</v>
      </c>
      <c r="E2131" s="9"/>
      <c r="F2131" s="32"/>
      <c r="G2131" s="10"/>
      <c r="H2131" s="30" t="str">
        <f ca="1">IFERROR(__xludf.DUMMYFUNCTION("LOWER(REGEXREPLACE(B2131&amp;"" ""&amp;C2131,""[^а-яa-z0-9 ]"","" ""))")," елосипед для детей с ограниченными возможностями ")</f>
        <v xml:space="preserve"> елосипед для детей с ограниченными возможностями </v>
      </c>
    </row>
    <row r="2132" spans="1:8" ht="25.5" x14ac:dyDescent="0.2">
      <c r="A2132" s="31" t="s">
        <v>4909</v>
      </c>
      <c r="B2132" s="27" t="s">
        <v>4910</v>
      </c>
      <c r="C2132" s="27"/>
      <c r="D2132" s="33" t="s">
        <v>14</v>
      </c>
      <c r="E2132" s="9"/>
      <c r="F2132" s="32"/>
      <c r="G2132" s="10">
        <v>2710618</v>
      </c>
      <c r="H2132" s="30" t="str">
        <f ca="1">IFERROR(__xludf.DUMMYFUNCTION("LOWER(REGEXREPLACE(B2132&amp;"" ""&amp;C2132,""[^а-яa-z0-9 ]"","" ""))")," 120  ртопедический велосипед маленького размера ")</f>
        <v xml:space="preserve"> 120  ртопедический велосипед маленького размера </v>
      </c>
    </row>
    <row r="2133" spans="1:8" ht="25.5" x14ac:dyDescent="0.2">
      <c r="A2133" s="31" t="s">
        <v>4911</v>
      </c>
      <c r="B2133" s="27" t="s">
        <v>4912</v>
      </c>
      <c r="C2133" s="27"/>
      <c r="D2133" s="33" t="s">
        <v>14</v>
      </c>
      <c r="E2133" s="9"/>
      <c r="F2133" s="32"/>
      <c r="G2133" s="10">
        <v>2857840</v>
      </c>
      <c r="H2133" s="30" t="str">
        <f ca="1">IFERROR(__xludf.DUMMYFUNCTION("LOWER(REGEXREPLACE(B2133&amp;"" ""&amp;C2133,""[^а-яa-z0-9 ]"","" ""))")," 130  ртопедический велосипед среднего размера ")</f>
        <v xml:space="preserve"> 130  ртопедический велосипед среднего размера </v>
      </c>
    </row>
    <row r="2134" spans="1:8" ht="25.5" x14ac:dyDescent="0.2">
      <c r="A2134" s="31" t="s">
        <v>4913</v>
      </c>
      <c r="B2134" s="27" t="s">
        <v>4914</v>
      </c>
      <c r="C2134" s="27"/>
      <c r="D2134" s="33" t="s">
        <v>14</v>
      </c>
      <c r="E2134" s="9"/>
      <c r="F2134" s="32"/>
      <c r="G2134" s="10">
        <v>4286760</v>
      </c>
      <c r="H2134" s="30" t="str">
        <f ca="1">IFERROR(__xludf.DUMMYFUNCTION("LOWER(REGEXREPLACE(B2134&amp;"" ""&amp;C2134,""[^а-яa-z0-9 ]"","" ""))")," 140  ртопедический велосипед большого размера ")</f>
        <v xml:space="preserve"> 140  ртопедический велосипед большого размера </v>
      </c>
    </row>
    <row r="2135" spans="1:8" ht="25.5" x14ac:dyDescent="0.2">
      <c r="A2135" s="31" t="s">
        <v>4915</v>
      </c>
      <c r="B2135" s="27" t="s">
        <v>4916</v>
      </c>
      <c r="C2135" s="27"/>
      <c r="D2135" s="33" t="s">
        <v>68</v>
      </c>
      <c r="E2135" s="9"/>
      <c r="F2135" s="32"/>
      <c r="G2135" s="10">
        <v>545588</v>
      </c>
      <c r="H2135" s="30" t="str">
        <f ca="1">IFERROR(__xludf.DUMMYFUNCTION("LOWER(REGEXREPLACE(B2135&amp;"" ""&amp;C2135,""[^а-яa-z0-9 ]"","" ""))")," абивной мяч в комплект входят три мяча диаметрами 25  50 и 75 см ")</f>
        <v xml:space="preserve"> абивной мяч в комплект входят три мяча диаметрами 25  50 и 75 см </v>
      </c>
    </row>
    <row r="2136" spans="1:8" x14ac:dyDescent="0.2">
      <c r="A2136" s="12" t="s">
        <v>4917</v>
      </c>
      <c r="B2136" s="26"/>
      <c r="C2136" s="27"/>
      <c r="D2136" s="26"/>
      <c r="E2136" s="28"/>
      <c r="F2136" s="26"/>
      <c r="G2136" s="29"/>
      <c r="H2136" s="30" t="str">
        <f ca="1">IFERROR(__xludf.DUMMYFUNCTION("LOWER(REGEXREPLACE(B2136&amp;"" ""&amp;C2136,""[^а-яa-z0-9 ]"","" ""))")," ")</f>
        <v xml:space="preserve"> </v>
      </c>
    </row>
    <row r="2137" spans="1:8" ht="12.75" x14ac:dyDescent="0.2">
      <c r="A2137" s="31" t="s">
        <v>4918</v>
      </c>
      <c r="B2137" s="27" t="s">
        <v>4919</v>
      </c>
      <c r="C2137" s="27"/>
      <c r="D2137" s="32"/>
      <c r="E2137" s="9"/>
      <c r="F2137" s="32"/>
      <c r="G2137" s="10"/>
      <c r="H2137" s="30" t="str">
        <f ca="1">IFERROR(__xludf.DUMMYFUNCTION("LOWER(REGEXREPLACE(B2137&amp;"" ""&amp;C2137,""[^а-яa-z0-9 ]"","" ""))")," пециальная мебель ")</f>
        <v xml:space="preserve"> пециальная мебель </v>
      </c>
    </row>
    <row r="2138" spans="1:8" ht="25.5" x14ac:dyDescent="0.2">
      <c r="A2138" s="31" t="s">
        <v>4920</v>
      </c>
      <c r="B2138" s="8" t="s">
        <v>4921</v>
      </c>
      <c r="C2138" s="27"/>
      <c r="D2138" s="33" t="s">
        <v>14</v>
      </c>
      <c r="E2138" s="9"/>
      <c r="F2138" s="32"/>
      <c r="G2138" s="10"/>
      <c r="H2138" s="30" t="str">
        <f ca="1">IFERROR(__xludf.DUMMYFUNCTION("LOWER(REGEXREPLACE(B2138&amp;"" ""&amp;C2138,""[^а-яa-z0-9 ]"","" ""))")," тол парта для детей с нарушениями опорно двигательного аппарата ")</f>
        <v xml:space="preserve"> тол парта для детей с нарушениями опорно двигательного аппарата </v>
      </c>
    </row>
    <row r="2139" spans="1:8" ht="12.75" x14ac:dyDescent="0.2">
      <c r="A2139" s="31" t="s">
        <v>4922</v>
      </c>
      <c r="B2139" s="27" t="s">
        <v>4923</v>
      </c>
      <c r="C2139" s="27"/>
      <c r="D2139" s="33" t="s">
        <v>14</v>
      </c>
      <c r="E2139" s="9"/>
      <c r="F2139" s="32"/>
      <c r="G2139" s="10">
        <v>160212</v>
      </c>
      <c r="H2139" s="30" t="str">
        <f ca="1">IFERROR(__xludf.DUMMYFUNCTION("LOWER(REGEXREPLACE(B2139&amp;"" ""&amp;C2139,""[^а-яa-z0-9 ]"","" ""))")," арта    37 02 01 ")</f>
        <v xml:space="preserve"> арта    37 02 01 </v>
      </c>
    </row>
    <row r="2140" spans="1:8" ht="12.75" x14ac:dyDescent="0.2">
      <c r="A2140" s="31" t="s">
        <v>4924</v>
      </c>
      <c r="B2140" s="27" t="s">
        <v>4925</v>
      </c>
      <c r="C2140" s="27"/>
      <c r="D2140" s="33" t="s">
        <v>14</v>
      </c>
      <c r="E2140" s="9"/>
      <c r="F2140" s="32"/>
      <c r="G2140" s="10">
        <v>168872</v>
      </c>
      <c r="H2140" s="30" t="str">
        <f ca="1">IFERROR(__xludf.DUMMYFUNCTION("LOWER(REGEXREPLACE(B2140&amp;"" ""&amp;C2140,""[^а-яa-z0-9 ]"","" ""))")," арта    37 02 11 ")</f>
        <v xml:space="preserve"> арта    37 02 11 </v>
      </c>
    </row>
    <row r="2141" spans="1:8" ht="12.75" x14ac:dyDescent="0.2">
      <c r="A2141" s="31" t="s">
        <v>4926</v>
      </c>
      <c r="B2141" s="27" t="s">
        <v>4927</v>
      </c>
      <c r="C2141" s="27"/>
      <c r="D2141" s="33" t="s">
        <v>14</v>
      </c>
      <c r="E2141" s="9"/>
      <c r="F2141" s="32"/>
      <c r="G2141" s="10">
        <v>134232</v>
      </c>
      <c r="H2141" s="30" t="str">
        <f ca="1">IFERROR(__xludf.DUMMYFUNCTION("LOWER(REGEXREPLACE(B2141&amp;"" ""&amp;C2141,""[^а-яa-z0-9 ]"","" ""))")," арта    37 02 51  складная  ")</f>
        <v xml:space="preserve"> арта    37 02 51  складная  </v>
      </c>
    </row>
    <row r="2142" spans="1:8" ht="12.75" x14ac:dyDescent="0.2">
      <c r="A2142" s="31" t="s">
        <v>4928</v>
      </c>
      <c r="B2142" s="27" t="s">
        <v>4788</v>
      </c>
      <c r="C2142" s="27"/>
      <c r="D2142" s="32"/>
      <c r="E2142" s="9"/>
      <c r="F2142" s="32"/>
      <c r="G2142" s="10"/>
      <c r="H2142" s="30" t="str">
        <f ca="1">IFERROR(__xludf.DUMMYFUNCTION("LOWER(REGEXREPLACE(B2142&amp;"" ""&amp;C2142,""[^а-яa-z0-9 ]"","" ""))")," ал лечебной физкультуры ")</f>
        <v xml:space="preserve"> ал лечебной физкультуры </v>
      </c>
    </row>
    <row r="2143" spans="1:8" ht="25.5" x14ac:dyDescent="0.2">
      <c r="A2143" s="31" t="s">
        <v>4929</v>
      </c>
      <c r="B2143" s="27" t="s">
        <v>4930</v>
      </c>
      <c r="C2143" s="27"/>
      <c r="D2143" s="33" t="s">
        <v>14</v>
      </c>
      <c r="E2143" s="9"/>
      <c r="F2143" s="32"/>
      <c r="G2143" s="10"/>
      <c r="H2143" s="30" t="str">
        <f ca="1">IFERROR(__xludf.DUMMYFUNCTION("LOWER(REGEXREPLACE(B2143&amp;"" ""&amp;C2143,""[^а-яa-z0-9 ]"","" ""))")," кладка   многофункциональная терапевтическая система до 4 5 лет ")</f>
        <v xml:space="preserve"> кладка   многофункциональная терапевтическая система до 4 5 лет </v>
      </c>
    </row>
    <row r="2144" spans="1:8" ht="12.75" x14ac:dyDescent="0.2">
      <c r="A2144" s="31" t="s">
        <v>4931</v>
      </c>
      <c r="B2144" s="27" t="s">
        <v>4932</v>
      </c>
      <c r="C2144" s="27"/>
      <c r="D2144" s="33" t="s">
        <v>14</v>
      </c>
      <c r="E2144" s="9"/>
      <c r="F2144" s="32"/>
      <c r="G2144" s="10">
        <v>1645423</v>
      </c>
      <c r="H2144" s="30" t="str">
        <f ca="1">IFERROR(__xludf.DUMMYFUNCTION("LOWER(REGEXREPLACE(B2144&amp;"" ""&amp;C2144,""[^а-яa-z0-9 ]"","" ""))")," кладка   оловастик       atterson  edical ")</f>
        <v xml:space="preserve"> кладка   оловастик       atterson  edical </v>
      </c>
    </row>
    <row r="2145" spans="1:8" x14ac:dyDescent="0.2">
      <c r="A2145" s="12" t="s">
        <v>4933</v>
      </c>
      <c r="B2145" s="26"/>
      <c r="C2145" s="27"/>
      <c r="D2145" s="26"/>
      <c r="E2145" s="28"/>
      <c r="F2145" s="26"/>
      <c r="G2145" s="29"/>
      <c r="H2145" s="30" t="str">
        <f ca="1">IFERROR(__xludf.DUMMYFUNCTION("LOWER(REGEXREPLACE(B2145&amp;"" ""&amp;C2145,""[^а-яa-z0-9 ]"","" ""))")," ")</f>
        <v xml:space="preserve"> </v>
      </c>
    </row>
    <row r="2146" spans="1:8" ht="12.75" x14ac:dyDescent="0.2">
      <c r="A2146" s="31" t="s">
        <v>4934</v>
      </c>
      <c r="B2146" s="27" t="s">
        <v>4935</v>
      </c>
      <c r="C2146" s="27"/>
      <c r="D2146" s="32"/>
      <c r="E2146" s="9"/>
      <c r="F2146" s="32"/>
      <c r="G2146" s="10"/>
      <c r="H2146" s="30" t="str">
        <f ca="1">IFERROR(__xludf.DUMMYFUNCTION("LOWER(REGEXREPLACE(B2146&amp;"" ""&amp;C2146,""[^а-яa-z0-9 ]"","" ""))")," екотека  библиотека игрушек  ")</f>
        <v xml:space="preserve"> екотека  библиотека игрушек  </v>
      </c>
    </row>
    <row r="2147" spans="1:8" ht="12.75" x14ac:dyDescent="0.2">
      <c r="A2147" s="31" t="s">
        <v>4936</v>
      </c>
      <c r="B2147" s="27" t="s">
        <v>4937</v>
      </c>
      <c r="C2147" s="27"/>
      <c r="D2147" s="33" t="s">
        <v>14</v>
      </c>
      <c r="E2147" s="9"/>
      <c r="F2147" s="32"/>
      <c r="G2147" s="10"/>
      <c r="H2147" s="30" t="str">
        <f ca="1">IFERROR(__xludf.DUMMYFUNCTION("LOWER(REGEXREPLACE(B2147&amp;"" ""&amp;C2147,""[^а-яa-z0-9 ]"","" ""))")," канер ")</f>
        <v xml:space="preserve"> канер </v>
      </c>
    </row>
    <row r="2148" spans="1:8" ht="25.5" x14ac:dyDescent="0.2">
      <c r="A2148" s="31" t="s">
        <v>4938</v>
      </c>
      <c r="B2148" s="27" t="s">
        <v>4939</v>
      </c>
      <c r="C2148" s="27"/>
      <c r="D2148" s="33" t="s">
        <v>14</v>
      </c>
      <c r="E2148" s="9"/>
      <c r="F2148" s="32"/>
      <c r="G2148" s="10">
        <v>169554</v>
      </c>
      <c r="H2148" s="30" t="str">
        <f ca="1">IFERROR(__xludf.DUMMYFUNCTION("LOWER(REGEXREPLACE(B2148&amp;"" ""&amp;C2148,""[^а-яa-z0-9 ]"","" ""))")," канер  anon image            225      4  600x600dpi  1500 скан день           2 0 ")</f>
        <v xml:space="preserve"> канер  anon image            225      4  600x600dpi  1500 скан день           2 0 </v>
      </c>
    </row>
    <row r="2149" spans="1:8" ht="25.5" x14ac:dyDescent="0.2">
      <c r="A2149" s="31" t="s">
        <v>4940</v>
      </c>
      <c r="B2149" s="27" t="s">
        <v>4941</v>
      </c>
      <c r="C2149" s="27"/>
      <c r="D2149" s="33" t="s">
        <v>14</v>
      </c>
      <c r="E2149" s="9"/>
      <c r="F2149" s="32"/>
      <c r="G2149" s="10">
        <v>236762</v>
      </c>
      <c r="H2149" s="30" t="str">
        <f ca="1">IFERROR(__xludf.DUMMYFUNCTION("LOWER(REGEXREPLACE(B2149&amp;"" ""&amp;C2149,""[^а-яa-z0-9 ]"","" ""))")," канер  anon image            130   4  600x600dpi  3500 скан день        i  i      3 0 ")</f>
        <v xml:space="preserve"> канер  anon image            130   4  600x600dpi  3500 скан день        i  i      3 0 </v>
      </c>
    </row>
    <row r="2150" spans="1:8" ht="38.25" x14ac:dyDescent="0.2">
      <c r="A2150" s="31" t="s">
        <v>4942</v>
      </c>
      <c r="B2150" s="27" t="s">
        <v>4943</v>
      </c>
      <c r="C2150" s="27"/>
      <c r="D2150" s="33" t="s">
        <v>14</v>
      </c>
      <c r="E2150" s="9"/>
      <c r="F2150" s="32"/>
      <c r="G2150" s="10">
        <v>76751</v>
      </c>
      <c r="H2150" s="30" t="str">
        <f ca="1">IFERROR(__xludf.DUMMYFUNCTION("LOWER(REGEXREPLACE(B2150&amp;"" ""&amp;C2150,""[^а-яa-z0-9 ]"","" ""))")," канер  pson  ork orce    70   4  600x600dpi  48 bit  скорость сканирования 5 5с  portable      2 0 ")</f>
        <v xml:space="preserve"> канер  pson  ork orce    70   4  600x600dpi  48 bit  скорость сканирования 5 5с  portable      2 0 </v>
      </c>
    </row>
    <row r="2151" spans="1:8" ht="25.5" x14ac:dyDescent="0.2">
      <c r="A2151" s="31" t="s">
        <v>4944</v>
      </c>
      <c r="B2151" s="27" t="s">
        <v>4945</v>
      </c>
      <c r="C2151" s="27"/>
      <c r="D2151" s="33" t="s">
        <v>14</v>
      </c>
      <c r="E2151" s="34">
        <v>2</v>
      </c>
      <c r="F2151" s="35">
        <v>1.8</v>
      </c>
      <c r="G2151" s="10">
        <v>171319</v>
      </c>
      <c r="H2151" s="30" t="str">
        <f ca="1">IFERROR(__xludf.DUMMYFUNCTION("LOWER(REGEXREPLACE(B2151&amp;"" ""&amp;C2151,""[^а-яa-z0-9 ]"","" ""))")," канер  pson  orkforce     310  4  600x600dpi  25 ppm           ")</f>
        <v xml:space="preserve"> канер  pson  orkforce     310  4  600x600dpi  25 ppm           </v>
      </c>
    </row>
    <row r="2152" spans="1:8" ht="25.5" x14ac:dyDescent="0.2">
      <c r="A2152" s="31" t="s">
        <v>4946</v>
      </c>
      <c r="B2152" s="27" t="s">
        <v>4947</v>
      </c>
      <c r="C2152" s="27"/>
      <c r="D2152" s="33" t="s">
        <v>14</v>
      </c>
      <c r="E2152" s="34">
        <v>2</v>
      </c>
      <c r="F2152" s="35">
        <v>2.6</v>
      </c>
      <c r="G2152" s="10">
        <v>219010</v>
      </c>
      <c r="H2152" s="30" t="str">
        <f ca="1">IFERROR(__xludf.DUMMYFUNCTION("LOWER(REGEXREPLACE(B2152&amp;"" ""&amp;C2152,""[^а-яa-z0-9 ]"","" ""))")," канер  pson  orkforce      320   30 ppm             i  i ")</f>
        <v xml:space="preserve"> канер  pson  orkforce      320   30 ppm             i  i </v>
      </c>
    </row>
    <row r="2153" spans="1:8" ht="25.5" x14ac:dyDescent="0.2">
      <c r="A2153" s="31" t="s">
        <v>4948</v>
      </c>
      <c r="B2153" s="27" t="s">
        <v>4949</v>
      </c>
      <c r="C2153" s="27"/>
      <c r="D2153" s="33" t="s">
        <v>14</v>
      </c>
      <c r="E2153" s="34">
        <v>2</v>
      </c>
      <c r="F2153" s="35">
        <v>4.5999999999999996</v>
      </c>
      <c r="G2153" s="10">
        <v>261406</v>
      </c>
      <c r="H2153" s="30" t="str">
        <f ca="1">IFERROR(__xludf.DUMMYFUNCTION("LOWER(REGEXREPLACE(B2153&amp;"" ""&amp;C2153,""[^а-яa-z0-9 ]"","" ""))")," канер  pson  ork orce     530    35 ppm           ")</f>
        <v xml:space="preserve"> канер  pson  ork orce     530    35 ppm           </v>
      </c>
    </row>
    <row r="2154" spans="1:8" ht="25.5" x14ac:dyDescent="0.2">
      <c r="A2154" s="31" t="s">
        <v>4950</v>
      </c>
      <c r="B2154" s="27" t="s">
        <v>4951</v>
      </c>
      <c r="C2154" s="27"/>
      <c r="D2154" s="33" t="s">
        <v>14</v>
      </c>
      <c r="E2154" s="34">
        <v>2</v>
      </c>
      <c r="F2154" s="35">
        <v>8.4</v>
      </c>
      <c r="G2154" s="10">
        <v>2900119</v>
      </c>
      <c r="H2154" s="30" t="str">
        <f ca="1">IFERROR(__xludf.DUMMYFUNCTION("LOWER(REGEXREPLACE(B2154&amp;"" ""&amp;C2154,""[^а-яa-z0-9 ]"","" ""))")," канер  pson  ork orce     32000  90 ppm           ")</f>
        <v xml:space="preserve"> канер  pson  ork orce     32000  90 ppm           </v>
      </c>
    </row>
    <row r="2155" spans="1:8" ht="25.5" x14ac:dyDescent="0.2">
      <c r="A2155" s="31" t="s">
        <v>4952</v>
      </c>
      <c r="B2155" s="27" t="s">
        <v>4953</v>
      </c>
      <c r="C2155" s="27"/>
      <c r="D2155" s="33" t="s">
        <v>14</v>
      </c>
      <c r="E2155" s="34">
        <v>2</v>
      </c>
      <c r="F2155" s="34">
        <v>30</v>
      </c>
      <c r="G2155" s="10">
        <v>4799747</v>
      </c>
      <c r="H2155" s="30" t="str">
        <f ca="1">IFERROR(__xludf.DUMMYFUNCTION("LOWER(REGEXREPLACE(B2155&amp;"" ""&amp;C2155,""[^а-яa-z0-9 ]"","" ""))")," канер планшетный со слайд модулем  pson  xpression 13000    ro  2400x4800      ")</f>
        <v xml:space="preserve"> канер планшетный со слайд модулем  pson  xpression 13000    ro  2400x4800      </v>
      </c>
    </row>
    <row r="2156" spans="1:8" ht="12.75" x14ac:dyDescent="0.2">
      <c r="A2156" s="31" t="s">
        <v>4954</v>
      </c>
      <c r="B2156" s="27" t="s">
        <v>4955</v>
      </c>
      <c r="C2156" s="27"/>
      <c r="D2156" s="33" t="s">
        <v>14</v>
      </c>
      <c r="E2156" s="9"/>
      <c r="F2156" s="32"/>
      <c r="G2156" s="10"/>
      <c r="H2156" s="30" t="str">
        <f ca="1">IFERROR(__xludf.DUMMYFUNCTION("LOWER(REGEXREPLACE(B2156&amp;"" ""&amp;C2156,""[^а-яa-z0-9 ]"","" ""))")," опировальное устройство ")</f>
        <v xml:space="preserve"> опировальное устройство </v>
      </c>
    </row>
    <row r="2157" spans="1:8" ht="38.25" x14ac:dyDescent="0.2">
      <c r="A2157" s="31" t="s">
        <v>4956</v>
      </c>
      <c r="B2157" s="27" t="s">
        <v>4957</v>
      </c>
      <c r="C2157" s="27"/>
      <c r="D2157" s="33" t="s">
        <v>14</v>
      </c>
      <c r="E2157" s="9"/>
      <c r="F2157" s="32"/>
      <c r="G2157" s="10">
        <v>473125</v>
      </c>
      <c r="H2157" s="30" t="str">
        <f ca="1">IFERROR(__xludf.DUMMYFUNCTION("LOWER(REGEXREPLACE(B2157&amp;"" ""&amp;C2157,""[^а-яa-z0-9 ]"","" ""))")," опировальный аппарат  anon image       2425   3  print 600x600dpi  25ppm  scan 600x600dpi           ")</f>
        <v xml:space="preserve"> опировальный аппарат  anon image       2425   3  print 600x600dpi  25ppm  scan 600x600dpi           </v>
      </c>
    </row>
    <row r="2158" spans="1:8" ht="38.25" x14ac:dyDescent="0.2">
      <c r="A2158" s="31" t="s">
        <v>4958</v>
      </c>
      <c r="B2158" s="8" t="s">
        <v>4959</v>
      </c>
      <c r="C2158" s="27"/>
      <c r="D2158" s="33" t="s">
        <v>14</v>
      </c>
      <c r="E2158" s="9"/>
      <c r="F2158" s="32"/>
      <c r="G2158" s="10">
        <v>410625</v>
      </c>
      <c r="H2158" s="30" t="str">
        <f ca="1">IFERROR(__xludf.DUMMYFUNCTION("LOWER(REGEXREPLACE(B2158&amp;"" ""&amp;C2158,""[^а-яa-z0-9 ]"","" ""))")," опировальный аппарат  anon i 1643i    4 43 с мин  цифр  25 400   600х600dpi  uplex         б тон ера ")</f>
        <v xml:space="preserve"> опировальный аппарат  anon i 1643i    4 43 с мин  цифр  25 400   600х600dpi  uplex         б тон ера </v>
      </c>
    </row>
    <row r="2159" spans="1:8" ht="38.25" x14ac:dyDescent="0.2">
      <c r="A2159" s="31" t="s">
        <v>4960</v>
      </c>
      <c r="B2159" s="27" t="s">
        <v>4961</v>
      </c>
      <c r="C2159" s="27"/>
      <c r="D2159" s="33" t="s">
        <v>14</v>
      </c>
      <c r="E2159" s="9"/>
      <c r="F2159" s="32"/>
      <c r="G2159" s="10">
        <v>348125</v>
      </c>
      <c r="H2159" s="30" t="str">
        <f ca="1">IFERROR(__xludf.DUMMYFUNCTION("LOWER(REGEXREPLACE(B2159&amp;"" ""&amp;C2159,""[^а-яa-z0-9 ]"","" ""))")," опировальный аппарат  anon   2206    4 22  3 11с мин цифр 25 400   600х600d pi      тонер ")</f>
        <v xml:space="preserve"> опировальный аппарат  anon   2206    4 22  3 11с мин цифр 25 400   600х600d pi      тонер </v>
      </c>
    </row>
    <row r="2160" spans="1:8" ht="38.25" x14ac:dyDescent="0.2">
      <c r="A2160" s="31" t="s">
        <v>4962</v>
      </c>
      <c r="B2160" s="27" t="s">
        <v>4963</v>
      </c>
      <c r="C2160" s="27"/>
      <c r="D2160" s="33" t="s">
        <v>14</v>
      </c>
      <c r="E2160" s="9"/>
      <c r="F2160" s="32"/>
      <c r="G2160" s="10">
        <v>424798</v>
      </c>
      <c r="H2160" s="30" t="str">
        <f ca="1">IFERROR(__xludf.DUMMYFUNCTION("LOWER(REGEXREPLACE(B2160&amp;"" ""&amp;C2160,""[^а-яa-z0-9 ]"","" ""))")," опировальный аппарат  anon   2206     4 22  3 11с мин цифр 25 400   600х600d pi      i i  без тонера ")</f>
        <v xml:space="preserve"> опировальный аппарат  anon   2206     4 22  3 11с мин цифр 25 400   600х600d pi      i i  без тонера </v>
      </c>
    </row>
    <row r="2161" spans="1:8" ht="12.75" x14ac:dyDescent="0.2">
      <c r="A2161" s="31" t="s">
        <v>4964</v>
      </c>
      <c r="B2161" s="27" t="s">
        <v>4965</v>
      </c>
      <c r="C2161" s="27"/>
      <c r="D2161" s="33" t="s">
        <v>14</v>
      </c>
      <c r="E2161" s="9"/>
      <c r="F2161" s="32"/>
      <c r="G2161" s="10"/>
      <c r="H2161" s="30" t="str">
        <f ca="1">IFERROR(__xludf.DUMMYFUNCTION("LOWER(REGEXREPLACE(B2161&amp;"" ""&amp;C2161,""[^а-яa-z0-9 ]"","" ""))")," ультимедийный проектор ")</f>
        <v xml:space="preserve"> ультимедийный проектор </v>
      </c>
    </row>
    <row r="2162" spans="1:8" ht="38.25" x14ac:dyDescent="0.2">
      <c r="A2162" s="31" t="s">
        <v>4966</v>
      </c>
      <c r="B2162" s="8" t="s">
        <v>4967</v>
      </c>
      <c r="C2162" s="27"/>
      <c r="D2162" s="33" t="s">
        <v>14</v>
      </c>
      <c r="E2162" s="9"/>
      <c r="F2162" s="32"/>
      <c r="G2162" s="10">
        <v>239474</v>
      </c>
      <c r="H2162" s="30" t="str">
        <f ca="1">IFERROR(__xludf.DUMMYFUNCTION("LOWER(REGEXREPLACE(B2162&amp;"" ""&amp;C2162,""[^а-яa-z0-9 ]"","" ""))")," роектор  cer  1255       3   4000lm  20000 1       1024х768  0 63 7 62m  5000hr  2 4kg ")</f>
        <v xml:space="preserve"> роектор  cer  1255       3   4000lm  20000 1       1024х768  0 63 7 62m  5000hr  2 4kg </v>
      </c>
    </row>
    <row r="2163" spans="1:8" ht="38.25" x14ac:dyDescent="0.2">
      <c r="A2163" s="31" t="s">
        <v>4968</v>
      </c>
      <c r="B2163" s="8" t="s">
        <v>4969</v>
      </c>
      <c r="C2163" s="27"/>
      <c r="D2163" s="33" t="s">
        <v>14</v>
      </c>
      <c r="E2163" s="9"/>
      <c r="F2163" s="32"/>
      <c r="G2163" s="10">
        <v>225914</v>
      </c>
      <c r="H2163" s="30" t="str">
        <f ca="1">IFERROR(__xludf.DUMMYFUNCTION("LOWER(REGEXREPLACE(B2163&amp;"" ""&amp;C2163,""[^а-яa-z0-9 ]"","" ""))")," роектор  cer  250i       300lm  5000 1          1920x1080 60 z  0 736 2 54m  20000hr  0 8kg   lack ")</f>
        <v xml:space="preserve"> роектор  cer  250i       300lm  5000 1          1920x1080 60 z  0 736 2 54m  20000hr  0 8kg   lack </v>
      </c>
    </row>
    <row r="2164" spans="1:8" ht="38.25" x14ac:dyDescent="0.2">
      <c r="A2164" s="31" t="s">
        <v>4970</v>
      </c>
      <c r="B2164" s="8" t="s">
        <v>4971</v>
      </c>
      <c r="C2164" s="27"/>
      <c r="D2164" s="33" t="s">
        <v>14</v>
      </c>
      <c r="E2164" s="9"/>
      <c r="F2164" s="32"/>
      <c r="G2164" s="10">
        <v>406718</v>
      </c>
      <c r="H2164" s="30" t="str">
        <f ca="1">IFERROR(__xludf.DUMMYFUNCTION("LOWER(REGEXREPLACE(B2164&amp;"" ""&amp;C2164,""[^а-яa-z0-9 ]"","" ""))")," роектор  pson      750       3400lm  16000 1       1920x1080  6000hr  0 76 7 62m  2 72kg ")</f>
        <v xml:space="preserve"> роектор  pson      750       3400lm  16000 1       1920x1080  6000hr  0 76 7 62m  2 72kg </v>
      </c>
    </row>
    <row r="2165" spans="1:8" ht="38.25" x14ac:dyDescent="0.2">
      <c r="A2165" s="31" t="s">
        <v>4972</v>
      </c>
      <c r="B2165" s="8" t="s">
        <v>4973</v>
      </c>
      <c r="C2165" s="27"/>
      <c r="D2165" s="33" t="s">
        <v>14</v>
      </c>
      <c r="E2165" s="9"/>
      <c r="F2165" s="32"/>
      <c r="G2165" s="10">
        <v>140032</v>
      </c>
      <c r="H2165" s="30" t="str">
        <f ca="1">IFERROR(__xludf.DUMMYFUNCTION("LOWER(REGEXREPLACE(B2165&amp;"" ""&amp;C2165,""[^а-яa-z0-9 ]"","" ""))")," роектор  ombica  ay  ox  6       4200lm  20000 1       1920x1080  30000hr  0 78 3 65m  2 42kg ")</f>
        <v xml:space="preserve"> роектор  ombica  ay  ox  6       4200lm  20000 1       1920x1080  30000hr  0 78 3 65m  2 42kg </v>
      </c>
    </row>
    <row r="2166" spans="1:8" ht="25.5" x14ac:dyDescent="0.2">
      <c r="A2166" s="31" t="s">
        <v>4974</v>
      </c>
      <c r="B2166" s="27" t="s">
        <v>4975</v>
      </c>
      <c r="C2166" s="27"/>
      <c r="D2166" s="33" t="s">
        <v>14</v>
      </c>
      <c r="E2166" s="9"/>
      <c r="F2166" s="32"/>
      <c r="G2166" s="10">
        <v>198794</v>
      </c>
      <c r="H2166" s="30" t="str">
        <f ca="1">IFERROR(__xludf.DUMMYFUNCTION("LOWER(REGEXREPLACE(B2166&amp;"" ""&amp;C2166,""[^а-яa-z0-9 ]"","" ""))")," роектор   pen   15       700lm  10000 1      1280x720  20000hr  0 6 2 54m      0 7kg ")</f>
        <v xml:space="preserve"> роектор   pen   15       700lm  10000 1      1280x720  20000hr  0 6 2 54m      0 7kg </v>
      </c>
    </row>
    <row r="2167" spans="1:8" ht="25.5" x14ac:dyDescent="0.2">
      <c r="A2167" s="31" t="s">
        <v>4976</v>
      </c>
      <c r="B2167" s="27" t="s">
        <v>4977</v>
      </c>
      <c r="C2167" s="27"/>
      <c r="D2167" s="33" t="s">
        <v>14</v>
      </c>
      <c r="E2167" s="9"/>
      <c r="F2167" s="32"/>
      <c r="G2167" s="10">
        <v>234954</v>
      </c>
      <c r="H2167" s="30" t="str">
        <f ca="1">IFERROR(__xludf.DUMMYFUNCTION("LOWER(REGEXREPLACE(B2167&amp;"" ""&amp;C2167,""[^а-яa-z0-9 ]"","" ""))")," роектор  cer  1355       5000lm  20000 1        1280x800  7 62m  5000hr  2 4kg ")</f>
        <v xml:space="preserve"> роектор  cer  1355       5000lm  20000 1        1280x800  7 62m  5000hr  2 4kg </v>
      </c>
    </row>
    <row r="2168" spans="1:8" ht="38.25" x14ac:dyDescent="0.2">
      <c r="A2168" s="31" t="s">
        <v>4978</v>
      </c>
      <c r="B2168" s="8" t="s">
        <v>4979</v>
      </c>
      <c r="C2168" s="27"/>
      <c r="D2168" s="33" t="s">
        <v>14</v>
      </c>
      <c r="E2168" s="9"/>
      <c r="F2168" s="32"/>
      <c r="G2168" s="10">
        <v>34732</v>
      </c>
      <c r="H2168" s="30" t="str">
        <f ca="1">IFERROR(__xludf.DUMMYFUNCTION("LOWER(REGEXREPLACE(B2168&amp;"" ""&amp;C2168,""[^а-яa-z0-9 ]"","" ""))")," роектор  ombica  ay  ini  lack       800lm  1000 1  320x240  30000hr  0 53 2 54m  0 33kg ")</f>
        <v xml:space="preserve"> роектор  ombica  ay  ini  lack       800lm  1000 1  320x240  30000hr  0 53 2 54m  0 33kg </v>
      </c>
    </row>
    <row r="2169" spans="1:8" ht="12.75" x14ac:dyDescent="0.2">
      <c r="A2169" s="7" t="s">
        <v>4980</v>
      </c>
      <c r="B2169" s="8"/>
      <c r="C2169" s="27"/>
      <c r="D2169" s="8"/>
      <c r="E2169" s="9"/>
      <c r="F2169" s="8"/>
      <c r="G2169" s="10"/>
      <c r="H2169" s="30" t="str">
        <f ca="1">IFERROR(__xludf.DUMMYFUNCTION("LOWER(REGEXREPLACE(B2169&amp;"" ""&amp;C2169,""[^а-яa-z0-9 ]"","" ""))")," ")</f>
        <v xml:space="preserve"> </v>
      </c>
    </row>
    <row r="2170" spans="1:8" x14ac:dyDescent="0.2">
      <c r="A2170" s="12" t="s">
        <v>4981</v>
      </c>
      <c r="B2170" s="8"/>
      <c r="C2170" s="27"/>
      <c r="D2170" s="8"/>
      <c r="E2170" s="9"/>
      <c r="F2170" s="8"/>
      <c r="G2170" s="10"/>
      <c r="H2170" s="30"/>
    </row>
    <row r="2171" spans="1:8" ht="12.75" x14ac:dyDescent="0.2">
      <c r="A2171" s="31" t="s">
        <v>4982</v>
      </c>
      <c r="B2171" s="27" t="s">
        <v>4983</v>
      </c>
      <c r="C2171" s="27"/>
      <c r="D2171" s="32"/>
      <c r="E2171" s="9"/>
      <c r="F2171" s="32"/>
      <c r="G2171" s="10"/>
      <c r="H2171" s="30" t="str">
        <f ca="1">IFERROR(__xludf.DUMMYFUNCTION("LOWER(REGEXREPLACE(B2171&amp;"" ""&amp;C2171,""[^а-яa-z0-9 ]"","" ""))")," ехнические средства обучения ")</f>
        <v xml:space="preserve"> ехнические средства обучения </v>
      </c>
    </row>
    <row r="2172" spans="1:8" ht="12.75" x14ac:dyDescent="0.2">
      <c r="A2172" s="31" t="s">
        <v>4984</v>
      </c>
      <c r="B2172" s="27" t="s">
        <v>4985</v>
      </c>
      <c r="C2172" s="27"/>
      <c r="D2172" s="33" t="s">
        <v>14</v>
      </c>
      <c r="E2172" s="9"/>
      <c r="F2172" s="32"/>
      <c r="G2172" s="10"/>
      <c r="H2172" s="30" t="str">
        <f ca="1">IFERROR(__xludf.DUMMYFUNCTION("LOWER(REGEXREPLACE(B2172&amp;"" ""&amp;C2172,""[^а-яa-z0-9 ]"","" ""))")," eb камера ")</f>
        <v xml:space="preserve"> eb камера </v>
      </c>
    </row>
    <row r="2173" spans="1:8" ht="25.5" x14ac:dyDescent="0.2">
      <c r="A2173" s="31" t="s">
        <v>4986</v>
      </c>
      <c r="B2173" s="27" t="s">
        <v>4987</v>
      </c>
      <c r="C2173" s="27"/>
      <c r="D2173" s="33" t="s">
        <v>14</v>
      </c>
      <c r="E2173" s="9"/>
      <c r="F2173" s="36">
        <v>0.12</v>
      </c>
      <c r="G2173" s="10">
        <v>10322</v>
      </c>
      <c r="H2173" s="30" t="str">
        <f ca="1">IFERROR(__xludf.DUMMYFUNCTION("LOWER(REGEXREPLACE(B2173&amp;"" ""&amp;C2173,""[^а-яa-z0-9 ]"","" ""))")," enius  ace am 1000       2 0  1280x720  1 0 px  микрофон  крепление  зажим ")</f>
        <v xml:space="preserve"> enius  ace am 1000       2 0  1280x720  1 0 px  микрофон  крепление  зажим </v>
      </c>
    </row>
    <row r="2174" spans="1:8" ht="25.5" x14ac:dyDescent="0.2">
      <c r="A2174" s="31" t="s">
        <v>4988</v>
      </c>
      <c r="B2174" s="27" t="s">
        <v>4989</v>
      </c>
      <c r="C2174" s="27"/>
      <c r="D2174" s="33" t="s">
        <v>14</v>
      </c>
      <c r="E2174" s="9"/>
      <c r="F2174" s="35">
        <v>0.2</v>
      </c>
      <c r="G2174" s="10">
        <v>14959</v>
      </c>
      <c r="H2174" s="30" t="str">
        <f ca="1">IFERROR(__xludf.DUMMYFUNCTION("LOWER(REGEXREPLACE(B2174&amp;"" ""&amp;C2174,""[^а-яa-z0-9 ]"","" ""))")," enovo  ssential      ebcam   ull    1080   2 megapixel           2 0 ")</f>
        <v xml:space="preserve"> enovo  ssential      ebcam   ull    1080   2 megapixel           2 0 </v>
      </c>
    </row>
    <row r="2175" spans="1:8" ht="25.5" x14ac:dyDescent="0.2">
      <c r="A2175" s="31" t="s">
        <v>4990</v>
      </c>
      <c r="B2175" s="8" t="s">
        <v>4991</v>
      </c>
      <c r="C2175" s="27"/>
      <c r="D2175" s="33" t="s">
        <v>14</v>
      </c>
      <c r="E2175" s="9"/>
      <c r="F2175" s="36">
        <v>0.16</v>
      </c>
      <c r="G2175" s="10">
        <v>17706</v>
      </c>
      <c r="H2175" s="30" t="str">
        <f ca="1">IFERROR(__xludf.DUMMYFUNCTION("LOWER(REGEXREPLACE(B2175&amp;"" ""&amp;C2175,""[^а-яa-z0-9 ]"","" ""))")," enius   am 6000      2 0  1920 x 1080  2 0 px  микрофон  крепление  зажим ")</f>
        <v xml:space="preserve"> enius   am 6000      2 0  1920 x 1080  2 0 px  микрофон  крепление  зажим </v>
      </c>
    </row>
    <row r="2176" spans="1:8" ht="25.5" x14ac:dyDescent="0.2">
      <c r="A2176" s="31" t="s">
        <v>4992</v>
      </c>
      <c r="B2176" s="27" t="s">
        <v>4993</v>
      </c>
      <c r="C2176" s="27"/>
      <c r="D2176" s="33" t="s">
        <v>14</v>
      </c>
      <c r="E2176" s="34">
        <v>2</v>
      </c>
      <c r="F2176" s="37">
        <v>9.5000000000000001E-2</v>
      </c>
      <c r="G2176" s="10">
        <v>8831</v>
      </c>
      <c r="H2176" s="30" t="str">
        <f ca="1">IFERROR(__xludf.DUMMYFUNCTION("LOWER(REGEXREPLACE(B2176&amp;"" ""&amp;C2176,""[^а-яa-z0-9 ]"","" ""))")," ogitech  270     720p 30fps  фокус постоянный  угол обзора 60   кабель 1 5м  ")</f>
        <v xml:space="preserve"> ogitech  270     720p 30fps  фокус постоянный  угол обзора 60   кабель 1 5м  </v>
      </c>
    </row>
    <row r="2177" spans="1:8" ht="12.75" x14ac:dyDescent="0.2">
      <c r="A2177" s="31" t="s">
        <v>4994</v>
      </c>
      <c r="B2177" s="27" t="s">
        <v>4995</v>
      </c>
      <c r="C2177" s="27"/>
      <c r="D2177" s="33" t="s">
        <v>14</v>
      </c>
      <c r="E2177" s="9"/>
      <c r="F2177" s="32"/>
      <c r="G2177" s="10"/>
      <c r="H2177" s="30" t="str">
        <f ca="1">IFERROR(__xludf.DUMMYFUNCTION("LOWER(REGEXREPLACE(B2177&amp;"" ""&amp;C2177,""[^а-яa-z0-9 ]"","" ""))")," нтерактивная доска или экран ")</f>
        <v xml:space="preserve"> нтерактивная доска или экран </v>
      </c>
    </row>
    <row r="2178" spans="1:8" ht="12.75" x14ac:dyDescent="0.2">
      <c r="A2178" s="31" t="s">
        <v>4996</v>
      </c>
      <c r="B2178" s="27" t="s">
        <v>4997</v>
      </c>
      <c r="C2178" s="27"/>
      <c r="D2178" s="33" t="s">
        <v>14</v>
      </c>
      <c r="E2178" s="9"/>
      <c r="F2178" s="32"/>
      <c r="G2178" s="10">
        <v>298286</v>
      </c>
      <c r="H2178" s="30" t="str">
        <f ca="1">IFERROR(__xludf.DUMMYFUNCTION("LOWER(REGEXREPLACE(B2178&amp;"" ""&amp;C2178,""[^а-яa-z0-9 ]"","" ""))")," нтерактивная доска 91  10 касаний ")</f>
        <v xml:space="preserve"> нтерактивная доска 91  10 касаний </v>
      </c>
    </row>
    <row r="2179" spans="1:8" ht="25.5" x14ac:dyDescent="0.2">
      <c r="A2179" s="31" t="s">
        <v>4998</v>
      </c>
      <c r="B2179" s="8" t="s">
        <v>4999</v>
      </c>
      <c r="C2179" s="27"/>
      <c r="D2179" s="33" t="s">
        <v>14</v>
      </c>
      <c r="E2179" s="9"/>
      <c r="F2179" s="32"/>
      <c r="G2179" s="10">
        <v>171665</v>
      </c>
      <c r="H2179" s="30" t="str">
        <f ca="1">IFERROR(__xludf.DUMMYFUNCTION("LOWER(REGEXREPLACE(B2179&amp;"" ""&amp;C2179,""[^а-яa-z0-9 ]"","" ""))")," нтерактивная доска          8287   без лотка  87   10 касаний ")</f>
        <v xml:space="preserve"> нтерактивная доска          8287   без лотка  87   10 касаний </v>
      </c>
    </row>
    <row r="2180" spans="1:8" ht="12.75" x14ac:dyDescent="0.2">
      <c r="A2180" s="31" t="s">
        <v>5000</v>
      </c>
      <c r="B2180" s="27" t="s">
        <v>5001</v>
      </c>
      <c r="C2180" s="27"/>
      <c r="D2180" s="33" t="s">
        <v>14</v>
      </c>
      <c r="E2180" s="9"/>
      <c r="F2180" s="32"/>
      <c r="G2180" s="10"/>
      <c r="H2180" s="30" t="str">
        <f ca="1">IFERROR(__xludf.DUMMYFUNCTION("LOWER(REGEXREPLACE(B2180&amp;"" ""&amp;C2180,""[^а-яa-z0-9 ]"","" ""))")," роектор ультракороткофокусный ")</f>
        <v xml:space="preserve"> роектор ультракороткофокусный </v>
      </c>
    </row>
    <row r="2181" spans="1:8" ht="51" x14ac:dyDescent="0.2">
      <c r="A2181" s="31" t="s">
        <v>5002</v>
      </c>
      <c r="B2181" s="8" t="s">
        <v>5003</v>
      </c>
      <c r="C2181" s="27"/>
      <c r="D2181" s="33" t="s">
        <v>14</v>
      </c>
      <c r="E2181" s="9"/>
      <c r="F2181" s="32"/>
      <c r="G2181" s="10">
        <v>763737</v>
      </c>
      <c r="H2181" s="30" t="str">
        <f ca="1">IFERROR(__xludf.DUMMYFUNCTION("LOWER(REGEXREPLACE(B2181&amp;"" ""&amp;C2181,""[^а-яa-z0-9 ]"","" ""))")," роектор  ptoma  340     разрешение      800 x 600   яркость 4000 лм  контрастность 22000 1  проекционное отношение 0 33 1 ")</f>
        <v xml:space="preserve"> роектор  ptoma  340     разрешение      800 x 600   яркость 4000 лм  контрастность 22000 1  проекционное отношение 0 33 1 </v>
      </c>
    </row>
    <row r="2182" spans="1:8" ht="12.75" x14ac:dyDescent="0.2">
      <c r="A2182" s="31" t="s">
        <v>5004</v>
      </c>
      <c r="B2182" s="27" t="s">
        <v>232</v>
      </c>
      <c r="C2182" s="27"/>
      <c r="D2182" s="33" t="s">
        <v>14</v>
      </c>
      <c r="E2182" s="9"/>
      <c r="F2182" s="32"/>
      <c r="G2182" s="10"/>
      <c r="H2182" s="30" t="str">
        <f ca="1">IFERROR(__xludf.DUMMYFUNCTION("LOWER(REGEXREPLACE(B2182&amp;"" ""&amp;C2182,""[^а-яa-z0-9 ]"","" ""))")," роектор ")</f>
        <v xml:space="preserve"> роектор </v>
      </c>
    </row>
    <row r="2183" spans="1:8" ht="51" x14ac:dyDescent="0.2">
      <c r="A2183" s="31" t="s">
        <v>5005</v>
      </c>
      <c r="B2183" s="8" t="s">
        <v>5006</v>
      </c>
      <c r="C2183" s="27"/>
      <c r="D2183" s="33" t="s">
        <v>14</v>
      </c>
      <c r="E2183" s="9"/>
      <c r="F2183" s="32"/>
      <c r="G2183" s="10">
        <v>306379</v>
      </c>
      <c r="H2183" s="30" t="str">
        <f ca="1">IFERROR(__xludf.DUMMYFUNCTION("LOWER(REGEXREPLACE(B2183&amp;"" ""&amp;C2183,""[^а-яa-z0-9 ]"","" ""))")," роектор  ptoma  381   разрешение      1024 x 768   яркость 3900 лм  контрастность 25 000 1  проекционное отношение 1 94 1   2 16 1 ")</f>
        <v xml:space="preserve"> роектор  ptoma  381   разрешение      1024 x 768   яркость 3900 лм  контрастность 25 000 1  проекционное отношение 1 94 1   2 16 1 </v>
      </c>
    </row>
    <row r="2184" spans="1:8" ht="12.75" x14ac:dyDescent="0.2">
      <c r="A2184" s="31" t="s">
        <v>5007</v>
      </c>
      <c r="B2184" s="27" t="s">
        <v>5008</v>
      </c>
      <c r="C2184" s="27"/>
      <c r="D2184" s="33" t="s">
        <v>14</v>
      </c>
      <c r="E2184" s="9"/>
      <c r="F2184" s="32"/>
      <c r="G2184" s="10"/>
      <c r="H2184" s="30" t="str">
        <f ca="1">IFERROR(__xludf.DUMMYFUNCTION("LOWER(REGEXREPLACE(B2184&amp;"" ""&amp;C2184,""[^а-яa-z0-9 ]"","" ""))")," кран большой проекционный ")</f>
        <v xml:space="preserve"> кран большой проекционный </v>
      </c>
    </row>
    <row r="2185" spans="1:8" ht="51" x14ac:dyDescent="0.2">
      <c r="A2185" s="31" t="s">
        <v>5009</v>
      </c>
      <c r="B2185" s="27" t="s">
        <v>5010</v>
      </c>
      <c r="C2185" s="27"/>
      <c r="D2185" s="33" t="s">
        <v>14</v>
      </c>
      <c r="E2185" s="9"/>
      <c r="F2185" s="32"/>
      <c r="G2185" s="10">
        <v>53138</v>
      </c>
      <c r="H2185" s="30" t="str">
        <f ca="1">IFERROR(__xludf.DUMMYFUNCTION("LOWER(REGEXREPLACE(B2185&amp;"" ""&amp;C2185,""[^а-яa-z0-9 ]"","" ""))")," кран моторизованный    screen    3100  полотно  atte  hite  радиопульт в комплекте  диагональ 100   формат 4 3  размер активной области полотна 1970 147 0мм ")</f>
        <v xml:space="preserve"> кран моторизованный    screen    3100  полотно  atte  hite  радиопульт в комплекте  диагональ 100   формат 4 3  размер активной области полотна 1970 147 0мм </v>
      </c>
    </row>
    <row r="2186" spans="1:8" ht="12.75" x14ac:dyDescent="0.2">
      <c r="A2186" s="31" t="s">
        <v>5011</v>
      </c>
      <c r="B2186" s="27" t="s">
        <v>5012</v>
      </c>
      <c r="C2186" s="27"/>
      <c r="D2186" s="33" t="s">
        <v>14</v>
      </c>
      <c r="E2186" s="9"/>
      <c r="F2186" s="32"/>
      <c r="G2186" s="10"/>
      <c r="H2186" s="30" t="str">
        <f ca="1">IFERROR(__xludf.DUMMYFUNCTION("LOWER(REGEXREPLACE(B2186&amp;"" ""&amp;C2186,""[^а-яa-z0-9 ]"","" ""))")," репление потолочное для проектора ")</f>
        <v xml:space="preserve"> репление потолочное для проектора </v>
      </c>
    </row>
    <row r="2187" spans="1:8" ht="12.75" x14ac:dyDescent="0.2">
      <c r="A2187" s="31" t="s">
        <v>5013</v>
      </c>
      <c r="B2187" s="27" t="s">
        <v>5014</v>
      </c>
      <c r="C2187" s="27"/>
      <c r="D2187" s="33" t="s">
        <v>14</v>
      </c>
      <c r="E2187" s="9"/>
      <c r="F2187" s="32"/>
      <c r="G2187" s="10">
        <v>10902</v>
      </c>
      <c r="H2187" s="30" t="str">
        <f ca="1">IFERROR(__xludf.DUMMYFUNCTION("LOWER(REGEXREPLACE(B2187&amp;"" ""&amp;C2187,""[^а-яa-z0-9 ]"","" ""))")," репление для проектора потолочное ")</f>
        <v xml:space="preserve"> репление для проектора потолочное </v>
      </c>
    </row>
    <row r="2188" spans="1:8" ht="25.5" x14ac:dyDescent="0.2">
      <c r="A2188" s="31" t="s">
        <v>5015</v>
      </c>
      <c r="B2188" s="27" t="s">
        <v>5016</v>
      </c>
      <c r="C2188" s="27"/>
      <c r="D2188" s="33" t="s">
        <v>14</v>
      </c>
      <c r="E2188" s="9"/>
      <c r="F2188" s="32"/>
      <c r="G2188" s="10">
        <v>9402</v>
      </c>
      <c r="H2188" s="30" t="str">
        <f ca="1">IFERROR(__xludf.DUMMYFUNCTION("LOWER(REGEXREPLACE(B2188&amp;"" ""&amp;C2188,""[^а-яa-z0-9 ]"","" ""))")," репление для проектора потолочное    mount 430 650 мм    01   ")</f>
        <v xml:space="preserve"> репление для проектора потолочное    mount 430 650 мм    01   </v>
      </c>
    </row>
    <row r="2189" spans="1:8" ht="25.5" x14ac:dyDescent="0.2">
      <c r="A2189" s="31" t="s">
        <v>5017</v>
      </c>
      <c r="B2189" s="27" t="s">
        <v>5018</v>
      </c>
      <c r="C2189" s="27"/>
      <c r="D2189" s="33" t="s">
        <v>14</v>
      </c>
      <c r="E2189" s="9"/>
      <c r="F2189" s="32"/>
      <c r="G2189" s="10">
        <v>5795</v>
      </c>
      <c r="H2189" s="30" t="str">
        <f ca="1">IFERROR(__xludf.DUMMYFUNCTION("LOWER(REGEXREPLACE(B2189&amp;"" ""&amp;C2189,""[^а-яa-z0-9 ]"","" ""))")," репление  паук  потолочное для проектора  rateck     2 ")</f>
        <v xml:space="preserve"> репление  паук  потолочное для проектора  rateck     2 </v>
      </c>
    </row>
    <row r="2190" spans="1:8" ht="25.5" x14ac:dyDescent="0.2">
      <c r="A2190" s="31" t="s">
        <v>5019</v>
      </c>
      <c r="B2190" s="27" t="s">
        <v>5020</v>
      </c>
      <c r="C2190" s="27"/>
      <c r="D2190" s="33" t="s">
        <v>14</v>
      </c>
      <c r="E2190" s="9"/>
      <c r="F2190" s="32"/>
      <c r="G2190" s="10">
        <v>6241</v>
      </c>
      <c r="H2190" s="30" t="str">
        <f ca="1">IFERROR(__xludf.DUMMYFUNCTION("LOWER(REGEXREPLACE(B2190&amp;"" ""&amp;C2190,""[^а-яa-z0-9 ]"","" ""))")," репление  паук  потолочное для проектора  rateck     2  ")</f>
        <v xml:space="preserve"> репление  паук  потолочное для проектора  rateck     2  </v>
      </c>
    </row>
    <row r="2191" spans="1:8" ht="25.5" x14ac:dyDescent="0.2">
      <c r="A2191" s="31" t="s">
        <v>5021</v>
      </c>
      <c r="B2191" s="27" t="s">
        <v>5022</v>
      </c>
      <c r="C2191" s="27"/>
      <c r="D2191" s="33" t="s">
        <v>14</v>
      </c>
      <c r="E2191" s="9"/>
      <c r="F2191" s="32"/>
      <c r="G2191" s="10">
        <v>15982</v>
      </c>
      <c r="H2191" s="30" t="str">
        <f ca="1">IFERROR(__xludf.DUMMYFUNCTION("LOWER(REGEXREPLACE(B2191&amp;"" ""&amp;C2191,""[^а-яa-z0-9 ]"","" ""))")," репление  паук  потолочное для проектора  eluxe       16 02  ")</f>
        <v xml:space="preserve"> репление  паук  потолочное для проектора  eluxe       16 02  </v>
      </c>
    </row>
    <row r="2192" spans="1:8" ht="25.5" x14ac:dyDescent="0.2">
      <c r="A2192" s="31" t="s">
        <v>5023</v>
      </c>
      <c r="B2192" s="27" t="s">
        <v>5024</v>
      </c>
      <c r="C2192" s="27"/>
      <c r="D2192" s="33" t="s">
        <v>14</v>
      </c>
      <c r="E2192" s="9"/>
      <c r="F2192" s="32"/>
      <c r="G2192" s="10">
        <v>5795</v>
      </c>
      <c r="H2192" s="30" t="str">
        <f ca="1">IFERROR(__xludf.DUMMYFUNCTION("LOWER(REGEXREPLACE(B2192&amp;"" ""&amp;C2192,""[^а-яa-z0-9 ]"","" ""))")," репление  паук  потолочное настенное для проектора  eluxe       2  ")</f>
        <v xml:space="preserve"> репление  паук  потолочное настенное для проектора  eluxe       2  </v>
      </c>
    </row>
    <row r="2193" spans="1:8" ht="38.25" x14ac:dyDescent="0.2">
      <c r="A2193" s="31" t="s">
        <v>5025</v>
      </c>
      <c r="B2193" s="27" t="s">
        <v>5026</v>
      </c>
      <c r="C2193" s="27"/>
      <c r="D2193" s="33" t="s">
        <v>14</v>
      </c>
      <c r="E2193" s="34">
        <v>1</v>
      </c>
      <c r="F2193" s="35">
        <v>5.4</v>
      </c>
      <c r="G2193" s="10">
        <v>153887</v>
      </c>
      <c r="H2193" s="30" t="str">
        <f ca="1">IFERROR(__xludf.DUMMYFUNCTION("LOWER(REGEXREPLACE(B2193&amp;"" ""&amp;C2193,""[^а-яa-z0-9 ]"","" ""))")," репление потолочное для проектора  максимальная нагрузка 25 кг  высота крепления 267 427 мм ")</f>
        <v xml:space="preserve"> репление потолочное для проектора  максимальная нагрузка 25 кг  высота крепления 267 427 мм </v>
      </c>
    </row>
    <row r="2194" spans="1:8" ht="12.75" x14ac:dyDescent="0.2">
      <c r="A2194" s="31" t="s">
        <v>5027</v>
      </c>
      <c r="B2194" s="27" t="s">
        <v>5028</v>
      </c>
      <c r="C2194" s="27"/>
      <c r="D2194" s="33" t="s">
        <v>14</v>
      </c>
      <c r="E2194" s="9"/>
      <c r="F2194" s="32"/>
      <c r="G2194" s="10"/>
      <c r="H2194" s="30" t="str">
        <f ca="1">IFERROR(__xludf.DUMMYFUNCTION("LOWER(REGEXREPLACE(B2194&amp;"" ""&amp;C2194,""[^а-яa-z0-9 ]"","" ""))")," репление настенное для проектора ")</f>
        <v xml:space="preserve"> репление настенное для проектора </v>
      </c>
    </row>
    <row r="2195" spans="1:8" ht="51" x14ac:dyDescent="0.2">
      <c r="A2195" s="31" t="s">
        <v>5029</v>
      </c>
      <c r="B2195" s="27" t="s">
        <v>5030</v>
      </c>
      <c r="C2195" s="27"/>
      <c r="D2195" s="33" t="s">
        <v>14</v>
      </c>
      <c r="E2195" s="9"/>
      <c r="F2195" s="32"/>
      <c r="G2195" s="10">
        <v>34250</v>
      </c>
      <c r="H2195" s="30" t="str">
        <f ca="1">IFERROR(__xludf.DUMMYFUNCTION("LOWER(REGEXREPLACE(B2195&amp;"" ""&amp;C2195,""[^а-яa-z0-9 ]"","" ""))")," репление для проектора настенное    mount     1500  вылет штанги от стены до 1500 мм  выдерживает до 15 кг  цвет белый  алюминий металл ")</f>
        <v xml:space="preserve"> репление для проектора настенное    mount     1500  вылет штанги от стены до 1500 мм  выдерживает до 15 кг  цвет белый  алюминий металл </v>
      </c>
    </row>
    <row r="2196" spans="1:8" ht="25.5" x14ac:dyDescent="0.2">
      <c r="A2196" s="31" t="s">
        <v>5031</v>
      </c>
      <c r="B2196" s="27" t="s">
        <v>5032</v>
      </c>
      <c r="C2196" s="27"/>
      <c r="D2196" s="33" t="s">
        <v>14</v>
      </c>
      <c r="E2196" s="9"/>
      <c r="F2196" s="32"/>
      <c r="G2196" s="10">
        <v>20527</v>
      </c>
      <c r="H2196" s="30" t="str">
        <f ca="1">IFERROR(__xludf.DUMMYFUNCTION("LOWER(REGEXREPLACE(B2196&amp;"" ""&amp;C2196,""[^а-яa-z0-9 ]"","" ""))")," репление  паук  настенное для проектора  rateck     16 03  ")</f>
        <v xml:space="preserve"> репление  паук  настенное для проектора  rateck     16 03  </v>
      </c>
    </row>
    <row r="2197" spans="1:8" ht="25.5" x14ac:dyDescent="0.2">
      <c r="A2197" s="31" t="s">
        <v>5033</v>
      </c>
      <c r="B2197" s="27" t="s">
        <v>5034</v>
      </c>
      <c r="C2197" s="27"/>
      <c r="D2197" s="33" t="s">
        <v>14</v>
      </c>
      <c r="E2197" s="9"/>
      <c r="F2197" s="32"/>
      <c r="G2197" s="10">
        <v>39196</v>
      </c>
      <c r="H2197" s="30" t="str">
        <f ca="1">IFERROR(__xludf.DUMMYFUNCTION("LOWER(REGEXREPLACE(B2197&amp;"" ""&amp;C2197,""[^а-яa-z0-9 ]"","" ""))")," репление  паук  настенное для проектора         2   до 10 кг   hite ")</f>
        <v xml:space="preserve"> репление  паук  настенное для проектора         2   до 10 кг   hite </v>
      </c>
    </row>
    <row r="2198" spans="1:8" ht="25.5" x14ac:dyDescent="0.2">
      <c r="A2198" s="31" t="s">
        <v>5035</v>
      </c>
      <c r="B2198" s="27" t="s">
        <v>5036</v>
      </c>
      <c r="C2198" s="27"/>
      <c r="D2198" s="33" t="s">
        <v>14</v>
      </c>
      <c r="E2198" s="9"/>
      <c r="F2198" s="32"/>
      <c r="G2198" s="10">
        <v>5795</v>
      </c>
      <c r="H2198" s="30" t="str">
        <f ca="1">IFERROR(__xludf.DUMMYFUNCTION("LOWER(REGEXREPLACE(B2198&amp;"" ""&amp;C2198,""[^а-яa-z0-9 ]"","" ""))")," репление  паук  настенное для проектора     2   до 20 кг   hite ")</f>
        <v xml:space="preserve"> репление  паук  настенное для проектора     2   до 20 кг   hite </v>
      </c>
    </row>
    <row r="2199" spans="1:8" ht="25.5" x14ac:dyDescent="0.2">
      <c r="A2199" s="31" t="s">
        <v>5037</v>
      </c>
      <c r="B2199" s="27" t="s">
        <v>5038</v>
      </c>
      <c r="C2199" s="27"/>
      <c r="D2199" s="33" t="s">
        <v>14</v>
      </c>
      <c r="E2199" s="9"/>
      <c r="F2199" s="32"/>
      <c r="G2199" s="10">
        <v>39196</v>
      </c>
      <c r="H2199" s="30" t="str">
        <f ca="1">IFERROR(__xludf.DUMMYFUNCTION("LOWER(REGEXREPLACE(B2199&amp;"" ""&amp;C2199,""[^а-яa-z0-9 ]"","" ""))")," репление  паук  настенный для проектора         3   до 10 кг   hite ")</f>
        <v xml:space="preserve"> репление  паук  настенный для проектора         3   до 10 кг   hite </v>
      </c>
    </row>
    <row r="2200" spans="1:8" ht="25.5" x14ac:dyDescent="0.2">
      <c r="A2200" s="31" t="s">
        <v>5039</v>
      </c>
      <c r="B2200" s="27" t="s">
        <v>5040</v>
      </c>
      <c r="C2200" s="27"/>
      <c r="D2200" s="33" t="s">
        <v>14</v>
      </c>
      <c r="E2200" s="9"/>
      <c r="F2200" s="32"/>
      <c r="G2200" s="10">
        <v>18894</v>
      </c>
      <c r="H2200" s="30" t="str">
        <f ca="1">IFERROR(__xludf.DUMMYFUNCTION("LOWER(REGEXREPLACE(B2200&amp;"" ""&amp;C2200,""[^а-яa-z0-9 ]"","" ""))")," репление настенное для проектора          all  040    lack ")</f>
        <v xml:space="preserve"> репление настенное для проектора          all  040    lack </v>
      </c>
    </row>
    <row r="2201" spans="1:8" ht="12.75" x14ac:dyDescent="0.2">
      <c r="A2201" s="31" t="s">
        <v>5041</v>
      </c>
      <c r="B2201" s="27" t="s">
        <v>5042</v>
      </c>
      <c r="C2201" s="27"/>
      <c r="D2201" s="33" t="s">
        <v>14</v>
      </c>
      <c r="E2201" s="9"/>
      <c r="F2201" s="32"/>
      <c r="G2201" s="10"/>
      <c r="H2201" s="30" t="str">
        <f ca="1">IFERROR(__xludf.DUMMYFUNCTION("LOWER(REGEXREPLACE(B2201&amp;"" ""&amp;C2201,""[^а-яa-z0-9 ]"","" ""))")," кустическая система ")</f>
        <v xml:space="preserve"> кустическая система </v>
      </c>
    </row>
    <row r="2202" spans="1:8" ht="25.5" x14ac:dyDescent="0.2">
      <c r="A2202" s="31" t="s">
        <v>5043</v>
      </c>
      <c r="B2202" s="8" t="s">
        <v>5044</v>
      </c>
      <c r="C2202" s="27"/>
      <c r="D2202" s="33" t="s">
        <v>14</v>
      </c>
      <c r="E2202" s="9"/>
      <c r="F2202" s="34">
        <v>3</v>
      </c>
      <c r="G2202" s="10">
        <v>12817</v>
      </c>
      <c r="H2202" s="30" t="str">
        <f ca="1">IFERROR(__xludf.DUMMYFUNCTION("LOWER(REGEXREPLACE(B2202&amp;"" ""&amp;C2202,""[^а-яa-z0-9 ]"","" ""))")," icrolab   106  10 т  2 5 т 2 5 т   выход 2     вход 3 5  ini ack ")</f>
        <v xml:space="preserve"> icrolab   106  10 т  2 5 т 2 5 т   выход 2     вход 3 5  ini ack </v>
      </c>
    </row>
    <row r="2203" spans="1:8" ht="25.5" x14ac:dyDescent="0.2">
      <c r="A2203" s="31" t="s">
        <v>5045</v>
      </c>
      <c r="B2203" s="27" t="s">
        <v>5046</v>
      </c>
      <c r="C2203" s="27"/>
      <c r="D2203" s="33" t="s">
        <v>14</v>
      </c>
      <c r="E2203" s="9"/>
      <c r="F2203" s="35">
        <v>3.5</v>
      </c>
      <c r="G2203" s="10">
        <v>12150</v>
      </c>
      <c r="H2203" s="30" t="str">
        <f ca="1">IFERROR(__xludf.DUMMYFUNCTION("LOWER(REGEXREPLACE(B2203&amp;"" ""&amp;C2203,""[^а-яa-z0-9 ]"","" ""))")," icrolab   111  12 т  3 т 2 6 т   выход 2     вход 3 5  ini ack  проводной пульт    ")</f>
        <v xml:space="preserve"> icrolab   111  12 т  3 т 2 6 т   выход 2     вход 3 5  ini ack  проводной пульт    </v>
      </c>
    </row>
    <row r="2204" spans="1:8" ht="25.5" x14ac:dyDescent="0.2">
      <c r="A2204" s="31" t="s">
        <v>5047</v>
      </c>
      <c r="B2204" s="8" t="s">
        <v>5048</v>
      </c>
      <c r="C2204" s="27"/>
      <c r="D2204" s="33" t="s">
        <v>14</v>
      </c>
      <c r="E2204" s="9"/>
      <c r="F2204" s="34">
        <v>3</v>
      </c>
      <c r="G2204" s="10">
        <v>9928</v>
      </c>
      <c r="H2204" s="30" t="str">
        <f ca="1">IFERROR(__xludf.DUMMYFUNCTION("LOWER(REGEXREPLACE(B2204&amp;"" ""&amp;C2204,""[^а-яa-z0-9 ]"","" ""))")," icrolab  100        10 т 2 5 т  2 5 т   выход      вход 3 5  ini ack ")</f>
        <v xml:space="preserve"> icrolab  100        10 т 2 5 т  2 5 т   выход      вход 3 5  ini ack </v>
      </c>
    </row>
    <row r="2205" spans="1:8" ht="25.5" x14ac:dyDescent="0.2">
      <c r="A2205" s="31" t="s">
        <v>5049</v>
      </c>
      <c r="B2205" s="8" t="s">
        <v>5050</v>
      </c>
      <c r="C2205" s="27"/>
      <c r="D2205" s="33" t="s">
        <v>14</v>
      </c>
      <c r="E2205" s="34">
        <v>1</v>
      </c>
      <c r="F2205" s="36">
        <v>0.04</v>
      </c>
      <c r="G2205" s="10">
        <v>1489</v>
      </c>
      <c r="H2205" s="30" t="str">
        <f ca="1">IFERROR(__xludf.DUMMYFUNCTION("LOWER(REGEXREPLACE(B2205&amp;"" ""&amp;C2205,""[^а-яa-z0-9 ]"","" ""))")," азъем акустический       мама   roel     3    ")</f>
        <v xml:space="preserve"> азъем акустический       мама   roel     3    </v>
      </c>
    </row>
    <row r="2206" spans="1:8" ht="25.5" x14ac:dyDescent="0.2">
      <c r="A2206" s="31" t="s">
        <v>5051</v>
      </c>
      <c r="B2206" s="8" t="s">
        <v>5052</v>
      </c>
      <c r="C2206" s="27"/>
      <c r="D2206" s="33" t="s">
        <v>14</v>
      </c>
      <c r="E2206" s="34">
        <v>1</v>
      </c>
      <c r="F2206" s="36">
        <v>0.04</v>
      </c>
      <c r="G2206" s="10">
        <v>1489</v>
      </c>
      <c r="H2206" s="30" t="str">
        <f ca="1">IFERROR(__xludf.DUMMYFUNCTION("LOWER(REGEXREPLACE(B2206&amp;"" ""&amp;C2206,""[^а-яa-z0-9 ]"","" ""))")," азъем акустический       папа   roel     3    ")</f>
        <v xml:space="preserve"> азъем акустический       папа   roel     3    </v>
      </c>
    </row>
    <row r="2207" spans="1:8" ht="51" x14ac:dyDescent="0.2">
      <c r="A2207" s="31" t="s">
        <v>5053</v>
      </c>
      <c r="B2207" s="8" t="s">
        <v>5054</v>
      </c>
      <c r="C2207" s="27"/>
      <c r="D2207" s="33" t="s">
        <v>14</v>
      </c>
      <c r="E2207" s="34">
        <v>2</v>
      </c>
      <c r="F2207" s="36">
        <v>2.71</v>
      </c>
      <c r="G2207" s="10">
        <v>8012</v>
      </c>
      <c r="H2207" s="30" t="str">
        <f ca="1">IFERROR(__xludf.DUMMYFUNCTION("LOWER(REGEXREPLACE(B2207&amp;"" ""&amp;C2207,""[^а-яa-z0-9 ]"","" ""))")," тойка для колонок напольная типа    013   аксимальная нагрузка  50 кг   ысота  990 2000мм   сновной материал  пластик   олщина трубки  7 мм ")</f>
        <v xml:space="preserve"> тойка для колонок напольная типа    013   аксимальная нагрузка  50 кг   ысота  990 2000мм   сновной материал  пластик   олщина трубки  7 мм </v>
      </c>
    </row>
    <row r="2208" spans="1:8" ht="25.5" x14ac:dyDescent="0.2">
      <c r="A2208" s="31" t="s">
        <v>5055</v>
      </c>
      <c r="B2208" s="27" t="s">
        <v>5056</v>
      </c>
      <c r="C2208" s="27"/>
      <c r="D2208" s="33" t="s">
        <v>14</v>
      </c>
      <c r="E2208" s="34">
        <v>2</v>
      </c>
      <c r="F2208" s="36">
        <v>1.74</v>
      </c>
      <c r="G2208" s="10">
        <v>9385</v>
      </c>
      <c r="H2208" s="30" t="str">
        <f ca="1">IFERROR(__xludf.DUMMYFUNCTION("LOWER(REGEXREPLACE(B2208&amp;"" ""&amp;C2208,""[^а-яa-z0-9 ]"","" ""))")," ронштейн регулируемый настенный для колонок типа    004 ")</f>
        <v xml:space="preserve"> ронштейн регулируемый настенный для колонок типа    004 </v>
      </c>
    </row>
    <row r="2209" spans="1:8" ht="38.25" x14ac:dyDescent="0.2">
      <c r="A2209" s="31" t="s">
        <v>5057</v>
      </c>
      <c r="B2209" s="27" t="s">
        <v>5058</v>
      </c>
      <c r="C2209" s="27"/>
      <c r="D2209" s="33" t="s">
        <v>14</v>
      </c>
      <c r="E2209" s="34">
        <v>2</v>
      </c>
      <c r="F2209" s="37">
        <v>2.0059999999999998</v>
      </c>
      <c r="G2209" s="10">
        <v>10210</v>
      </c>
      <c r="H2209" s="30" t="str">
        <f ca="1">IFERROR(__xludf.DUMMYFUNCTION("LOWER(REGEXREPLACE(B2209&amp;"" ""&amp;C2209,""[^а-яa-z0-9 ]"","" ""))")," тойка микрофонная напольная типа   135   ысота  880 1580 мм   атериал трубки из стали  основание из пластика ")</f>
        <v xml:space="preserve"> тойка микрофонная напольная типа   135   ысота  880 1580 мм   атериал трубки из стали  основание из пластика </v>
      </c>
    </row>
    <row r="2210" spans="1:8" ht="12.75" x14ac:dyDescent="0.2">
      <c r="A2210" s="31" t="s">
        <v>5059</v>
      </c>
      <c r="B2210" s="27" t="s">
        <v>5060</v>
      </c>
      <c r="C2210" s="27"/>
      <c r="D2210" s="33" t="s">
        <v>14</v>
      </c>
      <c r="E2210" s="34">
        <v>2</v>
      </c>
      <c r="F2210" s="36">
        <v>0.35</v>
      </c>
      <c r="G2210" s="10">
        <v>10433</v>
      </c>
      <c r="H2210" s="30" t="str">
        <f ca="1">IFERROR(__xludf.DUMMYFUNCTION("LOWER(REGEXREPLACE(B2210&amp;"" ""&amp;C2210,""[^а-яa-z0-9 ]"","" ""))")," икрофонно телефонная гарнитура ")</f>
        <v xml:space="preserve"> икрофонно телефонная гарнитура </v>
      </c>
    </row>
    <row r="2211" spans="1:8" ht="12.75" x14ac:dyDescent="0.2">
      <c r="A2211" s="31" t="s">
        <v>5061</v>
      </c>
      <c r="B2211" s="27" t="s">
        <v>5062</v>
      </c>
      <c r="C2211" s="27"/>
      <c r="D2211" s="33" t="s">
        <v>14</v>
      </c>
      <c r="E2211" s="9"/>
      <c r="F2211" s="32"/>
      <c r="G2211" s="10"/>
      <c r="H2211" s="30" t="str">
        <f ca="1">IFERROR(__xludf.DUMMYFUNCTION("LOWER(REGEXREPLACE(B2211&amp;"" ""&amp;C2211,""[^а-яa-z0-9 ]"","" ""))")," ногофункциональное устройство ")</f>
        <v xml:space="preserve"> ногофункциональное устройство </v>
      </c>
    </row>
    <row r="2212" spans="1:8" ht="25.5" x14ac:dyDescent="0.2">
      <c r="A2212" s="31" t="s">
        <v>5063</v>
      </c>
      <c r="B2212" s="27" t="s">
        <v>5064</v>
      </c>
      <c r="C2212" s="27"/>
      <c r="D2212" s="33" t="s">
        <v>14</v>
      </c>
      <c r="E2212" s="9"/>
      <c r="F2212" s="32"/>
      <c r="G2212" s="10">
        <v>85791</v>
      </c>
      <c r="H2212" s="30" t="str">
        <f ca="1">IFERROR(__xludf.DUMMYFUNCTION("LOWER(REGEXREPLACE(B2212&amp;"" ""&amp;C2212,""[^а-яa-z0-9 ]"","" ""))"),"        aser et 135a   4 print 600x600dpi 20ppm scan 600x600dpi           ")</f>
        <v xml:space="preserve">        aser et 135a   4 print 600x600dpi 20ppm scan 600x600dpi           </v>
      </c>
    </row>
    <row r="2213" spans="1:8" ht="25.5" x14ac:dyDescent="0.2">
      <c r="A2213" s="31" t="s">
        <v>5065</v>
      </c>
      <c r="B2213" s="27" t="s">
        <v>5066</v>
      </c>
      <c r="C2213" s="27"/>
      <c r="D2213" s="33" t="s">
        <v>14</v>
      </c>
      <c r="E2213" s="9"/>
      <c r="F2213" s="32"/>
      <c r="G2213" s="10">
        <v>103872</v>
      </c>
      <c r="H2213" s="30" t="str">
        <f ca="1">IFERROR(__xludf.DUMMYFUNCTION("LOWER(REGEXREPLACE(B2213&amp;"" ""&amp;C2213,""[^а-яa-z0-9 ]"","" ""))"),"        aser et  ro  130nw  print 600x600dpi  22ppm  scan 1200x1200dpi   i  i           ")</f>
        <v xml:space="preserve">        aser et  ro  130nw  print 600x600dpi  22ppm  scan 1200x1200dpi   i  i           </v>
      </c>
    </row>
    <row r="2214" spans="1:8" ht="25.5" x14ac:dyDescent="0.2">
      <c r="A2214" s="31" t="s">
        <v>5067</v>
      </c>
      <c r="B2214" s="27" t="s">
        <v>5068</v>
      </c>
      <c r="C2214" s="27"/>
      <c r="D2214" s="33" t="s">
        <v>14</v>
      </c>
      <c r="E2214" s="9"/>
      <c r="F2214" s="32"/>
      <c r="G2214" s="10">
        <v>117432</v>
      </c>
      <c r="H2214" s="30" t="str">
        <f ca="1">IFERROR(__xludf.DUMMYFUNCTION("LOWER(REGEXREPLACE(B2214&amp;"" ""&amp;C2214,""[^а-яa-z0-9 ]"","" ""))"),"     erox  205     4 print 1200x1200dpi  30ppm  scan 4800x4800dpi  tray250   i  i                ")</f>
        <v xml:space="preserve">     erox  205     4 print 1200x1200dpi  30ppm  scan 4800x4800dpi  tray250   i  i                </v>
      </c>
    </row>
    <row r="2215" spans="1:8" ht="25.5" x14ac:dyDescent="0.2">
      <c r="A2215" s="31" t="s">
        <v>5069</v>
      </c>
      <c r="B2215" s="27" t="s">
        <v>5070</v>
      </c>
      <c r="C2215" s="27"/>
      <c r="D2215" s="33" t="s">
        <v>14</v>
      </c>
      <c r="E2215" s="9"/>
      <c r="F2215" s="32"/>
      <c r="G2215" s="10">
        <v>153593</v>
      </c>
      <c r="H2215" s="30" t="str">
        <f ca="1">IFERROR(__xludf.DUMMYFUNCTION("LOWER(REGEXREPLACE(B2215&amp;"" ""&amp;C2215,""[^а-яa-z0-9 ]"","" ""))"),"        olor  aser 178nw   4  print 600x600dpi  18ppm  scan 600x600dpi                  i  i ")</f>
        <v xml:space="preserve">        olor  aser 178nw   4  print 600x600dpi  18ppm  scan 600x600dpi                  i  i </v>
      </c>
    </row>
    <row r="2216" spans="1:8" ht="38.25" x14ac:dyDescent="0.2">
      <c r="A2216" s="31" t="s">
        <v>5071</v>
      </c>
      <c r="B2216" s="27" t="s">
        <v>5072</v>
      </c>
      <c r="C2216" s="27"/>
      <c r="D2216" s="33" t="s">
        <v>14</v>
      </c>
      <c r="E2216" s="9"/>
      <c r="F2216" s="32"/>
      <c r="G2216" s="10">
        <v>271420</v>
      </c>
      <c r="H2216" s="30" t="str">
        <f ca="1">IFERROR(__xludf.DUMMYFUNCTION("LOWER(REGEXREPLACE(B2216&amp;"" ""&amp;C2216,""[^а-яa-z0-9 ]"","" ""))"),"     pson  850   4  print 5760x1440dpi  37 38ppm  scan 1200x2400dpi                tray 50 page ")</f>
        <v xml:space="preserve">     pson  850   4  print 5760x1440dpi  37 38ppm  scan 1200x2400dpi                tray 50 page </v>
      </c>
    </row>
    <row r="2217" spans="1:8" ht="25.5" x14ac:dyDescent="0.2">
      <c r="A2217" s="31" t="s">
        <v>5073</v>
      </c>
      <c r="B2217" s="8" t="s">
        <v>5074</v>
      </c>
      <c r="C2217" s="27"/>
      <c r="D2217" s="33" t="s">
        <v>14</v>
      </c>
      <c r="E2217" s="9"/>
      <c r="F2217" s="34">
        <v>14</v>
      </c>
      <c r="G2217" s="10">
        <v>251846</v>
      </c>
      <c r="H2217" s="30" t="str">
        <f ca="1">IFERROR(__xludf.DUMMYFUNCTION("LOWER(REGEXREPLACE(B2217&amp;"" ""&amp;C2217,""[^а-яa-z0-9 ]"","" ""))")," ногофункциональное устройство  4 ч б     aser et  ro     4103dw  rinter ")</f>
        <v xml:space="preserve"> ногофункциональное устройство  4 ч б     aser et  ro     4103dw  rinter </v>
      </c>
    </row>
    <row r="2218" spans="1:8" ht="25.5" x14ac:dyDescent="0.2">
      <c r="A2218" s="31" t="s">
        <v>5075</v>
      </c>
      <c r="B2218" s="27" t="s">
        <v>5076</v>
      </c>
      <c r="C2218" s="27"/>
      <c r="D2218" s="33" t="s">
        <v>14</v>
      </c>
      <c r="E2218" s="9"/>
      <c r="F2218" s="35">
        <v>18.7</v>
      </c>
      <c r="G2218" s="10">
        <v>260854</v>
      </c>
      <c r="H2218" s="30" t="str">
        <f ca="1">IFERROR(__xludf.DUMMYFUNCTION("LOWER(REGEXREPLACE(B2218&amp;"" ""&amp;C2218,""[^а-яa-z0-9 ]"","" ""))")," ногофункциональное устройство  4 цветной     olor  aser et  ro      283fdw  rntr ")</f>
        <v xml:space="preserve"> ногофункциональное устройство  4 цветной     olor  aser et  ro      283fdw  rntr </v>
      </c>
    </row>
    <row r="2219" spans="1:8" ht="25.5" x14ac:dyDescent="0.2">
      <c r="A2219" s="31" t="s">
        <v>5077</v>
      </c>
      <c r="B2219" s="27" t="s">
        <v>5078</v>
      </c>
      <c r="C2219" s="27"/>
      <c r="D2219" s="33" t="s">
        <v>14</v>
      </c>
      <c r="E2219" s="9"/>
      <c r="F2219" s="35">
        <v>79.599999999999994</v>
      </c>
      <c r="G2219" s="10">
        <v>2985891</v>
      </c>
      <c r="H2219" s="30" t="str">
        <f ca="1">IFERROR(__xludf.DUMMYFUNCTION("LOWER(REGEXREPLACE(B2219&amp;"" ""&amp;C2219,""[^а-яa-z0-9 ]"","" ""))")," ногофункциональное устройство  3 цветной     olor  aser et  nt      776dn  rntr ")</f>
        <v xml:space="preserve"> ногофункциональное устройство  3 цветной     olor  aser et  nt      776dn  rntr </v>
      </c>
    </row>
    <row r="2220" spans="1:8" ht="38.25" x14ac:dyDescent="0.2">
      <c r="A2220" s="31" t="s">
        <v>5079</v>
      </c>
      <c r="B2220" s="27" t="s">
        <v>5080</v>
      </c>
      <c r="C2220" s="27"/>
      <c r="D2220" s="33" t="s">
        <v>14</v>
      </c>
      <c r="E2220" s="9"/>
      <c r="F2220" s="34">
        <v>10</v>
      </c>
      <c r="G2220" s="10">
        <v>157404</v>
      </c>
      <c r="H2220" s="30" t="str">
        <f ca="1">IFERROR(__xludf.DUMMYFUNCTION("LOWER(REGEXREPLACE(B2220&amp;"" ""&amp;C2220,""[^а-яa-z0-9 ]"","" ""))")," ногофункциональное устройство  erox  225      4  тип печати   монохромный  scan        i  i ")</f>
        <v xml:space="preserve"> ногофункциональное устройство  erox  225      4  тип печати   монохромный  scan        i  i </v>
      </c>
    </row>
    <row r="2221" spans="1:8" ht="25.5" x14ac:dyDescent="0.2">
      <c r="A2221" s="31" t="s">
        <v>5081</v>
      </c>
      <c r="B2221" s="27" t="s">
        <v>5082</v>
      </c>
      <c r="C2221" s="27"/>
      <c r="D2221" s="33" t="s">
        <v>14</v>
      </c>
      <c r="E2221" s="9"/>
      <c r="F2221" s="35">
        <v>8.9</v>
      </c>
      <c r="G2221" s="10">
        <v>96722</v>
      </c>
      <c r="H2221" s="30" t="str">
        <f ca="1">IFERROR(__xludf.DUMMYFUNCTION("LOWER(REGEXREPLACE(B2221&amp;"" ""&amp;C2221,""[^а-яa-z0-9 ]"","" ""))")," ногофункциональное устройство  antum  6500   4  ч б  тип печати   лазерный  128  б ")</f>
        <v xml:space="preserve"> ногофункциональное устройство  antum  6500   4  ч б  тип печати   лазерный  128  б </v>
      </c>
    </row>
    <row r="2222" spans="1:8" ht="51" x14ac:dyDescent="0.2">
      <c r="A2222" s="31" t="s">
        <v>5083</v>
      </c>
      <c r="B2222" s="27" t="s">
        <v>5084</v>
      </c>
      <c r="C2222" s="27"/>
      <c r="D2222" s="33" t="s">
        <v>14</v>
      </c>
      <c r="E2222" s="9"/>
      <c r="F2222" s="35">
        <v>11.4</v>
      </c>
      <c r="G2222" s="10">
        <v>161909</v>
      </c>
      <c r="H2222" s="30" t="str">
        <f ca="1">IFERROR(__xludf.DUMMYFUNCTION("LOWER(REGEXREPLACE(B2222&amp;"" ""&amp;C2222,""[^а-яa-z0-9 ]"","" ""))")," ногофункциональное устройство     aser     138      4  ч б  тип печати   лазерный  20 стр мин  1200х 1200 dpi  128  б   i  i  irect   oogle  loud  rint      ")</f>
        <v xml:space="preserve"> ногофункциональное устройство     aser     138      4  ч б  тип печати   лазерный  20 стр мин  1200х 1200 dpi  128  б   i  i  irect   oogle  loud  rint      </v>
      </c>
    </row>
    <row r="2223" spans="1:8" ht="51" x14ac:dyDescent="0.2">
      <c r="A2223" s="31" t="s">
        <v>5085</v>
      </c>
      <c r="B2223" s="27" t="s">
        <v>5086</v>
      </c>
      <c r="C2223" s="27"/>
      <c r="D2223" s="33" t="s">
        <v>14</v>
      </c>
      <c r="E2223" s="9"/>
      <c r="F2223" s="35">
        <v>15.2</v>
      </c>
      <c r="G2223" s="10">
        <v>296814</v>
      </c>
      <c r="H2223" s="30" t="str">
        <f ca="1">IFERROR(__xludf.DUMMYFUNCTION("LOWER(REGEXREPLACE(B2223&amp;"" ""&amp;C2223,""[^а-яa-z0-9 ]"","" ""))")," ногофункциональное устройство     aser et  ro 4104fdn   4  тип печати   монохромный  1200х 1200 dpi  512  б     e rint   oogle  loud  rint      ")</f>
        <v xml:space="preserve"> ногофункциональное устройство     aser et  ro 4104fdn   4  тип печати   монохромный  1200х 1200 dpi  512  б     e rint   oogle  loud  rint      </v>
      </c>
    </row>
    <row r="2224" spans="1:8" ht="51" x14ac:dyDescent="0.2">
      <c r="A2224" s="31" t="s">
        <v>5087</v>
      </c>
      <c r="B2224" s="8" t="s">
        <v>5088</v>
      </c>
      <c r="C2224" s="27"/>
      <c r="D2224" s="33" t="s">
        <v>14</v>
      </c>
      <c r="E2224" s="9"/>
      <c r="F2224" s="35">
        <v>14.7</v>
      </c>
      <c r="G2224" s="10">
        <v>247953</v>
      </c>
      <c r="H2224" s="30" t="str">
        <f ca="1">IFERROR(__xludf.DUMMYFUNCTION("LOWER(REGEXREPLACE(B2224&amp;"" ""&amp;C2224,""[^а-яa-z0-9 ]"","" ""))")," ногофункциональное устройство  erox  315      4  ч б  тип печати  лазерный  42 стр мин  1  z  512       5e 6      2 0  10 100  thernet   i  i ")</f>
        <v xml:space="preserve"> ногофункциональное устройство  erox  315      4  ч б  тип печати  лазерный  42 стр мин  1  z  512       5e 6      2 0  10 100  thernet   i  i </v>
      </c>
    </row>
    <row r="2225" spans="1:8" ht="63.75" x14ac:dyDescent="0.2">
      <c r="A2225" s="31" t="s">
        <v>5089</v>
      </c>
      <c r="B2225" s="27" t="s">
        <v>5090</v>
      </c>
      <c r="C2225" s="27"/>
      <c r="D2225" s="33" t="s">
        <v>14</v>
      </c>
      <c r="E2225" s="9"/>
      <c r="F2225" s="35">
        <v>40.5</v>
      </c>
      <c r="G2225" s="10">
        <v>665527</v>
      </c>
      <c r="H2225" s="30" t="str">
        <f ca="1">IFERROR(__xludf.DUMMYFUNCTION("LOWER(REGEXREPLACE(B2225&amp;"" ""&amp;C2225,""[^а-яa-z0-9 ]"","" ""))")," ногофункциональное устройство  erox  ersa ink  405     4  цветной  тип печати лазерный  35 35 стр мин  1 05  z  ual ore  2       5c 6   ost cript 3      3 0   igabit  thetnet      ")</f>
        <v xml:space="preserve"> ногофункциональное устройство  erox  ersa ink  405     4  цветной  тип печати лазерный  35 35 стр мин  1 05  z  ual ore  2       5c 6   ost cript 3      3 0   igabit  thetnet      </v>
      </c>
    </row>
    <row r="2226" spans="1:8" ht="51" x14ac:dyDescent="0.2">
      <c r="A2226" s="31" t="s">
        <v>5091</v>
      </c>
      <c r="B2226" s="27" t="s">
        <v>5092</v>
      </c>
      <c r="C2226" s="27"/>
      <c r="D2226" s="33" t="s">
        <v>14</v>
      </c>
      <c r="E2226" s="9"/>
      <c r="F2226" s="34">
        <v>14</v>
      </c>
      <c r="G2226" s="10">
        <v>261918</v>
      </c>
      <c r="H2226" s="30" t="str">
        <f ca="1">IFERROR(__xludf.DUMMYFUNCTION("LOWER(REGEXREPLACE(B2226&amp;"" ""&amp;C2226,""[^а-яa-z0-9 ]"","" ""))")," ногофункциональный принтер  erox  305      4  тип печати   монохромный  600x600dpi  качество изображения 2400  scan 600x600dpi   thernet      2 0   ireless ")</f>
        <v xml:space="preserve"> ногофункциональный принтер  erox  305      4  тип печати   монохромный  600x600dpi  качество изображения 2400  scan 600x600dpi   thernet      2 0   ireless </v>
      </c>
    </row>
    <row r="2227" spans="1:8" ht="51" x14ac:dyDescent="0.2">
      <c r="A2227" s="31" t="s">
        <v>5093</v>
      </c>
      <c r="B2227" s="8" t="s">
        <v>5094</v>
      </c>
      <c r="C2227" s="27"/>
      <c r="D2227" s="33" t="s">
        <v>14</v>
      </c>
      <c r="E2227" s="9"/>
      <c r="F2227" s="34">
        <v>7</v>
      </c>
      <c r="G2227" s="10">
        <v>125923</v>
      </c>
      <c r="H2227" s="30" t="str">
        <f ca="1">IFERROR(__xludf.DUMMYFUNCTION("LOWER(REGEXREPLACE(B2227&amp;"" ""&amp;C2227,""[^а-яa-z0-9 ]"","" ""))")," ногофункциональное устройство    5  15   aser     135r  rinter   4   rinter  canner  opier  1200 dpi  20 ppm  128     600   z ")</f>
        <v xml:space="preserve"> ногофункциональное устройство    5  15   aser     135r  rinter   4   rinter  canner  opier  1200 dpi  20 ppm  128     600   z </v>
      </c>
    </row>
    <row r="2228" spans="1:8" ht="51" x14ac:dyDescent="0.2">
      <c r="A2228" s="31" t="s">
        <v>5095</v>
      </c>
      <c r="B2228" s="8" t="s">
        <v>5096</v>
      </c>
      <c r="C2228" s="27"/>
      <c r="D2228" s="33" t="s">
        <v>14</v>
      </c>
      <c r="E2228" s="34">
        <v>2</v>
      </c>
      <c r="F2228" s="35">
        <v>14.7</v>
      </c>
      <c r="G2228" s="10">
        <v>189010</v>
      </c>
      <c r="H2228" s="30" t="str">
        <f ca="1">IFERROR(__xludf.DUMMYFUNCTION("LOWER(REGEXREPLACE(B2228&amp;"" ""&amp;C2228,""[^а-яa-z0-9 ]"","" ""))"),"     antum   5100    ч рно белая  корость печати 40 стр  мин   4  42 стр  мин   etter      макс 99стр цвет скан  i  i ")</f>
        <v xml:space="preserve">     antum   5100    ч рно белая  корость печати 40 стр  мин   4  42 стр  мин   etter      макс 99стр цвет скан  i  i </v>
      </c>
    </row>
    <row r="2229" spans="1:8" ht="38.25" x14ac:dyDescent="0.2">
      <c r="A2229" s="31" t="s">
        <v>5097</v>
      </c>
      <c r="B2229" s="27" t="s">
        <v>5098</v>
      </c>
      <c r="C2229" s="27"/>
      <c r="D2229" s="33" t="s">
        <v>14</v>
      </c>
      <c r="E2229" s="34">
        <v>2</v>
      </c>
      <c r="F2229" s="34">
        <v>78</v>
      </c>
      <c r="G2229" s="10">
        <v>1970400</v>
      </c>
      <c r="H2229" s="30" t="str">
        <f ca="1">IFERROR(__xludf.DUMMYFUNCTION("LOWER(REGEXREPLACE(B2229&amp;"" ""&amp;C2229,""[^а-яa-z0-9 ]"","" ""))"),"     antum   270     корость печати копир   25 страниц в минуту цвет скан макс объ м 37 тыс  отпечатков в месяц ")</f>
        <v xml:space="preserve">     antum   270     корость печати копир   25 страниц в минуту цвет скан макс объ м 37 тыс  отпечатков в месяц </v>
      </c>
    </row>
    <row r="2230" spans="1:8" ht="25.5" x14ac:dyDescent="0.2">
      <c r="A2230" s="31" t="s">
        <v>5099</v>
      </c>
      <c r="B2230" s="8" t="s">
        <v>5100</v>
      </c>
      <c r="C2230" s="27"/>
      <c r="D2230" s="33" t="s">
        <v>14</v>
      </c>
      <c r="E2230" s="34">
        <v>2</v>
      </c>
      <c r="F2230" s="35">
        <v>6.3</v>
      </c>
      <c r="G2230" s="10">
        <v>149259</v>
      </c>
      <c r="H2230" s="30" t="str">
        <f ca="1">IFERROR(__xludf.DUMMYFUNCTION("LOWER(REGEXREPLACE(B2230&amp;"" ""&amp;C2230,""[^а-яa-z0-9 ]"","" ""))"),"     pson  2110   4  15 ppm 1440 x 720 dpi            tray 150 ")</f>
        <v xml:space="preserve">     pson  2110   4  15 ppm 1440 x 720 dpi            tray 150 </v>
      </c>
    </row>
    <row r="2231" spans="1:8" ht="38.25" x14ac:dyDescent="0.2">
      <c r="A2231" s="31" t="s">
        <v>5101</v>
      </c>
      <c r="B2231" s="8" t="s">
        <v>5102</v>
      </c>
      <c r="C2231" s="27"/>
      <c r="D2231" s="33" t="s">
        <v>14</v>
      </c>
      <c r="E2231" s="34">
        <v>2</v>
      </c>
      <c r="F2231" s="35">
        <v>9.1999999999999993</v>
      </c>
      <c r="G2231" s="10">
        <v>244645</v>
      </c>
      <c r="H2231" s="30" t="str">
        <f ca="1">IFERROR(__xludf.DUMMYFUNCTION("LOWER(REGEXREPLACE(B2231&amp;"" ""&amp;C2231,""[^а-яa-z0-9 ]"","" ""))"),"     pson  3170   4  20ppm 1200 x 2400dpi                  i  i  tray 250  duplex ")</f>
        <v xml:space="preserve">     pson  3170   4  20ppm 1200 x 2400dpi                  i  i  tray 250  duplex </v>
      </c>
    </row>
    <row r="2232" spans="1:8" ht="25.5" x14ac:dyDescent="0.2">
      <c r="A2232" s="31" t="s">
        <v>5103</v>
      </c>
      <c r="B2232" s="27" t="s">
        <v>5104</v>
      </c>
      <c r="C2232" s="27"/>
      <c r="D2232" s="33" t="s">
        <v>14</v>
      </c>
      <c r="E2232" s="34">
        <v>2</v>
      </c>
      <c r="F2232" s="34">
        <v>21</v>
      </c>
      <c r="G2232" s="10">
        <v>674759</v>
      </c>
      <c r="H2232" s="30" t="str">
        <f ca="1">IFERROR(__xludf.DUMMYFUNCTION("LOWER(REGEXREPLACE(B2232&amp;"" ""&amp;C2232,""[^а-яa-z0-9 ]"","" ""))"),"     4 цветное  pson  6570 25 25     4800x2400 dpi            i  i  duplex ")</f>
        <v xml:space="preserve">     4 цветное  pson  6570 25 25     4800x2400 dpi            i  i  duplex </v>
      </c>
    </row>
    <row r="2233" spans="1:8" ht="25.5" x14ac:dyDescent="0.2">
      <c r="A2233" s="31" t="s">
        <v>5105</v>
      </c>
      <c r="B2233" s="27" t="s">
        <v>5106</v>
      </c>
      <c r="C2233" s="27"/>
      <c r="D2233" s="33" t="s">
        <v>14</v>
      </c>
      <c r="E2233" s="34">
        <v>2</v>
      </c>
      <c r="F2233" s="34">
        <v>21</v>
      </c>
      <c r="G2233" s="10">
        <v>746290</v>
      </c>
      <c r="H2233" s="30" t="str">
        <f ca="1">IFERROR(__xludf.DUMMYFUNCTION("LOWER(REGEXREPLACE(B2233&amp;"" ""&amp;C2233,""[^а-яa-z0-9 ]"","" ""))"),"     4 цветное  pson  6580 25 25     4800x2400 dpi            i  i  duplex      ")</f>
        <v xml:space="preserve">     4 цветное  pson  6580 25 25     4800x2400 dpi            i  i  duplex      </v>
      </c>
    </row>
    <row r="2234" spans="1:8" ht="25.5" x14ac:dyDescent="0.2">
      <c r="A2234" s="31" t="s">
        <v>5107</v>
      </c>
      <c r="B2234" s="8" t="s">
        <v>5108</v>
      </c>
      <c r="C2234" s="27"/>
      <c r="D2234" s="33" t="s">
        <v>14</v>
      </c>
      <c r="E2234" s="34">
        <v>2</v>
      </c>
      <c r="F2234" s="35">
        <v>7.9</v>
      </c>
      <c r="G2234" s="10">
        <v>211082</v>
      </c>
      <c r="H2234" s="30" t="str">
        <f ca="1">IFERROR(__xludf.DUMMYFUNCTION("LOWER(REGEXREPLACE(B2234&amp;"" ""&amp;C2234,""[^а-яa-z0-9 ]"","" ""))"),"     pson  2170   4  20ppm 1200 x 2400dpi             i  i  tray 250  duplex ")</f>
        <v xml:space="preserve">     pson  2170   4  20ppm 1200 x 2400dpi             i  i  tray 250  duplex </v>
      </c>
    </row>
    <row r="2235" spans="1:8" ht="25.5" x14ac:dyDescent="0.2">
      <c r="A2235" s="31" t="s">
        <v>5109</v>
      </c>
      <c r="B2235" s="27" t="s">
        <v>5110</v>
      </c>
      <c r="C2235" s="27"/>
      <c r="D2235" s="33" t="s">
        <v>14</v>
      </c>
      <c r="E2235" s="34">
        <v>2</v>
      </c>
      <c r="F2235" s="35">
        <v>9.6</v>
      </c>
      <c r="G2235" s="10">
        <v>351501</v>
      </c>
      <c r="H2235" s="30" t="str">
        <f ca="1">IFERROR(__xludf.DUMMYFUNCTION("LOWER(REGEXREPLACE(B2235&amp;"" ""&amp;C2235,""[^а-яa-z0-9 ]"","" ""))"),"     4 цветное  pson  6490 17 9 5     4800x2400 dpi            i  i  duplex ")</f>
        <v xml:space="preserve">     4 цветное  pson  6490 17 9 5     4800x2400 dpi            i  i  duplex </v>
      </c>
    </row>
    <row r="2236" spans="1:8" ht="38.25" x14ac:dyDescent="0.2">
      <c r="A2236" s="31" t="s">
        <v>5111</v>
      </c>
      <c r="B2236" s="27" t="s">
        <v>5112</v>
      </c>
      <c r="C2236" s="27"/>
      <c r="D2236" s="33" t="s">
        <v>14</v>
      </c>
      <c r="E2236" s="34">
        <v>2</v>
      </c>
      <c r="F2236" s="34">
        <v>119</v>
      </c>
      <c r="G2236" s="10">
        <v>4420358</v>
      </c>
      <c r="H2236" s="30" t="str">
        <f ca="1">IFERROR(__xludf.DUMMYFUNCTION("LOWER(REGEXREPLACE(B2236&amp;"" ""&amp;C2236,""[^а-яa-z0-9 ]"","" ""))"),"     3 цветное  pson  ork orce  nterprise      4000 40 40     600 x 2400 dpi           duplex ")</f>
        <v xml:space="preserve">     3 цветное  pson  ork orce  nterprise      4000 40 40     600 x 2400 dpi           duplex </v>
      </c>
    </row>
    <row r="2237" spans="1:8" ht="38.25" x14ac:dyDescent="0.2">
      <c r="A2237" s="31" t="s">
        <v>5113</v>
      </c>
      <c r="B2237" s="27" t="s">
        <v>5114</v>
      </c>
      <c r="C2237" s="27"/>
      <c r="D2237" s="33" t="s">
        <v>14</v>
      </c>
      <c r="E2237" s="34">
        <v>2</v>
      </c>
      <c r="F2237" s="34">
        <v>119</v>
      </c>
      <c r="G2237" s="10">
        <v>4946685</v>
      </c>
      <c r="H2237" s="30" t="str">
        <f ca="1">IFERROR(__xludf.DUMMYFUNCTION("LOWER(REGEXREPLACE(B2237&amp;"" ""&amp;C2237,""[^а-яa-z0-9 ]"","" ""))"),"     3 цветное  pson  ork orce  nterprise      5000 50 50     600 x 2400 dpi           duplex ")</f>
        <v xml:space="preserve">     3 цветное  pson  ork orce  nterprise      5000 50 50     600 x 2400 dpi           duplex </v>
      </c>
    </row>
    <row r="2238" spans="1:8" ht="38.25" x14ac:dyDescent="0.2">
      <c r="A2238" s="31" t="s">
        <v>5115</v>
      </c>
      <c r="B2238" s="27" t="s">
        <v>5116</v>
      </c>
      <c r="C2238" s="27"/>
      <c r="D2238" s="33" t="s">
        <v>14</v>
      </c>
      <c r="E2238" s="34">
        <v>2</v>
      </c>
      <c r="F2238" s="34">
        <v>119</v>
      </c>
      <c r="G2238" s="10">
        <v>5539244</v>
      </c>
      <c r="H2238" s="30" t="str">
        <f ca="1">IFERROR(__xludf.DUMMYFUNCTION("LOWER(REGEXREPLACE(B2238&amp;"" ""&amp;C2238,""[^а-яa-z0-9 ]"","" ""))"),"     3 цветное  pson  ork orce  nterprise      6000 60 60     600 x 2400 dpi           duplex ")</f>
        <v xml:space="preserve">     3 цветное  pson  ork orce  nterprise      6000 60 60     600 x 2400 dpi           duplex </v>
      </c>
    </row>
    <row r="2239" spans="1:8" ht="51" x14ac:dyDescent="0.2">
      <c r="A2239" s="31" t="s">
        <v>5117</v>
      </c>
      <c r="B2239" s="8" t="s">
        <v>5118</v>
      </c>
      <c r="C2239" s="27"/>
      <c r="D2239" s="33" t="s">
        <v>14</v>
      </c>
      <c r="E2239" s="34">
        <v>2</v>
      </c>
      <c r="F2239" s="34">
        <v>211</v>
      </c>
      <c r="G2239" s="10">
        <v>6670847</v>
      </c>
      <c r="H2239" s="30" t="str">
        <f ca="1">IFERROR(__xludf.DUMMYFUNCTION("LOWER(REGEXREPLACE(B2239&amp;"" ""&amp;C2239,""[^а-яa-z0-9 ]"","" ""))"),"     3 цветное  pson  ork orce  nterprise  ork orce  nterprise      20750  4   75 75     600 x 2400 dpi           duplex ")</f>
        <v xml:space="preserve">     3 цветное  pson  ork orce  nterprise  ork orce  nterprise      20750  4   75 75     600 x 2400 dpi           duplex </v>
      </c>
    </row>
    <row r="2240" spans="1:8" ht="51" x14ac:dyDescent="0.2">
      <c r="A2240" s="31" t="s">
        <v>5119</v>
      </c>
      <c r="B2240" s="8" t="s">
        <v>5120</v>
      </c>
      <c r="C2240" s="27"/>
      <c r="D2240" s="33" t="s">
        <v>14</v>
      </c>
      <c r="E2240" s="34">
        <v>2</v>
      </c>
      <c r="F2240" s="34">
        <v>211</v>
      </c>
      <c r="G2240" s="10">
        <v>9090537</v>
      </c>
      <c r="H2240" s="30" t="str">
        <f ca="1">IFERROR(__xludf.DUMMYFUNCTION("LOWER(REGEXREPLACE(B2240&amp;"" ""&amp;C2240,""[^а-яa-z0-9 ]"","" ""))"),"     3 цветное  pson  ork orce  nterprise  ork orce  nterprise      21000  4   100 100     600 x 2400 dpi           duplex ")</f>
        <v xml:space="preserve">     3 цветное  pson  ork orce  nterprise  ork orce  nterprise      21000  4   100 100     600 x 2400 dpi           duplex </v>
      </c>
    </row>
    <row r="2241" spans="1:8" ht="51" x14ac:dyDescent="0.2">
      <c r="A2241" s="31" t="s">
        <v>5121</v>
      </c>
      <c r="B2241" s="8" t="s">
        <v>5122</v>
      </c>
      <c r="C2241" s="27"/>
      <c r="D2241" s="33" t="s">
        <v>14</v>
      </c>
      <c r="E2241" s="34">
        <v>2</v>
      </c>
      <c r="F2241" s="34">
        <v>211</v>
      </c>
      <c r="G2241" s="10">
        <v>9343987</v>
      </c>
      <c r="H2241" s="30" t="str">
        <f ca="1">IFERROR(__xludf.DUMMYFUNCTION("LOWER(REGEXREPLACE(B2241&amp;"" ""&amp;C2241,""[^а-яa-z0-9 ]"","" ""))"),"     3 монохромное  pson  ork orce  nterprise  ork orce  nterprise      21000  4   100 100     600 x 2400 dpi           duplex ")</f>
        <v xml:space="preserve">     3 монохромное  pson  ork orce  nterprise  ork orce  nterprise      21000  4   100 100     600 x 2400 dpi           duplex </v>
      </c>
    </row>
    <row r="2242" spans="1:8" ht="38.25" x14ac:dyDescent="0.2">
      <c r="A2242" s="31" t="s">
        <v>5123</v>
      </c>
      <c r="B2242" s="8" t="s">
        <v>5124</v>
      </c>
      <c r="C2242" s="27"/>
      <c r="D2242" s="33" t="s">
        <v>14</v>
      </c>
      <c r="E2242" s="34">
        <v>2</v>
      </c>
      <c r="F2242" s="35">
        <v>91.8</v>
      </c>
      <c r="G2242" s="10">
        <v>1246397</v>
      </c>
      <c r="H2242" s="30" t="str">
        <f ca="1">IFERROR(__xludf.DUMMYFUNCTION("LOWER(REGEXREPLACE(B2242&amp;"" ""&amp;C2242,""[^а-яa-z0-9 ]"","" ""))"),"     3 цветное  pson      878      24 24     4800x2400 dpi            i  i  duplex      ")</f>
        <v xml:space="preserve">     3 цветное  pson      878      24 24     4800x2400 dpi            i  i  duplex      </v>
      </c>
    </row>
    <row r="2243" spans="1:8" ht="38.25" x14ac:dyDescent="0.2">
      <c r="A2243" s="31" t="s">
        <v>5125</v>
      </c>
      <c r="B2243" s="8" t="s">
        <v>5126</v>
      </c>
      <c r="C2243" s="27"/>
      <c r="D2243" s="33" t="s">
        <v>14</v>
      </c>
      <c r="E2243" s="34">
        <v>2</v>
      </c>
      <c r="F2243" s="35">
        <v>111.6</v>
      </c>
      <c r="G2243" s="10">
        <v>2383021</v>
      </c>
      <c r="H2243" s="30" t="str">
        <f ca="1">IFERROR(__xludf.DUMMYFUNCTION("LOWER(REGEXREPLACE(B2243&amp;"" ""&amp;C2243,""[^а-яa-z0-9 ]"","" ""))"),"     3 цветное  pson      879      25 25     4800x2400 dpi            i  i  duplex      ")</f>
        <v xml:space="preserve">     3 цветное  pson      879      25 25     4800x2400 dpi            i  i  duplex      </v>
      </c>
    </row>
    <row r="2244" spans="1:8" ht="25.5" x14ac:dyDescent="0.2">
      <c r="A2244" s="31" t="s">
        <v>5127</v>
      </c>
      <c r="B2244" s="8" t="s">
        <v>5128</v>
      </c>
      <c r="C2244" s="27"/>
      <c r="D2244" s="33" t="s">
        <v>14</v>
      </c>
      <c r="E2244" s="34">
        <v>2</v>
      </c>
      <c r="F2244" s="34">
        <v>24</v>
      </c>
      <c r="G2244" s="10">
        <v>1016530</v>
      </c>
      <c r="H2244" s="30" t="str">
        <f ca="1">IFERROR(__xludf.DUMMYFUNCTION("LOWER(REGEXREPLACE(B2244&amp;"" ""&amp;C2244,""[^а-яa-z0-9 ]"","" ""))"),"     3 цветное  pson 15180 25 25     4800x2400 dpi            i  i  duplex ")</f>
        <v xml:space="preserve">     3 цветное  pson 15180 25 25     4800x2400 dpi            i  i  duplex </v>
      </c>
    </row>
    <row r="2245" spans="1:8" ht="25.5" x14ac:dyDescent="0.2">
      <c r="A2245" s="31" t="s">
        <v>5129</v>
      </c>
      <c r="B2245" s="8" t="s">
        <v>5130</v>
      </c>
      <c r="C2245" s="27"/>
      <c r="D2245" s="33" t="s">
        <v>14</v>
      </c>
      <c r="E2245" s="34">
        <v>2</v>
      </c>
      <c r="F2245" s="34">
        <v>23</v>
      </c>
      <c r="G2245" s="10">
        <v>624430</v>
      </c>
      <c r="H2245" s="30" t="str">
        <f ca="1">IFERROR(__xludf.DUMMYFUNCTION("LOWER(REGEXREPLACE(B2245&amp;"" ""&amp;C2245,""[^а-яa-z0-9 ]"","" ""))"),"     3  онохромное  pson  15140 25     4800x2400 dpi            i  i  duplex ")</f>
        <v xml:space="preserve">     3  онохромное  pson  15140 25     4800x2400 dpi            i  i  duplex </v>
      </c>
    </row>
    <row r="2246" spans="1:8" ht="38.25" x14ac:dyDescent="0.2">
      <c r="A2246" s="31" t="s">
        <v>5131</v>
      </c>
      <c r="B2246" s="8" t="s">
        <v>5132</v>
      </c>
      <c r="C2246" s="27"/>
      <c r="D2246" s="33" t="s">
        <v>14</v>
      </c>
      <c r="E2246" s="34">
        <v>2</v>
      </c>
      <c r="F2246" s="34">
        <v>27</v>
      </c>
      <c r="G2246" s="10">
        <v>800182</v>
      </c>
      <c r="H2246" s="30" t="str">
        <f ca="1">IFERROR(__xludf.DUMMYFUNCTION("LOWER(REGEXREPLACE(B2246&amp;"" ""&amp;C2246,""[^а-яa-z0-9 ]"","" ""))")," ринтер широкоформатный  pson  ure olor     3100    icro  iezo  24   4 цвета  2400 x 1200     ")</f>
        <v xml:space="preserve"> ринтер широкоформатный  pson  ure olor     3100    icro  iezo  24   4 цвета  2400 x 1200     </v>
      </c>
    </row>
    <row r="2247" spans="1:8" ht="38.25" x14ac:dyDescent="0.2">
      <c r="A2247" s="31" t="s">
        <v>5133</v>
      </c>
      <c r="B2247" s="8" t="s">
        <v>5134</v>
      </c>
      <c r="C2247" s="27"/>
      <c r="D2247" s="33" t="s">
        <v>14</v>
      </c>
      <c r="E2247" s="34">
        <v>2</v>
      </c>
      <c r="F2247" s="34">
        <v>38</v>
      </c>
      <c r="G2247" s="10">
        <v>924742</v>
      </c>
      <c r="H2247" s="30" t="str">
        <f ca="1">IFERROR(__xludf.DUMMYFUNCTION("LOWER(REGEXREPLACE(B2247&amp;"" ""&amp;C2247,""[^а-яa-z0-9 ]"","" ""))")," ринтер широкоформатный  pson  ure olor     3100   icro  iezo  24   4 цвета  2400 x 1200     ")</f>
        <v xml:space="preserve"> ринтер широкоформатный  pson  ure olor     3100   icro  iezo  24   4 цвета  2400 x 1200     </v>
      </c>
    </row>
    <row r="2248" spans="1:8" ht="38.25" x14ac:dyDescent="0.2">
      <c r="A2248" s="31" t="s">
        <v>5135</v>
      </c>
      <c r="B2248" s="8" t="s">
        <v>5136</v>
      </c>
      <c r="C2248" s="27"/>
      <c r="D2248" s="33" t="s">
        <v>14</v>
      </c>
      <c r="E2248" s="34">
        <v>2</v>
      </c>
      <c r="F2248" s="34">
        <v>38</v>
      </c>
      <c r="G2248" s="10">
        <v>1527898</v>
      </c>
      <c r="H2248" s="30" t="str">
        <f ca="1">IFERROR(__xludf.DUMMYFUNCTION("LOWER(REGEXREPLACE(B2248&amp;"" ""&amp;C2248,""[^а-яa-z0-9 ]"","" ""))")," ринтер широкоформатный  pson  ure olor     3100x   icro  iezo  24   4 цвета  2400 x 1200     ")</f>
        <v xml:space="preserve"> ринтер широкоформатный  pson  ure olor     3100x   icro  iezo  24   4 цвета  2400 x 1200     </v>
      </c>
    </row>
    <row r="2249" spans="1:8" ht="38.25" x14ac:dyDescent="0.2">
      <c r="A2249" s="31" t="s">
        <v>5137</v>
      </c>
      <c r="B2249" s="8" t="s">
        <v>5138</v>
      </c>
      <c r="C2249" s="27"/>
      <c r="D2249" s="33" t="s">
        <v>14</v>
      </c>
      <c r="E2249" s="34">
        <v>2</v>
      </c>
      <c r="F2249" s="34">
        <v>33</v>
      </c>
      <c r="G2249" s="10">
        <v>1120770</v>
      </c>
      <c r="H2249" s="30" t="str">
        <f ca="1">IFERROR(__xludf.DUMMYFUNCTION("LOWER(REGEXREPLACE(B2249&amp;"" ""&amp;C2249,""[^а-яa-z0-9 ]"","" ""))")," ринтер широкоформатный  pson  ure olor     5100    icro  iezo  36   4 цвета  2400 x 1200     ")</f>
        <v xml:space="preserve"> ринтер широкоформатный  pson  ure olor     5100    icro  iezo  36   4 цвета  2400 x 1200     </v>
      </c>
    </row>
    <row r="2250" spans="1:8" ht="38.25" x14ac:dyDescent="0.2">
      <c r="A2250" s="31" t="s">
        <v>5139</v>
      </c>
      <c r="B2250" s="8" t="s">
        <v>5140</v>
      </c>
      <c r="C2250" s="27"/>
      <c r="D2250" s="33" t="s">
        <v>14</v>
      </c>
      <c r="E2250" s="34">
        <v>2</v>
      </c>
      <c r="F2250" s="34">
        <v>46</v>
      </c>
      <c r="G2250" s="10">
        <v>1237389</v>
      </c>
      <c r="H2250" s="30" t="str">
        <f ca="1">IFERROR(__xludf.DUMMYFUNCTION("LOWER(REGEXREPLACE(B2250&amp;"" ""&amp;C2250,""[^а-яa-z0-9 ]"","" ""))")," ринтер широкоформатный  pson  ure olor     5100   icro  iezo  36   4 цвета  2400 x 1200     ")</f>
        <v xml:space="preserve"> ринтер широкоформатный  pson  ure olor     5100   icro  iezo  36   4 цвета  2400 x 1200     </v>
      </c>
    </row>
    <row r="2251" spans="1:8" ht="38.25" x14ac:dyDescent="0.2">
      <c r="A2251" s="31" t="s">
        <v>5141</v>
      </c>
      <c r="B2251" s="8" t="s">
        <v>5142</v>
      </c>
      <c r="C2251" s="27"/>
      <c r="D2251" s="33" t="s">
        <v>14</v>
      </c>
      <c r="E2251" s="34">
        <v>2</v>
      </c>
      <c r="F2251" s="34">
        <v>64</v>
      </c>
      <c r="G2251" s="10">
        <v>1393767</v>
      </c>
      <c r="H2251" s="30" t="str">
        <f ca="1">IFERROR(__xludf.DUMMYFUNCTION("LOWER(REGEXREPLACE(B2251&amp;"" ""&amp;C2251,""[^а-яa-z0-9 ]"","" ""))")," ринтер широкоформатный  pson  ure olor     3400   icro  iezo  24   4 цвета  2400 x 1200     ")</f>
        <v xml:space="preserve"> ринтер широкоформатный  pson  ure olor     3400   icro  iezo  24   4 цвета  2400 x 1200     </v>
      </c>
    </row>
    <row r="2252" spans="1:8" ht="38.25" x14ac:dyDescent="0.2">
      <c r="A2252" s="31" t="s">
        <v>5143</v>
      </c>
      <c r="B2252" s="8" t="s">
        <v>5144</v>
      </c>
      <c r="C2252" s="27"/>
      <c r="D2252" s="33" t="s">
        <v>14</v>
      </c>
      <c r="E2252" s="34">
        <v>2</v>
      </c>
      <c r="F2252" s="34">
        <v>64</v>
      </c>
      <c r="G2252" s="10">
        <v>1355794</v>
      </c>
      <c r="H2252" s="30" t="str">
        <f ca="1">IFERROR(__xludf.DUMMYFUNCTION("LOWER(REGEXREPLACE(B2252&amp;"" ""&amp;C2252,""[^а-яa-z0-9 ]"","" ""))")," ринтер широкоформатный  pson  ure olor     3405   icro  iezo  24   4 цвета  2400 x 1200     ")</f>
        <v xml:space="preserve"> ринтер широкоформатный  pson  ure olor     3405   icro  iezo  24   4 цвета  2400 x 1200     </v>
      </c>
    </row>
    <row r="2253" spans="1:8" ht="38.25" x14ac:dyDescent="0.2">
      <c r="A2253" s="31" t="s">
        <v>5145</v>
      </c>
      <c r="B2253" s="8" t="s">
        <v>5146</v>
      </c>
      <c r="C2253" s="27"/>
      <c r="D2253" s="33" t="s">
        <v>14</v>
      </c>
      <c r="E2253" s="34">
        <v>2</v>
      </c>
      <c r="F2253" s="34">
        <v>49</v>
      </c>
      <c r="G2253" s="10">
        <v>1239167</v>
      </c>
      <c r="H2253" s="30" t="str">
        <f ca="1">IFERROR(__xludf.DUMMYFUNCTION("LOWER(REGEXREPLACE(B2253&amp;"" ""&amp;C2253,""[^а-яa-z0-9 ]"","" ""))")," ринтер широкоформатный  pson  ure olor     3405    icro  iezo  24   4 цвета  2400 x 1200     ")</f>
        <v xml:space="preserve"> ринтер широкоформатный  pson  ure olor     3405    icro  iezo  24   4 цвета  2400 x 1200     </v>
      </c>
    </row>
    <row r="2254" spans="1:8" ht="38.25" x14ac:dyDescent="0.2">
      <c r="A2254" s="31" t="s">
        <v>5147</v>
      </c>
      <c r="B2254" s="8" t="s">
        <v>5148</v>
      </c>
      <c r="C2254" s="27"/>
      <c r="D2254" s="33" t="s">
        <v>14</v>
      </c>
      <c r="E2254" s="34">
        <v>2</v>
      </c>
      <c r="F2254" s="34">
        <v>76</v>
      </c>
      <c r="G2254" s="10">
        <v>1628718</v>
      </c>
      <c r="H2254" s="30" t="str">
        <f ca="1">IFERROR(__xludf.DUMMYFUNCTION("LOWER(REGEXREPLACE(B2254&amp;"" ""&amp;C2254,""[^а-яa-z0-9 ]"","" ""))")," ринтер широкоформатный  pson  ure olor     5405   icro  iezo  36   4 цвета  2400 x 1200     ")</f>
        <v xml:space="preserve"> ринтер широкоформатный  pson  ure olor     5405   icro  iezo  36   4 цвета  2400 x 1200     </v>
      </c>
    </row>
    <row r="2255" spans="1:8" ht="38.25" x14ac:dyDescent="0.2">
      <c r="A2255" s="31" t="s">
        <v>5149</v>
      </c>
      <c r="B2255" s="8" t="s">
        <v>5150</v>
      </c>
      <c r="C2255" s="27"/>
      <c r="D2255" s="33" t="s">
        <v>14</v>
      </c>
      <c r="E2255" s="34">
        <v>2</v>
      </c>
      <c r="F2255" s="35">
        <v>113.6</v>
      </c>
      <c r="G2255" s="10">
        <v>2084541</v>
      </c>
      <c r="H2255" s="30" t="str">
        <f ca="1">IFERROR(__xludf.DUMMYFUNCTION("LOWER(REGEXREPLACE(B2255&amp;"" ""&amp;C2255,""[^а-яa-z0-9 ]"","" ""))")," ринтер широкоформатный  pson  ure olor     3700    icro  iezo  24   6 цветов  2400 x 1200     ")</f>
        <v xml:space="preserve"> ринтер широкоформатный  pson  ure olor     3700    icro  iezo  24   6 цветов  2400 x 1200     </v>
      </c>
    </row>
    <row r="2256" spans="1:8" ht="38.25" x14ac:dyDescent="0.2">
      <c r="A2256" s="31" t="s">
        <v>5151</v>
      </c>
      <c r="B2256" s="8" t="s">
        <v>5152</v>
      </c>
      <c r="C2256" s="27"/>
      <c r="D2256" s="33" t="s">
        <v>14</v>
      </c>
      <c r="E2256" s="34">
        <v>2</v>
      </c>
      <c r="F2256" s="35">
        <v>118.1</v>
      </c>
      <c r="G2256" s="10">
        <v>2795453</v>
      </c>
      <c r="H2256" s="30" t="str">
        <f ca="1">IFERROR(__xludf.DUMMYFUNCTION("LOWER(REGEXREPLACE(B2256&amp;"" ""&amp;C2256,""[^а-яa-z0-9 ]"","" ""))")," ринтер широкоформатный  pson  ure olor     3700    icro  iezo  24   6 цветов  2400 x 1200      2 рулона ")</f>
        <v xml:space="preserve"> ринтер широкоформатный  pson  ure olor     3700    icro  iezo  24   6 цветов  2400 x 1200      2 рулона </v>
      </c>
    </row>
    <row r="2257" spans="1:8" ht="38.25" x14ac:dyDescent="0.2">
      <c r="A2257" s="31" t="s">
        <v>5153</v>
      </c>
      <c r="B2257" s="8" t="s">
        <v>5154</v>
      </c>
      <c r="C2257" s="27"/>
      <c r="D2257" s="33" t="s">
        <v>14</v>
      </c>
      <c r="E2257" s="34">
        <v>2</v>
      </c>
      <c r="F2257" s="35">
        <v>136.80000000000001</v>
      </c>
      <c r="G2257" s="10">
        <v>3137284</v>
      </c>
      <c r="H2257" s="30" t="str">
        <f ca="1">IFERROR(__xludf.DUMMYFUNCTION("LOWER(REGEXREPLACE(B2257&amp;"" ""&amp;C2257,""[^а-яa-z0-9 ]"","" ""))")," ринтер широкоформатный  pson  ure olor     5700    icro  iezo  36   6 цветов  2400 x 1200      2 рулона ")</f>
        <v xml:space="preserve"> ринтер широкоформатный  pson  ure olor     5700    icro  iezo  36   6 цветов  2400 x 1200      2 рулона </v>
      </c>
    </row>
    <row r="2258" spans="1:8" ht="38.25" x14ac:dyDescent="0.2">
      <c r="A2258" s="31" t="s">
        <v>5155</v>
      </c>
      <c r="B2258" s="8" t="s">
        <v>5156</v>
      </c>
      <c r="C2258" s="27"/>
      <c r="D2258" s="33" t="s">
        <v>14</v>
      </c>
      <c r="E2258" s="34">
        <v>2</v>
      </c>
      <c r="F2258" s="34">
        <v>155</v>
      </c>
      <c r="G2258" s="10">
        <v>3918013</v>
      </c>
      <c r="H2258" s="30" t="str">
        <f ca="1">IFERROR(__xludf.DUMMYFUNCTION("LOWER(REGEXREPLACE(B2258&amp;"" ""&amp;C2258,""[^а-яa-z0-9 ]"","" ""))")," ринтер широкоформатный  pson  ure olor     7700    icro  iezo  44   6 цветов  2400 x 1200      2 рулона ")</f>
        <v xml:space="preserve"> ринтер широкоформатный  pson  ure olor     7700    icro  iezo  44   6 цветов  2400 x 1200      2 рулона </v>
      </c>
    </row>
    <row r="2259" spans="1:8" ht="38.25" x14ac:dyDescent="0.2">
      <c r="A2259" s="31" t="s">
        <v>5157</v>
      </c>
      <c r="B2259" s="8" t="s">
        <v>5158</v>
      </c>
      <c r="C2259" s="27"/>
      <c r="D2259" s="33" t="s">
        <v>14</v>
      </c>
      <c r="E2259" s="34">
        <v>2</v>
      </c>
      <c r="F2259" s="35">
        <v>33.4</v>
      </c>
      <c r="G2259" s="10">
        <v>1139317</v>
      </c>
      <c r="H2259" s="30" t="str">
        <f ca="1">IFERROR(__xludf.DUMMYFUNCTION("LOWER(REGEXREPLACE(B2259&amp;"" ""&amp;C2259,""[^а-яa-z0-9 ]"","" ""))"),"    широкоформатное  pson  ure olor     3100    icro  iezo  24   4 цвета  2400 x 1200      ")</f>
        <v xml:space="preserve">    широкоформатное  pson  ure olor     3100    icro  iezo  24   4 цвета  2400 x 1200      </v>
      </c>
    </row>
    <row r="2260" spans="1:8" ht="38.25" x14ac:dyDescent="0.2">
      <c r="A2260" s="31" t="s">
        <v>5159</v>
      </c>
      <c r="B2260" s="8" t="s">
        <v>5160</v>
      </c>
      <c r="C2260" s="27"/>
      <c r="D2260" s="33" t="s">
        <v>14</v>
      </c>
      <c r="E2260" s="34">
        <v>2</v>
      </c>
      <c r="F2260" s="34">
        <v>54</v>
      </c>
      <c r="G2260" s="10">
        <v>2303320</v>
      </c>
      <c r="H2260" s="30" t="str">
        <f ca="1">IFERROR(__xludf.DUMMYFUNCTION("LOWER(REGEXREPLACE(B2260&amp;"" ""&amp;C2260,""[^а-яa-z0-9 ]"","" ""))"),"    широкоформатное  pson  ure olor     5100    icro  iezo  36   4 цвета  2400 x 1200      ")</f>
        <v xml:space="preserve">    широкоформатное  pson  ure olor     5100    icro  iezo  36   4 цвета  2400 x 1200      </v>
      </c>
    </row>
    <row r="2261" spans="1:8" ht="38.25" x14ac:dyDescent="0.2">
      <c r="A2261" s="31" t="s">
        <v>5161</v>
      </c>
      <c r="B2261" s="8" t="s">
        <v>5162</v>
      </c>
      <c r="C2261" s="27"/>
      <c r="D2261" s="33" t="s">
        <v>14</v>
      </c>
      <c r="E2261" s="34">
        <v>2</v>
      </c>
      <c r="F2261" s="34">
        <v>88</v>
      </c>
      <c r="G2261" s="10">
        <v>3492985</v>
      </c>
      <c r="H2261" s="30" t="str">
        <f ca="1">IFERROR(__xludf.DUMMYFUNCTION("LOWER(REGEXREPLACE(B2261&amp;"" ""&amp;C2261,""[^а-яa-z0-9 ]"","" ""))"),"    широкоформатное  pson  ure olor     5400    icro  iezo  36   4 цвета  2400 x 1200      ")</f>
        <v xml:space="preserve">    широкоформатное  pson  ure olor     5400    icro  iezo  36   4 цвета  2400 x 1200      </v>
      </c>
    </row>
    <row r="2262" spans="1:8" ht="38.25" x14ac:dyDescent="0.2">
      <c r="A2262" s="31" t="s">
        <v>5163</v>
      </c>
      <c r="B2262" s="8" t="s">
        <v>5164</v>
      </c>
      <c r="C2262" s="27"/>
      <c r="D2262" s="33" t="s">
        <v>14</v>
      </c>
      <c r="E2262" s="34">
        <v>2</v>
      </c>
      <c r="F2262" s="34">
        <v>150</v>
      </c>
      <c r="G2262" s="10">
        <v>6195505</v>
      </c>
      <c r="H2262" s="30" t="str">
        <f ca="1">IFERROR(__xludf.DUMMYFUNCTION("LOWER(REGEXREPLACE(B2262&amp;"" ""&amp;C2262,""[^а-яa-z0-9 ]"","" ""))"),"    широкоформатное  pson  ure olor     5700     icro  iezo  36   6 цветов  2400 x 1200      2 рулона  ")</f>
        <v xml:space="preserve">    широкоформатное  pson  ure olor     5700     icro  iezo  36   6 цветов  2400 x 1200      2 рулона  </v>
      </c>
    </row>
    <row r="2263" spans="1:8" ht="38.25" x14ac:dyDescent="0.2">
      <c r="A2263" s="31" t="s">
        <v>5165</v>
      </c>
      <c r="B2263" s="8" t="s">
        <v>5166</v>
      </c>
      <c r="C2263" s="27"/>
      <c r="D2263" s="33" t="s">
        <v>14</v>
      </c>
      <c r="E2263" s="34">
        <v>2</v>
      </c>
      <c r="F2263" s="34">
        <v>166</v>
      </c>
      <c r="G2263" s="10">
        <v>6585896</v>
      </c>
      <c r="H2263" s="30" t="str">
        <f ca="1">IFERROR(__xludf.DUMMYFUNCTION("LOWER(REGEXREPLACE(B2263&amp;"" ""&amp;C2263,""[^а-яa-z0-9 ]"","" ""))"),"    широкоформатное  pson  ure olor     7700     icro  iezo  44   6 цветов  2400 x 1200      2 рулона  ")</f>
        <v xml:space="preserve">    широкоформатное  pson  ure olor     7700     icro  iezo  44   6 цветов  2400 x 1200      2 рулона  </v>
      </c>
    </row>
    <row r="2264" spans="1:8" ht="12.75" x14ac:dyDescent="0.2">
      <c r="A2264" s="31" t="s">
        <v>5167</v>
      </c>
      <c r="B2264" s="27" t="s">
        <v>5168</v>
      </c>
      <c r="C2264" s="27"/>
      <c r="D2264" s="33" t="s">
        <v>14</v>
      </c>
      <c r="E2264" s="9"/>
      <c r="F2264" s="32"/>
      <c r="G2264" s="10">
        <v>13661</v>
      </c>
      <c r="H2264" s="30" t="str">
        <f ca="1">IFERROR(__xludf.DUMMYFUNCTION("LOWER(REGEXREPLACE(B2264&amp;"" ""&amp;C2264,""[^а-яa-z0-9 ]"","" ""))")," тойка для микрофона ")</f>
        <v xml:space="preserve"> тойка для микрофона </v>
      </c>
    </row>
    <row r="2265" spans="1:8" ht="12.75" x14ac:dyDescent="0.2">
      <c r="A2265" s="31" t="s">
        <v>5169</v>
      </c>
      <c r="B2265" s="27" t="s">
        <v>5170</v>
      </c>
      <c r="C2265" s="27"/>
      <c r="D2265" s="33" t="s">
        <v>14</v>
      </c>
      <c r="E2265" s="9"/>
      <c r="F2265" s="32"/>
      <c r="G2265" s="10"/>
      <c r="H2265" s="30" t="str">
        <f ca="1">IFERROR(__xludf.DUMMYFUNCTION("LOWER(REGEXREPLACE(B2265&amp;"" ""&amp;C2265,""[^а-яa-z0-9 ]"","" ""))")," ульт микшер ")</f>
        <v xml:space="preserve"> ульт микшер </v>
      </c>
    </row>
    <row r="2266" spans="1:8" ht="63.75" x14ac:dyDescent="0.2">
      <c r="A2266" s="31" t="s">
        <v>5171</v>
      </c>
      <c r="B2266" s="8" t="s">
        <v>5172</v>
      </c>
      <c r="C2266" s="27"/>
      <c r="D2266" s="33" t="s">
        <v>14</v>
      </c>
      <c r="E2266" s="9"/>
      <c r="F2266" s="32"/>
      <c r="G2266" s="10">
        <v>110554</v>
      </c>
      <c r="H2266" s="30" t="str">
        <f ca="1">IFERROR(__xludf.DUMMYFUNCTION("LOWER(REGEXREPLACE(B2266&amp;"" ""&amp;C2266,""[^а-яa-z0-9 ]"","" ""))")," ульт микшерный                  10  на 10 каналов  4 микрофонных входа  4 линейных стерео входа  2 стереоканала с 2 полосным эквалайзером  имеет 10 точно работающих 3 пол ")</f>
        <v xml:space="preserve"> ульт микшерный                  10  на 10 каналов  4 микрофонных входа  4 линейных стерео входа  2 стереоканала с 2 полосным эквалайзером  имеет 10 точно работающих 3 пол </v>
      </c>
    </row>
    <row r="2267" spans="1:8" ht="102" x14ac:dyDescent="0.2">
      <c r="A2267" s="31" t="s">
        <v>5173</v>
      </c>
      <c r="B2267" s="8" t="s">
        <v>5174</v>
      </c>
      <c r="C2267" s="27"/>
      <c r="D2267" s="33" t="s">
        <v>14</v>
      </c>
      <c r="E2267" s="9"/>
      <c r="F2267" s="32"/>
      <c r="G2267" s="10">
        <v>195179</v>
      </c>
      <c r="H2267" s="30" t="str">
        <f ca="1">IFERROR(__xludf.DUMMYFUNCTION("LOWER(REGEXREPLACE(B2267&amp;"" ""&amp;C2267,""[^а-яa-z0-9 ]"","" ""))")," ульт микшерный   1832              премиум класса 18 входов  3 2 шины  6 микрофонных предусилителя  enyx   6 компрессоров  мульти эффект процессор  lark  eknik  7 ми полосный эквалайзер с системой обнаружения обратной связи      подключение радиосистем  "&amp;"     аудио интерфейс ")</f>
        <v xml:space="preserve"> ульт микшерный   1832              премиум класса 18 входов  3 2 шины  6 микрофонных предусилителя  enyx   6 компрессоров  мульти эффект процессор  lark  eknik  7 ми полосный эквалайзер с системой обнаружения обратной связи      подключение радиосистем       аудио интерфейс </v>
      </c>
    </row>
    <row r="2268" spans="1:8" ht="12.75" x14ac:dyDescent="0.2">
      <c r="A2268" s="31" t="s">
        <v>5175</v>
      </c>
      <c r="B2268" s="27" t="s">
        <v>5176</v>
      </c>
      <c r="C2268" s="27" t="s">
        <v>5177</v>
      </c>
      <c r="D2268" s="33" t="s">
        <v>14</v>
      </c>
      <c r="E2268" s="9"/>
      <c r="F2268" s="32"/>
      <c r="G2268" s="10">
        <v>255000</v>
      </c>
      <c r="H2268" s="30" t="str">
        <f ca="1">IFERROR(__xludf.DUMMYFUNCTION("LOWER(REGEXREPLACE(B2268&amp;"" ""&amp;C2268,""[^а-яa-z0-9 ]"","" ""))")," интезатор  ифровой синтезатор  цифровое пианино ")</f>
        <v xml:space="preserve"> интезатор  ифровой синтезатор  цифровое пианино </v>
      </c>
    </row>
    <row r="2269" spans="1:8" ht="12.75" x14ac:dyDescent="0.2">
      <c r="A2269" s="31" t="s">
        <v>5178</v>
      </c>
      <c r="B2269" s="27" t="s">
        <v>5179</v>
      </c>
      <c r="C2269" s="27"/>
      <c r="D2269" s="33" t="s">
        <v>14</v>
      </c>
      <c r="E2269" s="9"/>
      <c r="F2269" s="32"/>
      <c r="G2269" s="10">
        <v>28536</v>
      </c>
      <c r="H2269" s="30" t="str">
        <f ca="1">IFERROR(__xludf.DUMMYFUNCTION("LOWER(REGEXREPLACE(B2269&amp;"" ""&amp;C2269,""[^а-яa-z0-9 ]"","" ""))")," тойка под оргтехнику ")</f>
        <v xml:space="preserve"> тойка под оргтехнику </v>
      </c>
    </row>
    <row r="2270" spans="1:8" ht="12.75" x14ac:dyDescent="0.2">
      <c r="A2270" s="31" t="s">
        <v>5180</v>
      </c>
      <c r="B2270" s="27" t="s">
        <v>5181</v>
      </c>
      <c r="C2270" s="27"/>
      <c r="D2270" s="33" t="s">
        <v>14</v>
      </c>
      <c r="E2270" s="9"/>
      <c r="F2270" s="32"/>
      <c r="G2270" s="10"/>
      <c r="H2270" s="30" t="str">
        <f ca="1">IFERROR(__xludf.DUMMYFUNCTION("LOWER(REGEXREPLACE(B2270&amp;"" ""&amp;C2270,""[^а-яa-z0-9 ]"","" ""))")," ервер ")</f>
        <v xml:space="preserve"> ервер </v>
      </c>
    </row>
    <row r="2271" spans="1:8" ht="38.25" x14ac:dyDescent="0.2">
      <c r="A2271" s="31" t="s">
        <v>5182</v>
      </c>
      <c r="B2271" s="27" t="s">
        <v>5183</v>
      </c>
      <c r="C2271" s="27"/>
      <c r="D2271" s="33" t="s">
        <v>14</v>
      </c>
      <c r="E2271" s="9"/>
      <c r="F2271" s="35">
        <v>16.899999999999999</v>
      </c>
      <c r="G2271" s="10">
        <v>8612966</v>
      </c>
      <c r="H2271" s="30" t="str">
        <f ca="1">IFERROR(__xludf.DUMMYFUNCTION("LOWER(REGEXREPLACE(B2271&amp;"" ""&amp;C2271,""[^а-яa-z0-9 ]"","" ""))")," ервер 2288   6     usion  16 32    4       до 3200    с  16  ptane    em серии 200  до 3200    с      до 270  т ")</f>
        <v xml:space="preserve"> ервер 2288   6     usion  16 32    4       до 3200    с  16  ptane    em серии 200  до 3200    с      до 270  т </v>
      </c>
    </row>
    <row r="2272" spans="1:8" ht="76.5" x14ac:dyDescent="0.2">
      <c r="A2272" s="31" t="s">
        <v>5184</v>
      </c>
      <c r="B2272" s="8" t="s">
        <v>5185</v>
      </c>
      <c r="C2272" s="27"/>
      <c r="D2272" s="33" t="s">
        <v>14</v>
      </c>
      <c r="E2272" s="9"/>
      <c r="F2272" s="34">
        <v>30</v>
      </c>
      <c r="G2272" s="10">
        <v>3585003</v>
      </c>
      <c r="H2272" s="30" t="str">
        <f ca="1">IFERROR(__xludf.DUMMYFUNCTION("LOWER(REGEXREPLACE(B2272&amp;"" ""&amp;C2272,""[^а-яa-z0-9 ]"","" ""))")," ервер  ltos  rain phere   320  5  ntel  eon   2200 2100 до 80  т 3 5   ц    4 2666 2400 2133  z       или без           поддержка     icrosoft  indows  erver 2019  2016  ed  at  nterprise  inux 7 6 ")</f>
        <v xml:space="preserve"> ервер  ltos  rain phere   320  5  ntel  eon   2200 2100 до 80  т 3 5   ц    4 2666 2400 2133  z       или без           поддержка     icrosoft  indows  erver 2019  2016  ed  at  nterprise  inux 7 6 </v>
      </c>
    </row>
    <row r="2273" spans="1:8" ht="153" x14ac:dyDescent="0.2">
      <c r="A2273" s="31" t="s">
        <v>5186</v>
      </c>
      <c r="B2273" s="8" t="s">
        <v>5187</v>
      </c>
      <c r="C2273" s="27"/>
      <c r="D2273" s="33" t="s">
        <v>14</v>
      </c>
      <c r="E2273" s="34">
        <v>2</v>
      </c>
      <c r="F2273" s="34">
        <v>18</v>
      </c>
      <c r="G2273" s="10">
        <v>16337393</v>
      </c>
      <c r="H2273" s="30" t="str">
        <f ca="1">IFERROR(__xludf.DUMMYFUNCTION("LOWER(REGEXREPLACE(B2273&amp;"" ""&amp;C2273,""[^а-яa-z0-9 ]"","" ""))")," ервер 1288   7     usion  2  erver  latinum 2000    power supply  2  ntel  eon  old 6444  3 6  z 16  ore 45   270    4    5            32   4800      2     2 5inch  480    4     2 5inch  3840     thernet  ard 10      4  x   ual  ort       thernet  ard 2 "&amp;"    350   ual  ort   45  9560 8i    e       ontroller 4    ache  2  ptical transceiver      850nm 10 b s  7 3  1d m  9  9d m        0 3km   uper  are  nsite 36 onth s  ")</f>
        <v xml:space="preserve"> ервер 1288   7     usion  2  erver  latinum 2000    power supply  2  ntel  eon  old 6444  3 6  z 16  ore 45   270    4    5            32   4800      2     2 5inch  480    4     2 5inch  3840     thernet  ard 10      4  x   ual  ort       thernet  ard 2     350   ual  ort   45  9560 8i    e       ontroller 4    ache  2  ptical transceiver      850nm 10 b s  7 3  1d m  9  9d m        0 3km   uper  are  nsite 36 onth s  </v>
      </c>
    </row>
    <row r="2274" spans="1:8" ht="12.75" x14ac:dyDescent="0.2">
      <c r="A2274" s="31" t="s">
        <v>5188</v>
      </c>
      <c r="B2274" s="27" t="s">
        <v>5189</v>
      </c>
      <c r="C2274" s="27"/>
      <c r="D2274" s="33" t="s">
        <v>14</v>
      </c>
      <c r="E2274" s="9"/>
      <c r="F2274" s="32"/>
      <c r="G2274" s="10"/>
      <c r="H2274" s="30" t="str">
        <f ca="1">IFERROR(__xludf.DUMMYFUNCTION("LOWER(REGEXREPLACE(B2274&amp;"" ""&amp;C2274,""[^а-яa-z0-9 ]"","" ""))")," сточник бесперебойного питания ")</f>
        <v xml:space="preserve"> сточник бесперебойного питания </v>
      </c>
    </row>
    <row r="2275" spans="1:8" ht="25.5" x14ac:dyDescent="0.2">
      <c r="A2275" s="31" t="s">
        <v>5190</v>
      </c>
      <c r="B2275" s="8" t="s">
        <v>5191</v>
      </c>
      <c r="C2275" s="27"/>
      <c r="D2275" s="33" t="s">
        <v>14</v>
      </c>
      <c r="E2275" s="9"/>
      <c r="F2275" s="32"/>
      <c r="G2275" s="10">
        <v>81271</v>
      </c>
      <c r="H2275" s="30" t="str">
        <f ca="1">IFERROR(__xludf.DUMMYFUNCTION("LOWER(REGEXREPLACE(B2275&amp;"" ""&amp;C2275,""[^а-яa-z0-9 ]"","" ""))"),"         ack   1100    550   1х12  9 h  6 1 розет       ")</f>
        <v xml:space="preserve">         ack   1100    550   1х12  9 h  6 1 розет       </v>
      </c>
    </row>
    <row r="2276" spans="1:8" ht="25.5" x14ac:dyDescent="0.2">
      <c r="A2276" s="31" t="s">
        <v>5192</v>
      </c>
      <c r="B2276" s="8" t="s">
        <v>5193</v>
      </c>
      <c r="C2276" s="27"/>
      <c r="D2276" s="33" t="s">
        <v>14</v>
      </c>
      <c r="E2276" s="9"/>
      <c r="F2276" s="32"/>
      <c r="G2276" s="10">
        <v>45110</v>
      </c>
      <c r="H2276" s="30" t="str">
        <f ca="1">IFERROR(__xludf.DUMMYFUNCTION("LOWER(REGEXREPLACE(B2276&amp;"" ""&amp;C2276,""[^а-яa-z0-9 ]"","" ""))"),"         ack   500    300   1х12  5 5 h  3 1 розет       ")</f>
        <v xml:space="preserve">         ack   500    300   1х12  5 5 h  3 1 розет       </v>
      </c>
    </row>
    <row r="2277" spans="1:8" ht="25.5" x14ac:dyDescent="0.2">
      <c r="A2277" s="31" t="s">
        <v>5194</v>
      </c>
      <c r="B2277" s="8" t="s">
        <v>5195</v>
      </c>
      <c r="C2277" s="27"/>
      <c r="D2277" s="33" t="s">
        <v>14</v>
      </c>
      <c r="E2277" s="9"/>
      <c r="F2277" s="32"/>
      <c r="G2277" s="10">
        <v>65089</v>
      </c>
      <c r="H2277" s="30" t="str">
        <f ca="1">IFERROR(__xludf.DUMMYFUNCTION("LOWER(REGEXREPLACE(B2277&amp;"" ""&amp;C2277,""[^а-яa-z0-9 ]"","" ""))"),"         1500    1500     900   2х12  9 h       165 275          ine ")</f>
        <v xml:space="preserve">         1500    1500     900   2х12  9 h       165 275          ine </v>
      </c>
    </row>
    <row r="2278" spans="1:8" ht="25.5" x14ac:dyDescent="0.2">
      <c r="A2278" s="31" t="s">
        <v>5196</v>
      </c>
      <c r="B2278" s="8" t="s">
        <v>5197</v>
      </c>
      <c r="C2278" s="27"/>
      <c r="D2278" s="33" t="s">
        <v>14</v>
      </c>
      <c r="E2278" s="9"/>
      <c r="F2278" s="34">
        <v>8</v>
      </c>
      <c r="G2278" s="10">
        <v>60728</v>
      </c>
      <c r="H2278" s="30" t="str">
        <f ca="1">IFERROR(__xludf.DUMMYFUNCTION("LOWER(REGEXREPLACE(B2278&amp;"" ""&amp;C2278,""[^а-яa-z0-9 ]"","" ""))"),"        600   360 t       1500         800      ")</f>
        <v xml:space="preserve">        600   360 t       1500         800      </v>
      </c>
    </row>
    <row r="2279" spans="1:8" ht="12.75" x14ac:dyDescent="0.2">
      <c r="A2279" s="31" t="s">
        <v>5198</v>
      </c>
      <c r="B2279" s="27" t="s">
        <v>5199</v>
      </c>
      <c r="C2279" s="27"/>
      <c r="D2279" s="33" t="s">
        <v>14</v>
      </c>
      <c r="E2279" s="9"/>
      <c r="F2279" s="34">
        <v>10</v>
      </c>
      <c r="G2279" s="10">
        <v>60735</v>
      </c>
      <c r="H2279" s="30" t="str">
        <f ca="1">IFERROR(__xludf.DUMMYFUNCTION("LOWER(REGEXREPLACE(B2279&amp;"" ""&amp;C2279,""[^а-яa-z0-9 ]"","" ""))"),"     antak  2000    1200  т      320  13 ")</f>
        <v xml:space="preserve">     antak  2000    1200  т      320  13 </v>
      </c>
    </row>
    <row r="2280" spans="1:8" ht="25.5" x14ac:dyDescent="0.2">
      <c r="A2280" s="31" t="s">
        <v>5200</v>
      </c>
      <c r="B2280" s="8" t="s">
        <v>5201</v>
      </c>
      <c r="C2280" s="27"/>
      <c r="D2280" s="33" t="s">
        <v>14</v>
      </c>
      <c r="E2280" s="9"/>
      <c r="F2280" s="35">
        <v>9.1999999999999993</v>
      </c>
      <c r="G2280" s="10">
        <v>49962</v>
      </c>
      <c r="H2280" s="30" t="str">
        <f ca="1">IFERROR(__xludf.DUMMYFUNCTION("LOWER(REGEXREPLACE(B2280&amp;"" ""&amp;C2280,""[^а-яa-z0-9 ]"","" ""))"),"          1200        1200   7200 т       165 275   ")</f>
        <v xml:space="preserve">          1200        1200   7200 т       165 275   </v>
      </c>
    </row>
    <row r="2281" spans="1:8" ht="25.5" x14ac:dyDescent="0.2">
      <c r="A2281" s="31" t="s">
        <v>5202</v>
      </c>
      <c r="B2281" s="8" t="s">
        <v>5203</v>
      </c>
      <c r="C2281" s="27"/>
      <c r="D2281" s="33" t="s">
        <v>14</v>
      </c>
      <c r="E2281" s="9"/>
      <c r="F2281" s="35">
        <v>11.4</v>
      </c>
      <c r="G2281" s="10">
        <v>60282</v>
      </c>
      <c r="H2281" s="30" t="str">
        <f ca="1">IFERROR(__xludf.DUMMYFUNCTION("LOWER(REGEXREPLACE(B2281&amp;"" ""&amp;C2281,""[^а-яa-z0-9 ]"","" ""))"),"          1200    1200   720 т       165 275    mart       защита тел  линии ")</f>
        <v xml:space="preserve">          1200    1200   720 т       165 275    mart       защита тел  линии </v>
      </c>
    </row>
    <row r="2282" spans="1:8" ht="12.75" x14ac:dyDescent="0.2">
      <c r="A2282" s="31" t="s">
        <v>5204</v>
      </c>
      <c r="B2282" s="27" t="s">
        <v>5205</v>
      </c>
      <c r="C2282" s="27"/>
      <c r="D2282" s="33" t="s">
        <v>14</v>
      </c>
      <c r="E2282" s="9"/>
      <c r="F2282" s="32"/>
      <c r="G2282" s="10"/>
      <c r="H2282" s="30" t="str">
        <f ca="1">IFERROR(__xludf.DUMMYFUNCTION("LOWER(REGEXREPLACE(B2282&amp;"" ""&amp;C2282,""[^а-яa-z0-9 ]"","" ""))")," етевой фильтр ")</f>
        <v xml:space="preserve"> етевой фильтр </v>
      </c>
    </row>
    <row r="2283" spans="1:8" ht="25.5" x14ac:dyDescent="0.2">
      <c r="A2283" s="31" t="s">
        <v>5206</v>
      </c>
      <c r="B2283" s="27" t="s">
        <v>5207</v>
      </c>
      <c r="C2283" s="27"/>
      <c r="D2283" s="33" t="s">
        <v>14</v>
      </c>
      <c r="E2283" s="9"/>
      <c r="F2283" s="32"/>
      <c r="G2283" s="10">
        <v>3116</v>
      </c>
      <c r="H2283" s="30" t="str">
        <f ca="1">IFERROR(__xludf.DUMMYFUNCTION("LOWER(REGEXREPLACE(B2283&amp;"" ""&amp;C2283,""[^а-яa-z0-9 ]"","" ""))")," етевой фильтр  efender     151  6 розеток  1 8м   hite ")</f>
        <v xml:space="preserve"> етевой фильтр  efender     151  6 розеток  1 8м   hite </v>
      </c>
    </row>
    <row r="2284" spans="1:8" ht="25.5" x14ac:dyDescent="0.2">
      <c r="A2284" s="31" t="s">
        <v>5208</v>
      </c>
      <c r="B2284" s="27" t="s">
        <v>5209</v>
      </c>
      <c r="C2284" s="27"/>
      <c r="D2284" s="33" t="s">
        <v>14</v>
      </c>
      <c r="E2284" s="9"/>
      <c r="F2284" s="32"/>
      <c r="G2284" s="10">
        <v>5080</v>
      </c>
      <c r="H2284" s="30" t="str">
        <f ca="1">IFERROR(__xludf.DUMMYFUNCTION("LOWER(REGEXREPLACE(B2284&amp;"" ""&amp;C2284,""[^а-яa-z0-9 ]"","" ""))")," етевой фильтр  efender     753  5 розеток  3м  2x      lack ")</f>
        <v xml:space="preserve"> етевой фильтр  efender     753  5 розеток  3м  2x      lack </v>
      </c>
    </row>
    <row r="2285" spans="1:8" ht="25.5" x14ac:dyDescent="0.2">
      <c r="A2285" s="31" t="s">
        <v>5210</v>
      </c>
      <c r="B2285" s="27" t="s">
        <v>5211</v>
      </c>
      <c r="C2285" s="27"/>
      <c r="D2285" s="33" t="s">
        <v>14</v>
      </c>
      <c r="E2285" s="9"/>
      <c r="F2285" s="32"/>
      <c r="G2285" s="10">
        <v>3245</v>
      </c>
      <c r="H2285" s="30" t="str">
        <f ca="1">IFERROR(__xludf.DUMMYFUNCTION("LOWER(REGEXREPLACE(B2285&amp;"" ""&amp;C2285,""[^а-яa-z0-9 ]"","" ""))")," етевой фильтр i ower i   3m      6 розеток  3м      2   lack ")</f>
        <v xml:space="preserve"> етевой фильтр i ower i   3m      6 розеток  3м      2   lack </v>
      </c>
    </row>
    <row r="2286" spans="1:8" ht="25.5" x14ac:dyDescent="0.2">
      <c r="A2286" s="31" t="s">
        <v>5212</v>
      </c>
      <c r="B2286" s="27" t="s">
        <v>5213</v>
      </c>
      <c r="C2286" s="27"/>
      <c r="D2286" s="33" t="s">
        <v>14</v>
      </c>
      <c r="E2286" s="9"/>
      <c r="F2286" s="32"/>
      <c r="G2286" s="10">
        <v>5415</v>
      </c>
      <c r="H2286" s="30" t="str">
        <f ca="1">IFERROR(__xludf.DUMMYFUNCTION("LOWER(REGEXREPLACE(B2286&amp;"" ""&amp;C2286,""[^а-яa-z0-9 ]"","" ""))")," етевой фильтр  rip  ite  uper 6      6 розеток  5м ")</f>
        <v xml:space="preserve"> етевой фильтр  rip  ite  uper 6      6 розеток  5м </v>
      </c>
    </row>
    <row r="2287" spans="1:8" ht="12.75" x14ac:dyDescent="0.2">
      <c r="A2287" s="31" t="s">
        <v>5214</v>
      </c>
      <c r="B2287" s="27" t="s">
        <v>5215</v>
      </c>
      <c r="C2287" s="27"/>
      <c r="D2287" s="33" t="s">
        <v>14</v>
      </c>
      <c r="E2287" s="9"/>
      <c r="F2287" s="32"/>
      <c r="G2287" s="10"/>
      <c r="H2287" s="30" t="str">
        <f ca="1">IFERROR(__xludf.DUMMYFUNCTION("LOWER(REGEXREPLACE(B2287&amp;"" ""&amp;C2287,""[^а-яa-z0-9 ]"","" ""))")," нтерактивный планшет ")</f>
        <v xml:space="preserve"> нтерактивный планшет </v>
      </c>
    </row>
    <row r="2288" spans="1:8" ht="25.5" x14ac:dyDescent="0.2">
      <c r="A2288" s="31" t="s">
        <v>5216</v>
      </c>
      <c r="B2288" s="27" t="s">
        <v>5217</v>
      </c>
      <c r="C2288" s="27"/>
      <c r="D2288" s="33" t="s">
        <v>14</v>
      </c>
      <c r="E2288" s="9"/>
      <c r="F2288" s="32"/>
      <c r="G2288" s="10">
        <v>17848</v>
      </c>
      <c r="H2288" s="30" t="str">
        <f ca="1">IFERROR(__xludf.DUMMYFUNCTION("LOWER(REGEXREPLACE(B2288&amp;"" ""&amp;C2288,""[^а-яa-z0-9 ]"","" ""))")," рафический планшет  uion  420  4 x2 23   беcпроводное перо      ")</f>
        <v xml:space="preserve"> рафический планшет  uion  420  4 x2 23   беcпроводное перо      </v>
      </c>
    </row>
    <row r="2289" spans="1:8" ht="25.5" x14ac:dyDescent="0.2">
      <c r="A2289" s="31" t="s">
        <v>5218</v>
      </c>
      <c r="B2289" s="27" t="s">
        <v>5219</v>
      </c>
      <c r="C2289" s="27"/>
      <c r="D2289" s="33" t="s">
        <v>14</v>
      </c>
      <c r="E2289" s="9"/>
      <c r="F2289" s="32"/>
      <c r="G2289" s="10">
        <v>40089</v>
      </c>
      <c r="H2289" s="30" t="str">
        <f ca="1">IFERROR(__xludf.DUMMYFUNCTION("LOWER(REGEXREPLACE(B2289&amp;"" ""&amp;C2289,""[^а-яa-z0-9 ]"","" ""))")," рафический планшет  acom  ntuos  mall  6 x3 7   беспроводное перо      ")</f>
        <v xml:space="preserve"> рафический планшет  acom  ntuos  mall  6 x3 7   беспроводное перо      </v>
      </c>
    </row>
    <row r="2290" spans="1:8" ht="25.5" x14ac:dyDescent="0.2">
      <c r="A2290" s="31" t="s">
        <v>5220</v>
      </c>
      <c r="B2290" s="27" t="s">
        <v>5221</v>
      </c>
      <c r="C2290" s="27"/>
      <c r="D2290" s="33" t="s">
        <v>14</v>
      </c>
      <c r="E2290" s="9"/>
      <c r="F2290" s="32"/>
      <c r="G2290" s="10">
        <v>41875</v>
      </c>
      <c r="H2290" s="30" t="str">
        <f ca="1">IFERROR(__xludf.DUMMYFUNCTION("LOWER(REGEXREPLACE(B2290&amp;"" ""&amp;C2290,""[^а-яa-z0-9 ]"","" ""))")," рафический планшет  acom  ne  edium  8 5 x5 3   беспроводное перо      ")</f>
        <v xml:space="preserve"> рафический планшет  acom  ne  edium  8 5 x5 3   беспроводное перо      </v>
      </c>
    </row>
    <row r="2291" spans="1:8" ht="25.5" x14ac:dyDescent="0.2">
      <c r="A2291" s="31" t="s">
        <v>5222</v>
      </c>
      <c r="B2291" s="27" t="s">
        <v>5223</v>
      </c>
      <c r="C2291" s="27"/>
      <c r="D2291" s="33" t="s">
        <v>14</v>
      </c>
      <c r="E2291" s="9"/>
      <c r="F2291" s="32"/>
      <c r="G2291" s="10">
        <v>58920</v>
      </c>
      <c r="H2291" s="30" t="str">
        <f ca="1">IFERROR(__xludf.DUMMYFUNCTION("LOWER(REGEXREPLACE(B2291&amp;"" ""&amp;C2291,""[^а-яa-z0-9 ]"","" ""))")," рафический планшет     en  eco  ro  mall  9 x5   беcпроводное перо      ")</f>
        <v xml:space="preserve"> рафический планшет     en  eco  ro  mall  9 x5   беcпроводное перо      </v>
      </c>
    </row>
    <row r="2292" spans="1:8" ht="25.5" x14ac:dyDescent="0.2">
      <c r="A2292" s="31" t="s">
        <v>5224</v>
      </c>
      <c r="B2292" s="27" t="s">
        <v>5225</v>
      </c>
      <c r="C2292" s="27"/>
      <c r="D2292" s="33" t="s">
        <v>14</v>
      </c>
      <c r="E2292" s="9"/>
      <c r="F2292" s="32"/>
      <c r="G2292" s="10">
        <v>51777</v>
      </c>
      <c r="H2292" s="30" t="str">
        <f ca="1">IFERROR(__xludf.DUMMYFUNCTION("LOWER(REGEXREPLACE(B2292&amp;"" ""&amp;C2292,""[^а-яa-z0-9 ]"","" ""))")," рафический планшет     en  tar 06  10 x6   беcпроводное перо и планшет  беспроводной ")</f>
        <v xml:space="preserve"> рафический планшет     en  tar 06  10 x6   беcпроводное перо и планшет  беспроводной </v>
      </c>
    </row>
    <row r="2293" spans="1:8" ht="25.5" x14ac:dyDescent="0.2">
      <c r="A2293" s="31" t="s">
        <v>5226</v>
      </c>
      <c r="B2293" s="27" t="s">
        <v>5227</v>
      </c>
      <c r="C2293" s="27"/>
      <c r="D2293" s="33" t="s">
        <v>14</v>
      </c>
      <c r="E2293" s="9"/>
      <c r="F2293" s="32"/>
      <c r="G2293" s="10">
        <v>77655</v>
      </c>
      <c r="H2293" s="30" t="str">
        <f ca="1">IFERROR(__xludf.DUMMYFUNCTION("LOWER(REGEXREPLACE(B2293&amp;"" ""&amp;C2293,""[^а-яa-z0-9 ]"","" ""))")," рафический планшет     en  eco  ro  edium  11 x6   беcпроводное перо      ")</f>
        <v xml:space="preserve"> рафический планшет     en  eco  ro  edium  11 x6   беcпроводное перо      </v>
      </c>
    </row>
    <row r="2294" spans="1:8" ht="12.75" x14ac:dyDescent="0.2">
      <c r="A2294" s="31" t="s">
        <v>5228</v>
      </c>
      <c r="B2294" s="27" t="s">
        <v>5229</v>
      </c>
      <c r="C2294" s="27"/>
      <c r="D2294" s="33" t="s">
        <v>14</v>
      </c>
      <c r="E2294" s="9"/>
      <c r="F2294" s="32"/>
      <c r="G2294" s="10"/>
      <c r="H2294" s="30" t="str">
        <f ca="1">IFERROR(__xludf.DUMMYFUNCTION("LOWER(REGEXREPLACE(B2294&amp;"" ""&amp;C2294,""[^а-яa-z0-9 ]"","" ""))")," нтерактивный стол ")</f>
        <v xml:space="preserve"> нтерактивный стол </v>
      </c>
    </row>
    <row r="2295" spans="1:8" ht="25.5" x14ac:dyDescent="0.2">
      <c r="A2295" s="31" t="s">
        <v>5230</v>
      </c>
      <c r="B2295" s="27" t="s">
        <v>5231</v>
      </c>
      <c r="C2295" s="27"/>
      <c r="D2295" s="33" t="s">
        <v>14</v>
      </c>
      <c r="E2295" s="9"/>
      <c r="F2295" s="32"/>
      <c r="G2295" s="10">
        <v>905353</v>
      </c>
      <c r="H2295" s="30" t="str">
        <f ca="1">IFERROR(__xludf.DUMMYFUNCTION("LOWER(REGEXREPLACE(B2295&amp;"" ""&amp;C2295,""[^а-яa-z0-9 ]"","" ""))")," нтерактивный стол   мкостная технология  диагональ 32   ull         до 10 касаний ")</f>
        <v xml:space="preserve"> нтерактивный стол   мкостная технология  диагональ 32   ull         до 10 касаний </v>
      </c>
    </row>
    <row r="2296" spans="1:8" ht="140.25" x14ac:dyDescent="0.2">
      <c r="A2296" s="31" t="s">
        <v>5232</v>
      </c>
      <c r="B2296" s="27" t="s">
        <v>5233</v>
      </c>
      <c r="C2296" s="27" t="s">
        <v>5234</v>
      </c>
      <c r="D2296" s="33" t="s">
        <v>68</v>
      </c>
      <c r="E2296" s="34">
        <v>2</v>
      </c>
      <c r="F2296" s="34">
        <v>50</v>
      </c>
      <c r="G2296" s="10">
        <v>1169266</v>
      </c>
      <c r="H2296" s="30" t="str">
        <f ca="1">IFERROR(__xludf.DUMMYFUNCTION("LOWER(REGEXREPLACE(B2296&amp;"" ""&amp;C2296,""[^а-яa-z0-9 ]"","" ""))")," 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 1   толешница из      толщиной 32 мм на металлическом корп"&amp;"усе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систе"&amp;"мный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х8"&amp;"00  с    позволяющим проводить лабораторные работы  фиксировать данные полученные с микроскопа  выполнять задания и контрольные работы ")</f>
        <v xml:space="preserve"> 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v>
      </c>
    </row>
    <row r="2297" spans="1:8" ht="242.25" x14ac:dyDescent="0.2">
      <c r="A2297" s="31" t="s">
        <v>5235</v>
      </c>
      <c r="B2297" s="27" t="s">
        <v>5236</v>
      </c>
      <c r="C2297" s="27" t="s">
        <v>5237</v>
      </c>
      <c r="D2297" s="33" t="s">
        <v>68</v>
      </c>
      <c r="E2297" s="34">
        <v>2</v>
      </c>
      <c r="F2297" s="34">
        <v>50</v>
      </c>
      <c r="G2297" s="10">
        <v>1439051</v>
      </c>
      <c r="H2297" s="30" t="str">
        <f ca="1">IFERROR(__xludf.DUMMYFUNCTION("LOWER(REGEXREPLACE(B2297&amp;"" ""&amp;C2297,""[^а-яa-z0-9 ]"","" ""))")," 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кор"&amp;"пусе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сист"&amp;"емный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"&amp;"5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тумб"&amp;"леры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ш"&amp;"т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"&amp;"позволяющим фиксировать результаты исследований и лабораторных работ  выполнять задания следуя видео инструкциям ")</f>
        <v xml:space="preserve"> 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позволяющим фиксировать результаты исследований и лабораторных работ  выполнять задания следуя видео инструкциям </v>
      </c>
    </row>
    <row r="2298" spans="1:8" ht="153" x14ac:dyDescent="0.2">
      <c r="A2298" s="31" t="s">
        <v>5238</v>
      </c>
      <c r="B2298" s="27" t="s">
        <v>5239</v>
      </c>
      <c r="C2298" s="27" t="s">
        <v>5240</v>
      </c>
      <c r="D2298" s="33" t="s">
        <v>68</v>
      </c>
      <c r="E2298" s="34">
        <v>2</v>
      </c>
      <c r="F2298" s="34">
        <v>50</v>
      </c>
      <c r="G2298" s="10">
        <v>1484016</v>
      </c>
      <c r="H2298" s="30" t="str">
        <f ca="1">IFERROR(__xludf.DUMMYFUNCTION("LOWER(REGEXREPLACE(B2298&amp;"" ""&amp;C2298,""[^а-яa-z0-9 ]"","" ""))")," 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корп"&amp;"усе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систе"&amp;"мный блок внешними портами      mini  ack  кнопка запуска  дополнительное охлаждение      indows 10 ro   5   озетки 2 по 220  и 2     встроены в стол    6   ифровые лаборатории нового поколения  ensedisc  набор датчиков  реагентов и      датчик атмосферно"&amp;"го давления  датчик электропроводимости  датчик света  датчик уровня     датчик растворенного кислорода с    позволяющим фиксировать результаты опытов и лабораторных работ  выполнять задания следуя инструкциям")</f>
        <v xml:space="preserve"> 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ифровые лаборатории нового поколения  ensedisc  набор датчиков  реагентов и      датчик атмосферного давления  датчик электропроводимости  датчик света  датчик уровня     датчик растворенного кислорода с    позволяющим фиксировать результаты опытов и лабораторных работ  выполнять задания следуя инструкциям</v>
      </c>
    </row>
    <row r="2299" spans="1:8" ht="127.5" x14ac:dyDescent="0.2">
      <c r="A2299" s="31" t="s">
        <v>5241</v>
      </c>
      <c r="B2299" s="8" t="s">
        <v>5242</v>
      </c>
      <c r="C2299" s="27" t="s">
        <v>5243</v>
      </c>
      <c r="D2299" s="33" t="s">
        <v>68</v>
      </c>
      <c r="E2299" s="34">
        <v>2</v>
      </c>
      <c r="F2299" s="34">
        <v>50</v>
      </c>
      <c r="G2299" s="10">
        <v>1052359</v>
      </c>
      <c r="H2299" s="30" t="str">
        <f ca="1">IFERROR(__xludf.DUMMYFUNCTION("LOWER(REGEXREPLACE(B2299&amp;"" ""&amp;C2299,""[^а-яa-z0-9 ]"","" ""))")," 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 1   толешница из      толщиной 32 мм на металлическом корпусе двухместная   азмер п"&amp;"арты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портам"&amp;"и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контр"&amp;"оллировать действия каждого ученика  давать задания  проверять  демонстрировать контент ")</f>
        <v xml:space="preserve"> 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v>
      </c>
    </row>
    <row r="2300" spans="1:8" ht="140.25" x14ac:dyDescent="0.2">
      <c r="A2300" s="31" t="s">
        <v>5244</v>
      </c>
      <c r="B2300" s="27" t="s">
        <v>5245</v>
      </c>
      <c r="C2300" s="27" t="s">
        <v>5246</v>
      </c>
      <c r="D2300" s="33" t="s">
        <v>68</v>
      </c>
      <c r="E2300" s="34">
        <v>2</v>
      </c>
      <c r="F2300" s="34">
        <v>50</v>
      </c>
      <c r="G2300" s="10">
        <v>1349123</v>
      </c>
      <c r="H2300" s="30" t="str">
        <f ca="1">IFERROR(__xludf.DUMMYFUNCTION("LOWER(REGEXREPLACE(B2300&amp;"" ""&amp;C2300,""[^а-яa-z0-9 ]"","" ""))")," нтерактивный сенсорный стол двухместный типа i   для уроков по шахматам со встроенным компьютером  большим сенсорным монитором 32 дюйма  и набором фигур для игр  шахматы  шашки  нарды  тогыз кумалак  1   толешница из      толщиной 32мм на металлическом к"&amp;"орпусе двухместная   азмер парты 1200х800х750мм   встроены ящики для шахматных фигур по 500х600х150мм 2шт   2   строенный компьютер       ntel  ore i3 9100  перативная память 8      4  вердотельный накопитель 128         3   енсорный монитор 32 дюйма 10 к"&amp;"асаний  1920 1080  60 ц   4   орпус системный блок внешними портами      mini  ack  кнопка запуска  дополнительное охлаждение      indows 10 ro   5   абор фигур для игр в шахматы  шашки  нарды  тогыз кумалак     позволяет имитировать на экране поле для вы"&amp;"браной настольной игры  а так же играть в виртуальном режиме с виртуальныи соперником в лице искусственного интеллекта  а так же вести учет времени")</f>
        <v xml:space="preserve"> нтерактивный сенсорный стол двухместный типа i   для уроков по шахматам со встроенным компьютером  большим сенсорным монитором 32 дюйма  и набором фигур для игр  шахматы  шашки  нарды  тогыз кумалак  1   толешница из      толщиной 32мм на металлическом корпусе двухместная   азмер парты 1200х800х750мм   встроены ящики для шахматных фигур по 500х600х150мм 2шт   2   строенный компьютер       ntel  ore i3 9100  перативная память 8      4  вердотельный накопитель 128         3   енсорный монитор 32 дюйма 10 касаний  1920 1080  60 ц   4   орпус системный блок внешними портами      mini  ack  кнопка запуска  дополнительное охлаждение      indows 10 ro   5   абор фигур для игр в шахматы  шашки  нарды  тогыз кумалак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v>
      </c>
    </row>
    <row r="2301" spans="1:8" ht="409.5" x14ac:dyDescent="0.2">
      <c r="A2301" s="31" t="s">
        <v>5247</v>
      </c>
      <c r="B2301" s="27" t="s">
        <v>5248</v>
      </c>
      <c r="C2301" s="27" t="s">
        <v>5249</v>
      </c>
      <c r="D2301" s="33" t="s">
        <v>68</v>
      </c>
      <c r="E2301" s="34">
        <v>2</v>
      </c>
      <c r="F2301" s="34">
        <v>50</v>
      </c>
      <c r="G2301" s="10">
        <v>1978623</v>
      </c>
      <c r="H2301" s="30" t="str">
        <f ca="1">IFERROR(__xludf.DUMMYFUNCTION("LOWER(REGEXREPLACE(B2301&amp;"" ""&amp;C2301,""[^а-яa-z0-9 ]"","" ""))")," нтерактивный сенсорный стол двухместный  лабораторный  типа i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 1   толешница из "&amp;"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1"&amp;"0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п"&amp;"олем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7   рограммное обеспечение  программая оболочка для работы с датчикам"&amp;"и  фиксация показаний и выполнение заданий 8  книга с экспериментами в цифровой лаборатории  бумажная и цифровая копии   строенные датчики    9  датчик измерений качества воды  p   диапазон  0 14p   огрешность   0 2p  10  датчик температуры  сенсор датчик"&amp;"а встроен в парту и подключен к    парты  данные выводятся на общий экран   иапазон   40   135   огрешность   0 5                                      11  датчик давления газа  сенсор датчика встроен в парту и подключен к    парты  данные выводятся на общ"&amp;"ий экран   иапазон  0   300к а  огрешность   10 к а 12  датчик проводимости  сенсор датчика встроен в парту и подключен к    парты  данные выводятся на общий экран   иапазон 0   20000мк м см  очность  4   искретность 6мк м см   13  датчик пульса  иапазон "&amp;" 0 200 у м  огрешность   1                    14  датчик уровня кислорода  сенсор датчика встроен в парту и подключен к    парты  данные выводятся на общий экран   иапазон  0 20 мг л  огрешность   0 1 мг л                                         15  датчи"&amp;"к уровня углекислого газа  сенсор датчика встроен в парту и подключен к    парты  данные выводятся на общий экран   иапазон 0   20мг л 0 100   очность  0 5мг л  4   искретность 0 1мг л 0 1                      16  датчик сердцебьения человека  электрокард"&amp;"иограмма    сенсор датчика встроен в парту и подключен к    парты  данные выводятся на общий экран    комплекте с датчиком  провода и пластыри фиксации электродов   иапазон  1м     5м   искретность 0 0025м                                                  "&amp;"                             176 41 датчик света  колориметр   сенсор датчика встроен в парту и подключен к    парты  данные выводятся на общий экран  иапазон  0 55000 люкс  огрешность   5 ")</f>
        <v xml:space="preserve"> нтерактивный сенсорный стол двухместный  лабораторный  типа i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7   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строенные датчики    9  датчик измерений качества воды  p   диапазон  0 14p   огрешность   0 2p  10  датчик температуры  сенсор датчика встроен в парту и подключен к    парты  данные выводятся на общий экран   иапазон   40   135   огрешность   0 5                                      11  датчик давления газа  сенсор датчика встроен в парту и подключен к    парты  данные выводятся на общий экран   иапазон  0   300к а  огрешность   10 к а 12  датчик проводимости  сенсор датчика встроен в парту и подключен к    парты  данные выводятся на общий экран   иапазон 0   20000мк м см  очность  4   искретность 6мк м см   13  датчик пульса  иапазон  0 200 у м  огрешность   1                    14  датчик уровня кислорода  сенсор датчика встроен в парту и подключен к    парты  данные выводятся на общий экран   иапазон  0 20 мг л  огрешность   0 1 мг л                                         15  датчик уровня углекислого газа  сенсор датчика встроен в парту и подключен к    парты  данные выводятся на общий экран   иапазон 0   20мг л 0 100   очность  0 5мг л  4   искретность 0 1мг л 0 1                      16  датчик сердцебьения человека  электрокардиограмма    сенсор датчика встроен в парту и подключен к    парты  данные выводятся на общий экран    комплекте с датчиком  провода и пластыри фиксации электродов   иапазон  1м     5м   искретность 0 0025м                                                                               176 41 датчик света  колориметр   сенсор датчика встроен в парту и подключен к    парты  данные выводятся на общий экран  иапазон  0 55000 люкс  огрешность   5 </v>
      </c>
    </row>
    <row r="2302" spans="1:8" ht="369.75" x14ac:dyDescent="0.2">
      <c r="A2302" s="31" t="s">
        <v>5250</v>
      </c>
      <c r="B2302" s="27" t="s">
        <v>5251</v>
      </c>
      <c r="C2302" s="27" t="s">
        <v>5252</v>
      </c>
      <c r="D2302" s="33" t="s">
        <v>68</v>
      </c>
      <c r="E2302" s="34">
        <v>2</v>
      </c>
      <c r="F2302" s="34">
        <v>50</v>
      </c>
      <c r="G2302" s="10">
        <v>1978623</v>
      </c>
      <c r="H2302" s="30" t="str">
        <f ca="1">IFERROR(__xludf.DUMMYFUNCTION("LOWER(REGEXREPLACE(B2302&amp;"" ""&amp;C2302,""[^а-яa-z0-9 ]"","" ""))")," нтерактивный сенсорный стол двухместный  лабораторный  типа i   для уроков по физике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на"&amp;"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"&amp;"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классом"&amp;"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"&amp;"ционные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инд"&amp;"икатор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"&amp;" 1шт   с    позволяющим фиксировать результаты исследований и лабораторных работ  выполнять задания следуя видео инструкциям  7   рограммное обеспечение  програмная оболочка для работы с датчиками  фиксация показаний и выполнение заданий 8  книга с экспер"&amp;"иментами в цифровой лаборатории  бумажная и цифровая копии   строенные датчики  9   акселерометр 3 оси 10      датчик стандартный   встроен в парту и подключен к    парты  данные выводятся на общий экран  ")</f>
        <v xml:space="preserve"> нтерактивный сенсорный стол двухместный  лабораторный  типа i   для уроков по физике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позволяющим фиксировать результаты исследований и лабораторных работ  выполнять задания следуя видео инструкциям  7   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строенные датчики  9   акселерометр 3 оси 10      датчик стандартный   встроен в парту и подключен к    парты  данные выводятся на общий экран  </v>
      </c>
    </row>
    <row r="2303" spans="1:8" ht="242.25" x14ac:dyDescent="0.2">
      <c r="A2303" s="31" t="s">
        <v>5253</v>
      </c>
      <c r="B2303" s="27" t="s">
        <v>5254</v>
      </c>
      <c r="C2303" s="27" t="s">
        <v>5255</v>
      </c>
      <c r="D2303" s="33" t="s">
        <v>68</v>
      </c>
      <c r="E2303" s="34">
        <v>2</v>
      </c>
      <c r="F2303" s="34">
        <v>50</v>
      </c>
      <c r="G2303" s="10">
        <v>1933659</v>
      </c>
      <c r="H2303" s="30" t="str">
        <f ca="1">IFERROR(__xludf.DUMMYFUNCTION("LOWER(REGEXREPLACE(B2303&amp;"" ""&amp;C2303,""[^а-яa-z0-9 ]"","" ""))")," нтерактивный сенсорный стол двухместный  лабораторный  типа i   для уроков по химии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"&amp;"металлическом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6"&amp;"0 ц     4   орпус системный блок внешними портами      mini  ack  кнопка запуска  дополнительное охлаждение      indows 10 ro     5   озетки 2 по 220  и 2     встроены в стол      6   рограммное обеспечение  программная оболочка для работы с датчиками  фи"&amp;"ксация показаний и выполнение заданий                       7  книга с экспериментами в цифровой лаборатории  бумажная и цифровая копии     строенные датчики    8  датчик измерений качества воды  p   диапазон  0 14p   огрешность   0 2p      9  датчик темп"&amp;"ературы  сенсор датчика встроен в парту и подключен к    парты  данные выводятся на общий экран   иапазон   40   135   огрешность   0 5      10  датчик давления газа  сенсор датчика встроен в парту и подключен к    парты  данные выводятся на общий экран  "&amp;" иапазон  0   300к а  огрешность   10 к а      11  датчик проводимости  иапазон 0   20000мк м см  очность  4   искретность 6мк м см     12  датчик напряжения  иапазон   30     30   очность  1   искретность 0 02     13  датчик света  колориметр   иапазон 0"&amp;"   55000 юкс  очность  5   искретность 15 юкс")</f>
        <v xml:space="preserve"> нтерактивный сенсорный стол двухместный  лабораторный  типа i   для уроков по химии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строенные датчики    8  датчик измерений качества воды  p   диапазон  0 14p   огрешность   0 2p      9  датчик температуры  сенсор датчика встроен в парту и подключен к    парты  данные выводятся на общий экран   иапазон   40   135   огрешность   0 5      10  датчик давления газа  сенсор датчика встроен в парту и подключен к    парты  данные выводятся на общий экран   иапазон  0   300к а  огрешность   10 к а      11  датчик проводимости  иапазон 0   20000мк м см  очность  4   искретность 6мк м см     12  датчик напряжения  иапазон   30     30   очность  1   искретность 0 02     13  датчик света  колориметр   иапазон 0   55000 юкс  очность  5   искретность 15 юкс</v>
      </c>
    </row>
    <row r="2304" spans="1:8" ht="140.25" x14ac:dyDescent="0.2">
      <c r="A2304" s="31" t="s">
        <v>5256</v>
      </c>
      <c r="B2304" s="27" t="s">
        <v>5257</v>
      </c>
      <c r="C2304" s="27" t="s">
        <v>5258</v>
      </c>
      <c r="D2304" s="33" t="s">
        <v>68</v>
      </c>
      <c r="E2304" s="34">
        <v>2</v>
      </c>
      <c r="F2304" s="34">
        <v>50</v>
      </c>
      <c r="G2304" s="10">
        <v>1681859</v>
      </c>
      <c r="H2304" s="30" t="str">
        <f ca="1">IFERROR(__xludf.DUMMYFUNCTION("LOWER(REGEXREPLACE(B2304&amp;"" ""&amp;C2304,""[^а-яa-z0-9 ]"","" ""))")," нтерактивный сенсорный стол двухместный типа i   для уроков по информатике с 2 встроенными компьютерами  сенсорными мониторами 21 5 дюйма  периферией и специализированным программным обеспечением 1   толешница из      толщиной 32 мм на металлическом корп"&amp;"усе двухместная   азмер парты 1500х700х750мм    рая радиальные    2   строенный компьютер       ntel  ore i5 9600   3 7  z   9   1151  перативная память 8      4  вердотельный накопитель 256         2шт  3   енсорный монитор 21 5 дюйма 10 касаний  1920 10"&amp;"80  60 ц    2щт 4   орпус системный блок внешними портами      mini  ack  кнопка запуска  дополнительное охлаждение      indows 10 ro    2шт  5   озетки 2 по 220  и 2     встроены в стол    2шт  6   омпьютерная мышь  клавиатура    позволяет учителю и учен"&amp;"икам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2комплекта")</f>
        <v xml:space="preserve"> нтерактивный сенсорный стол двухместный типа i   для уроков по информатике с 2 встроенными компьютерами  сенсорными мониторами 21 5 дюйма  периферией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i5 9600   3 7  z   9   1151  перативная память 8      4  вердотельный накопитель 256         2шт  3   енсорный монитор 21 5 дюйма 10 касаний  1920 1080  60 ц    2щт 4   орпус системный блок внешними портами      mini  ack  кнопка запуска  дополнительное охлаждение      indows 10 ro    2шт  5   озетки 2 по 220  и 2     встроены в стол    2шт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2комплекта</v>
      </c>
    </row>
    <row r="2305" spans="1:8" ht="114.75" x14ac:dyDescent="0.2">
      <c r="A2305" s="31" t="s">
        <v>5259</v>
      </c>
      <c r="B2305" s="27" t="s">
        <v>5260</v>
      </c>
      <c r="C2305" s="27" t="s">
        <v>5261</v>
      </c>
      <c r="D2305" s="33" t="s">
        <v>68</v>
      </c>
      <c r="E2305" s="34">
        <v>2</v>
      </c>
      <c r="F2305" s="34">
        <v>50</v>
      </c>
      <c r="G2305" s="10">
        <v>1421066</v>
      </c>
      <c r="H2305" s="30" t="str">
        <f ca="1">IFERROR(__xludf.DUMMYFUNCTION("LOWER(REGEXREPLACE(B2305&amp;"" ""&amp;C2305,""[^а-яa-z0-9 ]"","" ""))")," нтерактивный сенсорный стол двухместный типа i   для уроков по изучению языков со встроенным компьютером  сенсорным монитором 21 5 дюйма  и двумя парами гарнитур 1   толешница из      толщиной 32мм  двойной лист       на металлическом корпусе двухместная"&amp;"   азмер парты 1200х800х750мм      2   строенный компьютер           ntel  ore i5 9600   3 7  z   9   1151  перативная память 8      4  вердотельный накопитель 128        3   енсорный монитор 21 5 дюйма 10 касаний  1920 1080  60 ц         4  2 пары гарнит"&amp;"ур наушников с микрофонами            5   орпус системный блок внешними портами      2 порта mini  ack  кнопка запуска  дополнительное охлаждение      indows 10 ro      6   озетки 2 по 220  и 2     встроены в стол ")</f>
        <v xml:space="preserve"> нтерактивный сенсорный стол двухместный типа i   для уроков по изучению языков со встроенным компьютером  сенсорным монитором 21 5 дюйма  и двумя парами гарнитур 1   толешница из      толщиной 32мм  двойной лист       на металлическом корпусе двухместная   азмер парты 1200х800х750мм      2   строенный компьютер           ntel  ore i5 9600   3 7  z   9   1151  перативная память 8      4  вердотельный накопитель 128        3   енсорный монитор 21 5 дюйма 10 касаний  1920 1080  60 ц         4  2 пары гарнитур наушников с микрофонами            5   орпус системный блок внешними портами      2 порта mini  ack  кнопка запуска  дополнительное охлаждение      indows 10 ro      6   озетки 2 по 220  и 2     встроены в стол </v>
      </c>
    </row>
    <row r="2306" spans="1:8" ht="89.25" x14ac:dyDescent="0.2">
      <c r="A2306" s="31" t="s">
        <v>5262</v>
      </c>
      <c r="B2306" s="27" t="s">
        <v>5263</v>
      </c>
      <c r="C2306" s="27" t="s">
        <v>5264</v>
      </c>
      <c r="D2306" s="33" t="s">
        <v>68</v>
      </c>
      <c r="E2306" s="34">
        <v>2</v>
      </c>
      <c r="F2306" s="34">
        <v>50</v>
      </c>
      <c r="G2306" s="10">
        <v>1052359</v>
      </c>
      <c r="H2306" s="30" t="str">
        <f ca="1">IFERROR(__xludf.DUMMYFUNCTION("LOWER(REGEXREPLACE(B2306&amp;"" ""&amp;C2306,""[^а-яa-z0-9 ]"","" ""))")," нтерактивный сенсорный стол двухместный типа i   для уроков по истории  праву и географии со встроенным компьютером и сенсорным монитором 21 5 дюйма 1   толешница из      толщиной 32мм на металлическом корпусе двухместная   азмер парты 1200х800х750мм    "&amp;" 2   строенный компьютер      ntel  ore i3 9100  перативная память 8      4  вердотельный накопитель 128        3   енсорный монитор 21 5 дюйма 10 касаний  1920 1080  60 ц          4   озетки 2 по 220  и 2     встроены в стол   5   орпус системный блок вн"&amp;"ешними портами      2 порта mini  ack  кнопка запуска  дополнительное охлаждение      indows 10 ro ")</f>
        <v xml:space="preserve"> нтерактивный сенсорный стол двухместный типа i   для уроков по истории  праву и географии со встроенным компьютером и сенсорным монитором 21 5 дюйма 1   толешница из      толщиной 32мм на металлическом корпусе двухместная   азмер парты 1200х800х750мм     2   строенный компьютер      ntel  ore i3 9100  перативная память 8      4  вердотельный накопитель 128        3   енсорный монитор 21 5 дюйма 10 касаний  1920 1080  60 ц          4   озетки 2 по 220  и 2     встроены в стол   5   орпус системный блок внешними портами      2 порта mini  ack  кнопка запуска  дополнительное охлаждение      indows 10 ro </v>
      </c>
    </row>
    <row r="2307" spans="1:8" ht="140.25" x14ac:dyDescent="0.2">
      <c r="A2307" s="31" t="s">
        <v>5265</v>
      </c>
      <c r="B2307" s="27" t="s">
        <v>5266</v>
      </c>
      <c r="C2307" s="27" t="s">
        <v>5267</v>
      </c>
      <c r="D2307" s="33" t="s">
        <v>68</v>
      </c>
      <c r="E2307" s="34">
        <v>2</v>
      </c>
      <c r="F2307" s="34">
        <v>50</v>
      </c>
      <c r="G2307" s="10">
        <v>1798766</v>
      </c>
      <c r="H2307" s="30" t="str">
        <f ca="1">IFERROR(__xludf.DUMMYFUNCTION("LOWER(REGEXREPLACE(B2307&amp;"" ""&amp;C2307,""[^а-яa-z0-9 ]"","" ""))")," нтерактивный сенсорный стол одноместный типа i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"&amp;"азмер парты 1200х800х750мм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9"&amp;"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п"&amp;"ерьевого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f>
        <v xml:space="preserve"> нтерактивный сенсорный стол одноместный типа i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азмер парты 1200х800х750мм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v>
      </c>
    </row>
    <row r="2308" spans="1:8" ht="153" x14ac:dyDescent="0.2">
      <c r="A2308" s="31" t="s">
        <v>5268</v>
      </c>
      <c r="B2308" s="27" t="s">
        <v>5269</v>
      </c>
      <c r="C2308" s="27" t="s">
        <v>5270</v>
      </c>
      <c r="D2308" s="33" t="s">
        <v>68</v>
      </c>
      <c r="E2308" s="34">
        <v>2</v>
      </c>
      <c r="F2308" s="34">
        <v>50</v>
      </c>
      <c r="G2308" s="10">
        <v>1888694</v>
      </c>
      <c r="H2308" s="30" t="str">
        <f ca="1">IFERROR(__xludf.DUMMYFUNCTION("LOWER(REGEXREPLACE(B2308&amp;"" ""&amp;C2308,""[^а-яa-z0-9 ]"","" ""))")," нтерактивный сенсорный стол одноместный типа i   для преподавателя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корп"&amp;"усе одноместная   азмер парты 1500х800х750мм с боковой тумбой для документов и     1000х500х500     2   строенный  компьютер      intel core  i7      32гб  3200  z   вердотельный накопитель     1000     идеокарта     3050 8     лок питания 750    3   онит"&amp;"ор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ес"&amp;"проводное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"&amp;" встроены в стол ")</f>
        <v xml:space="preserve"> нтерактивный сенсорный стол одноместный типа i   для преподавателя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азмер парты 1500х800х750мм с боковой тумбой для документов и     1000х500х500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 </v>
      </c>
    </row>
    <row r="2309" spans="1:8" ht="127.5" x14ac:dyDescent="0.2">
      <c r="A2309" s="31" t="s">
        <v>5271</v>
      </c>
      <c r="B2309" s="8" t="s">
        <v>5272</v>
      </c>
      <c r="C2309" s="27" t="s">
        <v>5273</v>
      </c>
      <c r="D2309" s="33" t="s">
        <v>68</v>
      </c>
      <c r="E2309" s="34">
        <v>2</v>
      </c>
      <c r="F2309" s="34">
        <v>50</v>
      </c>
      <c r="G2309" s="10">
        <v>1016387</v>
      </c>
      <c r="H2309" s="30" t="str">
        <f ca="1">IFERROR(__xludf.DUMMYFUNCTION("LOWER(REGEXREPLACE(B2309&amp;"" ""&amp;C2309,""[^а-яa-z0-9 ]"","" ""))")," нтерактивный сенсорный стол одноместный типа i   для уроков по информатике со встроенным компьютером  сенсорным монитором 21 5 дюймов  периферией и специализированным программным обеспечением 1   толешница из      толщиной 32 мм на металлическом корпусе "&amp;"одноместная   азмер парты 900х650х750мм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системн"&amp;"ый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простарн"&amp;"стве  учитель может контроллировать действия каждого ученика  давать задания  проверять  демонстрировать контент ")</f>
        <v xml:space="preserve"> нтерактивный сенсорный стол одноместный типа i   для уроков по информатике со встроенным компьютером  сенсорным монитором 21 5 дюймов  периферией и специализированным программным обеспечением 1   толешница из      толщиной 32 мм на металлическом корпусе одноместная   азмер парты 900х650х750мм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v>
      </c>
    </row>
    <row r="2310" spans="1:8" ht="165.75" x14ac:dyDescent="0.2">
      <c r="A2310" s="31" t="s">
        <v>5274</v>
      </c>
      <c r="B2310" s="27" t="s">
        <v>5275</v>
      </c>
      <c r="C2310" s="27" t="s">
        <v>5276</v>
      </c>
      <c r="D2310" s="33" t="s">
        <v>68</v>
      </c>
      <c r="E2310" s="34">
        <v>2</v>
      </c>
      <c r="F2310" s="34">
        <v>100</v>
      </c>
      <c r="G2310" s="10">
        <v>944639</v>
      </c>
      <c r="H2310" s="30" t="str">
        <f ca="1">IFERROR(__xludf.DUMMYFUNCTION("LOWER(REGEXREPLACE(B2310&amp;"" ""&amp;C2310,""[^а-яa-z0-9 ]"","" ""))")," нтерактивный стол типа i   для преподавателя со встроенным компьютером и сенсорным монитором 23 8 дюймов  удлиненной тумбой 1   толешница из      толщиной 32 мм на металлическом корпусе  размер стола 1500х700х750мм    рая радиальные   умба является часть"&amp;"ю стола  размер тумбы 1200х600х500мм  2   строенный компьютер       ntel  ore i5 10400 2 9  z  4 3  z  12 b 6 12  ore  omet  ake  ntel      630 65       1200  ray   перативная память 16        2666  z    4   4 21300 19 19 19 43   416  2666 19   ulk  ack  "&amp;" вердотельный накопитель 512              25 3 512           3  eries2 5           520   s  470   s 3   енсорный монитор 23 8 дюйма  10 касаний  1920 1080  75 ц  4   орпус системный блок  являеся неотъемлемой частью стола  с внешними портами      mini  ac"&amp;"k  кнопка запуска  дополнительное охлаждение      indows 11     5   озетки 2 по 220  и 2     встроены в стол 6   ериферия  клавиатура и мышь беспроводные      беспрводная гарнитура  наушники с микрофоном   веб камера  1280x720    ")</f>
        <v xml:space="preserve"> нтерактивный стол типа i   для преподавателя со встроенным компьютером и сенсорным монитором 23 8 дюймов  удлиненной тумбой 1   толешница из      толщиной 32 мм на металлическом корпусе  размер стола 1500х700х750мм    рая радиальные   умба является частью стола  размер тумбы 1200х600х500мм  2   строенный компьютер       ntel  ore i5 10400 2 9  z  4 3  z  12 b 6 12  ore  omet  ake  ntel      630 65       1200  ray   перативная память 16        2666  z    4   4 21300 19 19 19 43   416  2666 19   ulk  ack   вердотельный накопитель 512              25 3 512           3  eries2 5           520   s  470   s 3   енсорный монитор 23 8 дюйма  10 касаний  1920 1080  75 ц  4   орпус системный блок  являеся неотъемлемой частью стола  с внешними портами      mini  ack  кнопка запуска  дополнительное охлаждение      indows 11     5   озетки 2 по 220  и 2     встроены в стол 6   ериферия  клавиатура и мышь беспроводные      беспрводная гарнитура  наушники с микрофоном   веб камера  1280x720    </v>
      </c>
    </row>
    <row r="2311" spans="1:8" ht="153" x14ac:dyDescent="0.2">
      <c r="A2311" s="31" t="s">
        <v>5277</v>
      </c>
      <c r="B2311" s="27" t="s">
        <v>5278</v>
      </c>
      <c r="C2311" s="27" t="s">
        <v>5279</v>
      </c>
      <c r="D2311" s="33" t="s">
        <v>68</v>
      </c>
      <c r="E2311" s="34">
        <v>2</v>
      </c>
      <c r="F2311" s="34">
        <v>50</v>
      </c>
      <c r="G2311" s="10">
        <v>710630</v>
      </c>
      <c r="H2311" s="30" t="str">
        <f ca="1">IFERROR(__xludf.DUMMYFUNCTION("LOWER(REGEXREPLACE(B2311&amp;"" ""&amp;C2311,""[^а-яa-z0-9 ]"","" ""))")," нтерактивный одноместный стол типа i   со встроенным компьютером  монитором 21 5 дюймов и проводной периферией  мышь  клавиатура  веб камера  гарнитура  1   толешница из      толщиной 32 мм на металлическом корпусе одноместная   азмер парты 650х600х750мм"&amp;"    рая радиальные   2   строенный компьютер       ntel  ore i3 10100 3 6  z  4 3  z  6 b 4 8  ore  omet  ake  ntel      630 65       1200       перативная память 8      4 2666  z        4 21300 19 19 19 43   48  2666 19   ulk  ack   вердотельный накопите"&amp;"ль 128              09             3 2 5      3  550   s  490   s   25 3 3   онитор 21 5 дюйма 1920 1080  70 ц  4   орпус системный блок в царге  являеся неотъемлемой частью стола  с внешними портами      mini  ack  кнопка запуска  дополнительное охлажден"&amp;"ие      indows 11     5   ериферия  клавиатура и мышь проводные      проводная гарнитура  наушники с микрофоном   веб камера  1280x720    ")</f>
        <v xml:space="preserve"> нтерактивный одноместный стол типа i   со встроенным компьютером  монитором 21 5 дюймов и проводной периферией  мышь  клавиатура  веб камера  гарнитура  1   толешница из      толщиной 32 мм на металлическом корпусе одноместная   азмер парты 650х600х750мм    рая радиальные   2   строенный компьютер       ntel  ore i3 10100 3 6  z  4 3  z  6 b 4 8  ore  omet  ake  ntel      630 65       1200       перативная память 8      4 2666  z        4 21300 19 19 19 43   48  2666 19   ulk  ack   вердотельный накопитель 128              09             3 2 5      3  550   s  490   s   25 3 3   онитор 21 5 дюйма 1920 1080  70 ц  4   орпус системный блок в царге  являеся неотъемлемой частью стола  с внешними портами      mini  ack  кнопка запуска  дополнительное охлаждение      indows 11     5   ериферия  клавиатура и мышь проводные      проводная гарнитура  наушники с микрофоном   веб камера  1280x720    </v>
      </c>
    </row>
    <row r="2312" spans="1:8" ht="127.5" x14ac:dyDescent="0.2">
      <c r="A2312" s="31" t="s">
        <v>5280</v>
      </c>
      <c r="B2312" s="27" t="s">
        <v>5281</v>
      </c>
      <c r="C2312" s="27" t="s">
        <v>5282</v>
      </c>
      <c r="D2312" s="33" t="s">
        <v>68</v>
      </c>
      <c r="E2312" s="34">
        <v>2</v>
      </c>
      <c r="F2312" s="34">
        <v>300</v>
      </c>
      <c r="G2312" s="10">
        <v>4677452</v>
      </c>
      <c r="H2312" s="30" t="str">
        <f ca="1">IFERROR(__xludf.DUMMYFUNCTION("LOWER(REGEXREPLACE(B2312&amp;"" ""&amp;C2312,""[^а-яa-z0-9 ]"","" ""))")," нтерактивный сенсорный стол типа i    комплект из 6 парт  для групповых уроков со встроенным компьютером  сенсорным встроенным монитором 21 5 дюймов 1   толешница из     толщиной 20мм на металлическом корпусе   азмер парты 1500х700х750мм    рая радиальны"&amp;"е   6шт  2   строенный компьютер       ntel  ore i3 10100 3 6  z  4 3  z  6 b 4 8  ore  omet  ake  ntel      630 65       1200       перативная память 8      4 2666  z        4 21300 19 19 19 43   48  2666 19   ulk  ack   вердотельный накопитель 128      "&amp;"        09             3 2 5      3  550   s  490   s   25 3   6шт  3   онитор 21 5 дюйма  сенсорное стекло 10 касаний  1920 1080  70 ц   6 шт  4   орпус системный блок внешними портами      mini  ack  кнопка запуска  дополнительное охлаждение      indows"&amp;" 11 ro   6 шт  5   озетки 2 по 220  и 2     встроены в стол   6 шт ")</f>
        <v xml:space="preserve"> нтерактивный сенсорный стол типа i    комплект из 6 парт  для групповых уроков со встроенным компьютером  сенсорным встроенным монитором 21 5 дюймов 1   толешница из     толщиной 20мм на металлическом корпусе   азмер парты 1500х700х750мм    рая радиальные   6шт  2   строенный компьютер       ntel  ore i3 10100 3 6  z  4 3  z  6 b 4 8  ore  omet  ake  ntel      630 65       1200       перативная память 8      4 2666  z        4 21300 19 19 19 43   48  2666 19   ulk  ack   вердотельный накопитель 128              09             3 2 5      3  550   s  490   s   25 3   6шт  3   онитор 21 5 дюйма  сенсорное стекло 10 касаний  1920 1080  70 ц   6 шт  4   орпус системный блок внешними портами      mini  ack  кнопка запуска  дополнительное охлаждение      indows 11 ro   6 шт  5   озетки 2 по 220  и 2     встроены в стол   6 шт </v>
      </c>
    </row>
    <row r="2313" spans="1:8" ht="382.5" x14ac:dyDescent="0.2">
      <c r="A2313" s="31" t="s">
        <v>5283</v>
      </c>
      <c r="B2313" s="27" t="s">
        <v>5284</v>
      </c>
      <c r="C2313" s="27" t="s">
        <v>5285</v>
      </c>
      <c r="D2313" s="33" t="s">
        <v>68</v>
      </c>
      <c r="E2313" s="34">
        <v>2</v>
      </c>
      <c r="F2313" s="34">
        <v>60</v>
      </c>
      <c r="G2313" s="10">
        <v>1007433</v>
      </c>
      <c r="H2313" s="30" t="str">
        <f ca="1">IFERROR(__xludf.DUMMYFUNCTION("LOWER(REGEXREPLACE(B2313&amp;"" ""&amp;C2313,""[^а-яa-z0-9 ]"","" ""))")," нтерактивный одноместный стол типа i   со встроенным компьютером  монитором 27 дюймов и проводной периферией  мышь  клавиатура  веб камера  гарнитура  1   толешница из      толщиной 32 мм на металлическом корпусе двухместная   азмер парты 650х600х750мм  "&amp;"  рая радиальные   2   роцессор   оличество ядер 10   аксимальное количество потоков 16   бъем кэша  3 20      азовая частота процессора    ц  1 8   ц   аксимальная частота    ц  4 6   ц  встроенный графический процессора   идеокарта   строенная с объемом"&amp;" видеопамяти 2  б   перационная система  с наличием графического интерфейса на государственном языке   перативная память     4 16  б   актовая частота  3200  гц   орты и системы беспроводной передачи данных наличие 7 портов  2 порта     3 0  2 порта     2"&amp;" 0  1  ype    1 для аудио микрофона или порты с иной раскладкой превосходящие текущие параметры   стройство хранения данных  512  б       атеринская плата 1 разъема   2        xpress 3 0 x 4  1  thernet скорость   1  бит сек   лок питание 300  т   оответс"&amp;"твие стандарту  80       old  3   азрешение экрана   2560х1440   иагональ    27 дюймов   орты   2 порта       1 порта  isplay  ort   азъем для наушников  аудиовход 3 5 мм  ini ack   строенные динамики 2х2 т   ополнительные режимы    мное энергосбережение "&amp;"  езопасный режим мерцания   ежим чтения   инамическая синхронизация действий   инимальная яркость экрана   300 кд кв м   атрица      или       аксимальная частота обновления кадров 165  ц   ин   ремя отклика пикселя 1 мс   егулировка наклона   егулировка"&amp;" высоты 90 мм  поворот по часовой стрелке 90  против часовой стрелки 90  4   орпус системный блок в царге  являеся неотъемлемой частью стола  с внешними портами      mini  ack  кнопка запуска  дополнительное охлаждение      indows 11     5   ериферия  про"&amp;"водная языки  казахский кириллица   русский английский с заводским нанесением букв  длина провода 2 метра и мышь проводные       икрофонно телефонная гарнитура  тип крепления гарнитуры   дуговое   астотный диапазон  нижняя граница 20 ц и верхняя граница 2"&amp;"0000  ц   ощность 50 м т   опротивление 32  м   лина кабеля 1 8 м   ягкие накладки амбушюры  регулятор громкости  специальный разъем для подключения к компьютеру  веб камера  1280x720     поддержка  ull  d  2   ")</f>
        <v xml:space="preserve"> нтерактивный одноместный стол типа i   со встроенным компьютером  монитором 27 дюймов и проводной периферией  мышь  клавиатура  веб камера  гарнитура  1   толешница из      толщиной 32 мм на металлическом корпусе двухместная   азмер парты 650х600х750мм    рая радиальные   2   роцессор   оличество ядер 10   аксимальное количество потоков 16   бъем кэша  3 20      азовая частота процессора    ц  1 8   ц   аксимальная частота    ц  4 6   ц  встроенный графический процессора   идеокарта   строенная с объемом видеопамяти 2  б   перационная система  с наличием графического интерфейса на государственном языке   перативная память     4 16  б   актовая частота  3200  гц   орты и системы беспроводной передачи данных наличие 7 портов  2 порта     3 0  2 порта     2 0  1  ype    1 для аудио микрофона или порты с иной раскладкой превосходящие текущие параметры   стройство хранения данных  512  б       атеринская плата 1 разъема   2        xpress 3 0 x 4  1  thernet скорость   1  бит сек   лок питание 300  т   оответствие стандарту  80       old  3   азрешение экрана   2560х1440   иагональ    27 дюймов   орты   2 порта       1 порта  isplay  ort   азъем для наушников  аудиовход 3 5 мм  ini ack   строенные динамики 2х2 т   ополнительные режимы    мное энергосбережение   езопасный режим мерцания   ежим чтения   инамическая синхронизация действий   инимальная яркость экрана   300 кд кв м   атрица      или       аксимальная частота обновления кадров 165  ц   ин   ремя отклика пикселя 1 мс   егулировка наклона   егулировка высоты 90 мм  поворот по часовой стрелке 90  против часовой стрелки 90  4   орпус системный блок в царге  являеся неотъемлемой частью стола  с внешними портами      mini  ack  кнопка запуска  дополнительное охлаждение      indows 11     5   ериферия  проводная языки  казахский кириллица   русский английский с заводским нанесением букв  длина провода 2 метра и мышь проводные       икрофонно телефонная гарнитура  тип крепления гарнитуры   дуговое   астотный диапазон  нижняя граница 20 ц и верхняя граница 20000  ц   ощность 50 м т   опротивление 32  м   лина кабеля 1 8 м   ягкие накладки амбушюры  регулятор громкости  специальный разъем для подключения к компьютеру  веб камера  1280x720     поддержка  ull  d  2   </v>
      </c>
    </row>
    <row r="2314" spans="1:8" ht="153" x14ac:dyDescent="0.2">
      <c r="A2314" s="31" t="s">
        <v>5286</v>
      </c>
      <c r="B2314" s="27" t="s">
        <v>5287</v>
      </c>
      <c r="C2314" s="27" t="s">
        <v>5288</v>
      </c>
      <c r="D2314" s="33" t="s">
        <v>68</v>
      </c>
      <c r="E2314" s="34">
        <v>2</v>
      </c>
      <c r="F2314" s="34">
        <v>60</v>
      </c>
      <c r="G2314" s="10">
        <v>1043405</v>
      </c>
      <c r="H2314" s="30" t="str">
        <f ca="1">IFERROR(__xludf.DUMMYFUNCTION("LOWER(REGEXREPLACE(B2314&amp;"" ""&amp;C2314,""[^а-яa-z0-9 ]"","" ""))")," нтерактивный одноместный стол типа i   регулируемый по высоте c электроподъемниками  встроенным компьютером и сенсорным монитором 21 5 дюймов 1   толешница из      толщиной 32 мм на металлическом корпусе одноместная   азмер парты 800х700х700 1200мм    ра"&amp;"я радиальные   2   строенный компьютер       ntel  ore i3 10100 3 6  z  4 3  z  6 b 4 8  ore  omet  ake  ntel      630 65       1200       перативная память 8      4 2666  z        4 21300 19 19 19 43   48  2666 19   ulk  ack   вердотельный накопитель 128"&amp;"              09             3 2 5      3  550   s  490   s   25 3 3   енсорный монитор 21 5 дюйма 10 касаний  1920 1080  70 ц 4   орпус системный блок внешними портами      mini  ack  кнопка запуска  дополнительное охлаждение      indows 11 ro   5   озет"&amp;"ки 2 по 220  и 2     встроены в стол  6   вухмоторная рама стола с электрической регулировкой высоты от 700 до 1200мм            7   ериферия  клавиатура и мышь беспроводные")</f>
        <v xml:space="preserve"> нтерактивный одноместный стол типа i   регулируемый по высоте c электроподъемниками  встроенным компьютером и сенсорным монитором 21 5 дюймов 1   толешница из      толщиной 32 мм на металлическом корпусе одноместная   азмер парты 800х700х700 1200мм    рая радиальные   2   строенный компьютер       ntel  ore i3 10100 3 6  z  4 3  z  6 b 4 8  ore  omet  ake  ntel      630 65       1200       перативная память 8      4 2666  z        4 21300 19 19 19 43   48  2666 19   ulk  ack   вердотельный накопитель 128              09             3 2 5      3  550   s  490   s   25 3 3   енсорный монитор 21 5 дюйма 10 касаний  1920 1080  70 ц 4   орпус системный блок внешними портами      mini  ack  кнопка запуска  дополнительное охлаждение      indows 11 ro   5   озетки 2 по 220  и 2     встроены в стол  6   вухмоторная рама стола с электрической регулировкой высоты от 700 до 1200мм            7   ериферия  клавиатура и мышь беспроводные</v>
      </c>
    </row>
    <row r="2315" spans="1:8" ht="12.75" x14ac:dyDescent="0.2">
      <c r="A2315" s="31" t="s">
        <v>5289</v>
      </c>
      <c r="B2315" s="27" t="s">
        <v>5290</v>
      </c>
      <c r="C2315" s="27"/>
      <c r="D2315" s="32"/>
      <c r="E2315" s="9"/>
      <c r="F2315" s="32"/>
      <c r="G2315" s="10"/>
      <c r="H2315" s="30" t="str">
        <f ca="1">IFERROR(__xludf.DUMMYFUNCTION("LOWER(REGEXREPLACE(B2315&amp;"" ""&amp;C2315,""[^а-яa-z0-9 ]"","" ""))")," нтерактивные системы ")</f>
        <v xml:space="preserve"> нтерактивные системы </v>
      </c>
    </row>
    <row r="2316" spans="1:8" ht="409.5" x14ac:dyDescent="0.2">
      <c r="A2316" s="31" t="s">
        <v>5291</v>
      </c>
      <c r="B2316" s="27" t="s">
        <v>5292</v>
      </c>
      <c r="C2316" s="27" t="s">
        <v>5293</v>
      </c>
      <c r="D2316" s="33" t="s">
        <v>14</v>
      </c>
      <c r="E2316" s="34">
        <v>1</v>
      </c>
      <c r="F2316" s="35">
        <v>78.5</v>
      </c>
      <c r="G2316" s="10">
        <v>2473294</v>
      </c>
      <c r="H2316" s="30" t="str">
        <f ca="1">IFERROR(__xludf.DUMMYFUNCTION("LOWER(REGEXREPLACE(B2316&amp;"" ""&amp;C2316,""[^а-яa-z0-9 ]"","" ""))")," нтерактивная панель  romethean  ctiv anel 9  remium 75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точк"&amp;"и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бесср"&amp;"очная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учени"&amp;"ка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"&amp;"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лицензия"&amp;"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для"&amp;"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и"&amp;"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"&amp;"1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интерак"&amp;"тивной панели  1шт     нтенна  3шт     астенное крепление  1шт  и  репежный винт        6   4шт     ульт дистанционного управления  1шт  и аккумуляторы для пульта  2шт    651  ронштейн  ini    с 2 винтами  1шт  ")</f>
        <v xml:space="preserve"> нтерактивная панель  romethean  ctiv anel 9  remium 75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651  ронштейн  ini    с 2 винтами  1шт  </v>
      </c>
    </row>
    <row r="2317" spans="1:8" ht="408" x14ac:dyDescent="0.2">
      <c r="A2317" s="31" t="s">
        <v>5294</v>
      </c>
      <c r="B2317" s="27" t="s">
        <v>5295</v>
      </c>
      <c r="C2317" s="27" t="s">
        <v>5296</v>
      </c>
      <c r="D2317" s="33" t="s">
        <v>14</v>
      </c>
      <c r="E2317" s="34">
        <v>1</v>
      </c>
      <c r="F2317" s="35">
        <v>95.7</v>
      </c>
      <c r="G2317" s="10">
        <v>2788166</v>
      </c>
      <c r="H2317" s="30" t="str">
        <f ca="1">IFERROR(__xludf.DUMMYFUNCTION("LOWER(REGEXREPLACE(B2317&amp;"" ""&amp;C2317,""[^а-яa-z0-9 ]"","" ""))")," нтерактивная панель  romethean  ctiv anel 9  remium 86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точк"&amp;"и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бесср"&amp;"очная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учени"&amp;"ка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"&amp;"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лицензия"&amp;"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для"&amp;"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и"&amp;"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"&amp;"1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интерак"&amp;"тивной панели  1шт     нтенна  3шт     астенное крепление  1шт  и  репежный винт        6   4шт     ульт дистанционного управления  1шт  и аккумуляторы для пульта  2шт      ронштейн  ini    с 2 винтами  1шт  ")</f>
        <v xml:space="preserve"> нтерактивная панель  romethean  ctiv anel 9  remium 86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ронштейн  ini    с 2 винтами  1шт  </v>
      </c>
    </row>
    <row r="2318" spans="1:8" ht="409.5" x14ac:dyDescent="0.2">
      <c r="A2318" s="31" t="s">
        <v>5297</v>
      </c>
      <c r="B2318" s="27" t="s">
        <v>5298</v>
      </c>
      <c r="C2318" s="27" t="s">
        <v>5299</v>
      </c>
      <c r="D2318" s="33" t="s">
        <v>14</v>
      </c>
      <c r="E2318" s="34">
        <v>1</v>
      </c>
      <c r="F2318" s="35">
        <v>61.5</v>
      </c>
      <c r="G2318" s="10">
        <v>1618920</v>
      </c>
      <c r="H2318" s="30" t="str">
        <f ca="1">IFERROR(__xludf.DUMMYFUNCTION("LOWER(REGEXREPLACE(B2318&amp;"" ""&amp;C2318,""[^а-яa-z0-9 ]"","" ""))")," нтерактивная панель  romethean  ctiv anel 9  remium 65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точк"&amp;"и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бесср"&amp;"очная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учени"&amp;"ка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"&amp;"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лицензия"&amp;"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для"&amp;"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и"&amp;"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"&amp;"1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интерак"&amp;"тивной панели  1шт     нтенна  3шт     астенное крепление  1шт  и  репежный винт        6   4шт     ульт дистанционного управления  1шт  и аккумуляторы для пульта  2шт    653  ронштейн  ini    с 2 винтами  1шт  ")</f>
        <v xml:space="preserve"> нтерактивная панель  romethean  ctiv anel 9  remium 65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653  ронштейн  ini    с 2 винтами  1шт  </v>
      </c>
    </row>
    <row r="2319" spans="1:8" ht="76.5" x14ac:dyDescent="0.2">
      <c r="A2319" s="31" t="s">
        <v>5300</v>
      </c>
      <c r="B2319" s="27" t="s">
        <v>5301</v>
      </c>
      <c r="C2319" s="27"/>
      <c r="D2319" s="33" t="s">
        <v>14</v>
      </c>
      <c r="E2319" s="34">
        <v>1</v>
      </c>
      <c r="F2319" s="34">
        <v>25</v>
      </c>
      <c r="G2319" s="10">
        <v>181949</v>
      </c>
      <c r="H2319" s="30" t="str">
        <f ca="1">IFERROR(__xludf.DUMMYFUNCTION("LOWER(REGEXREPLACE(B2319&amp;"" ""&amp;C2319,""[^а-яa-z0-9 ]"","" ""))")," обильная стойка  mart     для интерактивных панелей  65 75 86 дюйм   оснащ нная над жной системой крепления  усиленной рамой и поворотными колесиками с фиксаторами   меет полку для аксессуаров и дополнительного оборудования ")</f>
        <v xml:space="preserve"> обильная стойка  mart     для интерактивных панелей  65 75 86 дюйм   оснащ нная над жной системой крепления  усиленной рамой и поворотными колесиками с фиксаторами   меет полку для аксессуаров и дополнительного оборудования </v>
      </c>
    </row>
    <row r="2320" spans="1:8" ht="229.5" x14ac:dyDescent="0.2">
      <c r="A2320" s="31" t="s">
        <v>5302</v>
      </c>
      <c r="B2320" s="8" t="s">
        <v>5303</v>
      </c>
      <c r="C2320" s="27" t="s">
        <v>5304</v>
      </c>
      <c r="D2320" s="33" t="s">
        <v>68</v>
      </c>
      <c r="E2320" s="34">
        <v>1</v>
      </c>
      <c r="F2320" s="35">
        <v>131.19999999999999</v>
      </c>
      <c r="G2320" s="10">
        <v>2253307</v>
      </c>
      <c r="H2320" s="30" t="str">
        <f ca="1">IFERROR(__xludf.DUMMYFUNCTION("LOWER(REGEXREPLACE(B2320&amp;"" ""&amp;C2320,""[^а-яa-z0-9 ]"","" ""))")," нтерактивная система  mart      3   ducation  комплекс включает интерактивную панель 75 дюйм  встроенный     mart       i5 13400   16      4       512     профессиональное    для создания 3  контента  цельнометаллический корпус  mart     с фирменной перф"&amp;"орацией и мобильную стойку на кол сиках   аботает на  indows 11    нтерактивная панель 75 диагональ    азрешение  4         ркость 400 кд м2   инамическая  онтрастность 5000 1    татическая  онтрастность 1200 1    аличие микрофонов  нтегрированный массив "&amp;"из 6 микрофонов    исло касаний  20   in   ac      азъем      2 1 4    60 z with      1 4 and      2 3 support   4 шт      in     45 1 шт      out     45 1 шт        3 0     3 2  ype     4 шт             ype   8    30 z  isplay  ort 1 4a       2 3 and    "&amp;"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риложен"&amp;"ие охватывает 3d   модели по таким дисциплинам  биология  химия  физика  математика  астрономия  культура     астенное крепление в комплекте     обильная стойка на кол сиках для интерактивной панели     омпьютер  mart             орпус  цельнометаллически"&amp;"й корпус с перфорацией  mart          32126 1 2013      i5 13400 1 80   2 50   z  10 ядер   16 потоков    эш 20       4 8gb 3200 hz       256 b     рограммное обеспечение интегрированного в панель компьютера         indows 11    ffice 2019    арантия 3 го"&amp;"да  обслуживание оборудование 5 лет")</f>
        <v xml:space="preserve"> нтерактивная система  mart      3   ducation  комплекс включает интерактивную панель 75 дюйм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   аботает на  indows 11    нтерактивная панель 75 диагональ    азрешение  4         ркость 400 кд м2   инамическая  онтрастность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3 0     3 2  ype     4 шт             ype   8    30 z  isplay  ort 1 4a       2 3 and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обильная стойка на кол сиках для интерактивной панели     омпьютер  mart             орпус  цельнометаллический корпус с перфорацией  mart          32126 1 2013      i5 13400 1 80   2 50   z  10 ядер   16 потоков    эш 20       4 8gb 3200 hz       256 b     рограммное обеспечение интегрированного в панель компьютера         indows 11    ffice 2019    арантия 3 года  обслуживание оборудование 5 лет</v>
      </c>
    </row>
    <row r="2321" spans="1:8" ht="25.5" x14ac:dyDescent="0.2">
      <c r="A2321" s="31" t="s">
        <v>5305</v>
      </c>
      <c r="B2321" s="27" t="s">
        <v>5306</v>
      </c>
      <c r="C2321" s="27"/>
      <c r="D2321" s="33" t="s">
        <v>14</v>
      </c>
      <c r="E2321" s="34">
        <v>1</v>
      </c>
      <c r="F2321" s="34">
        <v>47</v>
      </c>
      <c r="G2321" s="10">
        <v>1510955</v>
      </c>
      <c r="H2321" s="30" t="str">
        <f ca="1">IFERROR(__xludf.DUMMYFUNCTION("LOWER(REGEXREPLACE(B2321&amp;"" ""&amp;C2321,""[^а-яa-z0-9 ]"","" ""))")," нтерактивная панель         dea ub  oard 2    2 75   ")</f>
        <v xml:space="preserve"> нтерактивная панель         dea ub  oard 2    2 75   </v>
      </c>
    </row>
    <row r="2322" spans="1:8" ht="25.5" x14ac:dyDescent="0.2">
      <c r="A2322" s="31" t="s">
        <v>5307</v>
      </c>
      <c r="B2322" s="27" t="s">
        <v>5308</v>
      </c>
      <c r="C2322" s="27"/>
      <c r="D2322" s="33" t="s">
        <v>14</v>
      </c>
      <c r="E2322" s="34">
        <v>1</v>
      </c>
      <c r="F2322" s="34">
        <v>40</v>
      </c>
      <c r="G2322" s="10">
        <v>1183743</v>
      </c>
      <c r="H2322" s="30" t="str">
        <f ca="1">IFERROR(__xludf.DUMMYFUNCTION("LOWER(REGEXREPLACE(B2322&amp;"" ""&amp;C2322,""[^а-яa-z0-9 ]"","" ""))")," нтерактивный дисплей  amsung  lip 2   65           65  диагонали ")</f>
        <v xml:space="preserve"> нтерактивный дисплей  amsung  lip 2   65           65  диагонали </v>
      </c>
    </row>
    <row r="2323" spans="1:8" ht="229.5" x14ac:dyDescent="0.2">
      <c r="A2323" s="31" t="s">
        <v>5309</v>
      </c>
      <c r="B2323" s="27" t="s">
        <v>5310</v>
      </c>
      <c r="C2323" s="27" t="s">
        <v>5311</v>
      </c>
      <c r="D2323" s="33" t="s">
        <v>14</v>
      </c>
      <c r="E2323" s="34">
        <v>1</v>
      </c>
      <c r="F2323" s="35">
        <v>72.2</v>
      </c>
      <c r="G2323" s="10">
        <v>2559146</v>
      </c>
      <c r="H2323" s="30" t="str">
        <f ca="1">IFERROR(__xludf.DUMMYFUNCTION("LOWER(REGEXREPLACE(B2323&amp;"" ""&amp;C2323,""[^а-яa-z0-9 ]"","" ""))")," нтерактивная панель  amsung  lip  ro   75           75  диагонали  в комплекте с    модулем     нтерактивная панель  диагональ 75 дюймов  разрешение 4       закал нное защитное стекло  антимикробное покрытие  защита от осколков  мульти язычный интерфейс "&amp;" каз   рус   англ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акже    включает в себя ку"&amp;"рс для учащихся основной школы с комплексом виртуальных лабораторных работ и симуляторов  виртуальное обучение по программе подготовке к      образовательный комплекс из фильмов  созданных на основе школьной программы по химии  физике  биологии  географии"&amp;" и естествознанию       модуль    строенный адаптер  luetooth и  i  i    строенная система киберзащиты  nox  ecurity     истема беспроводного подключения и вывода экрана личных устройств  компьютера  планшета  смартфона  без установки доп  приложений и вы"&amp;"хода в сеть  нтернет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астенн"&amp;"ое металлическое      крепление  совместимое с панелью    арантийное обслуживание на базе сети авторизованных сервисных центров  amsung на территории  еспублики  азахстан")</f>
        <v xml:space="preserve"> нтерактивная панель  amsung  lip  ro   75           75  диагонали  в комплекте с    модулем     нтерактивная панель  диагональ 75 дюймов  разрешение 4       закал нное защитное стекло  антимикробное покрытие  защита от осколков  мульти язычный интерфейс  каз   рус   англ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акже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образовательный комплекс из фильмов  созданных на основе школьной программы по химии  физике  биологии  географии и естествознанию       модуль    строенный адаптер  luetooth и  i  i    строенная система киберзащиты  nox  ecurity     истема беспроводного подключения и вывода экрана личных устройств  компьютера  планшета  смартфона  без установки доп  приложений и выхода в сеть  нтернет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металлическое      крепление  совместимое с панелью    арантийное обслуживание на базе сети авторизованных сервисных центров  amsung на территории  еспублики  азахстан</v>
      </c>
    </row>
    <row r="2324" spans="1:8" ht="25.5" x14ac:dyDescent="0.2">
      <c r="A2324" s="31" t="s">
        <v>5312</v>
      </c>
      <c r="B2324" s="27" t="s">
        <v>5313</v>
      </c>
      <c r="C2324" s="27"/>
      <c r="D2324" s="33" t="s">
        <v>14</v>
      </c>
      <c r="E2324" s="34">
        <v>1</v>
      </c>
      <c r="F2324" s="35">
        <v>72.2</v>
      </c>
      <c r="G2324" s="10">
        <v>1902033</v>
      </c>
      <c r="H2324" s="30" t="str">
        <f ca="1">IFERROR(__xludf.DUMMYFUNCTION("LOWER(REGEXREPLACE(B2324&amp;"" ""&amp;C2324,""[^а-яa-z0-9 ]"","" ""))")," нтерактивная панель  amsung  lip  ro   75           75  диагонали ")</f>
        <v xml:space="preserve"> нтерактивная панель  amsung  lip  ro   75           75  диагонали </v>
      </c>
    </row>
    <row r="2325" spans="1:8" ht="25.5" x14ac:dyDescent="0.2">
      <c r="A2325" s="31" t="s">
        <v>5314</v>
      </c>
      <c r="B2325" s="27" t="s">
        <v>5315</v>
      </c>
      <c r="C2325" s="27"/>
      <c r="D2325" s="33" t="s">
        <v>14</v>
      </c>
      <c r="E2325" s="34">
        <v>1</v>
      </c>
      <c r="F2325" s="35">
        <v>19.399999999999999</v>
      </c>
      <c r="G2325" s="10">
        <v>1774586</v>
      </c>
      <c r="H2325" s="30" t="str">
        <f ca="1">IFERROR(__xludf.DUMMYFUNCTION("LOWER(REGEXREPLACE(B2325&amp;"" ""&amp;C2325,""[^а-яa-z0-9 ]"","" ""))")," идеостенный дисплей  amsung   55      55           55  диагонали ")</f>
        <v xml:space="preserve"> идеостенный дисплей  amsung   55      55           55  диагонали </v>
      </c>
    </row>
    <row r="2326" spans="1:8" ht="25.5" x14ac:dyDescent="0.2">
      <c r="A2326" s="31" t="s">
        <v>5316</v>
      </c>
      <c r="B2326" s="27" t="s">
        <v>5317</v>
      </c>
      <c r="C2326" s="27"/>
      <c r="D2326" s="33" t="s">
        <v>14</v>
      </c>
      <c r="E2326" s="34">
        <v>1</v>
      </c>
      <c r="F2326" s="34">
        <v>63</v>
      </c>
      <c r="G2326" s="10">
        <v>969495</v>
      </c>
      <c r="H2326" s="30" t="str">
        <f ca="1">IFERROR(__xludf.DUMMYFUNCTION("LOWER(REGEXREPLACE(B2326&amp;"" ""&amp;C2326,""[^а-яa-z0-9 ]"","" ""))")," нтерактивная панель        mart  anel  75 дюймов ")</f>
        <v xml:space="preserve"> нтерактивная панель        mart  anel  75 дюймов </v>
      </c>
    </row>
    <row r="2327" spans="1:8" ht="25.5" x14ac:dyDescent="0.2">
      <c r="A2327" s="31" t="s">
        <v>5318</v>
      </c>
      <c r="B2327" s="27" t="s">
        <v>5319</v>
      </c>
      <c r="C2327" s="27"/>
      <c r="D2327" s="33" t="s">
        <v>14</v>
      </c>
      <c r="E2327" s="34">
        <v>1</v>
      </c>
      <c r="F2327" s="34">
        <v>63</v>
      </c>
      <c r="G2327" s="10">
        <v>1196257</v>
      </c>
      <c r="H2327" s="30" t="str">
        <f ca="1">IFERROR(__xludf.DUMMYFUNCTION("LOWER(REGEXREPLACE(B2327&amp;"" ""&amp;C2327,""[^а-яa-z0-9 ]"","" ""))")," нтерактивная панель        mart  anel с камерой  75 дюймов ")</f>
        <v xml:space="preserve"> нтерактивная панель        mart  anel с камерой  75 дюймов </v>
      </c>
    </row>
    <row r="2328" spans="1:8" ht="25.5" x14ac:dyDescent="0.2">
      <c r="A2328" s="31" t="s">
        <v>5320</v>
      </c>
      <c r="B2328" s="27" t="s">
        <v>5321</v>
      </c>
      <c r="C2328" s="27"/>
      <c r="D2328" s="33" t="s">
        <v>14</v>
      </c>
      <c r="E2328" s="34">
        <v>1</v>
      </c>
      <c r="F2328" s="34">
        <v>80</v>
      </c>
      <c r="G2328" s="10">
        <v>1511063</v>
      </c>
      <c r="H2328" s="30" t="str">
        <f ca="1">IFERROR(__xludf.DUMMYFUNCTION("LOWER(REGEXREPLACE(B2328&amp;"" ""&amp;C2328,""[^а-яa-z0-9 ]"","" ""))")," нтерактивная панель        mart  anel  86 дюймов ")</f>
        <v xml:space="preserve"> нтерактивная панель        mart  anel  86 дюймов </v>
      </c>
    </row>
    <row r="2329" spans="1:8" ht="25.5" x14ac:dyDescent="0.2">
      <c r="A2329" s="31" t="s">
        <v>5322</v>
      </c>
      <c r="B2329" s="27" t="s">
        <v>5323</v>
      </c>
      <c r="C2329" s="27"/>
      <c r="D2329" s="33" t="s">
        <v>14</v>
      </c>
      <c r="E2329" s="34">
        <v>1</v>
      </c>
      <c r="F2329" s="34">
        <v>80</v>
      </c>
      <c r="G2329" s="10">
        <v>1699913</v>
      </c>
      <c r="H2329" s="30" t="str">
        <f ca="1">IFERROR(__xludf.DUMMYFUNCTION("LOWER(REGEXREPLACE(B2329&amp;"" ""&amp;C2329,""[^а-яa-z0-9 ]"","" ""))")," нтерактивная панель        mart  anel  86 дюймов  с меловой доской 998мм 1200мм ")</f>
        <v xml:space="preserve"> нтерактивная панель        mart  anel  86 дюймов  с меловой доской 998мм 1200мм </v>
      </c>
    </row>
    <row r="2330" spans="1:8" ht="25.5" x14ac:dyDescent="0.2">
      <c r="A2330" s="31" t="s">
        <v>5324</v>
      </c>
      <c r="B2330" s="27" t="s">
        <v>5325</v>
      </c>
      <c r="C2330" s="27"/>
      <c r="D2330" s="33" t="s">
        <v>14</v>
      </c>
      <c r="E2330" s="34">
        <v>1</v>
      </c>
      <c r="F2330" s="34">
        <v>50</v>
      </c>
      <c r="G2330" s="10">
        <v>818515</v>
      </c>
      <c r="H2330" s="30" t="str">
        <f ca="1">IFERROR(__xludf.DUMMYFUNCTION("LOWER(REGEXREPLACE(B2330&amp;"" ""&amp;C2330,""[^а-яa-z0-9 ]"","" ""))")," нтерактивная панель        mart  anel  65 дюймов ")</f>
        <v xml:space="preserve"> нтерактивная панель        mart  anel  65 дюймов </v>
      </c>
    </row>
    <row r="2331" spans="1:8" ht="25.5" x14ac:dyDescent="0.2">
      <c r="A2331" s="31" t="s">
        <v>5326</v>
      </c>
      <c r="B2331" s="27" t="s">
        <v>5327</v>
      </c>
      <c r="C2331" s="27"/>
      <c r="D2331" s="33" t="s">
        <v>14</v>
      </c>
      <c r="E2331" s="34">
        <v>1</v>
      </c>
      <c r="F2331" s="34">
        <v>63</v>
      </c>
      <c r="G2331" s="10">
        <v>1007407</v>
      </c>
      <c r="H2331" s="30" t="str">
        <f ca="1">IFERROR(__xludf.DUMMYFUNCTION("LOWER(REGEXREPLACE(B2331&amp;"" ""&amp;C2331,""[^а-яa-z0-9 ]"","" ""))")," нтерактивная панель  iotouch  mart  anel  75 дюймов ")</f>
        <v xml:space="preserve"> нтерактивная панель  iotouch  mart  anel  75 дюймов </v>
      </c>
    </row>
    <row r="2332" spans="1:8" ht="25.5" x14ac:dyDescent="0.2">
      <c r="A2332" s="31" t="s">
        <v>5328</v>
      </c>
      <c r="B2332" s="27" t="s">
        <v>5329</v>
      </c>
      <c r="C2332" s="27"/>
      <c r="D2332" s="33" t="s">
        <v>14</v>
      </c>
      <c r="E2332" s="34">
        <v>1</v>
      </c>
      <c r="F2332" s="34">
        <v>80</v>
      </c>
      <c r="G2332" s="10">
        <v>1574013</v>
      </c>
      <c r="H2332" s="30" t="str">
        <f ca="1">IFERROR(__xludf.DUMMYFUNCTION("LOWER(REGEXREPLACE(B2332&amp;"" ""&amp;C2332,""[^а-яa-z0-9 ]"","" ""))")," нтерактивная панель  iotouch  mart  anel  86 дюймов ")</f>
        <v xml:space="preserve"> нтерактивная панель  iotouch  mart  anel  86 дюймов </v>
      </c>
    </row>
    <row r="2333" spans="1:8" ht="25.5" x14ac:dyDescent="0.2">
      <c r="A2333" s="31" t="s">
        <v>5330</v>
      </c>
      <c r="B2333" s="27" t="s">
        <v>5331</v>
      </c>
      <c r="C2333" s="27"/>
      <c r="D2333" s="33" t="s">
        <v>14</v>
      </c>
      <c r="E2333" s="34">
        <v>1</v>
      </c>
      <c r="F2333" s="35">
        <v>47.3</v>
      </c>
      <c r="G2333" s="10">
        <v>953901</v>
      </c>
      <c r="H2333" s="30" t="str">
        <f ca="1">IFERROR(__xludf.DUMMYFUNCTION("LOWER(REGEXREPLACE(B2333&amp;"" ""&amp;C2333,""[^а-яa-z0-9 ]"","" ""))")," нтерактивная сенсорная панель    75  3    75 дюймов ")</f>
        <v xml:space="preserve"> нтерактивная сенсорная панель    75  3    75 дюймов </v>
      </c>
    </row>
    <row r="2334" spans="1:8" ht="25.5" x14ac:dyDescent="0.2">
      <c r="A2334" s="31" t="s">
        <v>5332</v>
      </c>
      <c r="B2334" s="27" t="s">
        <v>5333</v>
      </c>
      <c r="C2334" s="27"/>
      <c r="D2334" s="33" t="s">
        <v>14</v>
      </c>
      <c r="E2334" s="34">
        <v>1</v>
      </c>
      <c r="F2334" s="34">
        <v>35</v>
      </c>
      <c r="G2334" s="10">
        <v>896954</v>
      </c>
      <c r="H2334" s="30" t="str">
        <f ca="1">IFERROR(__xludf.DUMMYFUNCTION("LOWER(REGEXREPLACE(B2334&amp;"" ""&amp;C2334,""[^а-яa-z0-9 ]"","" ""))")," нтерактивная сенсорная панель     65  3    65 дюймов ")</f>
        <v xml:space="preserve"> нтерактивная сенсорная панель     65  3    65 дюймов </v>
      </c>
    </row>
    <row r="2335" spans="1:8" ht="25.5" x14ac:dyDescent="0.2">
      <c r="A2335" s="31" t="s">
        <v>5334</v>
      </c>
      <c r="B2335" s="27" t="s">
        <v>5335</v>
      </c>
      <c r="C2335" s="27"/>
      <c r="D2335" s="33" t="s">
        <v>14</v>
      </c>
      <c r="E2335" s="34">
        <v>1</v>
      </c>
      <c r="F2335" s="35">
        <v>26.1</v>
      </c>
      <c r="G2335" s="10">
        <v>793443</v>
      </c>
      <c r="H2335" s="30" t="str">
        <f ca="1">IFERROR(__xludf.DUMMYFUNCTION("LOWER(REGEXREPLACE(B2335&amp;"" ""&amp;C2335,""[^а-яa-z0-9 ]"","" ""))")," нтерактивная сенсорная панель     55  3    55 дюймов ")</f>
        <v xml:space="preserve"> нтерактивная сенсорная панель     55  3    55 дюймов </v>
      </c>
    </row>
    <row r="2336" spans="1:8" ht="114.75" x14ac:dyDescent="0.2">
      <c r="A2336" s="31" t="s">
        <v>5336</v>
      </c>
      <c r="B2336" s="27" t="s">
        <v>5337</v>
      </c>
      <c r="C2336" s="27" t="s">
        <v>5338</v>
      </c>
      <c r="D2336" s="33" t="s">
        <v>14</v>
      </c>
      <c r="E2336" s="34">
        <v>1</v>
      </c>
      <c r="F2336" s="35">
        <v>44.7</v>
      </c>
      <c r="G2336" s="10">
        <v>800512</v>
      </c>
      <c r="H2336" s="30" t="str">
        <f ca="1">IFERROR(__xludf.DUMMYFUNCTION("LOWER(REGEXREPLACE(B2336&amp;"" ""&amp;C2336,""[^а-яa-z0-9 ]"","" ""))")," нтерактивная панель            65 0432   65 дюймов  нтерактивная панель  65 диагональ    перативная память 4 32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65 0432   65 дюймов  нтерактивная панель  65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37" spans="1:8" ht="114.75" x14ac:dyDescent="0.2">
      <c r="A2337" s="31" t="s">
        <v>5339</v>
      </c>
      <c r="B2337" s="27" t="s">
        <v>5340</v>
      </c>
      <c r="C2337" s="27" t="s">
        <v>5341</v>
      </c>
      <c r="D2337" s="33" t="s">
        <v>14</v>
      </c>
      <c r="E2337" s="34">
        <v>1</v>
      </c>
      <c r="F2337" s="34">
        <v>49</v>
      </c>
      <c r="G2337" s="10">
        <v>1052326</v>
      </c>
      <c r="H2337" s="30" t="str">
        <f ca="1">IFERROR(__xludf.DUMMYFUNCTION("LOWER(REGEXREPLACE(B2337&amp;"" ""&amp;C2337,""[^а-яa-z0-9 ]"","" ""))")," нтерактивная панель            65 0864   65 дюймов  нтерактивная панель  65 диагональ    перативная память 8 64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65 0864   65 дюймов  нтерактивная панель  65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38" spans="1:8" ht="114.75" x14ac:dyDescent="0.2">
      <c r="A2338" s="31" t="s">
        <v>5342</v>
      </c>
      <c r="B2338" s="27" t="s">
        <v>5343</v>
      </c>
      <c r="C2338" s="27" t="s">
        <v>5344</v>
      </c>
      <c r="D2338" s="33" t="s">
        <v>14</v>
      </c>
      <c r="E2338" s="34">
        <v>1</v>
      </c>
      <c r="F2338" s="36">
        <v>60.55</v>
      </c>
      <c r="G2338" s="10">
        <v>957939</v>
      </c>
      <c r="H2338" s="30" t="str">
        <f ca="1">IFERROR(__xludf.DUMMYFUNCTION("LOWER(REGEXREPLACE(B2338&amp;"" ""&amp;C2338,""[^а-яa-z0-9 ]"","" ""))")," нтерактивная панель            75 0432   75 дюймов  нтерактивная панель  75 диагональ    перативная память 4 32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75 0432   75 дюймов  нтерактивная панель  75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39" spans="1:8" ht="114.75" x14ac:dyDescent="0.2">
      <c r="A2339" s="31" t="s">
        <v>5345</v>
      </c>
      <c r="B2339" s="27" t="s">
        <v>5346</v>
      </c>
      <c r="C2339" s="27" t="s">
        <v>5347</v>
      </c>
      <c r="D2339" s="33" t="s">
        <v>14</v>
      </c>
      <c r="E2339" s="34">
        <v>1</v>
      </c>
      <c r="F2339" s="36">
        <v>68.849999999999994</v>
      </c>
      <c r="G2339" s="10">
        <v>1520020</v>
      </c>
      <c r="H2339" s="30" t="str">
        <f ca="1">IFERROR(__xludf.DUMMYFUNCTION("LOWER(REGEXREPLACE(B2339&amp;"" ""&amp;C2339,""[^а-яa-z0-9 ]"","" ""))")," нтерактивная панель            75 0864   75 дюймов  нтерактивная панель  75 диагональ    перативная память 8 64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75 0864   75 дюймов  нтерактивная панель  75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40" spans="1:8" ht="114.75" x14ac:dyDescent="0.2">
      <c r="A2340" s="31" t="s">
        <v>5348</v>
      </c>
      <c r="B2340" s="27" t="s">
        <v>5349</v>
      </c>
      <c r="C2340" s="27" t="s">
        <v>5350</v>
      </c>
      <c r="D2340" s="33" t="s">
        <v>14</v>
      </c>
      <c r="E2340" s="34">
        <v>1</v>
      </c>
      <c r="F2340" s="35">
        <v>75.900000000000006</v>
      </c>
      <c r="G2340" s="10">
        <v>1353675</v>
      </c>
      <c r="H2340" s="30" t="str">
        <f ca="1">IFERROR(__xludf.DUMMYFUNCTION("LOWER(REGEXREPLACE(B2340&amp;"" ""&amp;C2340,""[^а-яa-z0-9 ]"","" ""))")," нтерактивная панель            86 0432   86 дюймов  нтерактивная панель  86 диагональ    перативная память 4 32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86 0432   86 дюймов  нтерактивная панель  86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41" spans="1:8" ht="114.75" x14ac:dyDescent="0.2">
      <c r="A2341" s="31" t="s">
        <v>5351</v>
      </c>
      <c r="B2341" s="27" t="s">
        <v>5352</v>
      </c>
      <c r="C2341" s="27" t="s">
        <v>5353</v>
      </c>
      <c r="D2341" s="33" t="s">
        <v>14</v>
      </c>
      <c r="E2341" s="34">
        <v>1</v>
      </c>
      <c r="F2341" s="36">
        <v>82.85</v>
      </c>
      <c r="G2341" s="10">
        <v>1969709</v>
      </c>
      <c r="H2341" s="30" t="str">
        <f ca="1">IFERROR(__xludf.DUMMYFUNCTION("LOWER(REGEXREPLACE(B2341&amp;"" ""&amp;C2341,""[^а-яa-z0-9 ]"","" ""))")," нтерактивная панель            86 0864   86 дюймов  нтерактивная панель  86 диагональ    перативная память 8 64 b     рограммное обеспечение      для создания и проведения уроков  ytello share   ytello  lass на 3 х языках  каз   рус   англ        рограмм"&amp;"ное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f>
        <v xml:space="preserve"> нтерактивная панель            86 0864   86 дюймов  нтерактивная панель  86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v>
      </c>
    </row>
    <row r="2342" spans="1:8" ht="89.25" x14ac:dyDescent="0.2">
      <c r="A2342" s="31" t="s">
        <v>5354</v>
      </c>
      <c r="B2342" s="27" t="s">
        <v>5355</v>
      </c>
      <c r="C2342" s="27" t="s">
        <v>5356</v>
      </c>
      <c r="D2342" s="33" t="s">
        <v>14</v>
      </c>
      <c r="E2342" s="34">
        <v>1</v>
      </c>
      <c r="F2342" s="35">
        <v>89.3</v>
      </c>
      <c r="G2342" s="10">
        <v>1798866</v>
      </c>
      <c r="H2342" s="30" t="str">
        <f ca="1">IFERROR(__xludf.DUMMYFUNCTION("LOWER(REGEXREPLACE(B2342&amp;"" ""&amp;C2342,""[^а-яa-z0-9 ]"","" ""))")," нтерактивная панель        ltra  75 дюймов  нтерактивная панель  75 диагональ     рограммное обеспечение      для беспроводной передачи с других устройств      рограммное обеспечение          для дистанционного управления панелями                        "&amp;"                                         рограммное обеспечения        share для беспроводной передачи с других устройств     строенный сканер отпечатка пальца для авторизации преподавателя ")</f>
        <v xml:space="preserve"> нтерактивная панель        ltra  75 дюймов  нтерактивная панель  75 диагональ     рограммное обеспечение      для беспроводной передачи с других устройств      рограммное обеспечение          для дистанционного управления панелями                                                                 рограммное обеспечения        share для беспроводной передачи с других устройств     строенный сканер отпечатка пальца для авторизации преподавателя </v>
      </c>
    </row>
    <row r="2343" spans="1:8" ht="25.5" x14ac:dyDescent="0.2">
      <c r="A2343" s="31" t="s">
        <v>5357</v>
      </c>
      <c r="B2343" s="27" t="s">
        <v>5358</v>
      </c>
      <c r="C2343" s="27"/>
      <c r="D2343" s="33" t="s">
        <v>14</v>
      </c>
      <c r="E2343" s="34">
        <v>1</v>
      </c>
      <c r="F2343" s="34">
        <v>77</v>
      </c>
      <c r="G2343" s="10">
        <v>1088723</v>
      </c>
      <c r="H2343" s="30" t="str">
        <f ca="1">IFERROR(__xludf.DUMMYFUNCTION("LOWER(REGEXREPLACE(B2343&amp;"" ""&amp;C2343,""[^а-яa-z0-9 ]"","" ""))")," нтерактивная доска         860     20  86 дюймов ")</f>
        <v xml:space="preserve"> нтерактивная доска         860     20  86 дюймов </v>
      </c>
    </row>
    <row r="2344" spans="1:8" ht="25.5" x14ac:dyDescent="0.2">
      <c r="A2344" s="31" t="s">
        <v>5359</v>
      </c>
      <c r="B2344" s="27" t="s">
        <v>5360</v>
      </c>
      <c r="C2344" s="27"/>
      <c r="D2344" s="33" t="s">
        <v>14</v>
      </c>
      <c r="E2344" s="34">
        <v>1</v>
      </c>
      <c r="F2344" s="34">
        <v>56</v>
      </c>
      <c r="G2344" s="10">
        <v>737535</v>
      </c>
      <c r="H2344" s="30" t="str">
        <f ca="1">IFERROR(__xludf.DUMMYFUNCTION("LOWER(REGEXREPLACE(B2344&amp;"" ""&amp;C2344,""[^а-яa-z0-9 ]"","" ""))")," нтерактивная доска        750    05  75 дюймов ")</f>
        <v xml:space="preserve"> нтерактивная доска        750    05  75 дюймов </v>
      </c>
    </row>
    <row r="2345" spans="1:8" ht="25.5" x14ac:dyDescent="0.2">
      <c r="A2345" s="31" t="s">
        <v>5361</v>
      </c>
      <c r="B2345" s="27" t="s">
        <v>5362</v>
      </c>
      <c r="C2345" s="27"/>
      <c r="D2345" s="33" t="s">
        <v>14</v>
      </c>
      <c r="E2345" s="34">
        <v>1</v>
      </c>
      <c r="F2345" s="34">
        <v>45</v>
      </c>
      <c r="G2345" s="10">
        <v>608326</v>
      </c>
      <c r="H2345" s="30" t="str">
        <f ca="1">IFERROR(__xludf.DUMMYFUNCTION("LOWER(REGEXREPLACE(B2345&amp;"" ""&amp;C2345,""[^а-яa-z0-9 ]"","" ""))")," нтерактивная доска          650     00 4   65 дюймов ")</f>
        <v xml:space="preserve"> нтерактивная доска          650     00 4   65 дюймов </v>
      </c>
    </row>
    <row r="2346" spans="1:8" ht="102" x14ac:dyDescent="0.2">
      <c r="A2346" s="31" t="s">
        <v>5363</v>
      </c>
      <c r="B2346" s="27" t="s">
        <v>5364</v>
      </c>
      <c r="C2346" s="27" t="s">
        <v>5365</v>
      </c>
      <c r="D2346" s="33" t="s">
        <v>14</v>
      </c>
      <c r="E2346" s="34">
        <v>1</v>
      </c>
      <c r="F2346" s="34">
        <v>55</v>
      </c>
      <c r="G2346" s="10">
        <v>989395</v>
      </c>
      <c r="H2346" s="30" t="str">
        <f ca="1">IFERROR(__xludf.DUMMYFUNCTION("LOWER(REGEXREPLACE(B2346&amp;"" ""&amp;C2346,""[^а-яa-z0-9 ]"","" ""))")," нтерактивная панель  umien 65    65 дюймов  нтерактивная панель  65 диагональ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oard"&amp;"  с возможностью распознавания рукописного текста  с поддержкой более 70 языков      рограммное обеспечение           ffice для работы с документами и приложениями ")</f>
        <v xml:space="preserve"> нтерактивная панель  umien 65    65 дюймов  нтерактивная панель  65 диагональ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v>
      </c>
    </row>
    <row r="2347" spans="1:8" ht="102" x14ac:dyDescent="0.2">
      <c r="A2347" s="31" t="s">
        <v>5366</v>
      </c>
      <c r="B2347" s="27" t="s">
        <v>5367</v>
      </c>
      <c r="C2347" s="27" t="s">
        <v>5368</v>
      </c>
      <c r="D2347" s="33" t="s">
        <v>14</v>
      </c>
      <c r="E2347" s="34">
        <v>1</v>
      </c>
      <c r="F2347" s="34">
        <v>70</v>
      </c>
      <c r="G2347" s="10">
        <v>1259231</v>
      </c>
      <c r="H2347" s="30" t="str">
        <f ca="1">IFERROR(__xludf.DUMMYFUNCTION("LOWER(REGEXREPLACE(B2347&amp;"" ""&amp;C2347,""[^а-яa-z0-9 ]"","" ""))")," нтерактивная панель  umien 75    75 дюймов  нтерактивная панель  75 диагональ англ                                                                          риложение   елая доска   с поддержкой русского и английского языков    для создания интерактивных "&amp;"уроков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f>
        <v xml:space="preserve"> нтерактивная панель  umien 75    75 дюймов  нтерактивная панель  75 диагональ англ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v>
      </c>
    </row>
    <row r="2348" spans="1:8" ht="102" x14ac:dyDescent="0.2">
      <c r="A2348" s="31" t="s">
        <v>5369</v>
      </c>
      <c r="B2348" s="27" t="s">
        <v>5370</v>
      </c>
      <c r="C2348" s="27" t="s">
        <v>5371</v>
      </c>
      <c r="D2348" s="33" t="s">
        <v>14</v>
      </c>
      <c r="E2348" s="34">
        <v>1</v>
      </c>
      <c r="F2348" s="34">
        <v>85</v>
      </c>
      <c r="G2348" s="10">
        <v>1888780</v>
      </c>
      <c r="H2348" s="30" t="str">
        <f ca="1">IFERROR(__xludf.DUMMYFUNCTION("LOWER(REGEXREPLACE(B2348&amp;"" ""&amp;C2348,""[^а-яa-z0-9 ]"","" ""))")," нтерактивная панель  umien 86    86 дюймов  нтерактивная панель  86 диагональ англ                                                                          риложение   елая доска   с поддержкой русского и английского языков    для создания интерактивных "&amp;"уроков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f>
        <v xml:space="preserve"> нтерактивная панель  umien 86    86 дюймов  нтерактивная панель  86 диагональ англ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v>
      </c>
    </row>
    <row r="2349" spans="1:8" ht="63.75" x14ac:dyDescent="0.2">
      <c r="A2349" s="31" t="s">
        <v>5372</v>
      </c>
      <c r="B2349" s="27" t="s">
        <v>5373</v>
      </c>
      <c r="C2349" s="27" t="s">
        <v>5374</v>
      </c>
      <c r="D2349" s="33" t="s">
        <v>14</v>
      </c>
      <c r="E2349" s="34">
        <v>1</v>
      </c>
      <c r="F2349" s="34">
        <v>46</v>
      </c>
      <c r="G2349" s="10">
        <v>930761</v>
      </c>
      <c r="H2349" s="30" t="str">
        <f ca="1">IFERROR(__xludf.DUMMYFUNCTION("LOWER(REGEXREPLACE(B2349&amp;"" ""&amp;C2349,""[^а-яa-z0-9 ]"","" ""))")," нтерактивная панель      65  65 дюймов    нтерактивная панель  65 дюймов  60  z  яркость 350 кд м2  антибликовое закаленное стекло  скорость сканирование 6 7 мс     строенный мини компьютер с предустановленной мобильной операционной системой  8 ядерный п"&amp;"роцессор с тактовой частотой 1 5  hz 1  b     8  b 1790x1095x114 мм  вес 46 кг      астенное крепление      x 4     истанционное управление ")</f>
        <v xml:space="preserve"> нтерактивная панель      65  65 дюймов    нтерактивная панель  65 дюймов  60  z  яркость 350 кд м2  антибликовое закаленное стекло  скорость сканирование 6 7 мс     строенный мини компьютер с предустановленной мобильной операционной системой  8 ядерный процессор с тактовой частотой 1 5  hz 1  b     8  b 1790x1095x114 мм  вес 46 кг      астенное крепление      x 4     истанционное управление </v>
      </c>
    </row>
    <row r="2350" spans="1:8" ht="76.5" x14ac:dyDescent="0.2">
      <c r="A2350" s="31" t="s">
        <v>5375</v>
      </c>
      <c r="B2350" s="27" t="s">
        <v>5376</v>
      </c>
      <c r="C2350" s="27" t="s">
        <v>5377</v>
      </c>
      <c r="D2350" s="33" t="s">
        <v>14</v>
      </c>
      <c r="E2350" s="34">
        <v>1</v>
      </c>
      <c r="F2350" s="34">
        <v>56</v>
      </c>
      <c r="G2350" s="10">
        <v>1173568</v>
      </c>
      <c r="H2350" s="30" t="str">
        <f ca="1">IFERROR(__xludf.DUMMYFUNCTION("LOWER(REGEXREPLACE(B2350&amp;"" ""&amp;C2350,""[^а-яa-z0-9 ]"","" ""))")," нтерактивная панель      75  75 дюймов    нтерактивная панель  75 дюймов      1654 x 932 мм 16 09 3840 2160  4    8 мс  потребляемая мощность     100 240    50 60  ц        антибликовое стекло     истема автоматического распознавания света  ouch  urface "&amp;" aterial   ouch  urface  echnology     нфракрасный сенсорный экран   ouch  oints  20 40 точек под  indows  10 точек под  ndroid    4 ядерный  ali 51       4 b       32 b   ndriod  8 0 0      истанционное управление ")</f>
        <v xml:space="preserve"> нтерактивная панель      75  75 дюймов    нтерактивная панель  75 дюймов      1654 x 932 мм 16 09 3840 2160  4    8 мс  потребляемая мощность     100 240    50 60  ц        антибликовое стекло     истема автоматического распознавания света  ouch  urface  aterial   ouch  urface  echnology     нфракрасный сенсорный экран   ouch  oints  20 40 точек под  indows  10 точек под  ndroid    4 ядерный  ali 51       4 b       32 b   ndriod  8 0 0      истанционное управление </v>
      </c>
    </row>
    <row r="2351" spans="1:8" ht="76.5" x14ac:dyDescent="0.2">
      <c r="A2351" s="31" t="s">
        <v>5378</v>
      </c>
      <c r="B2351" s="27" t="s">
        <v>5379</v>
      </c>
      <c r="C2351" s="27" t="s">
        <v>5380</v>
      </c>
      <c r="D2351" s="33" t="s">
        <v>14</v>
      </c>
      <c r="E2351" s="34">
        <v>1</v>
      </c>
      <c r="F2351" s="34">
        <v>72</v>
      </c>
      <c r="G2351" s="10">
        <v>1726629</v>
      </c>
      <c r="H2351" s="30" t="str">
        <f ca="1">IFERROR(__xludf.DUMMYFUNCTION("LOWER(REGEXREPLACE(B2351&amp;"" ""&amp;C2351,""[^а-яa-z0-9 ]"","" ""))")," нтерактивная панель      86  86 дюймов    нтерактивная панель  86 дюймов      1654 x 932 мм 16 09 3840 2160  4   8 мс     100 240    50 60  ц       антибликовое стекло    истема автоматического распознавания света  ouch  urface  aterial   ouch  urface  e"&amp;"chnology     нфракрасный сенсорный экран   ouch  oints  20 40 точек под  indows  10 точек под  ndroid    4 ядерный  ali 51       4 b       32 b   ndriod  8 0 0      истанционное управление ")</f>
        <v xml:space="preserve"> нтерактивная панель      86  86 дюймов    нтерактивная панель  86 дюймов      1654 x 932 мм 16 09 3840 2160  4   8 мс     100 240    50 60  ц       антибликовое стекло    истема автоматического распознавания света  ouch  urface  aterial   ouch  urface  echnology     нфракрасный сенсорный экран   ouch  oints  20 40 точек под  indows  10 точек под  ndroid    4 ядерный  ali 51       4 b       32 b   ndriod  8 0 0      истанционное управление </v>
      </c>
    </row>
    <row r="2352" spans="1:8" ht="102" x14ac:dyDescent="0.2">
      <c r="A2352" s="31" t="s">
        <v>5381</v>
      </c>
      <c r="B2352" s="27" t="s">
        <v>5382</v>
      </c>
      <c r="C2352" s="27" t="s">
        <v>5383</v>
      </c>
      <c r="D2352" s="33" t="s">
        <v>14</v>
      </c>
      <c r="E2352" s="34">
        <v>1</v>
      </c>
      <c r="F2352" s="35">
        <v>71.7</v>
      </c>
      <c r="G2352" s="10">
        <v>2469250</v>
      </c>
      <c r="H2352" s="30" t="str">
        <f ca="1">IFERROR(__xludf.DUMMYFUNCTION("LOWER(REGEXREPLACE(B2352&amp;"" ""&amp;C2352,""[^а-яa-z0-9 ]"","" ""))")," нтерактивная панель  amsung  lip 3  75  дюймов  в комплекте с    модулем     нтерактивная панель  диагональ 75 дюймов  4       закал нное защитное стекло  антимикробное покрытие  защита от осколков  мульти язычный интерфейс     рограммное обеспечение    "&amp;"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модуль     строенная система киберзащиты  nox  ecurity     истема  mart"&amp;"view     истема дистанционного мониторинга  управления и сбора данных с панелей  amsung  agic nfo     астенное металлическое      крепление  совместимое с панелью ")</f>
        <v xml:space="preserve"> нтерактивная панель  amsung  lip 3  75  дюймов  в комплекте с    модулем     нтерактивная панель  диагональ 75 дюймов  4       закал нное защитное стекло  антимикробное покрытие  защита от осколков  мульти язычный интерфейс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модуль     строенная система киберзащиты  nox  ecurity     истема  martview     истема дистанционного мониторинга  управления и сбора данных с панелей  amsung  agic nfo     астенное металлическое      крепление  совместимое с панелью </v>
      </c>
    </row>
    <row r="2353" spans="1:8" ht="89.25" x14ac:dyDescent="0.2">
      <c r="A2353" s="31" t="s">
        <v>5384</v>
      </c>
      <c r="B2353" s="27" t="s">
        <v>5385</v>
      </c>
      <c r="C2353" s="27" t="s">
        <v>5386</v>
      </c>
      <c r="D2353" s="33" t="s">
        <v>14</v>
      </c>
      <c r="E2353" s="34">
        <v>1</v>
      </c>
      <c r="F2353" s="35">
        <v>71.7</v>
      </c>
      <c r="G2353" s="10">
        <v>1811866</v>
      </c>
      <c r="H2353" s="30" t="str">
        <f ca="1">IFERROR(__xludf.DUMMYFUNCTION("LOWER(REGEXREPLACE(B2353&amp;"" ""&amp;C2353,""[^а-яa-z0-9 ]"","" ""))")," нтерактивная панель  amsung  lip 3  75  дюймов    нтерактивная панель  диагональ 75 дюймов  4       закал нное защитное стекло  антимикробное покрытие  защита от осколков  мульти язычный интерфейс      истема беспроводного подключения и вывода экрана лич"&amp;"ных устройств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ме"&amp;"таллическое      крепление  совместимое с панелью ")</f>
        <v xml:space="preserve"> нтерактивная панель  amsung  lip 3  75  дюймов    нтерактивная панель  диагональ 75 дюймов  4       закал нное защитное стекло  антимикробное покрытие  защита от осколков  мульти язычный интерфейс      истема беспроводного подключения и вывода экрана личных устройств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металлическое      крепление  совместимое с панелью </v>
      </c>
    </row>
    <row r="2354" spans="1:8" ht="89.25" x14ac:dyDescent="0.2">
      <c r="A2354" s="31" t="s">
        <v>5387</v>
      </c>
      <c r="B2354" s="27" t="s">
        <v>5388</v>
      </c>
      <c r="C2354" s="27" t="s">
        <v>5389</v>
      </c>
      <c r="D2354" s="33" t="s">
        <v>14</v>
      </c>
      <c r="E2354" s="34">
        <v>1</v>
      </c>
      <c r="F2354" s="34">
        <v>39</v>
      </c>
      <c r="G2354" s="10">
        <v>1706582</v>
      </c>
      <c r="H2354" s="30" t="str">
        <f ca="1">IFERROR(__xludf.DUMMYFUNCTION("LOWER(REGEXREPLACE(B2354&amp;"" ""&amp;C2354,""[^а-яa-z0-9 ]"","" ""))")," нтерактивная панель  ew  ine  yra  65 дюймов    нтерактивная панель  ew  ine  yra 65 дюймов       4           4   64    ndroid  11  8 ядерный процессор                              ewline  ast для транслирования экрана мобильных устройств на дисплей     "&amp;"   ewline  roadcast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yra  65 дюймов    нтерактивная панель  ew  ine  yra 65 дюймов       4           4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5" spans="1:8" ht="89.25" x14ac:dyDescent="0.2">
      <c r="A2355" s="31" t="s">
        <v>5390</v>
      </c>
      <c r="B2355" s="27" t="s">
        <v>5391</v>
      </c>
      <c r="C2355" s="27" t="s">
        <v>5392</v>
      </c>
      <c r="D2355" s="33" t="s">
        <v>14</v>
      </c>
      <c r="E2355" s="34">
        <v>1</v>
      </c>
      <c r="F2355" s="34">
        <v>49</v>
      </c>
      <c r="G2355" s="10">
        <v>2149380</v>
      </c>
      <c r="H2355" s="30" t="str">
        <f ca="1">IFERROR(__xludf.DUMMYFUNCTION("LOWER(REGEXREPLACE(B2355&amp;"" ""&amp;C2355,""[^а-яa-z0-9 ]"","" ""))")," нтерактивная панель  ew  ine  yra  75 дюймов  нтерактивная  анель  ew  ine  yra 75   дюймов        4           8   64    ndroid  11  8 ядерный процессор                              ewline  ast для транслирования экрана мобильных устройств на дисплей    "&amp;"    ewline  roadcast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yra  75 дюймов  нтерактивная  анель  ew  ine  yra 75   дюймов        4           8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6" spans="1:8" ht="89.25" x14ac:dyDescent="0.2">
      <c r="A2356" s="31" t="s">
        <v>5393</v>
      </c>
      <c r="B2356" s="27" t="s">
        <v>5394</v>
      </c>
      <c r="C2356" s="27" t="s">
        <v>5395</v>
      </c>
      <c r="D2356" s="33" t="s">
        <v>14</v>
      </c>
      <c r="E2356" s="34">
        <v>1</v>
      </c>
      <c r="F2356" s="34">
        <v>65</v>
      </c>
      <c r="G2356" s="10">
        <v>2661926</v>
      </c>
      <c r="H2356" s="30" t="str">
        <f ca="1">IFERROR(__xludf.DUMMYFUNCTION("LOWER(REGEXREPLACE(B2356&amp;"" ""&amp;C2356,""[^а-яa-z0-9 ]"","" ""))")," нтерактивная панель  ew  ine  yra  86 дюймов  нтерактивная  анель  ew  ine  yra 86 дюймов       4           8   64    ndroid  11  8 ядерный процессор        ewline  ast для транслирования экрана мобильных устройств на дисплей                             "&amp;"                                                    ewline  roadcast для вывода дисплея на 200 удаленных устройств                                    ewline  isplay  anagement чтобы управлять и отслеживать состояние всех устройств с одного единственного  "&amp;"  ")</f>
        <v xml:space="preserve"> нтерактивная панель  ew  ine  yra  86 дюймов  нтерактивная  анель  ew  ine  yra 86 дюймов       4           8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7" spans="1:8" ht="140.25" x14ac:dyDescent="0.2">
      <c r="A2357" s="31" t="s">
        <v>5396</v>
      </c>
      <c r="B2357" s="27" t="s">
        <v>5397</v>
      </c>
      <c r="C2357" s="27" t="s">
        <v>5398</v>
      </c>
      <c r="D2357" s="33" t="s">
        <v>14</v>
      </c>
      <c r="E2357" s="34">
        <v>1</v>
      </c>
      <c r="F2357" s="34">
        <v>39</v>
      </c>
      <c r="G2357" s="10">
        <v>1790392</v>
      </c>
      <c r="H2357" s="30" t="str">
        <f ca="1">IFERROR(__xludf.DUMMYFUNCTION("LOWER(REGEXREPLACE(B2357&amp;"" ""&amp;C2357,""[^а-яa-z0-9 ]"","" ""))")," нтерактивная панель  ew  ine  lara  65 дюймов  нтерактивная  анель  ew  ine  lara 65  дюймов       4           8   128    ndroid  11  8 ядерный процессор   ptical  onding        amera                                                                       "&amp;"     нтибактериальное защитное стекло     атчик движения                                                                       ewline  lassroom  ools для проведения уроков     ewline  ngage для создания и проведения интерактивных уроков        ewline  ast"&amp;"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lara  65 дюймов  нтерактивная  анель  ew  ine  lara 65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8" spans="1:8" ht="153" x14ac:dyDescent="0.2">
      <c r="A2358" s="31" t="s">
        <v>5399</v>
      </c>
      <c r="B2358" s="27" t="s">
        <v>5400</v>
      </c>
      <c r="C2358" s="27" t="s">
        <v>5401</v>
      </c>
      <c r="D2358" s="33" t="s">
        <v>14</v>
      </c>
      <c r="E2358" s="34">
        <v>1</v>
      </c>
      <c r="F2358" s="34">
        <v>49</v>
      </c>
      <c r="G2358" s="10">
        <v>2240106</v>
      </c>
      <c r="H2358" s="30" t="str">
        <f ca="1">IFERROR(__xludf.DUMMYFUNCTION("LOWER(REGEXREPLACE(B2358&amp;"" ""&amp;C2358,""[^а-яa-z0-9 ]"","" ""))")," нтерактивная панель  ew  ine  lara  75 дюймов  нтерактивная  анель  ew  ine  lara 75   дюймов        4           8   128    ndroid  11  8 ядерный процессор   ptical  onding        amera                                                   нтибактериальное з"&amp;"ащитное стекло                                                                                атчик движения     ewline  lassroom  ools для проведения уроков                                                                           ewline  ngage для созда"&amp;"ния и проведения интерактивных уроков                                                        ewline  ast для транслирования экрана мобильных устройств на дисплей                                                                                 ewline  roadc"&amp;"ast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lara  75 дюймов  нтерактивная  анель  ew  ine  lara 75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59" spans="1:8" ht="153" x14ac:dyDescent="0.2">
      <c r="A2359" s="31" t="s">
        <v>5402</v>
      </c>
      <c r="B2359" s="27" t="s">
        <v>5403</v>
      </c>
      <c r="C2359" s="27" t="s">
        <v>5404</v>
      </c>
      <c r="D2359" s="33" t="s">
        <v>14</v>
      </c>
      <c r="E2359" s="34">
        <v>1</v>
      </c>
      <c r="F2359" s="34">
        <v>65</v>
      </c>
      <c r="G2359" s="10">
        <v>2770434</v>
      </c>
      <c r="H2359" s="30" t="str">
        <f ca="1">IFERROR(__xludf.DUMMYFUNCTION("LOWER(REGEXREPLACE(B2359&amp;"" ""&amp;C2359,""[^а-яa-z0-9 ]"","" ""))")," нтерактивная панель  ew  ine  lara  86 дюймов  нтерактивная  анель  ew  ine  lara 86 дюймов       4           8   128    ndroid  11  8 ядерный процессор   ptical  onding        amera                                                   нтибактериальное защи"&amp;"тное стекло                                                                                атчик движения     ewline  lassroom  ools для проведения уроков                                                                           ewline  ngage для создания"&amp;" и проведения интерактивных уроков                                                        ewline  ast для транслирования экрана мобильных устройств на дисплей                                                                                 ewline  roadcast"&amp;" для вывода дисплея на 200 удаленных устройств                                    ewline  isplay  anagement чтобы управлять и отслеживать состояние всех устройств с одного единственного    ")</f>
        <v xml:space="preserve"> нтерактивная панель  ew  ine  lara  86 дюймов  нтерактивная  анель  ew  ine  lara 86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v>
      </c>
    </row>
    <row r="2360" spans="1:8" ht="12.75" x14ac:dyDescent="0.2">
      <c r="A2360" s="31" t="s">
        <v>5405</v>
      </c>
      <c r="B2360" s="27" t="s">
        <v>5406</v>
      </c>
      <c r="C2360" s="27"/>
      <c r="D2360" s="33" t="s">
        <v>14</v>
      </c>
      <c r="E2360" s="34">
        <v>1</v>
      </c>
      <c r="F2360" s="35">
        <v>46.1</v>
      </c>
      <c r="G2360" s="10">
        <v>1151238</v>
      </c>
      <c r="H2360" s="30" t="str">
        <f ca="1">IFERROR(__xludf.DUMMYFUNCTION("LOWER(REGEXREPLACE(B2360&amp;"" ""&amp;C2360,""[^а-яa-z0-9 ]"","" ""))")," нтерактивная панель  en    6503  65 дюймов ")</f>
        <v xml:space="preserve"> нтерактивная панель  en    6503  65 дюймов </v>
      </c>
    </row>
    <row r="2361" spans="1:8" ht="12.75" x14ac:dyDescent="0.2">
      <c r="A2361" s="31" t="s">
        <v>5407</v>
      </c>
      <c r="B2361" s="27" t="s">
        <v>5408</v>
      </c>
      <c r="C2361" s="27"/>
      <c r="D2361" s="33" t="s">
        <v>14</v>
      </c>
      <c r="E2361" s="34">
        <v>1</v>
      </c>
      <c r="F2361" s="35">
        <v>61.9</v>
      </c>
      <c r="G2361" s="10">
        <v>1397910</v>
      </c>
      <c r="H2361" s="30" t="str">
        <f ca="1">IFERROR(__xludf.DUMMYFUNCTION("LOWER(REGEXREPLACE(B2361&amp;"" ""&amp;C2361,""[^а-яa-z0-9 ]"","" ""))")," нтерактивная панель  en    7503  75 дюймов ")</f>
        <v xml:space="preserve"> нтерактивная панель  en    7503  75 дюймов </v>
      </c>
    </row>
    <row r="2362" spans="1:8" ht="12.75" x14ac:dyDescent="0.2">
      <c r="A2362" s="31" t="s">
        <v>5409</v>
      </c>
      <c r="B2362" s="27" t="s">
        <v>5410</v>
      </c>
      <c r="C2362" s="27"/>
      <c r="D2362" s="33" t="s">
        <v>14</v>
      </c>
      <c r="E2362" s="34">
        <v>1</v>
      </c>
      <c r="F2362" s="35">
        <v>76.599999999999994</v>
      </c>
      <c r="G2362" s="10">
        <v>1885155</v>
      </c>
      <c r="H2362" s="30" t="str">
        <f ca="1">IFERROR(__xludf.DUMMYFUNCTION("LOWER(REGEXREPLACE(B2362&amp;"" ""&amp;C2362,""[^а-яa-z0-9 ]"","" ""))")," нтерактивная панель  en    8603  86 дюймов ")</f>
        <v xml:space="preserve"> нтерактивная панель  en    8603  86 дюймов </v>
      </c>
    </row>
    <row r="2363" spans="1:8" ht="25.5" x14ac:dyDescent="0.2">
      <c r="A2363" s="31" t="s">
        <v>5411</v>
      </c>
      <c r="B2363" s="27" t="s">
        <v>5412</v>
      </c>
      <c r="C2363" s="27"/>
      <c r="D2363" s="33" t="s">
        <v>14</v>
      </c>
      <c r="E2363" s="34">
        <v>1</v>
      </c>
      <c r="F2363" s="34">
        <v>50</v>
      </c>
      <c r="G2363" s="10">
        <v>1056825</v>
      </c>
      <c r="H2363" s="30" t="str">
        <f ca="1">IFERROR(__xludf.DUMMYFUNCTION("LOWER(REGEXREPLACE(B2363&amp;"" ""&amp;C2363,""[^а-яa-z0-9 ]"","" ""))")," нтерактивная панель  iala  65 дюймов 2 16  на мобильной стойке ")</f>
        <v xml:space="preserve"> нтерактивная панель  iala  65 дюймов 2 16  на мобильной стойке </v>
      </c>
    </row>
    <row r="2364" spans="1:8" ht="25.5" x14ac:dyDescent="0.2">
      <c r="A2364" s="31" t="s">
        <v>5413</v>
      </c>
      <c r="B2364" s="27" t="s">
        <v>5414</v>
      </c>
      <c r="C2364" s="27"/>
      <c r="D2364" s="33" t="s">
        <v>14</v>
      </c>
      <c r="E2364" s="34">
        <v>1</v>
      </c>
      <c r="F2364" s="34">
        <v>78</v>
      </c>
      <c r="G2364" s="10">
        <v>1196307</v>
      </c>
      <c r="H2364" s="30" t="str">
        <f ca="1">IFERROR(__xludf.DUMMYFUNCTION("LOWER(REGEXREPLACE(B2364&amp;"" ""&amp;C2364,""[^а-яa-z0-9 ]"","" ""))")," нтерактивная панель  iala  75 дюймов 2 16  на мобильной стойке ")</f>
        <v xml:space="preserve"> нтерактивная панель  iala  75 дюймов 2 16  на мобильной стойке </v>
      </c>
    </row>
    <row r="2365" spans="1:8" ht="25.5" x14ac:dyDescent="0.2">
      <c r="A2365" s="31" t="s">
        <v>5415</v>
      </c>
      <c r="B2365" s="27" t="s">
        <v>5416</v>
      </c>
      <c r="C2365" s="27"/>
      <c r="D2365" s="33" t="s">
        <v>14</v>
      </c>
      <c r="E2365" s="34">
        <v>1</v>
      </c>
      <c r="F2365" s="34">
        <v>78</v>
      </c>
      <c r="G2365" s="10">
        <v>1502064</v>
      </c>
      <c r="H2365" s="30" t="str">
        <f ca="1">IFERROR(__xludf.DUMMYFUNCTION("LOWER(REGEXREPLACE(B2365&amp;"" ""&amp;C2365,""[^а-яa-z0-9 ]"","" ""))")," нтерактивная панель  iala  75 дюймов 8 128  на мобильной стойке ")</f>
        <v xml:space="preserve"> нтерактивная панель  iala  75 дюймов 8 128  на мобильной стойке </v>
      </c>
    </row>
    <row r="2366" spans="1:8" ht="25.5" x14ac:dyDescent="0.2">
      <c r="A2366" s="31" t="s">
        <v>5417</v>
      </c>
      <c r="B2366" s="27" t="s">
        <v>5418</v>
      </c>
      <c r="C2366" s="27"/>
      <c r="D2366" s="33" t="s">
        <v>14</v>
      </c>
      <c r="E2366" s="34">
        <v>1</v>
      </c>
      <c r="F2366" s="34">
        <v>90</v>
      </c>
      <c r="G2366" s="10">
        <v>1556061</v>
      </c>
      <c r="H2366" s="30" t="str">
        <f ca="1">IFERROR(__xludf.DUMMYFUNCTION("LOWER(REGEXREPLACE(B2366&amp;"" ""&amp;C2366,""[^а-яa-z0-9 ]"","" ""))")," нтерактивная панель  iala  86 дюймов 2 16  на мобильной стойке ")</f>
        <v xml:space="preserve"> нтерактивная панель  iala  86 дюймов 2 16  на мобильной стойке </v>
      </c>
    </row>
    <row r="2367" spans="1:8" ht="25.5" x14ac:dyDescent="0.2">
      <c r="A2367" s="31" t="s">
        <v>5419</v>
      </c>
      <c r="B2367" s="27" t="s">
        <v>5420</v>
      </c>
      <c r="C2367" s="27"/>
      <c r="D2367" s="33" t="s">
        <v>14</v>
      </c>
      <c r="E2367" s="34">
        <v>1</v>
      </c>
      <c r="F2367" s="34">
        <v>90</v>
      </c>
      <c r="G2367" s="10">
        <v>1663975</v>
      </c>
      <c r="H2367" s="30" t="str">
        <f ca="1">IFERROR(__xludf.DUMMYFUNCTION("LOWER(REGEXREPLACE(B2367&amp;"" ""&amp;C2367,""[^а-яa-z0-9 ]"","" ""))")," нтерактивная панель  iala  86 дюймов 8 128  на мобильной стойке ")</f>
        <v xml:space="preserve"> нтерактивная панель  iala  86 дюймов 8 128  на мобильной стойке </v>
      </c>
    </row>
    <row r="2368" spans="1:8" ht="25.5" x14ac:dyDescent="0.2">
      <c r="A2368" s="31" t="s">
        <v>5421</v>
      </c>
      <c r="B2368" s="27" t="s">
        <v>5422</v>
      </c>
      <c r="C2368" s="27"/>
      <c r="D2368" s="33" t="s">
        <v>14</v>
      </c>
      <c r="E2368" s="34">
        <v>1</v>
      </c>
      <c r="F2368" s="34">
        <v>115</v>
      </c>
      <c r="G2368" s="10">
        <v>1789957</v>
      </c>
      <c r="H2368" s="30" t="str">
        <f ca="1">IFERROR(__xludf.DUMMYFUNCTION("LOWER(REGEXREPLACE(B2368&amp;"" ""&amp;C2368,""[^а-яa-z0-9 ]"","" ""))")," нтерактивная панель  iala  98 дюймов 2 16  на мобильной стойке ")</f>
        <v xml:space="preserve"> нтерактивная панель  iala  98 дюймов 2 16  на мобильной стойке </v>
      </c>
    </row>
    <row r="2369" spans="1:8" ht="25.5" x14ac:dyDescent="0.2">
      <c r="A2369" s="31" t="s">
        <v>5423</v>
      </c>
      <c r="B2369" s="27" t="s">
        <v>5424</v>
      </c>
      <c r="C2369" s="27"/>
      <c r="D2369" s="33" t="s">
        <v>14</v>
      </c>
      <c r="E2369" s="34">
        <v>1</v>
      </c>
      <c r="F2369" s="34">
        <v>115</v>
      </c>
      <c r="G2369" s="10">
        <v>2248593</v>
      </c>
      <c r="H2369" s="30" t="str">
        <f ca="1">IFERROR(__xludf.DUMMYFUNCTION("LOWER(REGEXREPLACE(B2369&amp;"" ""&amp;C2369,""[^а-яa-z0-9 ]"","" ""))")," нтерактивная панель  iala  98 дюймов 8 128  на мобильной стойке ")</f>
        <v xml:space="preserve"> нтерактивная панель  iala  98 дюймов 8 128  на мобильной стойке </v>
      </c>
    </row>
    <row r="2370" spans="1:8" ht="165.75" x14ac:dyDescent="0.2">
      <c r="A2370" s="31" t="s">
        <v>5425</v>
      </c>
      <c r="B2370" s="8" t="s">
        <v>5426</v>
      </c>
      <c r="C2370" s="27" t="s">
        <v>5427</v>
      </c>
      <c r="D2370" s="33" t="s">
        <v>14</v>
      </c>
      <c r="E2370" s="34">
        <v>1</v>
      </c>
      <c r="F2370" s="34">
        <v>75</v>
      </c>
      <c r="G2370" s="10">
        <v>1739189</v>
      </c>
      <c r="H2370" s="30" t="str">
        <f ca="1">IFERROR(__xludf.DUMMYFUNCTION("LOWER(REGEXREPLACE(B2370&amp;"" ""&amp;C2370,""[^а-яa-z0-9 ]"","" ""))")," нтерактивная панель              275  75 диагональ с профессиональным    для создания 3  моделей и готовых интерактивных уроков    нтерактивная панель              275  3   73    75 диагональ    азрешение  4         ркость 400 кд м2   инамическая  онтрас"&amp;"тность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"&amp;"  3 0    3 2  ype     4 шт             ype   8    30 z  isplay  ort 1 4a       2 3 and      1 3      3 2  en 1  4 5   power delivery   1 шт   i  i  802 11ac      802 11ax   i  i 6e   luetooth 5 0  luetooth 5 2     x 1       для создания 3d уроков   то биб"&amp;"лиотека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f>
        <v xml:space="preserve"> нтерактивная панель              275  75 диагональ с профессиональным    для создания 3  моделей и готовых интерактивных уроков    нтерактивная панель              275  3   73    75 диагональ    азрешение  4         ркость 400 кд м2   инамическая  онтрастность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3 0    3 2  ype     4 шт             ype   8    30 z  isplay  ort 1 4a       2 3 and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v>
      </c>
    </row>
    <row r="2371" spans="1:8" ht="38.25" x14ac:dyDescent="0.2">
      <c r="A2371" s="31" t="s">
        <v>5428</v>
      </c>
      <c r="B2371" s="8" t="s">
        <v>5429</v>
      </c>
      <c r="C2371" s="27"/>
      <c r="D2371" s="33" t="s">
        <v>68</v>
      </c>
      <c r="E2371" s="34">
        <v>1</v>
      </c>
      <c r="F2371" s="35">
        <v>64.3</v>
      </c>
      <c r="G2371" s="10">
        <v>2158519</v>
      </c>
      <c r="H2371" s="30" t="str">
        <f ca="1">IFERROR(__xludf.DUMMYFUNCTION("LOWER(REGEXREPLACE(B2371&amp;"" ""&amp;C2371,""[^а-яa-z0-9 ]"","" ""))")," нтерактивная панель        ltra  75 дюймов  в комплекте с компьютером      ore i5 1035  8      256    indows 10  ")</f>
        <v xml:space="preserve"> нтерактивная панель        ltra  75 дюймов  в комплекте с компьютером      ore i5 1035  8      256    indows 10  </v>
      </c>
    </row>
    <row r="2372" spans="1:8" ht="306" x14ac:dyDescent="0.2">
      <c r="A2372" s="31" t="s">
        <v>5430</v>
      </c>
      <c r="B2372" s="27" t="s">
        <v>5431</v>
      </c>
      <c r="C2372" s="27" t="s">
        <v>5432</v>
      </c>
      <c r="D2372" s="33" t="s">
        <v>14</v>
      </c>
      <c r="E2372" s="34">
        <v>1</v>
      </c>
      <c r="F2372" s="34">
        <v>73</v>
      </c>
      <c r="G2372" s="10">
        <v>1484285</v>
      </c>
      <c r="H2372" s="30" t="str">
        <f ca="1">IFERROR(__xludf.DUMMYFUNCTION("LOWER(REGEXREPLACE(B2372&amp;"" ""&amp;C2372,""[^а-яa-z0-9 ]"","" ""))")," нтерактивная панель  romethean  ctiv anel 9  4       75 дюймов    нтерактивная панель 75  диагонали с типом экрана          с закаленным и антибликовым стеклом  временем отклика менее 8 мс     ехнология сенсор  ellum  точки продолжительного касания   20 "&amp;" время отклика  10мс  точность сенсора 1 мм     ехнология уменьшения синего цвета для снижения нагрузки на зрение ребенка и педагога        ctiv anel     на базе  ndroid   поддержка  indows  совместимость с  indows   ac   inux   hrome         ctiv nspire "&amp;" 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ортал для уравления панелями  anel  anagement  бессрочная лицензия  "&amp;"для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подк"&amp;"лючения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для работы в классе  "&amp;"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учител"&amp;"я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войные фронтальные динамик"&amp;"и 2 х 15  т     одуль  i  i и  luetooth  romethean     астенное крепление ")</f>
        <v xml:space="preserve"> нтерактивная панель  romethean  ctiv anel 9  4       75 дюймов    нтерактивная панель 75  диагонали с типом экрана          с закаленным и антибликовым стеклом  временем отклика менее 8 мс     ехнология сенсор  ellum  точки продолжительного касания   20  время отклика  10мс  точность сенсора 1 мм     ехнология уменьшения синего цвета для снижения нагрузки на зрение ребенка и педагога        ctiv anel     на базе  ndroid   поддержка  indows  совместимость с  indows   ac   inux   hrome         ctiv nspire  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войные фронтальные динамики 2 х 15  т     одуль  i  i и  luetooth  romethean     астенное крепление </v>
      </c>
    </row>
    <row r="2373" spans="1:8" ht="242.25" x14ac:dyDescent="0.2">
      <c r="A2373" s="31" t="s">
        <v>5433</v>
      </c>
      <c r="B2373" s="27" t="s">
        <v>5434</v>
      </c>
      <c r="C2373" s="27" t="s">
        <v>5435</v>
      </c>
      <c r="D2373" s="33" t="s">
        <v>14</v>
      </c>
      <c r="E2373" s="34">
        <v>1</v>
      </c>
      <c r="F2373" s="35">
        <v>61.6</v>
      </c>
      <c r="G2373" s="10">
        <v>1224424</v>
      </c>
      <c r="H2373" s="30" t="str">
        <f ca="1">IFERROR(__xludf.DUMMYFUNCTION("LOWER(REGEXREPLACE(B2373&amp;"" ""&amp;C2373,""[^а-яa-z0-9 ]"","" ""))")," нтерактивная панель  romethean  ctiv anel     4       75 дюймов  нтерактивная панель  ctiv anel    75 диагонали с типом экрана          прямая светодиодная подсветка   с термозакаленным и антибликовым стеклом и прочностью стекла  8   карандаш   7  по  оо"&amp;"су   временем отклика менее 8 мс  технология сенсор  ellum  точки продолжительного касания   20  время отклика  10мс  точность сенсора 1 мм  толщина стекла 3 2мм  технология уменьшения синего цвета для снижения нагрузки на зрение ученика и педагога  датчи"&amp;"к освещенности  стирание ладонью  распознавание ввода ручкой и рукой  совместимость с  ctiv anel     на базе  ndroid  и  indows  совместимость с  indows   ac   inux   hrome   программное обеспечение  ctiv nspire  rofessional  бессрочная лицензия  для созд"&amp;"ани и проведения интерактивных уроков на трех языках  казахский  русский  английский с готовыми шаблонами и профилями уроков  компьютерный модуль  romethean        операционная система  ndroid   i  i  luetooth  двойные фронтальные динамики 2 х 15  т  безб"&amp;"атарейная ручка для интерактивной панели  2шт   пульт дистанционного управления  1шт  и аккумуляторы для пульта  2шт   настенное крепление  1шт   кабель      длиной 3м  1шт   кабель           длиной 3м  1шт   кабель       длиной 2м  1шт   адаптер       3 "&amp;"0 х 3  внешний микрофон х 1  региональный кабель для питания длиной 3м  1шт   соответствие международному стандарту энергоэффективности  nergy  tar ")</f>
        <v xml:space="preserve"> нтерактивная панель  romethean  ctiv anel     4       75 дюймов  нтерактивная панель  ctiv anel    75 диагонали с типом экрана          прямая светодиодная подсветка   с термозакаленным и антибликовым стеклом и прочностью стекла  8   карандаш   7  по  оосу   временем отклика менее 8 мс  технология сенсор  ellum  точки продолжительного касания   20  время отклика  10мс  точность сенсора 1 мм  толщина стекла 3 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ctiv anel     на базе  ndroid  и  indows  совместимость с  indows   ac   inux   hrome   программное обеспечение  ctiv nspire  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romethean        операционная система  ndroid   i  i  luetooth  двойные фронтальные динамики 2 х 15  т  безбатарейная ручка для интерактивной панели  2шт   пульт дистанционного управления  1шт  и аккумуляторы для пульта  2шт   настенное крепление  1шт   кабель      длиной 3м  1шт   кабель           длиной 3м  1шт   кабель       длиной 2м  1шт   адаптер       3 0 х 3  внешний микрофон х 1  региональный кабель для питания длиной 3м  1шт   соответствие международному стандарту энергоэффективности  nergy  tar </v>
      </c>
    </row>
    <row r="2374" spans="1:8" ht="89.25" x14ac:dyDescent="0.2">
      <c r="A2374" s="31" t="s">
        <v>5436</v>
      </c>
      <c r="B2374" s="27" t="s">
        <v>5437</v>
      </c>
      <c r="C2374" s="27" t="s">
        <v>5438</v>
      </c>
      <c r="D2374" s="33" t="s">
        <v>14</v>
      </c>
      <c r="E2374" s="34">
        <v>1</v>
      </c>
      <c r="F2374" s="34">
        <v>37</v>
      </c>
      <c r="G2374" s="10">
        <v>809479</v>
      </c>
      <c r="H2374" s="30" t="str">
        <f ca="1">IFERROR(__xludf.DUMMYFUNCTION("LOWER(REGEXREPLACE(B2374&amp;"" ""&amp;C2374,""[^а-яa-z0-9 ]"","" ""))")," нтерактивная панель  12 65  нтерактивная панель 65 дюймов   ndroid 11  mlogic  982       ortex  73 2 1 9   z 53 2 1 8   z   ali  52   22 950   z 4  b    4 32  b и стандартное разрешение 4   ltra     3840 2160  слот     для установки дополнительного компь"&amp;"ютера интерфейсы            2 0      3 0      ype       ouch    45                                        232    luetooth 5 0   i i 2 4 5  hz антибликовое и антивандальное покрытие экрана  в комплекте 2 маркера  1 указка  пульт  крепление  esa   1 шт ")</f>
        <v xml:space="preserve"> нтерактивная панель  12 65  нтерактивная панель 65 дюймов   ndroid 11  mlogic  982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5" spans="1:8" ht="89.25" x14ac:dyDescent="0.2">
      <c r="A2375" s="31" t="s">
        <v>5439</v>
      </c>
      <c r="B2375" s="27" t="s">
        <v>5440</v>
      </c>
      <c r="C2375" s="27" t="s">
        <v>5441</v>
      </c>
      <c r="D2375" s="33" t="s">
        <v>14</v>
      </c>
      <c r="E2375" s="34">
        <v>1</v>
      </c>
      <c r="F2375" s="34">
        <v>47</v>
      </c>
      <c r="G2375" s="10">
        <v>989369</v>
      </c>
      <c r="H2375" s="30" t="str">
        <f ca="1">IFERROR(__xludf.DUMMYFUNCTION("LOWER(REGEXREPLACE(B2375&amp;"" ""&amp;C2375,""[^а-яa-z0-9 ]"","" ""))")," нтерактивная панель  12 75  нтерактивная панель 75 дюймов   ndroid 12  100       ortex  55 8 1 9   z    ali  52   22 950   z 8  b    4 128  b и стандартное разрешение 4   ltra     3840 2160   слот     для установки дополнительного компьютера   интерфейсы"&amp;"            2 0      3 0      ype       ouch    45                                        232    luetooth 5 0   i i 2 4 5  hz  антибликовое и антивандальное покрытие экрана  в комплекте 2 маркера  1 указка  пульт  крепление  esa   1 шт ")</f>
        <v xml:space="preserve"> нтерактивная панель  12 75  нтерактивная панель 75 дюймов   ndroid 12  100       ortex  55 8 1 9   z    ali  52   22 950   z 8  b    4 128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6" spans="1:8" ht="89.25" x14ac:dyDescent="0.2">
      <c r="A2376" s="31" t="s">
        <v>5442</v>
      </c>
      <c r="B2376" s="27" t="s">
        <v>5443</v>
      </c>
      <c r="C2376" s="27" t="s">
        <v>5444</v>
      </c>
      <c r="D2376" s="33" t="s">
        <v>14</v>
      </c>
      <c r="E2376" s="34">
        <v>1</v>
      </c>
      <c r="F2376" s="34">
        <v>65</v>
      </c>
      <c r="G2376" s="10">
        <v>1618928</v>
      </c>
      <c r="H2376" s="30" t="str">
        <f ca="1">IFERROR(__xludf.DUMMYFUNCTION("LOWER(REGEXREPLACE(B2376&amp;"" ""&amp;C2376,""[^а-яa-z0-9 ]"","" ""))")," нтерактивная панель  12 86  нтерактивная панель 86 дюймов   ndroid 11  mlogic  311d2       ortex  73 2 1 9   z 53 2 1 8   z   ali  52   22 950   z 4  b    4 32  b и стандартное разрешение 4   ltra     3840 2160  слот     для установки дополнительного ком"&amp;"пьютера интерфейсы            2 0      3 0      ype       ouch    45                                        232    luetooth 5 0   i i 2 4 5  hz антибликовое и антивандальное покрытие экрана  в комплекте 2 маркера  1 указка  пульт  крепление  esa   1 шт ")</f>
        <v xml:space="preserve"> нтерактивная панель  12 86  нтерактивная панель 86 дюймов   ndroid 11  mlogic  311d2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7" spans="1:8" ht="89.25" x14ac:dyDescent="0.2">
      <c r="A2377" s="31" t="s">
        <v>5445</v>
      </c>
      <c r="B2377" s="27" t="s">
        <v>5446</v>
      </c>
      <c r="C2377" s="27" t="s">
        <v>5447</v>
      </c>
      <c r="D2377" s="33" t="s">
        <v>14</v>
      </c>
      <c r="E2377" s="34">
        <v>1</v>
      </c>
      <c r="F2377" s="34">
        <v>102</v>
      </c>
      <c r="G2377" s="10">
        <v>2518336</v>
      </c>
      <c r="H2377" s="30" t="str">
        <f ca="1">IFERROR(__xludf.DUMMYFUNCTION("LOWER(REGEXREPLACE(B2377&amp;"" ""&amp;C2377,""[^а-яa-z0-9 ]"","" ""))")," нтерактивная панель  12 98  нтерактивная панель 98 дюймов   ndroid 11  mlogic  311d2       ortex  73 2 1 9   z 53 2 1 8   z   ali  52   22 950   z 4  b    4 32  b и стандартное разрешение 4   ltra     3840 2160  слот     для установки дополнительного ком"&amp;"пьютера интерфейсы            2 0      3 0      ype       ouch    45                                        232    luetooth 5 0   i i 2 4 5  hz антибликовое и антивандальное покрытие экрана  в комплекте 2 маркера  1 указка  пульт  крепление  esa   1 шт ")</f>
        <v xml:space="preserve"> нтерактивная панель  12 98  нтерактивная панель 98 дюймов   ndroid 11  mlogic  311d2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v>
      </c>
    </row>
    <row r="2378" spans="1:8" ht="153" x14ac:dyDescent="0.2">
      <c r="A2378" s="31" t="s">
        <v>5448</v>
      </c>
      <c r="B2378" s="8" t="s">
        <v>5449</v>
      </c>
      <c r="C2378" s="27" t="s">
        <v>5450</v>
      </c>
      <c r="D2378" s="33" t="s">
        <v>68</v>
      </c>
      <c r="E2378" s="34">
        <v>1</v>
      </c>
      <c r="F2378" s="34">
        <v>83</v>
      </c>
      <c r="G2378" s="10">
        <v>1964326</v>
      </c>
      <c r="H2378" s="30" t="str">
        <f ca="1">IFERROR(__xludf.DUMMYFUNCTION("LOWER(REGEXREPLACE(B2378&amp;"" ""&amp;C2378,""[^а-яa-z0-9 ]"","" ""))")," нтерактивная система  mart       175   омплекс включает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сиках"&amp;"   аботает на  indows 11  нтерактивная панель 75 диагональ 4       3840   2160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"&amp;"одновременных прикосновений  ilktouch   программное обеспечение         otebook   asic         nk  и        roduct  rivers  мобильная стойка на кол сиках  mart     для интерактивной панели 75 диагональ  компьютер i3 12100     8 b    240 b 400w корпус цель"&amp;"нометаллический корпус с перфорацией  mart           32126 1 2013  программное обеспечение  indows 10      кабель питания   2 шт      кабель   1 шт  маркеры   2 шт  внешние двухдиапазонные антенны 2 4 и 5   ц  2  i  i  1 точка доступа    3шт  пульт дистан"&amp;"ционного управления   1шт  батарейки       2шт ")</f>
        <v xml:space="preserve"> нтерактивная система  mart       175   омплекс включает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   аботает на  indows 11  нтерактивная панель 75 диагональ 4       3840   2160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одновременных прикосновений  ilktouch   программное обеспечение         otebook   asic         nk  и        roduct  rivers  мобильная стойка на кол сиках  mart     для интерактивной панели 75 диагональ  компьютер i3 12100     8 b    240 b 400w корпус цельнометаллический корпус с перфорацией  mart           32126 1 2013  программное обеспечение  indows 10      кабель питания   2 шт      кабель   1 шт  маркеры   2 шт  внешние двухдиапазонные антенны 2 4 и 5   ц  2  i  i  1 точка доступа    3шт  пульт дистанционного управления   1шт  батарейки       2шт </v>
      </c>
    </row>
    <row r="2379" spans="1:8" ht="255" x14ac:dyDescent="0.2">
      <c r="A2379" s="31" t="s">
        <v>5451</v>
      </c>
      <c r="B2379" s="8" t="s">
        <v>5452</v>
      </c>
      <c r="C2379" s="27" t="s">
        <v>5453</v>
      </c>
      <c r="D2379" s="33" t="s">
        <v>14</v>
      </c>
      <c r="E2379" s="34">
        <v>1</v>
      </c>
      <c r="F2379" s="34">
        <v>63</v>
      </c>
      <c r="G2379" s="10">
        <v>1250001</v>
      </c>
      <c r="H2379" s="30" t="str">
        <f ca="1">IFERROR(__xludf.DUMMYFUNCTION("LOWER(REGEXREPLACE(B2379&amp;"" ""&amp;C2379,""[^а-яa-z0-9 ]"","" ""))")," нтерактивная панель  mart        075  3           175  3   75 дюймов  нтерактивная панель  mart        075  3           175  3  прямая светодиодная подсветка  толщина стекла 4 мм  время отклика  8 мс  полностью теплостойкий  антибликовый  сенсорные функц"&amp;"ии  bject  wareness 1  инструмент распознавания одновременных прикосновений  ilktouch   перационнвя система  ndroid 13 0 включая государственный   казахский язык   функция распознавания нескольких касаний  20    indows  и  ac 10    hrome         232  пров"&amp;"одной   45   2  100base    i  i      802 11a b g n ac с 2   2        диапазоны 2 4 и 5   ц  с поддержкой протоколов аутентификации              2     и 802 1       точка доступа  i  i   luetooth 5 0                    кабель питания   1 шт      кабель   1"&amp;" шт  маркеры   2 шт крепится на раму   внешние двухдиапазонные антенны 2 4 и 5   ц  2  i  i  1 точка доступа    3шт  пульт дистанционного управления   1шт  батарейки       2шт  иллюстрированные инструкции по монтажу  документ с важной информацией    1шт  "&amp;" ркость 400кд м   онтраст 5000 1   татистическая контрастность 1200 1   аксимальное разрешение 4       3840 2160   угол обзора 178   амять 8 b  хранение 64 b   роцессор  uad  ore  55  x4    инамик   2 встроенных динамика с мощностью 20   с высокой точност"&amp;"ью воспроизведения звука   аличие     mart  otebook       с 3  обьектами   то библиотека с 1500 3d   моделей  которые подходят для обучения в средних и старших классах   риложение охватывает 3d   модели по таким дисциплинам  биология  химия  физика  матем"&amp;"атика  астрономия  культура ")</f>
        <v xml:space="preserve"> нтерактивная панель  mart        075  3           175  3   75 дюймов  нтерактивная панель  mart        075  3           175  3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одновременных прикосновений  ilktouch   перационнвя система  ndroid 13 0 включая государственный   казахский язык   функция распознавания нескольких касаний  20    indows  и  ac 10    hrome         232  проводной   45   2  100base    i  i      802 11a b g n ac с 2   2        диапазоны 2 4 и 5   ц  с поддержкой протоколов аутентификации              2     и 802 1       точка доступа  i  i   luetooth 5 0                    кабель питания   1 шт      кабель   1 шт  маркеры   2 шт крепится на раму   внешние двухдиапазонные антенны 2 4 и 5   ц  2  i  i  1 точка доступа    3шт  пульт дистанционного управления   1шт  батарейки       2шт  иллюстрированные инструкции по монтажу  документ с важной информацией    1шт   ркость 400кд м   онтраст 5000 1   татистическая контрастность 1200 1   аксимальное разрешение 4       3840 2160   угол обзора 178   амять 8 b  хранение 64 b   роцессор  uad  ore  55  x4    инамик   2 встроенных динамика с мощностью 20   с высокой точностью воспроизведения звука   аличие     mart  otebook       с 3  обьектами   то библиотека с 1500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v>
      </c>
    </row>
    <row r="2380" spans="1:8" ht="63.75" x14ac:dyDescent="0.2">
      <c r="A2380" s="31" t="s">
        <v>5454</v>
      </c>
      <c r="B2380" s="27" t="s">
        <v>5455</v>
      </c>
      <c r="C2380" s="27" t="s">
        <v>5456</v>
      </c>
      <c r="D2380" s="33" t="s">
        <v>14</v>
      </c>
      <c r="E2380" s="34">
        <v>1</v>
      </c>
      <c r="F2380" s="34">
        <v>55</v>
      </c>
      <c r="G2380" s="10">
        <v>926445</v>
      </c>
      <c r="H2380" s="30" t="str">
        <f ca="1">IFERROR(__xludf.DUMMYFUNCTION("LOWER(REGEXREPLACE(B2380&amp;"" ""&amp;C2380,""[^а-яa-z0-9 ]"","" ""))")," нтерактивная панель          65 дюймов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бес"&amp;"проводного подключения и вывода экрана устройств  настенное металлическое       крепление  совместимое с панелью ")</f>
        <v xml:space="preserve"> нтерактивная панель          65 дюймов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v>
      </c>
    </row>
    <row r="2381" spans="1:8" ht="76.5" x14ac:dyDescent="0.2">
      <c r="A2381" s="31" t="s">
        <v>5457</v>
      </c>
      <c r="B2381" s="8" t="s">
        <v>5458</v>
      </c>
      <c r="C2381" s="27" t="s">
        <v>5459</v>
      </c>
      <c r="D2381" s="33" t="s">
        <v>68</v>
      </c>
      <c r="E2381" s="34">
        <v>1</v>
      </c>
      <c r="F2381" s="34">
        <v>59</v>
      </c>
      <c r="G2381" s="10">
        <v>1421066</v>
      </c>
      <c r="H2381" s="30" t="str">
        <f ca="1">IFERROR(__xludf.DUMMYFUNCTION("LOWER(REGEXREPLACE(B2381&amp;"" ""&amp;C2381,""[^а-яa-z0-9 ]"","" ""))")," нтерактивная система         65 с персональным компьютером  ntel  ore i5 12400       8     512       indows 11  ro  нтерактивная панель  диагональ 65 дюймов  4           8    128    ndroid 11  закал нное защитное стекло  антибликовое покрытие  защита от "&amp;"осколков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f>
        <v xml:space="preserve"> нтерактивная система         65 с персональным компьютером  ntel  ore i5 12400       8     512       indows 11  ro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v>
      </c>
    </row>
    <row r="2382" spans="1:8" ht="63.75" x14ac:dyDescent="0.2">
      <c r="A2382" s="31" t="s">
        <v>5460</v>
      </c>
      <c r="B2382" s="8" t="s">
        <v>5461</v>
      </c>
      <c r="C2382" s="27" t="s">
        <v>5462</v>
      </c>
      <c r="D2382" s="33" t="s">
        <v>14</v>
      </c>
      <c r="E2382" s="34">
        <v>1</v>
      </c>
      <c r="F2382" s="34">
        <v>75</v>
      </c>
      <c r="G2382" s="10">
        <v>1214283</v>
      </c>
      <c r="H2382" s="30" t="str">
        <f ca="1">IFERROR(__xludf.DUMMYFUNCTION("LOWER(REGEXREPLACE(B2382&amp;"" ""&amp;C2382,""[^а-яa-z0-9 ]"","" ""))")," нтерактивная панель          75 дюймов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бес"&amp;"проводного подключения и вывода экрана устройств  настенное металлическое       крепление  совместимое с панелью ")</f>
        <v xml:space="preserve"> нтерактивная панель          75 дюймов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v>
      </c>
    </row>
    <row r="2383" spans="1:8" ht="76.5" x14ac:dyDescent="0.2">
      <c r="A2383" s="31" t="s">
        <v>5463</v>
      </c>
      <c r="B2383" s="8" t="s">
        <v>5464</v>
      </c>
      <c r="C2383" s="27" t="s">
        <v>5465</v>
      </c>
      <c r="D2383" s="33" t="s">
        <v>68</v>
      </c>
      <c r="E2383" s="34">
        <v>1</v>
      </c>
      <c r="F2383" s="34">
        <v>78</v>
      </c>
      <c r="G2383" s="10">
        <v>1708900</v>
      </c>
      <c r="H2383" s="30" t="str">
        <f ca="1">IFERROR(__xludf.DUMMYFUNCTION("LOWER(REGEXREPLACE(B2383&amp;"" ""&amp;C2383,""[^а-яa-z0-9 ]"","" ""))")," нтерактивная система         75 с персональным компьютером  ntel  ore i5 12400       8     512       indows 11  ro  нтерактивная панель  диагональ 75 дюймов  4           8    128    ndroid 11  закал нное защитное стекло  антибликовое покрытие  защита от "&amp;"осколков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f>
        <v xml:space="preserve"> нтерактивная система         75 с персональным компьютером  ntel  ore i5 12400       8     512       indows 11  ro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v>
      </c>
    </row>
    <row r="2384" spans="1:8" ht="63.75" x14ac:dyDescent="0.2">
      <c r="A2384" s="31" t="s">
        <v>5466</v>
      </c>
      <c r="B2384" s="27" t="s">
        <v>5467</v>
      </c>
      <c r="C2384" s="27" t="s">
        <v>5468</v>
      </c>
      <c r="D2384" s="33" t="s">
        <v>14</v>
      </c>
      <c r="E2384" s="34">
        <v>1</v>
      </c>
      <c r="F2384" s="34">
        <v>82</v>
      </c>
      <c r="G2384" s="10">
        <v>1618984</v>
      </c>
      <c r="H2384" s="30" t="str">
        <f ca="1">IFERROR(__xludf.DUMMYFUNCTION("LOWER(REGEXREPLACE(B2384&amp;"" ""&amp;C2384,""[^а-яa-z0-9 ]"","" ""))")," нтерактивная панель          86 дюймов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бес"&amp;"проводного подключения и вывода экрана устройств  настенное металлическое       крепление  совместимое с панелью ")</f>
        <v xml:space="preserve"> нтерактивная панель          86 дюймов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v>
      </c>
    </row>
    <row r="2385" spans="1:8" ht="76.5" x14ac:dyDescent="0.2">
      <c r="A2385" s="31" t="s">
        <v>5469</v>
      </c>
      <c r="B2385" s="8" t="s">
        <v>5470</v>
      </c>
      <c r="C2385" s="27" t="s">
        <v>5471</v>
      </c>
      <c r="D2385" s="33" t="s">
        <v>68</v>
      </c>
      <c r="E2385" s="34">
        <v>1</v>
      </c>
      <c r="F2385" s="34">
        <v>85</v>
      </c>
      <c r="G2385" s="10">
        <v>2055148</v>
      </c>
      <c r="H2385" s="30" t="str">
        <f ca="1">IFERROR(__xludf.DUMMYFUNCTION("LOWER(REGEXREPLACE(B2385&amp;"" ""&amp;C2385,""[^а-яa-z0-9 ]"","" ""))")," нтерактивная система         86 с персональным компьютером  ntel  ore i5 12400       8     512       indows 11  ro  нтерактивная панель  диагональ 86 дюймов  4           8    128    ndroid 11  закал нное защитное стекло  антибликовое покрытие  защита от "&amp;"осколков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f>
        <v xml:space="preserve"> нтерактивная система         86 с персональным компьютером  ntel  ore i5 12400       8     512       indows 11  ro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v>
      </c>
    </row>
    <row r="2386" spans="1:8" ht="89.25" x14ac:dyDescent="0.2">
      <c r="A2386" s="31" t="s">
        <v>5472</v>
      </c>
      <c r="B2386" s="27" t="s">
        <v>5473</v>
      </c>
      <c r="C2386" s="27" t="s">
        <v>5474</v>
      </c>
      <c r="D2386" s="33" t="s">
        <v>14</v>
      </c>
      <c r="E2386" s="34">
        <v>1</v>
      </c>
      <c r="F2386" s="35">
        <v>72.2</v>
      </c>
      <c r="G2386" s="10">
        <v>1058541</v>
      </c>
      <c r="H2386" s="30" t="str">
        <f ca="1">IFERROR(__xludf.DUMMYFUNCTION("LOWER(REGEXREPLACE(B2386&amp;"" ""&amp;C2386,""[^а-яa-z0-9 ]"","" ""))")," нтерактивная панель  amsung   75           75  диагонали  омплектность  формат соотношения сторон  16 9  срок работы  50000 час  тип экрана       яркость  400  динамическая контрастность  5000 1   сатическая контрастность  1200 1  время отклика  8   удио"&amp;"  встроенные динамики  2   нтерактивность  количество касаний  40  точность позиционирования касаний  1   строенный компьютер  операционная система   а  количество ядер процессора  4  оперативная память  8  память  64    комлпекте с настенным креплением ")</f>
        <v xml:space="preserve"> нтерактивная панель  amsung   75           75  диагонали  омплектность  формат соотношения сторон  16 9  срок работы  50000 час  тип экрана       яркость  400  динамическая контрастность  5000 1   сатическая контрастность  1200 1  время отклика  8   удио  встроенные динамики  2   нтерактивность  количество касаний  40  точность позиционирования касаний  1   строенный компьютер  операционная система   а  количество ядер процессора  4  оперативная память  8  память  64    комлпекте с настенным креплением </v>
      </c>
    </row>
    <row r="2387" spans="1:8" ht="102" x14ac:dyDescent="0.2">
      <c r="A2387" s="31" t="s">
        <v>5475</v>
      </c>
      <c r="B2387" s="27" t="s">
        <v>5476</v>
      </c>
      <c r="C2387" s="27" t="s">
        <v>5477</v>
      </c>
      <c r="D2387" s="33" t="s">
        <v>68</v>
      </c>
      <c r="E2387" s="34">
        <v>1</v>
      </c>
      <c r="F2387" s="34">
        <v>55</v>
      </c>
      <c r="G2387" s="10">
        <v>2523899</v>
      </c>
      <c r="H2387" s="30" t="str">
        <f ca="1">IFERROR(__xludf.DUMMYFUNCTION("LOWER(REGEXREPLACE(B2387&amp;"" ""&amp;C2387,""[^а-яa-z0-9 ]"","" ""))")," нтерактивная панель          75  11 75  диагонали  со встраиваемым компьютером для панелей     i5 1035 1 8 b 256     с мобильной стойкой          1881  омплектность  формат соотношения сторон  16 9  активная область  1649 66 х 927 93   мм  разрешение  38"&amp;"40х2160   60 ц  время работы  ouch   30000 час  срок службы дисплея  50000 час  угол обзора  178   яркость  max 550 cd    динамическая контрастность  10000 1  время отклика  5 мс  поддержка максимально одновременных прикосновений  20  встроенный  ndroid в"&amp;"ерсии 11 0  центральный процессор   ortex  55 1 9  z  chip  mlogic  982   графический процессор   uad core  ali 52   2  оперативная память  4  b  память накопителя  32  b ")</f>
        <v xml:space="preserve"> нтерактивная панель          75  11 75  диагонали  со встраиваемым компьютером для панелей     i5 1035 1 8 b 256     с мобильной стойкой          1881  омплектность  формат соотношения сторон  16 9  активная область  1649 66 х 927 93   мм  разрешение  3840х2160   60 ц  время работы  ouch   30000 час  срок службы дисплея  50000 час  угол обзора  178   яркость  max 550 cd    динамическая контрастность  10000 1  время отклика  5 мс  поддержка максимально одновременных прикосновений  20  встроенный  ndroid версии 11 0  центральный процессор   ortex  55 1 9  z  chip  mlogic  982   графический процессор   uad core  ali 52   2  оперативная память  4  b  память накопителя  32  b </v>
      </c>
    </row>
    <row r="2388" spans="1:8" ht="51" x14ac:dyDescent="0.2">
      <c r="A2388" s="31" t="s">
        <v>5478</v>
      </c>
      <c r="B2388" s="8" t="s">
        <v>5479</v>
      </c>
      <c r="C2388" s="27" t="s">
        <v>5480</v>
      </c>
      <c r="D2388" s="33" t="s">
        <v>14</v>
      </c>
      <c r="E2388" s="34">
        <v>1</v>
      </c>
      <c r="F2388" s="36">
        <v>68.66</v>
      </c>
      <c r="G2388" s="10">
        <v>1058321</v>
      </c>
      <c r="H2388" s="30" t="str">
        <f ca="1">IFERROR(__xludf.DUMMYFUNCTION("LOWER(REGEXREPLACE(B2388&amp;"" ""&amp;C2388,""[^а-яa-z0-9 ]"","" ""))")," нтерактивная панель  ikvision 75  диагонали     5 75        омплектность  разрешение  3840   2160  60  z  яркость  400 нит  время отклика  6 мс  срок службы  50000 час  соотношение сторон  16 9   строенный компьютер  операционная система   ndroid  внутре"&amp;"нняя память  4     объем накопителя  32    аудио  встроенные динамики 2 шт   мощность  15  ")</f>
        <v xml:space="preserve"> нтерактивная панель  ikvision 75  диагонали     5 75        омплектность  разрешение  3840   2160  60  z  яркость  400 нит  время отклика  6 мс  срок службы  50000 час  соотношение сторон  16 9   строенный компьютер  операционная система   ndroid  внутренняя память  4     объем накопителя  32    аудио  встроенные динамики 2 шт   мощность  15  </v>
      </c>
    </row>
    <row r="2389" spans="1:8" ht="51" x14ac:dyDescent="0.2">
      <c r="A2389" s="31" t="s">
        <v>5481</v>
      </c>
      <c r="B2389" s="8" t="s">
        <v>5482</v>
      </c>
      <c r="C2389" s="27" t="s">
        <v>5483</v>
      </c>
      <c r="D2389" s="33" t="s">
        <v>14</v>
      </c>
      <c r="E2389" s="34">
        <v>1</v>
      </c>
      <c r="F2389" s="34">
        <v>46</v>
      </c>
      <c r="G2389" s="10">
        <v>618319</v>
      </c>
      <c r="H2389" s="30" t="str">
        <f ca="1">IFERROR(__xludf.DUMMYFUNCTION("LOWER(REGEXREPLACE(B2389&amp;"" ""&amp;C2389,""[^а-яa-z0-9 ]"","" ""))")," нтерактивная панель  igi ouch    65  65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активна"&amp;"я область 1 440 48х816 02 мм ")</f>
        <v xml:space="preserve"> нтерактивная панель  igi ouch    65  65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1 440 48х816 02 мм </v>
      </c>
    </row>
    <row r="2390" spans="1:8" ht="38.25" x14ac:dyDescent="0.2">
      <c r="A2390" s="31" t="s">
        <v>5484</v>
      </c>
      <c r="B2390" s="8" t="s">
        <v>5485</v>
      </c>
      <c r="C2390" s="27" t="s">
        <v>5486</v>
      </c>
      <c r="D2390" s="33" t="s">
        <v>14</v>
      </c>
      <c r="E2390" s="34">
        <v>1</v>
      </c>
      <c r="F2390" s="34">
        <v>62</v>
      </c>
      <c r="G2390" s="10">
        <v>750836</v>
      </c>
      <c r="H2390" s="30" t="str">
        <f ca="1">IFERROR(__xludf.DUMMYFUNCTION("LOWER(REGEXREPLACE(B2390&amp;"" ""&amp;C2390,""[^а-яa-z0-9 ]"","" ""))")," нтерактивная панель  igi ouch    75  75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активна"&amp;"я область 1 650 24х928 26 мм")</f>
        <v xml:space="preserve"> нтерактивная панель  igi ouch    75  75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1 650 24х928 26 мм</v>
      </c>
    </row>
    <row r="2391" spans="1:8" ht="38.25" x14ac:dyDescent="0.2">
      <c r="A2391" s="31" t="s">
        <v>5487</v>
      </c>
      <c r="B2391" s="8" t="s">
        <v>5488</v>
      </c>
      <c r="C2391" s="27" t="s">
        <v>5489</v>
      </c>
      <c r="D2391" s="33" t="s">
        <v>14</v>
      </c>
      <c r="E2391" s="34">
        <v>1</v>
      </c>
      <c r="F2391" s="34">
        <v>82</v>
      </c>
      <c r="G2391" s="10">
        <v>1104141</v>
      </c>
      <c r="H2391" s="30" t="str">
        <f ca="1">IFERROR(__xludf.DUMMYFUNCTION("LOWER(REGEXREPLACE(B2391&amp;"" ""&amp;C2391,""[^а-яa-z0-9 ]"","" ""))")," нтерактивная панель  igi ouch    86  86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активна"&amp;"я область 1895 04х1065 96 мм")</f>
        <v xml:space="preserve"> нтерактивная панель  igi ouch    86  86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1895 04х1065 96 мм</v>
      </c>
    </row>
    <row r="2392" spans="1:8" ht="51" x14ac:dyDescent="0.2">
      <c r="A2392" s="31" t="s">
        <v>5490</v>
      </c>
      <c r="B2392" s="8" t="s">
        <v>5491</v>
      </c>
      <c r="C2392" s="27" t="s">
        <v>5492</v>
      </c>
      <c r="D2392" s="33" t="s">
        <v>14</v>
      </c>
      <c r="E2392" s="34">
        <v>1</v>
      </c>
      <c r="F2392" s="34">
        <v>120</v>
      </c>
      <c r="G2392" s="10">
        <v>2473068</v>
      </c>
      <c r="H2392" s="30" t="str">
        <f ca="1">IFERROR(__xludf.DUMMYFUNCTION("LOWER(REGEXREPLACE(B2392&amp;"" ""&amp;C2392,""[^а-яa-z0-9 ]"","" ""))")," нтерактивная панель  igi ouch    86 2  86 дюймов  омплектность  разрешение 3840х2160  яркость 550 кд м2  контрастность 10 000 1  память 8 128  б   ndroid 11 0  20 касаний  процессор  uad core      ortex  53  графический процессор  ali  52   2 2      стро"&amp;"енный     компьютер  7   ssd 256 б   8  б    ")</f>
        <v xml:space="preserve"> нтерактивная панель  igi ouch    86 2  86 дюймов  омплектность  разрешение 3840х2160  яркость 550 кд м2  контрастность 10 000 1  память 8 128  б   ndroid 11 0  20 касаний  процессор  uad core      ortex  53  графический процессор  ali  52   2 2      строенный     компьютер  7   ssd 256 б   8  б    </v>
      </c>
    </row>
    <row r="2393" spans="1:8" ht="38.25" x14ac:dyDescent="0.2">
      <c r="A2393" s="31" t="s">
        <v>5493</v>
      </c>
      <c r="B2393" s="8" t="s">
        <v>5494</v>
      </c>
      <c r="C2393" s="27" t="s">
        <v>5495</v>
      </c>
      <c r="D2393" s="33" t="s">
        <v>14</v>
      </c>
      <c r="E2393" s="34">
        <v>1</v>
      </c>
      <c r="F2393" s="35">
        <v>58.6</v>
      </c>
      <c r="G2393" s="10">
        <v>1517920</v>
      </c>
      <c r="H2393" s="30" t="str">
        <f ca="1">IFERROR(__xludf.DUMMYFUNCTION("LOWER(REGEXREPLACE(B2393&amp;"" ""&amp;C2393,""[^а-яa-z0-9 ]"","" ""))")," нтерактивная сенсорная панель 86  3    86  дюймов типа     азовая комплектация  шнур питания  3 м   1       кабель  тип    ип    5     1  кабель       3     1   ручка для письма   2 шт  руководство пользователя       картонная коробка  пульт дистанционно"&amp;"го управления  модуль  i  i")</f>
        <v xml:space="preserve"> нтерактивная сенсорная панель 86  3    86  дюймов типа     азовая комплектация  шнур питания  3 м   1       кабель  тип    ип    5     1  кабель       3     1   ручка для письма   2 шт  руководство пользователя       картонная коробка  пульт дистанционного управления  модуль  i  i</v>
      </c>
    </row>
    <row r="2394" spans="1:8" ht="51" x14ac:dyDescent="0.2">
      <c r="A2394" s="31" t="s">
        <v>5496</v>
      </c>
      <c r="B2394" s="8" t="s">
        <v>5497</v>
      </c>
      <c r="C2394" s="27" t="s">
        <v>5498</v>
      </c>
      <c r="D2394" s="33" t="s">
        <v>14</v>
      </c>
      <c r="E2394" s="34">
        <v>1</v>
      </c>
      <c r="F2394" s="36">
        <v>60.75</v>
      </c>
      <c r="G2394" s="10">
        <v>786156</v>
      </c>
      <c r="H2394" s="30" t="str">
        <f ca="1">IFERROR(__xludf.DUMMYFUNCTION("LOWER(REGEXREPLACE(B2394&amp;"" ""&amp;C2394,""[^а-яa-z0-9 ]"","" ""))")," нтерактивная панель  actus panel  75 дюймов  иагональ  75 дюймов   азрешение экрана  3840х2160 пикселей   онтрастность  5500 1   ркость  350 кд м2   гол обзора по вертикали и горизонтали  178 град   оличество точек касания  40   строенные динамики  2х16 "&amp;"т   бъем накопителя  32 б   строенная операционная система   ndroid 13 0 ")</f>
        <v xml:space="preserve"> нтерактивная панель  actus panel  75 дюймов  иагональ  75 дюймов   азрешение экрана  3840х2160 пикселей   онтрастность  5500 1   ркость  350 кд м2   гол обзора по вертикали и горизонтали  178 град   оличество точек касания  40   строенные динамики  2х16 т   бъем накопителя  32 б   строенная операционная система   ndroid 13 0 </v>
      </c>
    </row>
    <row r="2395" spans="1:8" ht="306" x14ac:dyDescent="0.2">
      <c r="A2395" s="31" t="s">
        <v>5499</v>
      </c>
      <c r="B2395" s="8" t="s">
        <v>5500</v>
      </c>
      <c r="C2395" s="27" t="s">
        <v>5501</v>
      </c>
      <c r="D2395" s="33" t="s">
        <v>14</v>
      </c>
      <c r="E2395" s="34">
        <v>2</v>
      </c>
      <c r="F2395" s="34">
        <v>65</v>
      </c>
      <c r="G2395" s="10">
        <v>886591</v>
      </c>
      <c r="H2395" s="30" t="str">
        <f ca="1">IFERROR(__xludf.DUMMYFUNCTION("LOWER(REGEXREPLACE(B2395&amp;"" ""&amp;C2395,""[^а-яa-z0-9 ]"","" ""))")," нтерактивная панель  ndota     75  75 дюймов   камерой  формат соотношения сторон 16 9  срок работы дисплея 50 000 часов   ркость дисплея 400 кд м2  динамическая контрастность  5000 1   татической контрастность  1200 1   ремя отклика дисплея 8 мс   ип эк"&amp;"рана      3840 x 2160  4         ермозакаленное и антибликовое стекло толщиной 4 мм и с прочностью стекла 7 по шкале  оосу   оличество касаний дисплея   40 касаний одновременно  точность позиционирования касаний 1 мм   сть возможность распознавания как ст"&amp;"илуса  так и касание руки и возможность стирания ладонью руки   меется встроенные двойные динамики 2 х 16  атт и восьмиканальный микрофон   акже имеется встроенная камера на 48  п  4  30 fps для видео конференц связи и записи уроков   перационная система "&amp;"  предустановленная операционная система с возможностью установки и запуска образовательных приложений    ndroid 14   перационная система имеет такие прикладные программы как   екционная доска   hiteboard    ежим аннотаций   nnotate    аймер   imer    ене"&amp;"ратор случайного порядка   pinner    ахват экрана   creen capture    бщий доступ к экрану   creen  hare    раузер   rowser    рограмма для чтения     файлов       eader    едиаплеер   edia  layer    меет возможность беспроводного соединения с     смартфон"&amp;"ом  планшетом через  ir o   роцессор интерактивной панели   8 ядер  55   перативная память 8  б   лэш память   32  б    идео процессор       uad core  ali 52 600     комплекте кронштейн для настенного крепления   лектропитание    1ф  220   0 132к т   ля п"&amp;"одключения к внешним устройствам доступны различные порты      x 1       x 2   i  i  802 11ac    luetooth 5 0        3 0 x 3        x 1      in     45  x 1      out     45  x 1   inijack 3 5 x1      ard x1")</f>
        <v xml:space="preserve"> нтерактивная панель  ndota     75  75 дюймов   камерой  формат соотношения сторон 16 9  срок работы дисплея 50 000 часов   ркость дисплея 400 кд м2  динамическая контрастность  5000 1   татической контрастность  1200 1   ремя отклика дисплея 8 мс   ип экрана      3840 x 2160  4         ермозакаленное и антибликовое стекло толщиной 4 мм и с прочностью стекла 7 по шкале  оосу   оличество касаний дисплея   40 касаний одновременно  точность позиционирования касаний 1 мм   сть возможность распознавания как стилуса  так и касание руки и возможность стирания ладонью руки   меется встроенные двойные динамики 2 х 16  атт и восьмиканальный микрофон   акже имеется встроенная камера на 48  п  4  30 fps для видео конференц связи и записи уроков   перационная система   предустановленная операционная система с возможностью установки и запуска образовательных приложений    ndroid 14   перационная система имеет такие прикладные программы как   екционная доска   hiteboard    ежим аннотаций   nnotate    аймер   imer    енератор случайного порядка   pinner    ахват экрана   creen capture    бщий доступ к экрану   creen  hare    раузер   rowser    рограмма для чтения     файлов       eader    едиаплеер   edia  layer    меет возможность беспроводного соединения с     смартфоном  планшетом через  ir o   роцессор интерактивной панели   8 ядер  55   перативная память 8  б   лэш память   32  б    идео процессор       uad core  ali 52 600     комплекте кронштейн для настенного крепления   лектропитание    1ф  220   0 132к т   ля подключения к внешним устройствам доступны различные порты      x 1       x 2   i  i  802 11ac    luetooth 5 0        3 0 x 3        x 1      in     45  x 1      out     45  x 1   inijack 3 5 x1      ard x1</v>
      </c>
    </row>
    <row r="2396" spans="1:8" ht="102" x14ac:dyDescent="0.2">
      <c r="A2396" s="31" t="s">
        <v>5502</v>
      </c>
      <c r="B2396" s="8" t="s">
        <v>5503</v>
      </c>
      <c r="C2396" s="27"/>
      <c r="D2396" s="33" t="s">
        <v>68</v>
      </c>
      <c r="E2396" s="34">
        <v>2</v>
      </c>
      <c r="F2396" s="34">
        <v>102</v>
      </c>
      <c r="G2396" s="10">
        <v>2122130</v>
      </c>
      <c r="H2396" s="30" t="str">
        <f ca="1">IFERROR(__xludf.DUMMYFUNCTION("LOWER(REGEXREPLACE(B2396&amp;"" ""&amp;C2396,""[^а-яa-z0-9 ]"","" ""))")," нтерактивная система типа  mart   075    275  75 диагональ  компьютер с      3  моделями для образования           i5 14400    5 16gb      512 b  корпус цельнометаллический c перфорацией  mart       indows 11  мобильная стойка  mart     для интерактивной"&amp;" панели на кол сиках в комплекте ")</f>
        <v xml:space="preserve"> нтерактивная система типа  mart   075    275  75 диагональ  компьютер с      3  моделями для образования           i5 14400    5 16gb      512 b  корпус цельнометаллический c перфорацией  mart       indows 11  мобильная стойка  mart     для интерактивной панели на кол сиках в комплекте </v>
      </c>
    </row>
    <row r="2397" spans="1:8" ht="102" x14ac:dyDescent="0.2">
      <c r="A2397" s="31" t="s">
        <v>5504</v>
      </c>
      <c r="B2397" s="8" t="s">
        <v>5505</v>
      </c>
      <c r="C2397" s="27"/>
      <c r="D2397" s="33" t="s">
        <v>68</v>
      </c>
      <c r="E2397" s="34">
        <v>2</v>
      </c>
      <c r="F2397" s="34">
        <v>102</v>
      </c>
      <c r="G2397" s="10">
        <v>3767553</v>
      </c>
      <c r="H2397" s="30" t="str">
        <f ca="1">IFERROR(__xludf.DUMMYFUNCTION("LOWER(REGEXREPLACE(B2397&amp;"" ""&amp;C2397,""[^а-яa-z0-9 ]"","" ""))")," нтерактивная система типа  mart  oard   075   275  75 диагональ   oogle         еб камерa  mart  ltra       компьютер с      3  моделями для образования           i5 14400    5 16gb      512 b корпус цельнометаллический c перфорацией  mart       indows 1"&amp;"1  мобильная стойка  mart     для интерактивной панели на кол сиках в комплекте ")</f>
        <v xml:space="preserve"> нтерактивная система типа  mart  oard   075   275  75 диагональ   oogle         еб камерa  mart  ltra       компьютер с      3  моделями для образования           i5 14400    5 16gb      512 b корпус цельнометаллический c перфорацией  mart       indows 11  мобильная стойка  mart     для интерактивной панели на кол сиках в комплекте </v>
      </c>
    </row>
    <row r="2398" spans="1:8" ht="51" x14ac:dyDescent="0.2">
      <c r="A2398" s="31" t="s">
        <v>5506</v>
      </c>
      <c r="B2398" s="27" t="s">
        <v>5507</v>
      </c>
      <c r="C2398" s="27"/>
      <c r="D2398" s="33" t="s">
        <v>14</v>
      </c>
      <c r="E2398" s="34">
        <v>2</v>
      </c>
      <c r="F2398" s="34">
        <v>59</v>
      </c>
      <c r="G2398" s="10">
        <v>3676520</v>
      </c>
      <c r="H2398" s="30" t="str">
        <f ca="1">IFERROR(__xludf.DUMMYFUNCTION("LOWER(REGEXREPLACE(B2398&amp;"" ""&amp;C2398,""[^а-яa-z0-9 ]"","" ""))")," нтерактивная панель типа  mart  oard   075   275  75 диагональ   oogle       еб камерa  mart  ltra                otebook для создания уроков ")</f>
        <v xml:space="preserve"> нтерактивная панель типа  mart  oard   075   275  75 диагональ   oogle       еб камерa  mart  ltra                otebook для создания уроков </v>
      </c>
    </row>
    <row r="2399" spans="1:8" ht="255" x14ac:dyDescent="0.2">
      <c r="A2399" s="31" t="s">
        <v>5508</v>
      </c>
      <c r="B2399" s="27" t="s">
        <v>5509</v>
      </c>
      <c r="C2399" s="27" t="s">
        <v>5510</v>
      </c>
      <c r="D2399" s="33" t="s">
        <v>14</v>
      </c>
      <c r="E2399" s="34">
        <v>2</v>
      </c>
      <c r="F2399" s="34">
        <v>70</v>
      </c>
      <c r="G2399" s="10">
        <v>988404</v>
      </c>
      <c r="H2399" s="30" t="str">
        <f ca="1">IFERROR(__xludf.DUMMYFUNCTION("LOWER(REGEXREPLACE(B2399&amp;"" ""&amp;C2399,""[^а-яa-z0-9 ]"","" ""))")," нтерактивная панель типа            8500          75 дюймов  нтерактивная панель            8500           75    ульт дистанционного управления  кабель     2 0  3 м   сенсорный     кабель       3 м   шнур питания переменного тока  1 8 м   карта      2 шт"&amp;"     енсорное перо  2 шт     астик  кронштейн для настенного крепления   иагональ 75    оотношение сторон 16 9   азрешение 3840 х 2160 пикселей   ходы выходы   переди        2 0  х l   or  ouch        2 0 х 1            lt  ode  x 1        3 0  x 3       "&amp;"ard    низу         3 5mm  x 1           3 5mm  x 1         x 1    232      9  x 1       2 1      x 1           lt  ode      x 1             l   x 2        3 0  x l   nly  ndroid        x 1         n x 1      x 1   боку       1 4   x 1        3 0  x l  or"&amp;"  ouch        2 0  x 2            lt  ode     x 1    1 2  x 1        3 0  x 2          x 1   ыходы   инамики  16  т x 2   ub woofer 20  т    оверхность экрана   нтибликовое     закаленное стекло  одсветка         нструмент ввода палец или сенсорное перо  "&amp;" ремя отклика 8 мс         строенный  ndroid 13 0   оложение встроенного динамика   переди  лот для           а    овместимость с  indows 10 11  linux  mac os 10 10 10 14   омплектация  ульт дистанционного управления  кабель     2 0  3 м   сенсорный     к"&amp;"абель       3 м   шнур питания переменного тока  1 8 м   карта      2 шт     енсорное перо  2 шт     астик  крепление на стену ")</f>
        <v xml:space="preserve"> нтерактивная панель типа            8500          75 дюймов  нтерактивная панель            8500           75    ульт дистанционного управления  кабель     2 0  3 м   сенсорный     кабель       3 м   шнур питания переменного тока  1 8 м   карта      2 шт     енсорное перо  2 шт     астик  кронштейн для настенного крепления   иагональ 75    оотношение сторон 16 9   азрешение 3840 х 2160 пикселей   ходы выходы   переди        2 0  х l   or  ouch        2 0 х 1            lt  ode  x 1        3 0  x 3       ard    низу         3 5mm  x 1           3 5mm  x 1         x 1    232      9  x 1       2 1      x 1           lt  ode      x 1             l   x 2        3 0  x l   nly  ndroid        x 1         n x 1      x 1   боку       1 4   x 1        3 0  x l  or  ouch        2 0  x 2            lt  ode     x 1    1 2  x 1        3 0  x 2          x 1   ыходы   инамики  16  т x 2   ub woofer 20  т    оверхность экрана   нтибликовое     закаленное стекло  одсветка         нструмент ввода палец или сенсорное перо   ремя отклика 8 мс         строенный  ndroid 13 0   оложение встроенного динамика   переди  лот для           а    овместимость с  indows 10 11  linux  mac os 10 10 10 14   омплектация  ульт дистанционного управления  кабель     2 0  3 м   сенсорный     кабель       3 м   шнур питания переменного тока  1 8 м   карта      2 шт     енсорное перо  2 шт     астик  крепление на стену </v>
      </c>
    </row>
    <row r="2400" spans="1:8" ht="242.25" x14ac:dyDescent="0.2">
      <c r="A2400" s="31" t="s">
        <v>5511</v>
      </c>
      <c r="B2400" s="8" t="s">
        <v>5512</v>
      </c>
      <c r="C2400" s="27" t="s">
        <v>5513</v>
      </c>
      <c r="D2400" s="33" t="s">
        <v>14</v>
      </c>
      <c r="E2400" s="34">
        <v>2</v>
      </c>
      <c r="F2400" s="34">
        <v>46</v>
      </c>
      <c r="G2400" s="10">
        <v>709451</v>
      </c>
      <c r="H2400" s="30" t="str">
        <f ca="1">IFERROR(__xludf.DUMMYFUNCTION("LOWER(REGEXREPLACE(B2400&amp;"" ""&amp;C2400,""[^а-яa-z0-9 ]"","" ""))")," нтерактивная сенсорная панель типа  3        ilver 75     311 2  13 8 128        75 дюймов  нтибликовое стекло   атчик  инфракрасная сенсорная рамка   азрешение 4    одсветка        азрешение  пикселей  3840 х 2160   оотношение сторон 16 9   инамическая "&amp;"контрастность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крепления для стилусов   репление на стену или мобильная стойка  упаковка"&amp;"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x"&amp;" 16  т  версия операционной системы   ndroid 13   строенное приложение  oogle  lay   роцессор   рхитектура  ortex  73  53   оличество ядер 8   перативная память  8     нутренняя память 128     i  i  частота 2 4  ц 5  ц   luetooth частота 2 4  ц 5  ц   ере"&amp;"дние интерфейсы  1 x      ype      2 х     3 0 type     оковые интерфейсы  2 x         2 0  1 x        1 x  ype    1 x     2 0  2 x     3 0     3 х        1х     слот   адние интерфейс  1 x        1 x            1 x           1x         1 x   232     2 x "&amp;"  45  1 x         1 х            esa 800 х 400мм     и руководство      стилус  ручка  без чернил 2 шт  1х       абель      3 м   абель      ype     3м   абель питания 3 м ")</f>
        <v xml:space="preserve"> нтерактивная сенсорная панель типа  3        ilver 75     311 2  13 8 128        75 дюймов  нтибликовое стекло   атчик  инфракрасная сенсорная рамка   азрешение 4    одсветка        азрешение  пикселей  3840 х 2160   оотношение сторон 16 9   инамическая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крепления для стилусов   репление на стену или мобильная стойка  упаковка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 16  т  версия операционной системы   ndroid 13   строенное приложение  oogle  lay   роцессор   рхитектура  ortex  73  53   оличество ядер 8   перативная память  8     нутренняя память 128     i  i  частота 2 4  ц 5  ц   luetooth частота 2 4  ц 5  ц   ередние интерфейсы  1 x      ype      2 х     3 0 type     оковые интерфейсы  2 x         2 0  1 x        1 x  ype    1 x     2 0  2 x     3 0     3 х        1х     слот   адние интерфейс  1 x        1 x            1 x           1x         1 x   232     2 x   45  1 x         1 х            esa 800 х 400мм     и руководство      стилус  ручка  без чернил 2 шт  1х       абель      3 м   абель      ype     3м   абель питания 3 м </v>
      </c>
    </row>
    <row r="2401" spans="1:8" ht="242.25" x14ac:dyDescent="0.2">
      <c r="A2401" s="31" t="s">
        <v>5514</v>
      </c>
      <c r="B2401" s="8" t="s">
        <v>5515</v>
      </c>
      <c r="C2401" s="27" t="s">
        <v>5516</v>
      </c>
      <c r="D2401" s="33" t="s">
        <v>14</v>
      </c>
      <c r="E2401" s="34">
        <v>2</v>
      </c>
      <c r="F2401" s="35">
        <v>80.099999999999994</v>
      </c>
      <c r="G2401" s="10">
        <v>864173</v>
      </c>
      <c r="H2401" s="30" t="str">
        <f ca="1">IFERROR(__xludf.DUMMYFUNCTION("LOWER(REGEXREPLACE(B2401&amp;"" ""&amp;C2401,""[^а-яa-z0-9 ]"","" ""))")," нтерактивная сенсорная панель типа  3        ilver 86     311 2  13 16 256        86 дюймов  нтибликовое стекло   атчик  инфракрасная сенсорная рамка   азрешение 4    одсветка        азрешение  пикселей  3840 х 2160   оотношение сторон 16 9   инамическая"&amp;"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креплений для стилусов   репление на стену или мобильная стойка  упаковк"&amp;"а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x"&amp;" 16  т  версия операционной системы   ndroid 13   строенное приложение  oogle  lay   роцессор   рхитектура  ortex  73  53   оличество ядер 8   перативная память 16     нутренняя память 256     i  i  частота 2 4  ц 5  ц   luetooth частота 2 4  ц 5  ц   ере"&amp;"дние интерфейсы  1 x      ype      2 х     3 0 type     оковые интерфейсы  2 x         2 0  1 x        1 x  ype    1 x     2 0  2 x     3 0     3 х        1х     слот   адние интерфейс  1 x        1 x            1 x           1x         1 x   232     2 x "&amp;"  45  1 x         1 х            esa 800 х 400мм     и руководство      стилус  ручка  без чернил 2 шт  1х       абель      3 м   абель      ype     3м   абель питания 3 м ")</f>
        <v xml:space="preserve"> нтерактивная сенсорная панель типа  3        ilver 86     311 2  13 16 256        86 дюймов  нтибликовое стекло   атчик  инфракрасная сенсорная рамка   азрешение 4    одсветка        азрешение  пикселей  3840 х 2160   оотношение сторон 16 9   инамическая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креплений для стилусов   репление на стену или мобильная стойка  упаковка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 16  т  версия операционной системы   ndroid 13   строенное приложение  oogle  lay   роцессор   рхитектура  ortex  73  53   оличество ядер 8   перативная память 16     нутренняя память 256     i  i  частота 2 4  ц 5  ц   luetooth частота 2 4  ц 5  ц   ередние интерфейсы  1 x      ype      2 х     3 0 type     оковые интерфейсы  2 x         2 0  1 x        1 x  ype    1 x     2 0  2 x     3 0     3 х        1х     слот   адние интерфейс  1 x        1 x            1 x           1x         1 x   232     2 x   45  1 x         1 х            esa 800 х 400мм     и руководство      стилус  ручка  без чернил 2 шт  1х       абель      3 м   абель      ype     3м   абель питания 3 м </v>
      </c>
    </row>
    <row r="2402" spans="1:8" ht="409.5" x14ac:dyDescent="0.2">
      <c r="A2402" s="31" t="s">
        <v>5517</v>
      </c>
      <c r="B2402" s="8" t="s">
        <v>5518</v>
      </c>
      <c r="C2402" s="27" t="s">
        <v>5519</v>
      </c>
      <c r="D2402" s="33" t="s">
        <v>14</v>
      </c>
      <c r="E2402" s="34">
        <v>2</v>
      </c>
      <c r="F2402" s="36">
        <v>41.55</v>
      </c>
      <c r="G2402" s="10">
        <v>1839700</v>
      </c>
      <c r="H2402" s="30" t="str">
        <f ca="1">IFERROR(__xludf.DUMMYFUNCTION("LOWER(REGEXREPLACE(B2402&amp;"" ""&amp;C2402,""[^а-яa-z0-9 ]"","" ""))")," нтерактивная панель 65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касан"&amp;"ия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обеспечение"&amp;"   ote 2 0   ytello  hare   peechi connect   lass connect   oogle suite    роизводительность    перационная система   ndroid 14     роцессор   72  uad core    53  uad core     рафика   52   3             8      128        овместимость   indows  mac     in"&amp;"ux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4"&amp;"   60 z          4       3 1  2        ouch 3 0  2        ype    65  т    1       2 0     isplay ort              232    45      2           10 100 1000  bps      удиоразъемы  3 5 мм  вход выход             i  i   i  i 6  2 4   z   5   z   6   z       lue"&amp;"tooth  5 3  ополнительные возможности      оддержка     модуля  опционально  indows или  ndroid      ертификация  oogle  для          арантия  3 года    ертификаты               heinland   nergy  tar                             абочий режим  18 7     ащит"&amp;"ное стекло  3 2 мм  антибликовое покрытие тв рдость 7   по  оосу    олный доступ к экосистеме  oogle   oogle  lay  tore  oogle  rive   ocs   heets  oogle  eet   lassroom  ou ube   hrome и другие сервисы  ативную работу приложений прямо на панели   без доп"&amp;"олнительных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корпоративн"&amp;"ым стандартам  ентрализованное управление устройствами через интеграцию с    инфраструктурой и  oogle  orkspace  бласть применения    одходит для образовательных учреждений  бизнеса  конференц залов и офисов  обеспечивая удобное взаимодействие  совместную"&amp;" работу и эффектив   омплектация     2 стилуса с разными наконечниками     ульт дистанционного управления     абели             питание      строенный  i  i модуль     уководство пользователя")</f>
        <v xml:space="preserve"> нтерактивная панель 65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и  oogle  orkspace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стилуса с разными наконечниками     ульт дистанционного управления     абели             питание      строенный  i  i модуль     уководство пользователя</v>
      </c>
    </row>
    <row r="2403" spans="1:8" ht="382.5" x14ac:dyDescent="0.2">
      <c r="A2403" s="31" t="s">
        <v>5520</v>
      </c>
      <c r="B2403" s="8" t="s">
        <v>5521</v>
      </c>
      <c r="C2403" s="27" t="s">
        <v>5522</v>
      </c>
      <c r="D2403" s="33" t="s">
        <v>14</v>
      </c>
      <c r="E2403" s="34">
        <v>2</v>
      </c>
      <c r="F2403" s="36">
        <v>56.25</v>
      </c>
      <c r="G2403" s="10">
        <v>2233945</v>
      </c>
      <c r="H2403" s="30" t="str">
        <f ca="1">IFERROR(__xludf.DUMMYFUNCTION("LOWER(REGEXREPLACE(B2403&amp;"" ""&amp;C2403,""[^а-яa-z0-9 ]"","" ""))")," нтерактивная панель 75 диагонали  4       3840   2160           с      подсветкой   ехнология касания   uper  lass  igh  recision   оличество одновременных касаний  до 50  сновные характеристики   иагональ экрана  75   190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касан"&amp;"ия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обеспечение"&amp;"   ote 2 0   ytello  hare   peechi connect   lass connect   oogle suite    роизводительность    перационная система   ndroid 14     роцессор   72  uad core    53  uad core     рафика   52   3             8      128        овместимость   indows  mac     in"&amp;"ux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4"&amp;"   60 z          4       3 1  2        ouch 3 0  2        ype    65  т    1       2 0     isplay ort              232    45      2           10 100 1000  bps      удиоразъемы  3 5 мм  вход выход             i  i   i  i 6  2 4   z   5   z   6   z       lue"&amp;"tooth  5 3  ополнительные возможности      оддержка     модуля  опционально  indows или  ndroid      ертификация  oogle  для          арантия  3 года    ертификаты               heinland   nergy  tar                             абочий режим  18 7     ащит"&amp;"ное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экосистеме"&amp;"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недос"&amp;"тупны  либо требуют трансляции с ноутбука  олный доступ к экосистеме  oogle   oogle  lay  tore  oogle  rive   ocs   heets  oogle  eet   lassroom  ou ube   hrome и другие сервисы  ативную")</f>
        <v xml:space="preserve"> нтерактивная панель 75 диагонали  4       3840   2160           с      подсветкой   ехнология касания   uper  lass  igh  recision   оличество одновременных касаний  до 50  сновные характеристики   иагональ экрана  75   190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олный доступ к экосистеме  oogle   oogle  lay  tore  oogle  rive   ocs   heets  oogle  eet   lassroom  ou ube   hrome и другие сервисы  ативную</v>
      </c>
    </row>
    <row r="2404" spans="1:8" ht="409.5" x14ac:dyDescent="0.2">
      <c r="A2404" s="31" t="s">
        <v>5523</v>
      </c>
      <c r="B2404" s="8" t="s">
        <v>5524</v>
      </c>
      <c r="C2404" s="27" t="s">
        <v>5525</v>
      </c>
      <c r="D2404" s="33" t="s">
        <v>14</v>
      </c>
      <c r="E2404" s="34">
        <v>2</v>
      </c>
      <c r="F2404" s="36">
        <v>69.849999999999994</v>
      </c>
      <c r="G2404" s="10">
        <v>2711801</v>
      </c>
      <c r="H2404" s="30" t="str">
        <f ca="1">IFERROR(__xludf.DUMMYFUNCTION("LOWER(REGEXREPLACE(B2404&amp;"" ""&amp;C2404,""[^а-яa-z0-9 ]"","" ""))")," нтерактивная панель 86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касан"&amp;"ия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обеспечение"&amp;"   ote 2 0   ytello  hare   peechi connect   lass connect   oogle suite    роизводительность    перационная система   ndroid 14     роцессор   72  uad core    53  uad core     рафика   52   3             8      128        овместимость   indows  mac     in"&amp;"ux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4"&amp;"   60 z          4       3 1  2        ouch 3 0  2        ype    65  т    1       2 0     isplay ort              232    45      2           10 100 1000  bps      удиоразъемы  3 5 мм  вход выход             i  i   i  i 6  2 4   z   5   z   6   z       lue"&amp;"tooth  5 3  ополнительные возможности      оддержка     модуля  опционально  indows или  ndroid      ертификация  oogle  для          арантия  3 года    ертификаты               heinland   nergy  tar                             абочий режим  18 7     ащит"&amp;"ное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экосистеме"&amp;"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недос"&amp;"тупны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"&amp;"и  oogle  orkspace  омплектация     2 стилуса с681 разными наконечниками     ульт дистанционного управления     абели             питание      строенный  i  i модуль     уководство пользователя")</f>
        <v xml:space="preserve"> нтерактивная панель 86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и  oogle  orkspace  омплектация     2 стилуса с681 разными наконечниками     ульт дистанционного управления     абели             питание      строенный  i  i модуль     уководство пользователя</v>
      </c>
    </row>
    <row r="2405" spans="1:8" ht="306" x14ac:dyDescent="0.2">
      <c r="A2405" s="31" t="s">
        <v>5526</v>
      </c>
      <c r="B2405" s="8" t="s">
        <v>5527</v>
      </c>
      <c r="C2405" s="27" t="s">
        <v>5528</v>
      </c>
      <c r="D2405" s="33" t="s">
        <v>14</v>
      </c>
      <c r="E2405" s="34">
        <v>2</v>
      </c>
      <c r="F2405" s="35">
        <v>59.5</v>
      </c>
      <c r="G2405" s="10">
        <v>1600874</v>
      </c>
      <c r="H2405" s="30" t="str">
        <f ca="1">IFERROR(__xludf.DUMMYFUNCTION("LOWER(REGEXREPLACE(B2405&amp;"" ""&amp;C2405,""[^а-яa-z0-9 ]"","" ""))")," нтерактивная панель 75 диагонали  4       3840   2160           с      подсветкой   ехнология касания   uper  lass  igh  recision   оличество одновременных касаний  до 40  сновные характеристики   иагональ экрана  75   190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"&amp;"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"&amp;"2 0   ytello  hare   peech connect   i   роизводительность    перационная система   ndroid 13    роцессор   55  uad core    рафика   52   2            8      64       овместимость   indows  mac     inux   ndroid   hrome     вук и мультимедиа     инамики  "&amp;"2   16  т   сабвуфер 16  т    икрофоны  6 направленных    ильтр синего света и технология защиты глаз   ye  are   нтерфейсы и подключение          3 входа  2   4   60 z  1              1 выход  4   60 z         4       3 1  2        ouch 3 0  1        ype"&amp;"    65  т   1       2 0     isplay ort             232    45      2           10 100 1000  bps     удиоразъемы  3 5 мм  вход выход            i  i   i  i 6  2 4   z   5   z      luetooth  5 2  ополнительные возможности     оддержка     модуля  опционально"&amp;"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бизнеса"&amp;"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f>
        <v xml:space="preserve"> нтерактивная панель 75 диагонали  4       3840   2160           с      подсветкой   ехнология касания   uper  lass  igh  recision   оличество одновременных касаний  до 40  сновные характеристики   иагональ экрана  75   190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2 0   ytello  hare   peech connect   i   роизводительность    перационная система   ndroid 13    роцессор   55  uad core    рафика   52   2            8      64       овместимость   indows  mac     inux   ndroid   hrome     вук и мультимедиа     инамики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ype    65  т   1       2 0     isplay ort             232    45      2           10 100 1000  bps     удиоразъемы  3 5 мм  вход выход            i  i   i  i 6  2 4   z   5   z      luetooth  5 2  ополнительные возможности     оддержка     модуля  опционально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v>
      </c>
    </row>
    <row r="2406" spans="1:8" ht="318.75" x14ac:dyDescent="0.2">
      <c r="A2406" s="31" t="s">
        <v>5529</v>
      </c>
      <c r="B2406" s="8" t="s">
        <v>5530</v>
      </c>
      <c r="C2406" s="27" t="s">
        <v>5531</v>
      </c>
      <c r="D2406" s="33" t="s">
        <v>14</v>
      </c>
      <c r="E2406" s="34">
        <v>2</v>
      </c>
      <c r="F2406" s="34">
        <v>74</v>
      </c>
      <c r="G2406" s="10">
        <v>1959283</v>
      </c>
      <c r="H2406" s="30" t="str">
        <f ca="1">IFERROR(__xludf.DUMMYFUNCTION("LOWER(REGEXREPLACE(B2406&amp;"" ""&amp;C2406,""[^а-яa-z0-9 ]"","" ""))")," нтерактивная панель 86 диагонали  4       3840   2160           с      подсветкой   ехнология касания   uper  lass  igh  recision   оличество одновременных касаний  до 40  сновные характеристики   иагональ экрана  86   216 см   азрешение  4       3840   "&amp;"2160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"&amp;"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"&amp;"2 0   ytello  hare   peechi connect   i        роизводительность    перационная система   ndroid 13    роцессор   55  uad core    рафика   52   2            8      64       овместимость   indows  mac     inux   ndroid   hrome     вук и мультимедиа     ина"&amp;"мики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"&amp;"   ype    65  т   1       2 0     isplay ort             232    45      2           10 100 1000  bps     удиоразъемы  3 5 мм  вход выход            i  i   i  i 6  2 4   z   5   z      luetooth  5 2  ополнительные возможности     оддержка     модуля  опцио"&amp;"нально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б"&amp;"изнеса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f>
        <v xml:space="preserve"> нтерактивная панель 86 диагонали  4       3840   2160           с      подсветкой   ехнология касания   uper  lass  igh  recision   оличество одновременных касаний  до 40  сновные характеристики   иагональ экрана  86   216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2 0   ytello  hare   peechi connect   i        роизводительность    перационная система   ndroid 13    роцессор   55  uad core    рафика   52   2            8      64       овместимость   indows  mac     inux   ndroid   hrome     вук и мультимедиа     инамики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ype    65  т   1       2 0     isplay ort             232    45      2           10 100 1000  bps     удиоразъемы  3 5 мм  вход выход            i  i   i  i 6  2 4   z   5   z      luetooth  5 2  ополнительные возможности     оддержка     модуля  опционально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v>
      </c>
    </row>
    <row r="2407" spans="1:8" ht="12.75" x14ac:dyDescent="0.2">
      <c r="A2407" s="31" t="s">
        <v>5532</v>
      </c>
      <c r="B2407" s="27" t="s">
        <v>5533</v>
      </c>
      <c r="C2407" s="27"/>
      <c r="D2407" s="32"/>
      <c r="E2407" s="9"/>
      <c r="F2407" s="32"/>
      <c r="G2407" s="10"/>
      <c r="H2407" s="30" t="str">
        <f ca="1">IFERROR(__xludf.DUMMYFUNCTION("LOWER(REGEXREPLACE(B2407&amp;"" ""&amp;C2407,""[^а-яa-z0-9 ]"","" ""))")," исплей профессиональный ")</f>
        <v xml:space="preserve"> исплей профессиональный </v>
      </c>
    </row>
    <row r="2408" spans="1:8" ht="25.5" x14ac:dyDescent="0.2">
      <c r="A2408" s="31" t="s">
        <v>5534</v>
      </c>
      <c r="B2408" s="27" t="s">
        <v>5535</v>
      </c>
      <c r="C2408" s="27"/>
      <c r="D2408" s="33" t="s">
        <v>14</v>
      </c>
      <c r="E2408" s="9"/>
      <c r="F2408" s="35">
        <v>5.7</v>
      </c>
      <c r="G2408" s="10">
        <v>689805</v>
      </c>
      <c r="H2408" s="30" t="str">
        <f ca="1">IFERROR(__xludf.DUMMYFUNCTION("LOWER(REGEXREPLACE(B2408&amp;"" ""&amp;C2408,""[^а-яa-z0-9 ]"","" ""))")," исплей профессиональный   32      32           32  диагонали   amsung ")</f>
        <v xml:space="preserve"> исплей профессиональный   32      32           32  диагонали   amsung </v>
      </c>
    </row>
    <row r="2409" spans="1:8" ht="25.5" x14ac:dyDescent="0.2">
      <c r="A2409" s="31" t="s">
        <v>5536</v>
      </c>
      <c r="B2409" s="27" t="s">
        <v>5537</v>
      </c>
      <c r="C2409" s="27"/>
      <c r="D2409" s="33" t="s">
        <v>14</v>
      </c>
      <c r="E2409" s="9"/>
      <c r="F2409" s="34">
        <v>10</v>
      </c>
      <c r="G2409" s="10">
        <v>1030062</v>
      </c>
      <c r="H2409" s="30" t="str">
        <f ca="1">IFERROR(__xludf.DUMMYFUNCTION("LOWER(REGEXREPLACE(B2409&amp;"" ""&amp;C2409,""[^а-яa-z0-9 ]"","" ""))")," исплей профессиональный   43    43           43  диагонали   amsung ")</f>
        <v xml:space="preserve"> исплей профессиональный   43    43           43  диагонали   amsung </v>
      </c>
    </row>
    <row r="2410" spans="1:8" ht="25.5" x14ac:dyDescent="0.2">
      <c r="A2410" s="31" t="s">
        <v>5538</v>
      </c>
      <c r="B2410" s="27" t="s">
        <v>5539</v>
      </c>
      <c r="C2410" s="27"/>
      <c r="D2410" s="33" t="s">
        <v>14</v>
      </c>
      <c r="E2410" s="9"/>
      <c r="F2410" s="35">
        <v>13.4</v>
      </c>
      <c r="G2410" s="10">
        <v>1306072</v>
      </c>
      <c r="H2410" s="30" t="str">
        <f ca="1">IFERROR(__xludf.DUMMYFUNCTION("LOWER(REGEXREPLACE(B2410&amp;"" ""&amp;C2410,""[^а-яa-z0-9 ]"","" ""))")," исплей профессиональный   50    50           50  диагонали   amsung ")</f>
        <v xml:space="preserve"> исплей профессиональный   50    50           50  диагонали   amsung </v>
      </c>
    </row>
    <row r="2411" spans="1:8" ht="25.5" x14ac:dyDescent="0.2">
      <c r="A2411" s="31" t="s">
        <v>5540</v>
      </c>
      <c r="B2411" s="27" t="s">
        <v>5541</v>
      </c>
      <c r="C2411" s="27"/>
      <c r="D2411" s="33" t="s">
        <v>14</v>
      </c>
      <c r="E2411" s="9"/>
      <c r="F2411" s="35">
        <v>18.100000000000001</v>
      </c>
      <c r="G2411" s="10">
        <v>1416401</v>
      </c>
      <c r="H2411" s="30" t="str">
        <f ca="1">IFERROR(__xludf.DUMMYFUNCTION("LOWER(REGEXREPLACE(B2411&amp;"" ""&amp;C2411,""[^а-яa-z0-9 ]"","" ""))")," исплей профессиональный   55    55           55  диагонали   amsung ")</f>
        <v xml:space="preserve"> исплей профессиональный   55    55           55  диагонали   amsung </v>
      </c>
    </row>
    <row r="2412" spans="1:8" ht="25.5" x14ac:dyDescent="0.2">
      <c r="A2412" s="31" t="s">
        <v>5542</v>
      </c>
      <c r="B2412" s="27" t="s">
        <v>5543</v>
      </c>
      <c r="C2412" s="27"/>
      <c r="D2412" s="33" t="s">
        <v>14</v>
      </c>
      <c r="E2412" s="9"/>
      <c r="F2412" s="35">
        <v>0.9</v>
      </c>
      <c r="G2412" s="10">
        <v>394348</v>
      </c>
      <c r="H2412" s="30" t="str">
        <f ca="1">IFERROR(__xludf.DUMMYFUNCTION("LOWER(REGEXREPLACE(B2412&amp;"" ""&amp;C2412,""[^а-яa-z0-9 ]"","" ""))")," исплей профессиональный   13    13          13  диагонали   amsung ")</f>
        <v xml:space="preserve"> исплей профессиональный   13    13          13  диагонали   amsung </v>
      </c>
    </row>
    <row r="2413" spans="1:8" ht="25.5" x14ac:dyDescent="0.2">
      <c r="A2413" s="31" t="s">
        <v>5544</v>
      </c>
      <c r="B2413" s="27" t="s">
        <v>5545</v>
      </c>
      <c r="C2413" s="27"/>
      <c r="D2413" s="33" t="s">
        <v>14</v>
      </c>
      <c r="E2413" s="9"/>
      <c r="F2413" s="35">
        <v>13.4</v>
      </c>
      <c r="G2413" s="10">
        <v>902850</v>
      </c>
      <c r="H2413" s="30" t="str">
        <f ca="1">IFERROR(__xludf.DUMMYFUNCTION("LOWER(REGEXREPLACE(B2413&amp;"" ""&amp;C2413,""[^а-яa-z0-9 ]"","" ""))")," исплей профессиональный   50    50           50  диагонали   amsung ")</f>
        <v xml:space="preserve"> исплей профессиональный   50    50           50  диагонали   amsung </v>
      </c>
    </row>
    <row r="2414" spans="1:8" ht="25.5" x14ac:dyDescent="0.2">
      <c r="A2414" s="31" t="s">
        <v>5546</v>
      </c>
      <c r="B2414" s="27" t="s">
        <v>5547</v>
      </c>
      <c r="C2414" s="27"/>
      <c r="D2414" s="33" t="s">
        <v>14</v>
      </c>
      <c r="E2414" s="9"/>
      <c r="F2414" s="35">
        <v>18.100000000000001</v>
      </c>
      <c r="G2414" s="10">
        <v>1025014</v>
      </c>
      <c r="H2414" s="30" t="str">
        <f ca="1">IFERROR(__xludf.DUMMYFUNCTION("LOWER(REGEXREPLACE(B2414&amp;"" ""&amp;C2414,""[^а-яa-z0-9 ]"","" ""))")," исплей профессиональный   55    55          55  диагонали   amsung ")</f>
        <v xml:space="preserve"> исплей профессиональный   55    55          55  диагонали   amsung </v>
      </c>
    </row>
    <row r="2415" spans="1:8" ht="25.5" x14ac:dyDescent="0.2">
      <c r="A2415" s="31" t="s">
        <v>5548</v>
      </c>
      <c r="B2415" s="27" t="s">
        <v>5549</v>
      </c>
      <c r="C2415" s="27"/>
      <c r="D2415" s="33" t="s">
        <v>14</v>
      </c>
      <c r="E2415" s="9"/>
      <c r="F2415" s="35">
        <v>24.9</v>
      </c>
      <c r="G2415" s="10">
        <v>1240593</v>
      </c>
      <c r="H2415" s="30" t="str">
        <f ca="1">IFERROR(__xludf.DUMMYFUNCTION("LOWER(REGEXREPLACE(B2415&amp;"" ""&amp;C2415,""[^а-яa-z0-9 ]"","" ""))")," исплей профессиональный   65    65           65  диагонали   amsung ")</f>
        <v xml:space="preserve"> исплей профессиональный   65    65           65  диагонали   amsung </v>
      </c>
    </row>
    <row r="2416" spans="1:8" ht="25.5" x14ac:dyDescent="0.2">
      <c r="A2416" s="31" t="s">
        <v>5550</v>
      </c>
      <c r="B2416" s="8" t="s">
        <v>5551</v>
      </c>
      <c r="C2416" s="27"/>
      <c r="D2416" s="33" t="s">
        <v>14</v>
      </c>
      <c r="E2416" s="9"/>
      <c r="F2416" s="35">
        <v>12.2</v>
      </c>
      <c r="G2416" s="10">
        <v>471895</v>
      </c>
      <c r="H2416" s="30" t="str">
        <f ca="1">IFERROR(__xludf.DUMMYFUNCTION("LOWER(REGEXREPLACE(B2416&amp;"" ""&amp;C2416,""[^а-яa-z0-9 ]"","" ""))")," исплей профессиональный   4335          4335   43  диагонали   umien ")</f>
        <v xml:space="preserve"> исплей профессиональный   4335          4335   43  диагонали   umien </v>
      </c>
    </row>
    <row r="2417" spans="1:8" ht="25.5" x14ac:dyDescent="0.2">
      <c r="A2417" s="31" t="s">
        <v>5552</v>
      </c>
      <c r="B2417" s="8" t="s">
        <v>5553</v>
      </c>
      <c r="C2417" s="27"/>
      <c r="D2417" s="33" t="s">
        <v>14</v>
      </c>
      <c r="E2417" s="9"/>
      <c r="F2417" s="35">
        <v>18.600000000000001</v>
      </c>
      <c r="G2417" s="10">
        <v>572007</v>
      </c>
      <c r="H2417" s="30" t="str">
        <f ca="1">IFERROR(__xludf.DUMMYFUNCTION("LOWER(REGEXREPLACE(B2417&amp;"" ""&amp;C2417,""[^а-яa-z0-9 ]"","" ""))")," исплей профессиональный   5535          5535   55  диагонали   umien ")</f>
        <v xml:space="preserve"> исплей профессиональный   5535          5535   55  диагонали   umien </v>
      </c>
    </row>
    <row r="2418" spans="1:8" ht="38.25" x14ac:dyDescent="0.2">
      <c r="A2418" s="31" t="s">
        <v>5554</v>
      </c>
      <c r="B2418" s="27" t="s">
        <v>5555</v>
      </c>
      <c r="C2418" s="27" t="s">
        <v>5556</v>
      </c>
      <c r="D2418" s="33" t="s">
        <v>14</v>
      </c>
      <c r="E2418" s="9"/>
      <c r="F2418" s="34">
        <v>66</v>
      </c>
      <c r="G2418" s="10">
        <v>6250591</v>
      </c>
      <c r="H2418" s="30" t="str">
        <f ca="1">IFERROR(__xludf.DUMMYFUNCTION("LOWER(REGEXREPLACE(B2418&amp;"" ""&amp;C2418,""[^а-яa-z0-9 ]"","" ""))")," исплей профессиональный 98  5    98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f>
        <v xml:space="preserve"> исплей профессиональный 98  5    98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v>
      </c>
    </row>
    <row r="2419" spans="1:8" ht="51" x14ac:dyDescent="0.2">
      <c r="A2419" s="31" t="s">
        <v>5557</v>
      </c>
      <c r="B2419" s="27" t="s">
        <v>5558</v>
      </c>
      <c r="C2419" s="27" t="s">
        <v>5559</v>
      </c>
      <c r="D2419" s="33" t="s">
        <v>14</v>
      </c>
      <c r="E2419" s="9"/>
      <c r="F2419" s="34">
        <v>49</v>
      </c>
      <c r="G2419" s="10">
        <v>3340878</v>
      </c>
      <c r="H2419" s="30" t="str">
        <f ca="1">IFERROR(__xludf.DUMMYFUNCTION("LOWER(REGEXREPLACE(B2419&amp;"" ""&amp;C2419,""[^а-яa-z0-9 ]"","" ""))")," исплей профессиональный 86  5    86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"&amp;"комплект управления              640     настенное крепление ")</f>
        <v xml:space="preserve"> исплей профессиональный 86  5    86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комплект управления              640     настенное крепление </v>
      </c>
    </row>
    <row r="2420" spans="1:8" ht="51" x14ac:dyDescent="0.2">
      <c r="A2420" s="31" t="s">
        <v>5560</v>
      </c>
      <c r="B2420" s="27" t="s">
        <v>5561</v>
      </c>
      <c r="C2420" s="27" t="s">
        <v>5559</v>
      </c>
      <c r="D2420" s="33" t="s">
        <v>14</v>
      </c>
      <c r="E2420" s="9"/>
      <c r="F2420" s="35">
        <v>41.5</v>
      </c>
      <c r="G2420" s="10">
        <v>2101555</v>
      </c>
      <c r="H2420" s="30" t="str">
        <f ca="1">IFERROR(__xludf.DUMMYFUNCTION("LOWER(REGEXREPLACE(B2420&amp;"" ""&amp;C2420,""[^а-яa-z0-9 ]"","" ""))")," исплей профессиональный 75  5    75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"&amp;"комплект управления              640     настенное крепление ")</f>
        <v xml:space="preserve"> исплей профессиональный 75  5    75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комплект управления              640     настенное крепление </v>
      </c>
    </row>
    <row r="2421" spans="1:8" ht="51" x14ac:dyDescent="0.2">
      <c r="A2421" s="31" t="s">
        <v>5562</v>
      </c>
      <c r="B2421" s="27" t="s">
        <v>5563</v>
      </c>
      <c r="C2421" s="27" t="s">
        <v>5564</v>
      </c>
      <c r="D2421" s="33" t="s">
        <v>14</v>
      </c>
      <c r="E2421" s="9"/>
      <c r="F2421" s="35">
        <v>24.2</v>
      </c>
      <c r="G2421" s="10">
        <v>1066953</v>
      </c>
      <c r="H2421" s="30" t="str">
        <f ca="1">IFERROR(__xludf.DUMMYFUNCTION("LOWER(REGEXREPLACE(B2421&amp;"" ""&amp;C2421,""[^а-яa-z0-9 ]"","" ""))")," исплей профессиональный 65  5    65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xml:space="preserve"> исплей профессиональный 65  5    65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2" spans="1:8" ht="51" x14ac:dyDescent="0.2">
      <c r="A2422" s="31" t="s">
        <v>5565</v>
      </c>
      <c r="B2422" s="27" t="s">
        <v>5566</v>
      </c>
      <c r="C2422" s="27" t="s">
        <v>5564</v>
      </c>
      <c r="D2422" s="33" t="s">
        <v>14</v>
      </c>
      <c r="E2422" s="9"/>
      <c r="F2422" s="35">
        <v>16.100000000000001</v>
      </c>
      <c r="G2422" s="10">
        <v>840620</v>
      </c>
      <c r="H2422" s="30" t="str">
        <f ca="1">IFERROR(__xludf.DUMMYFUNCTION("LOWER(REGEXREPLACE(B2422&amp;"" ""&amp;C2422,""[^а-яa-z0-9 ]"","" ""))")," исплей профессиональный 55  5    55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xml:space="preserve"> исплей профессиональный 55  5    55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3" spans="1:8" ht="51" x14ac:dyDescent="0.2">
      <c r="A2423" s="31" t="s">
        <v>5567</v>
      </c>
      <c r="B2423" s="27" t="s">
        <v>5568</v>
      </c>
      <c r="C2423" s="27" t="s">
        <v>5564</v>
      </c>
      <c r="D2423" s="33" t="s">
        <v>14</v>
      </c>
      <c r="E2423" s="9"/>
      <c r="F2423" s="35">
        <v>13.6</v>
      </c>
      <c r="G2423" s="10">
        <v>786730</v>
      </c>
      <c r="H2423" s="30" t="str">
        <f ca="1">IFERROR(__xludf.DUMMYFUNCTION("LOWER(REGEXREPLACE(B2423&amp;"" ""&amp;C2423,""[^а-яa-z0-9 ]"","" ""))")," исплей профессиональный 49  5    49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xml:space="preserve"> исплей профессиональный 49  5    49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4" spans="1:8" ht="51" x14ac:dyDescent="0.2">
      <c r="A2424" s="31" t="s">
        <v>5569</v>
      </c>
      <c r="B2424" s="27" t="s">
        <v>5570</v>
      </c>
      <c r="C2424" s="27" t="s">
        <v>5564</v>
      </c>
      <c r="D2424" s="33" t="s">
        <v>14</v>
      </c>
      <c r="E2424" s="9"/>
      <c r="F2424" s="35">
        <v>11.1</v>
      </c>
      <c r="G2424" s="10">
        <v>657403</v>
      </c>
      <c r="H2424" s="30" t="str">
        <f ca="1">IFERROR(__xludf.DUMMYFUNCTION("LOWER(REGEXREPLACE(B2424&amp;"" ""&amp;C2424,""[^а-яa-z0-9 ]"","" ""))")," исплей профессиональный 43  5    43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"&amp;"подставка     653     настенный кронштейн     350    комплект управления          ")</f>
        <v xml:space="preserve"> исплей профессиональный 43  5    43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v>
      </c>
    </row>
    <row r="2425" spans="1:8" ht="38.25" x14ac:dyDescent="0.2">
      <c r="A2425" s="31" t="s">
        <v>5571</v>
      </c>
      <c r="B2425" s="27" t="s">
        <v>5572</v>
      </c>
      <c r="C2425" s="27" t="s">
        <v>5573</v>
      </c>
      <c r="D2425" s="33" t="s">
        <v>14</v>
      </c>
      <c r="E2425" s="9"/>
      <c r="F2425" s="35">
        <v>5.7</v>
      </c>
      <c r="G2425" s="10">
        <v>463409</v>
      </c>
      <c r="H2425" s="30" t="str">
        <f ca="1">IFERROR(__xludf.DUMMYFUNCTION("LOWER(REGEXREPLACE(B2425&amp;"" ""&amp;C2425,""[^а-яa-z0-9 ]"","" ""))")," исплей профессиональный 32  5    32  диагонали  типа     азовый пульт дистанционного управления  шнур питания       кабель       подключение телефона к    232   ополнительно приобретаемая комплектация      322     настенный кронштейн     230    адаптер  "&amp;"         220  ")</f>
        <v xml:space="preserve"> исплей профессиональный 32  5    32  диагонали  типа     азовый пульт дистанционного управления  шнур питания       кабель       подключение телефона к    232   ополнительно приобретаемая комплектация      322     настенный кронштейн     230    адаптер           220  </v>
      </c>
    </row>
    <row r="2426" spans="1:8" ht="25.5" x14ac:dyDescent="0.2">
      <c r="A2426" s="31" t="s">
        <v>5574</v>
      </c>
      <c r="B2426" s="27" t="s">
        <v>5575</v>
      </c>
      <c r="C2426" s="27" t="s">
        <v>5576</v>
      </c>
      <c r="D2426" s="33" t="s">
        <v>14</v>
      </c>
      <c r="E2426" s="9"/>
      <c r="F2426" s="36">
        <v>3.34</v>
      </c>
      <c r="G2426" s="10">
        <v>511895</v>
      </c>
      <c r="H2426" s="30" t="str">
        <f ca="1">IFERROR(__xludf.DUMMYFUNCTION("LOWER(REGEXREPLACE(B2426&amp;"" ""&amp;C2426,""[^а-яa-z0-9 ]"","" ""))")," исплей профессиональный 22  3  22  диагонали  типа     ульт дистанционного управления  шнур питания       кабель       подключение телефона к   232   внешний    порт     панель")</f>
        <v xml:space="preserve"> исплей профессиональный 22  3  22  диагонали  типа     ульт дистанционного управления  шнур питания       кабель       подключение телефона к   232   внешний    порт     панель</v>
      </c>
    </row>
    <row r="2427" spans="1:8" ht="51" x14ac:dyDescent="0.2">
      <c r="A2427" s="31" t="s">
        <v>5577</v>
      </c>
      <c r="B2427" s="27" t="s">
        <v>5578</v>
      </c>
      <c r="C2427" s="27" t="s">
        <v>5579</v>
      </c>
      <c r="D2427" s="33" t="s">
        <v>14</v>
      </c>
      <c r="E2427" s="9"/>
      <c r="F2427" s="35">
        <v>16.8</v>
      </c>
      <c r="G2427" s="10">
        <v>2263122</v>
      </c>
      <c r="H2427" s="30" t="str">
        <f ca="1">IFERROR(__xludf.DUMMYFUNCTION("LOWER(REGEXREPLACE(B2427&amp;"" ""&amp;C2427,""[^а-яa-z0-9 ]"","" ""))"),"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ополнител"&amp;"ьно приобретаемая комплектация               ")</f>
        <v xml:space="preserve">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28" spans="1:8" ht="51" x14ac:dyDescent="0.2">
      <c r="A2428" s="31" t="s">
        <v>5580</v>
      </c>
      <c r="B2428" s="27" t="s">
        <v>5581</v>
      </c>
      <c r="C2428" s="27" t="s">
        <v>5579</v>
      </c>
      <c r="D2428" s="33" t="s">
        <v>14</v>
      </c>
      <c r="E2428" s="9"/>
      <c r="F2428" s="35">
        <v>16.8</v>
      </c>
      <c r="G2428" s="10">
        <v>2263122</v>
      </c>
      <c r="H2428" s="30" t="str">
        <f ca="1">IFERROR(__xludf.DUMMYFUNCTION("LOWER(REGEXREPLACE(B2428&amp;"" ""&amp;C2428,""[^а-яa-z0-9 ]"","" ""))"),"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ополнител"&amp;"ьно приобретаемая комплектация               ")</f>
        <v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29" spans="1:8" ht="51" x14ac:dyDescent="0.2">
      <c r="A2429" s="31" t="s">
        <v>5582</v>
      </c>
      <c r="B2429" s="27" t="s">
        <v>5583</v>
      </c>
      <c r="C2429" s="27" t="s">
        <v>5579</v>
      </c>
      <c r="D2429" s="33" t="s">
        <v>14</v>
      </c>
      <c r="E2429" s="9"/>
      <c r="F2429" s="35">
        <v>18.8</v>
      </c>
      <c r="G2429" s="10">
        <v>1596062</v>
      </c>
      <c r="H2429" s="30" t="str">
        <f ca="1">IFERROR(__xludf.DUMMYFUNCTION("LOWER(REGEXREPLACE(B2429&amp;"" ""&amp;C2429,""[^а-яa-z0-9 ]"","" ""))"),"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ополнитель"&amp;"но приобретаемая комплектация               ")</f>
        <v xml:space="preserve">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30" spans="1:8" ht="25.5" x14ac:dyDescent="0.2">
      <c r="A2430" s="31" t="s">
        <v>5584</v>
      </c>
      <c r="B2430" s="27" t="s">
        <v>5585</v>
      </c>
      <c r="C2430" s="27" t="s">
        <v>5586</v>
      </c>
      <c r="D2430" s="33" t="s">
        <v>14</v>
      </c>
      <c r="E2430" s="9"/>
      <c r="F2430" s="35">
        <v>18.600000000000001</v>
      </c>
      <c r="G2430" s="10">
        <v>1702749</v>
      </c>
      <c r="H2430" s="30" t="str">
        <f ca="1">IFERROR(__xludf.DUMMYFUNCTION("LOWER(REGEXREPLACE(B2430&amp;"" ""&amp;C2430,""[^а-яa-z0-9 ]"","" ""))")," исплей профессиональный 55  5    55  диагонали  типа     ульт дистанционного управления  инструкция  кабель питания  кабель    232   кабель  isplay ort     приемник")</f>
        <v xml:space="preserve"> исплей профессиональный 55  5    55  диагонали  типа     ульт дистанционного управления  инструкция  кабель питания  кабель    232   кабель  isplay ort     приемник</v>
      </c>
    </row>
    <row r="2431" spans="1:8" ht="51" x14ac:dyDescent="0.2">
      <c r="A2431" s="31" t="s">
        <v>5587</v>
      </c>
      <c r="B2431" s="27" t="s">
        <v>5588</v>
      </c>
      <c r="C2431" s="27" t="s">
        <v>5579</v>
      </c>
      <c r="D2431" s="33" t="s">
        <v>14</v>
      </c>
      <c r="E2431" s="9"/>
      <c r="F2431" s="35">
        <v>18.8</v>
      </c>
      <c r="G2431" s="10">
        <v>1702750</v>
      </c>
      <c r="H2431" s="30" t="str">
        <f ca="1">IFERROR(__xludf.DUMMYFUNCTION("LOWER(REGEXREPLACE(B2431&amp;"" ""&amp;C2431,""[^а-яa-z0-9 ]"","" ""))"),"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ополнитель"&amp;"но приобретаемая комплектация               ")</f>
        <v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v>
      </c>
    </row>
    <row r="2432" spans="1:8" ht="51" x14ac:dyDescent="0.2">
      <c r="A2432" s="31" t="s">
        <v>5589</v>
      </c>
      <c r="B2432" s="27" t="s">
        <v>5590</v>
      </c>
      <c r="C2432" s="27" t="s">
        <v>5591</v>
      </c>
      <c r="D2432" s="33" t="s">
        <v>14</v>
      </c>
      <c r="E2432" s="9"/>
      <c r="F2432" s="35">
        <v>20.3</v>
      </c>
      <c r="G2432" s="10">
        <v>1594990</v>
      </c>
      <c r="H2432" s="30" t="str">
        <f ca="1">IFERROR(__xludf.DUMMYFUNCTION("LOWER(REGEXREPLACE(B2432&amp;"" ""&amp;C2432,""[^а-яa-z0-9 ]"","" ""))")," исплей профессиональный 55  7  55  диагонали  типа     азовая комплектация  пульт дистанционного управления  шнур питания  кабель    232   кабель        приемник  направляющий кронштейн  винты  инструкция   ополнительно приобретаемая комплектация   альбо"&amp;"мная ориентация      640   портретная ориентация      640  ")</f>
        <v xml:space="preserve"> исплей профессиональный 55  7  55  диагонали  типа     азовая комплектация  пульт дистанционного управления  шнур питания  кабель    232   кабель        приемник  направляющий кронштейн  винты  инструкция   ополнительно приобретаемая комплектация   альбомная ориентация      640   портретная ориентация      640  </v>
      </c>
    </row>
    <row r="2433" spans="1:8" ht="38.25" x14ac:dyDescent="0.2">
      <c r="A2433" s="31" t="s">
        <v>5592</v>
      </c>
      <c r="B2433" s="27" t="s">
        <v>5593</v>
      </c>
      <c r="C2433" s="27" t="s">
        <v>5594</v>
      </c>
      <c r="D2433" s="33" t="s">
        <v>14</v>
      </c>
      <c r="E2433" s="9"/>
      <c r="F2433" s="35">
        <v>23.5</v>
      </c>
      <c r="G2433" s="10">
        <v>1314811</v>
      </c>
      <c r="H2433" s="30" t="str">
        <f ca="1">IFERROR(__xludf.DUMMYFUNCTION("LOWER(REGEXREPLACE(B2433&amp;"" ""&amp;C2433,""[^а-яa-z0-9 ]"","" ""))"),"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f>
        <v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v>
      </c>
    </row>
    <row r="2434" spans="1:8" ht="38.25" x14ac:dyDescent="0.2">
      <c r="A2434" s="31" t="s">
        <v>5595</v>
      </c>
      <c r="B2434" s="27" t="s">
        <v>5596</v>
      </c>
      <c r="C2434" s="27" t="s">
        <v>5597</v>
      </c>
      <c r="D2434" s="33" t="s">
        <v>14</v>
      </c>
      <c r="E2434" s="9"/>
      <c r="F2434" s="35">
        <v>16.899999999999999</v>
      </c>
      <c r="G2434" s="10">
        <v>1007659</v>
      </c>
      <c r="H2434" s="30" t="str">
        <f ca="1">IFERROR(__xludf.DUMMYFUNCTION("LOWER(REGEXREPLACE(B2434&amp;"" ""&amp;C2434,""[^а-яa-z0-9 ]"","" ""))")," исплей профессиональный 49  5    49  диагонали  типа     азовая комплектация  пульт     2 батарейки       кабель питания заземленный  евровилка      232  кабель     кабель     приемник  шаблон монтажа на стену  винты  руководство пользователя")</f>
        <v xml:space="preserve"> исплей профессиональный 49  5    49  диагонали  типа     азовая комплектация  пульт     2 батарейки       кабель питания заземленный  евровилка      232  кабель     кабель     приемник  шаблон монтажа на стену  винты  руководство пользователя</v>
      </c>
    </row>
    <row r="2435" spans="1:8" ht="102" x14ac:dyDescent="0.2">
      <c r="A2435" s="31" t="s">
        <v>5598</v>
      </c>
      <c r="B2435" s="27" t="s">
        <v>5599</v>
      </c>
      <c r="C2435" s="27"/>
      <c r="D2435" s="33" t="s">
        <v>14</v>
      </c>
      <c r="E2435" s="34">
        <v>2</v>
      </c>
      <c r="F2435" s="35">
        <v>104.5</v>
      </c>
      <c r="G2435" s="10">
        <v>9407403</v>
      </c>
      <c r="H2435" s="30" t="str">
        <f ca="1">IFERROR(__xludf.DUMMYFUNCTION("LOWER(REGEXREPLACE(B2435&amp;"" ""&amp;C2435,""[^а-яa-z0-9 ]"","" ""))")," исплей  диагональ  98 дюймов  технология       соотношение сторон  16 9  разрешение  4       3840 x 2160   яркость  500 нитов  антибликовое покрытие  28   режим работы  24 7  количество портов       3  поддержка           да  порты        dp  dvi d  usb "&amp;"2 0  rs232c  rj45  audio  ir  платформа  web    совместимость   restron  класс защиты    5x ")</f>
        <v xml:space="preserve"> исплей  диагональ  98 дюймов  технология       соотношение сторон  16 9  разрешение  4       3840 x 2160   яркость  500 нитов  антибликовое покрытие  28   режим работы  24 7  количество портов       3  поддержка           да  порты        dp  dvi d  usb 2 0  rs232c  rj45  audio  ir  платформа  web    совместимость   restron  класс защиты    5x </v>
      </c>
    </row>
    <row r="2436" spans="1:8" ht="89.25" x14ac:dyDescent="0.2">
      <c r="A2436" s="31" t="s">
        <v>5600</v>
      </c>
      <c r="B2436" s="27" t="s">
        <v>5601</v>
      </c>
      <c r="C2436" s="27"/>
      <c r="D2436" s="33" t="s">
        <v>14</v>
      </c>
      <c r="E2436" s="34">
        <v>2</v>
      </c>
      <c r="F2436" s="35">
        <v>66.7</v>
      </c>
      <c r="G2436" s="10">
        <v>2832832</v>
      </c>
      <c r="H2436" s="30" t="str">
        <f ca="1">IFERROR(__xludf.DUMMYFUNCTION("LOWER(REGEXREPLACE(B2436&amp;"" ""&amp;C2436,""[^а-яa-z0-9 ]"","" ""))"),"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37" spans="1:8" ht="89.25" x14ac:dyDescent="0.2">
      <c r="A2437" s="31" t="s">
        <v>5602</v>
      </c>
      <c r="B2437" s="27" t="s">
        <v>5601</v>
      </c>
      <c r="C2437" s="27"/>
      <c r="D2437" s="33" t="s">
        <v>14</v>
      </c>
      <c r="E2437" s="34">
        <v>2</v>
      </c>
      <c r="F2437" s="34">
        <v>44</v>
      </c>
      <c r="G2437" s="10">
        <v>1868464</v>
      </c>
      <c r="H2437" s="30" t="str">
        <f ca="1">IFERROR(__xludf.DUMMYFUNCTION("LOWER(REGEXREPLACE(B2437&amp;"" ""&amp;C2437,""[^а-яa-z0-9 ]"","" ""))"),"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38" spans="1:8" ht="89.25" x14ac:dyDescent="0.2">
      <c r="A2438" s="31" t="s">
        <v>5603</v>
      </c>
      <c r="B2438" s="27" t="s">
        <v>5604</v>
      </c>
      <c r="C2438" s="27"/>
      <c r="D2438" s="33" t="s">
        <v>14</v>
      </c>
      <c r="E2438" s="34">
        <v>2</v>
      </c>
      <c r="F2438" s="34">
        <v>27</v>
      </c>
      <c r="G2438" s="10">
        <v>904119</v>
      </c>
      <c r="H2438" s="30" t="str">
        <f ca="1">IFERROR(__xludf.DUMMYFUNCTION("LOWER(REGEXREPLACE(B2438&amp;"" ""&amp;C2438,""[^а-яa-z0-9 ]"","" ""))")," исплей  диагональ  65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65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39" spans="1:8" ht="89.25" x14ac:dyDescent="0.2">
      <c r="A2439" s="31" t="s">
        <v>5605</v>
      </c>
      <c r="B2439" s="27" t="s">
        <v>5606</v>
      </c>
      <c r="C2439" s="27"/>
      <c r="D2439" s="33" t="s">
        <v>14</v>
      </c>
      <c r="E2439" s="34">
        <v>2</v>
      </c>
      <c r="F2439" s="35">
        <v>18.100000000000001</v>
      </c>
      <c r="G2439" s="10">
        <v>675068</v>
      </c>
      <c r="H2439" s="30" t="str">
        <f ca="1">IFERROR(__xludf.DUMMYFUNCTION("LOWER(REGEXREPLACE(B2439&amp;"" ""&amp;C2439,""[^а-яa-z0-9 ]"","" ""))")," исплей  диагональ  55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55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40" spans="1:8" ht="89.25" x14ac:dyDescent="0.2">
      <c r="A2440" s="31" t="s">
        <v>5607</v>
      </c>
      <c r="B2440" s="27" t="s">
        <v>5608</v>
      </c>
      <c r="C2440" s="27"/>
      <c r="D2440" s="33" t="s">
        <v>14</v>
      </c>
      <c r="E2440" s="34">
        <v>2</v>
      </c>
      <c r="F2440" s="35">
        <v>14.2</v>
      </c>
      <c r="G2440" s="10">
        <v>542464</v>
      </c>
      <c r="H2440" s="30" t="str">
        <f ca="1">IFERROR(__xludf.DUMMYFUNCTION("LOWER(REGEXREPLACE(B2440&amp;"" ""&amp;C2440,""[^а-яa-z0-9 ]"","" ""))")," исплей  диагональ  49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платф"&amp;"орма  web    совместимость   restron  класс защиты    5x ")</f>
        <v xml:space="preserve"> исплей  диагональ  49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41" spans="1:8" ht="89.25" x14ac:dyDescent="0.2">
      <c r="A2441" s="31" t="s">
        <v>5609</v>
      </c>
      <c r="B2441" s="27" t="s">
        <v>5610</v>
      </c>
      <c r="C2441" s="27"/>
      <c r="D2441" s="33" t="s">
        <v>14</v>
      </c>
      <c r="E2441" s="34">
        <v>2</v>
      </c>
      <c r="F2441" s="35">
        <v>11.3</v>
      </c>
      <c r="G2441" s="10">
        <v>494238</v>
      </c>
      <c r="H2441" s="30" t="str">
        <f ca="1">IFERROR(__xludf.DUMMYFUNCTION("LOWER(REGEXREPLACE(B2441&amp;"" ""&amp;C2441,""[^а-яa-z0-9 ]"","" ""))")," исплей  диагональ  43 дюйма  технология       соотношение сторон  16 9  разрешение  4       3840 x 2160   яркость  500 нитов  режим работы  24 7  количество портов       3  поддержка           да  порты        dp  usb 2 0  rs232c  rj45  audio  ir  платфо"&amp;"рма  web    совместимость   restron  класс защиты    5x ")</f>
        <v xml:space="preserve"> исплей  диагональ  43 дюйма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v>
      </c>
    </row>
    <row r="2442" spans="1:8" ht="153" x14ac:dyDescent="0.2">
      <c r="A2442" s="31" t="s">
        <v>5611</v>
      </c>
      <c r="B2442" s="8" t="s">
        <v>5612</v>
      </c>
      <c r="C2442" s="27"/>
      <c r="D2442" s="33" t="s">
        <v>14</v>
      </c>
      <c r="E2442" s="34">
        <v>2</v>
      </c>
      <c r="F2442" s="34">
        <v>110</v>
      </c>
      <c r="G2442" s="10">
        <v>10713555</v>
      </c>
      <c r="H2442" s="30" t="str">
        <f ca="1">IFERROR(__xludf.DUMMYFUNCTION("LOWER(REGEXREPLACE(B2442&amp;"" ""&amp;C2442,""[^а-яa-z0-9 ]"","" ""))")," исплей  тип  профессиональный дисплей  диагональ  110 дюймов  технология             соотношение сторон  16 9  разрешение  4   3840 x 2160   яркость  500 нитов  антибликовое покрытие  1   количество портов       3  поддержка           да  порты        us"&amp;"b 2 0 type a  rj45  audio  платформа  web    совместимость   restron  безопасность  enhanced kernel protection                15408 common criteria    2  защита от окружающей среды  устойчива к соли  пыли  железной пыли и влажности ")</f>
        <v xml:space="preserve"> исплей  тип  профессиональный дисплей  диагональ  110 дюймов  технология             соотношение сторон  16 9  разрешение  4   3840 x 2160   яркость  500 нитов  антибликовое покрытие  1   количество портов       3  поддержка           да  порты        usb 2 0 type a  rj45  audio  платформа  web    совместимость   restron  безопасность  enhanced kernel protection                15408 common criteria    2  защита от окружающей среды  устойчива к соли  пыли  железной пыли и влажности </v>
      </c>
    </row>
    <row r="2443" spans="1:8" ht="89.25" x14ac:dyDescent="0.2">
      <c r="A2443" s="31" t="s">
        <v>5613</v>
      </c>
      <c r="B2443" s="27" t="s">
        <v>5614</v>
      </c>
      <c r="C2443" s="27"/>
      <c r="D2443" s="33" t="s">
        <v>14</v>
      </c>
      <c r="E2443" s="34">
        <v>2</v>
      </c>
      <c r="F2443" s="35">
        <v>6.5</v>
      </c>
      <c r="G2443" s="10">
        <v>373683</v>
      </c>
      <c r="H2443" s="30" t="str">
        <f ca="1">IFERROR(__xludf.DUMMYFUNCTION("LOWER(REGEXREPLACE(B2443&amp;"" ""&amp;C2443,""[^а-яa-z0-9 ]"","" ""))")," исплей  тип  профессиональная     панель  диагональ  32 дюйма  технология       соотношение сторон  16 9  разрешение   ull     1920 x 1080   яркость  400 нитов  антибликовое покрытие  1   количество портов       3  поддержка           да  порты        us"&amp;"b 2 0  rs232c  rj45  audio  платформа  web   ")</f>
        <v xml:space="preserve"> исплей  тип  профессиональная     панель  диагональ  32 дюйма  технология       соотношение сторон  16 9  разрешение   ull     1920 x 1080   яркость  400 нитов  антибликовое покрытие  1   количество портов       3  поддержка           да  порты        usb 2 0  rs232c  rj45  audio  платформа  web   </v>
      </c>
    </row>
    <row r="2444" spans="1:8" ht="12.75" x14ac:dyDescent="0.2">
      <c r="A2444" s="31" t="s">
        <v>5615</v>
      </c>
      <c r="B2444" s="27" t="s">
        <v>5616</v>
      </c>
      <c r="C2444" s="27"/>
      <c r="D2444" s="32"/>
      <c r="E2444" s="9"/>
      <c r="F2444" s="32"/>
      <c r="G2444" s="10"/>
      <c r="H2444" s="30" t="str">
        <f ca="1">IFERROR(__xludf.DUMMYFUNCTION("LOWER(REGEXREPLACE(B2444&amp;"" ""&amp;C2444,""[^а-яa-z0-9 ]"","" ""))")," омплектующие интерактивной системы ")</f>
        <v xml:space="preserve"> омплектующие интерактивной системы </v>
      </c>
    </row>
    <row r="2445" spans="1:8" ht="38.25" x14ac:dyDescent="0.2">
      <c r="A2445" s="31" t="s">
        <v>5617</v>
      </c>
      <c r="B2445" s="27" t="s">
        <v>5618</v>
      </c>
      <c r="C2445" s="27"/>
      <c r="D2445" s="33" t="s">
        <v>14</v>
      </c>
      <c r="E2445" s="9"/>
      <c r="F2445" s="35">
        <v>11.3</v>
      </c>
      <c r="G2445" s="10">
        <v>200389</v>
      </c>
      <c r="H2445" s="30" t="str">
        <f ca="1">IFERROR(__xludf.DUMMYFUNCTION("LOWER(REGEXREPLACE(B2445&amp;"" ""&amp;C2445,""[^а-яa-z0-9 ]"","" ""))"),"    55   настенное крепление с возможностью фронтального доступа для видеостенных дисплеев ")</f>
        <v xml:space="preserve">    55   настенное крепление с возможностью фронтального доступа для видеостенных дисплеев </v>
      </c>
    </row>
    <row r="2446" spans="1:8" ht="63.75" x14ac:dyDescent="0.2">
      <c r="A2446" s="31" t="s">
        <v>5619</v>
      </c>
      <c r="B2446" s="8" t="s">
        <v>5620</v>
      </c>
      <c r="C2446" s="27"/>
      <c r="D2446" s="33" t="s">
        <v>14</v>
      </c>
      <c r="E2446" s="9"/>
      <c r="F2446" s="35">
        <v>1.3</v>
      </c>
      <c r="G2446" s="10">
        <v>530579</v>
      </c>
      <c r="H2446" s="30" t="str">
        <f ca="1">IFERROR(__xludf.DUMMYFUNCTION("LOWER(REGEXREPLACE(B2446&amp;"" ""&amp;C2446,""[^а-яa-z0-9 ]"","" ""))")," омпьютер встраиваемый для интерактивной панели      ore i7 7700   ntel  ore   7 7700 3 6  4 2  4 ядра 8 потоков        4 8          128   indows 10 ")</f>
        <v xml:space="preserve"> омпьютер встраиваемый для интерактивной панели      ore i7 7700   ntel  ore   7 7700 3 6  4 2  4 ядра 8 потоков        4 8          128   indows 10 </v>
      </c>
    </row>
    <row r="2447" spans="1:8" ht="63.75" x14ac:dyDescent="0.2">
      <c r="A2447" s="31" t="s">
        <v>5621</v>
      </c>
      <c r="B2447" s="27" t="s">
        <v>5622</v>
      </c>
      <c r="C2447" s="27"/>
      <c r="D2447" s="33" t="s">
        <v>14</v>
      </c>
      <c r="E2447" s="9"/>
      <c r="F2447" s="35">
        <v>1.3</v>
      </c>
      <c r="G2447" s="10">
        <v>377700</v>
      </c>
      <c r="H2447" s="30" t="str">
        <f ca="1">IFERROR(__xludf.DUMMYFUNCTION("LOWER(REGEXREPLACE(B2447&amp;"" ""&amp;C2447,""[^а-яa-z0-9 ]"","" ""))")," омпьютер встраиваемый для интерактивной панели      ore i5 1035    ntel  ore  i5 1035 1 1 00 3 60   z 4 ядра 8 потоков  ntel     raphics 630        4 8          256   indows 10 ")</f>
        <v xml:space="preserve"> омпьютер встраиваемый для интерактивной панели      ore i5 1035    ntel  ore  i5 1035 1 1 00 3 60   z 4 ядра 8 потоков  ntel     raphics 630        4 8          256   indows 10 </v>
      </c>
    </row>
    <row r="2448" spans="1:8" ht="38.25" x14ac:dyDescent="0.2">
      <c r="A2448" s="31" t="s">
        <v>5623</v>
      </c>
      <c r="B2448" s="27" t="s">
        <v>5624</v>
      </c>
      <c r="C2448" s="27"/>
      <c r="D2448" s="33" t="s">
        <v>14</v>
      </c>
      <c r="E2448" s="9"/>
      <c r="F2448" s="34">
        <v>4</v>
      </c>
      <c r="G2448" s="10">
        <v>584549</v>
      </c>
      <c r="H2448" s="30" t="str">
        <f ca="1">IFERROR(__xludf.DUMMYFUNCTION("LOWER(REGEXREPLACE(B2448&amp;"" ""&amp;C2448,""[^а-яa-z0-9 ]"","" ""))")," омпьютер встраиваемый для интерактивной панели  actus t panel 75    4 ядра  8 потоков 2 40   ц    128 b 8 b    4     indows ")</f>
        <v xml:space="preserve"> омпьютер встраиваемый для интерактивной панели  actus t panel 75    4 ядра  8 потоков 2 40   ц    128 b 8 b    4     indows </v>
      </c>
    </row>
    <row r="2449" spans="1:8" ht="25.5" x14ac:dyDescent="0.2">
      <c r="A2449" s="31" t="s">
        <v>5625</v>
      </c>
      <c r="B2449" s="27" t="s">
        <v>5626</v>
      </c>
      <c r="C2449" s="27"/>
      <c r="D2449" s="33" t="s">
        <v>14</v>
      </c>
      <c r="E2449" s="9"/>
      <c r="F2449" s="34">
        <v>60</v>
      </c>
      <c r="G2449" s="10">
        <v>171062</v>
      </c>
      <c r="H2449" s="30" t="str">
        <f ca="1">IFERROR(__xludf.DUMMYFUNCTION("LOWER(REGEXREPLACE(B2449&amp;"" ""&amp;C2449,""[^а-яa-z0-9 ]"","" ""))")," обильная стойка для интерактивных панелей диагональю 75 дюймов       800x400 ")</f>
        <v xml:space="preserve"> обильная стойка для интерактивных панелей диагональю 75 дюймов       800x400 </v>
      </c>
    </row>
    <row r="2450" spans="1:8" ht="25.5" x14ac:dyDescent="0.2">
      <c r="A2450" s="31" t="s">
        <v>5627</v>
      </c>
      <c r="B2450" s="8" t="s">
        <v>5628</v>
      </c>
      <c r="C2450" s="27"/>
      <c r="D2450" s="33" t="s">
        <v>14</v>
      </c>
      <c r="E2450" s="34">
        <v>1</v>
      </c>
      <c r="F2450" s="35">
        <v>23.7</v>
      </c>
      <c r="G2450" s="10">
        <v>111961</v>
      </c>
      <c r="H2450" s="30" t="str">
        <f ca="1">IFERROR(__xludf.DUMMYFUNCTION("LOWER(REGEXREPLACE(B2450&amp;"" ""&amp;C2450,""[^а-яa-z0-9 ]"","" ""))")," обильная стойка для интерактивных панелей диагональю 65 86 дюймов ")</f>
        <v xml:space="preserve"> обильная стойка для интерактивных панелей диагональю 65 86 дюймов </v>
      </c>
    </row>
    <row r="2451" spans="1:8" ht="102" x14ac:dyDescent="0.2">
      <c r="A2451" s="31" t="s">
        <v>5629</v>
      </c>
      <c r="B2451" s="8" t="s">
        <v>5630</v>
      </c>
      <c r="C2451" s="27" t="s">
        <v>5631</v>
      </c>
      <c r="D2451" s="33" t="s">
        <v>14</v>
      </c>
      <c r="E2451" s="9"/>
      <c r="F2451" s="34">
        <v>20</v>
      </c>
      <c r="G2451" s="10">
        <v>107980</v>
      </c>
      <c r="H2451" s="30" t="str">
        <f ca="1">IFERROR(__xludf.DUMMYFUNCTION("LOWER(REGEXREPLACE(B2451&amp;"" ""&amp;C2451,""[^а-яa-z0-9 ]"","" ""))")," обильная стойка для интерактивных панелей диагональю 65 98 дюймов  обильная стойка для интерактивных панелей  цвет черный  максимальная нагрузка не менее 120кг  крепление мобильное  материал сталь  стандарт vesa 600 400 мм  минимальная диагональ не менее"&amp;" 65 дюйм  максимальная диагональ не более 98 дюйм  вес стойки не более 37 кг  габариты  не менее 1500 х 707 х 90 мм  не более 2100 х 1100 х 150 мм  4 ман вренных и над жных колесика позволяют передвигать стойку в любое удобное для вас место в помещении  и"&amp;"нтегрированные фиксаторы положения в каждом из них  смогут над жно е  зафиксировать и избежать случайного перемещения ")</f>
        <v xml:space="preserve"> обильная стойка для интерактивных панелей диагональю 65 98 дюймов  обильная стойка для интерактивных панелей  цвет черный  максимальная нагрузка не менее 120кг  крепление мобильное  материал сталь  стандарт vesa 600 400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 вренных и над жных колесика позволяют передвигать стойку в любое удобное для вас место в помещении  интегрированные фиксаторы положения в каждом из них  смогут над жно е  зафиксировать и избежать случайного перемещения </v>
      </c>
    </row>
    <row r="2452" spans="1:8" ht="63.75" x14ac:dyDescent="0.2">
      <c r="A2452" s="31" t="s">
        <v>5632</v>
      </c>
      <c r="B2452" s="27" t="s">
        <v>5633</v>
      </c>
      <c r="C2452" s="27" t="s">
        <v>5634</v>
      </c>
      <c r="D2452" s="33" t="s">
        <v>14</v>
      </c>
      <c r="E2452" s="34">
        <v>2</v>
      </c>
      <c r="F2452" s="35">
        <v>31.1</v>
      </c>
      <c r="G2452" s="10">
        <v>65943</v>
      </c>
      <c r="H2452" s="30" t="str">
        <f ca="1">IFERROR(__xludf.DUMMYFUNCTION("LOWER(REGEXREPLACE(B2452&amp;"" ""&amp;C2452,""[^а-яa-z0-9 ]"","" ""))")," тойка мобильная типа  3     1881  для панели интерактивной на колесиках  дюйм от 65 до 75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упак"&amp;"овке   аводская упаковка от производителя   паковка имеет логотип производителя с заводским нанесением  4 колесика  2 подставки  крепление для камеры и болты ")</f>
        <v xml:space="preserve"> тойка мобильная типа  3     1881  для панели интерактивной на колесиках  дюйм от 65 до 75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упаковке   аводская упаковка от производителя   паковка имеет логотип производителя с заводским нанесением  4 колесика  2 подставки  крепление для камеры и болты </v>
      </c>
    </row>
    <row r="2453" spans="1:8" ht="63.75" x14ac:dyDescent="0.2">
      <c r="A2453" s="31" t="s">
        <v>5635</v>
      </c>
      <c r="B2453" s="27" t="s">
        <v>5636</v>
      </c>
      <c r="C2453" s="27" t="s">
        <v>5637</v>
      </c>
      <c r="D2453" s="33" t="s">
        <v>14</v>
      </c>
      <c r="E2453" s="34">
        <v>2</v>
      </c>
      <c r="F2453" s="35">
        <v>28.3</v>
      </c>
      <c r="G2453" s="10">
        <v>65932</v>
      </c>
      <c r="H2453" s="30" t="str">
        <f ca="1">IFERROR(__xludf.DUMMYFUNCTION("LOWER(REGEXREPLACE(B2453&amp;"" ""&amp;C2453,""[^а-яa-z0-9 ]"","" ""))")," тойка мобильная типа  3      01 86  для панели интерактивной на колесиках  дюйм от 65 до 86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уп"&amp;"аковке   аводская упаковка от производителя   паковка имеет логотип производителя с заводским нанесением  4 колесика  подставка  крепление для камеры и болты ")</f>
        <v xml:space="preserve"> тойка мобильная типа  3      01 86  для панели интерактивной на колесиках  дюйм от 65 до 86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упаковке   аводская упаковка от производителя   паковка имеет логотип производителя с заводским нанесением  4 колесика  подставка  крепление для камеры и болты </v>
      </c>
    </row>
    <row r="2454" spans="1:8" ht="76.5" x14ac:dyDescent="0.2">
      <c r="A2454" s="31" t="s">
        <v>5638</v>
      </c>
      <c r="B2454" s="27" t="s">
        <v>5639</v>
      </c>
      <c r="C2454" s="27" t="s">
        <v>5640</v>
      </c>
      <c r="D2454" s="33" t="s">
        <v>14</v>
      </c>
      <c r="E2454" s="34">
        <v>2</v>
      </c>
      <c r="F2454" s="35">
        <v>1.7</v>
      </c>
      <c r="G2454" s="10">
        <v>389712</v>
      </c>
      <c r="H2454" s="30" t="str">
        <f ca="1">IFERROR(__xludf.DUMMYFUNCTION("LOWER(REGEXREPLACE(B2454&amp;"" ""&amp;C2454,""[^а-яa-z0-9 ]"","" ""))")," омпьютер интегрированный для интерактивной панели       типа  3   бщее количество ядер  10   оличество потоков  16   актовая частота    ц  2 5       аксимальная тактовая частота    ц  4 6       бъем кэша  3  20  б   перативная память  8     актовая часто"&amp;"та  3200   ц   вердотельный диск        вердотельный диск  память  512      нутренний разъем 1 х  2   нтерфейсы подключения 1 x     2 0  ype    5 x     3 0  ype    1x      1x    1 x    45  1x      ype    1 x            1 x          нтенны  2 шт ")</f>
        <v xml:space="preserve"> омпьютер интегрированный для интерактивной панели       типа  3   бщее количество ядер  10   оличество потоков  16   актовая частота    ц  2 5       аксимальная тактовая частота    ц  4 6       бъем кэша  3  20  б   перативная память  8     актовая частота  3200   ц   вердотельный диск        вердотельный диск  память  512      нутренний разъем 1 х  2   нтерфейсы подключения 1 x     2 0  ype    5 x     3 0  ype    1x      1x    1 x    45  1x      ype    1 x            1 x          нтенны  2 шт </v>
      </c>
    </row>
    <row r="2455" spans="1:8" ht="12.75" x14ac:dyDescent="0.2">
      <c r="A2455" s="31" t="s">
        <v>5641</v>
      </c>
      <c r="B2455" s="27" t="s">
        <v>5642</v>
      </c>
      <c r="C2455" s="27"/>
      <c r="D2455" s="33" t="s">
        <v>14</v>
      </c>
      <c r="E2455" s="9"/>
      <c r="F2455" s="32"/>
      <c r="G2455" s="10"/>
      <c r="H2455" s="30" t="str">
        <f ca="1">IFERROR(__xludf.DUMMYFUNCTION("LOWER(REGEXREPLACE(B2455&amp;"" ""&amp;C2455,""[^а-яa-z0-9 ]"","" ""))"),"    экран ")</f>
        <v xml:space="preserve">    экран </v>
      </c>
    </row>
    <row r="2456" spans="1:8" ht="38.25" x14ac:dyDescent="0.2">
      <c r="A2456" s="31" t="s">
        <v>5643</v>
      </c>
      <c r="B2456" s="27" t="s">
        <v>5644</v>
      </c>
      <c r="C2456" s="27" t="s">
        <v>5645</v>
      </c>
      <c r="D2456" s="33" t="s">
        <v>14</v>
      </c>
      <c r="E2456" s="34">
        <v>2</v>
      </c>
      <c r="F2456" s="34">
        <v>100</v>
      </c>
      <c r="G2456" s="10">
        <v>8993246</v>
      </c>
      <c r="H2456" s="30" t="str">
        <f ca="1">IFERROR(__xludf.DUMMYFUNCTION("LOWER(REGEXREPLACE(B2456&amp;"" ""&amp;C2456,""[^а-яa-z0-9 ]"","" ""))"),"    экран модульный светодиодный типа i    шаг пикселя 2 5 мм  размерами 3500 мм х 2000 мм  омплектность  консоль управления видео  ova tar  1   джойстик     ar  металлокаркас из квадратной стальной трубы размером 50 мм х 50 мм")</f>
        <v xml:space="preserve">    экран модульный светодиодный типа i    шаг пикселя 2 5 мм  размерами 3500 мм х 2000 мм  омплектность  консоль управления видео  ova tar  1   джойстик     ar  металлокаркас из квадратной стальной трубы размером 50 мм х 50 мм</v>
      </c>
    </row>
    <row r="2457" spans="1:8" ht="12.75" x14ac:dyDescent="0.2">
      <c r="A2457" s="31" t="s">
        <v>5646</v>
      </c>
      <c r="B2457" s="27" t="s">
        <v>5647</v>
      </c>
      <c r="C2457" s="27"/>
      <c r="D2457" s="33" t="s">
        <v>14</v>
      </c>
      <c r="E2457" s="9"/>
      <c r="F2457" s="32"/>
      <c r="G2457" s="10"/>
      <c r="H2457" s="30" t="str">
        <f ca="1">IFERROR(__xludf.DUMMYFUNCTION("LOWER(REGEXREPLACE(B2457&amp;"" ""&amp;C2457,""[^а-яa-z0-9 ]"","" ""))")," рибуна интерактивная ")</f>
        <v xml:space="preserve"> рибуна интерактивная </v>
      </c>
    </row>
    <row r="2458" spans="1:8" ht="114.75" x14ac:dyDescent="0.2">
      <c r="A2458" s="31" t="s">
        <v>5648</v>
      </c>
      <c r="B2458" s="8" t="s">
        <v>5649</v>
      </c>
      <c r="C2458" s="27" t="s">
        <v>5650</v>
      </c>
      <c r="D2458" s="33" t="s">
        <v>14</v>
      </c>
      <c r="E2458" s="34">
        <v>2</v>
      </c>
      <c r="F2458" s="34">
        <v>100</v>
      </c>
      <c r="G2458" s="10">
        <v>2248603</v>
      </c>
      <c r="H2458" s="30" t="str">
        <f ca="1">IFERROR(__xludf.DUMMYFUNCTION("LOWER(REGEXREPLACE(B2458&amp;"" ""&amp;C2458,""[^а-яa-z0-9 ]"","" ""))")," рибуна интерактивная сенсорная типа i    ribune 22   размерами 600 мм х 600 мм х 1100 мм  омплектность  встроенный компьютер       ntel  ore i5 10400 2 9  z  4 3  z  12 b 6 12  ore  omet  ake  ntel      630 65       1200  ray   1 шт   оперативная память "&amp;"16        2666  z    4   4 21300 19 19 19 43   416  2666 19   ulk  ack   1 шт   твердотельный накопитель 512              25 3 512           3  eries2 5           520   s  470   s      in 11      1 шт   монитор 21 5 дюйма   1 шт   сенсорное стекло 10 каса"&amp;"ний  1920 1080  75 ц  встроенный микшер   усилитель         310  и акустическая система 4 канальная  петличный микрофон   2 шт   микрофон   усиная  ея  настольный   1 шт   фасадное закаленное стекло толщиной 6 мм закрепленное на металлокаркасе ")</f>
        <v xml:space="preserve"> рибуна интерактивная сенсорная типа i    ribune 22   размерами 600 мм х 600 мм х 1100 мм  омплектность  встроенный компьютер       ntel  ore i5 10400 2 9  z  4 3  z  12 b 6 12  ore  omet  ake  ntel      630 65       1200  ray   1 шт   оперативная память 16        2666  z    4   4 21300 19 19 19 43   416  2666 19   ulk  ack   1 шт   твердотельный накопитель 512              25 3 512           3  eries2 5           520   s  470   s      in 11      1 шт   монитор 21 5 дюйма   1 шт   сенсорное стекло 10 касаний  1920 1080  75 ц  встроенный микшер   усилитель         310  и акустическая система 4 канальная  петличный микрофон   2 шт   микрофон   усиная  ея  настольный   1 шт   фасадное закаленное стекло толщиной 6 мм закрепленное на металлокаркасе </v>
      </c>
    </row>
    <row r="2459" spans="1:8" ht="12.75" x14ac:dyDescent="0.2">
      <c r="A2459" s="31" t="s">
        <v>5651</v>
      </c>
      <c r="B2459" s="27" t="s">
        <v>5652</v>
      </c>
      <c r="C2459" s="27"/>
      <c r="D2459" s="33" t="s">
        <v>14</v>
      </c>
      <c r="E2459" s="9"/>
      <c r="F2459" s="32"/>
      <c r="G2459" s="10"/>
      <c r="H2459" s="30" t="str">
        <f ca="1">IFERROR(__xludf.DUMMYFUNCTION("LOWER(REGEXREPLACE(B2459&amp;"" ""&amp;C2459,""[^а-яa-z0-9 ]"","" ""))")," иоск интерактивный ")</f>
        <v xml:space="preserve"> иоск интерактивный </v>
      </c>
    </row>
    <row r="2460" spans="1:8" ht="76.5" x14ac:dyDescent="0.2">
      <c r="A2460" s="31" t="s">
        <v>5653</v>
      </c>
      <c r="B2460" s="8" t="s">
        <v>5654</v>
      </c>
      <c r="C2460" s="27"/>
      <c r="D2460" s="33" t="s">
        <v>14</v>
      </c>
      <c r="E2460" s="34">
        <v>2</v>
      </c>
      <c r="F2460" s="34">
        <v>100</v>
      </c>
      <c r="G2460" s="10">
        <v>1349317</v>
      </c>
      <c r="H2460" s="30" t="str">
        <f ca="1">IFERROR(__xludf.DUMMYFUNCTION("LOWER(REGEXREPLACE(B2460&amp;"" ""&amp;C2460,""[^а-яa-z0-9 ]"","" ""))")," иоск интерактивный сенсорный типа i     49   встроенный компьютер      ntel  ore i5 10400 2 9  z  4 3  z  12 b 6 12  ore  omet  ake  ntel      630 65       1200  ray   1 шт   оперативная память 16    вертикальный размерами 900 мм х 15 мм х 1800 мм ")</f>
        <v xml:space="preserve"> иоск интерактивный сенсорный типа i     49   встроенный компьютер      ntel  ore i5 10400 2 9  z  4 3  z  12 b 6 12  ore  omet  ake  ntel      630 65       1200  ray   1 шт   оперативная память 16    вертикальный размерами 900 мм х 15 мм х 1800 мм </v>
      </c>
    </row>
    <row r="2461" spans="1:8" ht="89.25" x14ac:dyDescent="0.2">
      <c r="A2461" s="31" t="s">
        <v>5655</v>
      </c>
      <c r="B2461" s="8" t="s">
        <v>5656</v>
      </c>
      <c r="C2461" s="27"/>
      <c r="D2461" s="33" t="s">
        <v>14</v>
      </c>
      <c r="E2461" s="34">
        <v>2</v>
      </c>
      <c r="F2461" s="34">
        <v>100</v>
      </c>
      <c r="G2461" s="10">
        <v>1349317</v>
      </c>
      <c r="H2461" s="30" t="str">
        <f ca="1">IFERROR(__xludf.DUMMYFUNCTION("LOWER(REGEXREPLACE(B2461&amp;"" ""&amp;C2461,""[^а-яa-z0-9 ]"","" ""))")," иоск интерактивный сенсорный типа i         49   встроенный компьютер      ntel  ore i5 10400 2 9  z  4 3  z  12 b 6 12  ore  omet  ake  ntel      630 65       1200  ray   1 шт   оперативная память 16    горизонтальный размерами 1200 мм х 15 мм х 1500 мм"&amp;" ")</f>
        <v xml:space="preserve"> иоск интерактивный сенсорный типа i         49   встроенный компьютер      ntel  ore i5 10400 2 9  z  4 3  z  12 b 6 12  ore  omet  ake  ntel      630 65       1200  ray   1 шт   оперативная память 16    горизонтальный размерами 1200 мм х 15 мм х 1500 мм </v>
      </c>
    </row>
    <row r="2462" spans="1:8" ht="25.5" x14ac:dyDescent="0.2">
      <c r="A2462" s="31" t="s">
        <v>5657</v>
      </c>
      <c r="B2462" s="8" t="s">
        <v>5658</v>
      </c>
      <c r="C2462" s="27"/>
      <c r="D2462" s="32"/>
      <c r="E2462" s="9"/>
      <c r="F2462" s="32"/>
      <c r="G2462" s="10"/>
      <c r="H2462" s="30" t="str">
        <f ca="1">IFERROR(__xludf.DUMMYFUNCTION("LOWER(REGEXREPLACE(B2462&amp;"" ""&amp;C2462,""[^а-яa-z0-9 ]"","" ""))")," чебно практическое и учебно лабораторное оборудование ")</f>
        <v xml:space="preserve"> чебно практическое и учебно лабораторное оборудование </v>
      </c>
    </row>
    <row r="2463" spans="1:8" ht="12.75" x14ac:dyDescent="0.2">
      <c r="A2463" s="31" t="s">
        <v>5659</v>
      </c>
      <c r="B2463" s="27" t="s">
        <v>5660</v>
      </c>
      <c r="C2463" s="27" t="s">
        <v>5660</v>
      </c>
      <c r="D2463" s="33" t="s">
        <v>14</v>
      </c>
      <c r="E2463" s="34">
        <v>2</v>
      </c>
      <c r="F2463" s="34">
        <v>3</v>
      </c>
      <c r="G2463" s="10">
        <v>6028</v>
      </c>
      <c r="H2463" s="30" t="str">
        <f ca="1">IFERROR(__xludf.DUMMYFUNCTION("LOWER(REGEXREPLACE(B2463&amp;"" ""&amp;C2463,""[^а-яa-z0-9 ]"","" ""))")," гнетушитель  гнетушитель")</f>
        <v xml:space="preserve"> гнетушитель  гнетушитель</v>
      </c>
    </row>
    <row r="2464" spans="1:8" ht="12.75" x14ac:dyDescent="0.2">
      <c r="A2464" s="31" t="s">
        <v>5661</v>
      </c>
      <c r="B2464" s="27" t="s">
        <v>761</v>
      </c>
      <c r="C2464" s="27"/>
      <c r="D2464" s="33" t="s">
        <v>14</v>
      </c>
      <c r="E2464" s="9"/>
      <c r="F2464" s="32"/>
      <c r="G2464" s="10"/>
      <c r="H2464" s="30" t="str">
        <f ca="1">IFERROR(__xludf.DUMMYFUNCTION("LOWER(REGEXREPLACE(B2464&amp;"" ""&amp;C2464,""[^а-яa-z0-9 ]"","" ""))")," ольберт ")</f>
        <v xml:space="preserve"> ольберт </v>
      </c>
    </row>
    <row r="2465" spans="1:8" ht="25.5" x14ac:dyDescent="0.2">
      <c r="A2465" s="31" t="s">
        <v>5662</v>
      </c>
      <c r="B2465" s="27" t="s">
        <v>5663</v>
      </c>
      <c r="C2465" s="27" t="s">
        <v>5663</v>
      </c>
      <c r="D2465" s="33" t="s">
        <v>14</v>
      </c>
      <c r="E2465" s="34">
        <v>2</v>
      </c>
      <c r="F2465" s="35">
        <v>1.5</v>
      </c>
      <c r="G2465" s="10">
        <v>20628</v>
      </c>
      <c r="H2465" s="30" t="str">
        <f ca="1">IFERROR(__xludf.DUMMYFUNCTION("LOWER(REGEXREPLACE(B2465&amp;"" ""&amp;C2465,""[^а-яa-z0-9 ]"","" ""))")," ольберт низкий складной  размеры не менее 600х1000мм  ольберт низкий складной  размеры не менее 600х1000мм")</f>
        <v xml:space="preserve"> ольберт низкий складной  размеры не менее 600х1000мм  ольберт низкий складной  размеры не менее 600х1000мм</v>
      </c>
    </row>
    <row r="2466" spans="1:8" ht="12.75" x14ac:dyDescent="0.2">
      <c r="A2466" s="31" t="s">
        <v>5664</v>
      </c>
      <c r="B2466" s="27" t="s">
        <v>5665</v>
      </c>
      <c r="C2466" s="27"/>
      <c r="D2466" s="32"/>
      <c r="E2466" s="9"/>
      <c r="F2466" s="32"/>
      <c r="G2466" s="10"/>
      <c r="H2466" s="30" t="str">
        <f ca="1">IFERROR(__xludf.DUMMYFUNCTION("LOWER(REGEXREPLACE(B2466&amp;"" ""&amp;C2466,""[^а-яa-z0-9 ]"","" ""))")," ифровые образовательные ресурсы ")</f>
        <v xml:space="preserve"> ифровые образовательные ресурсы </v>
      </c>
    </row>
    <row r="2467" spans="1:8" ht="12.75" x14ac:dyDescent="0.2">
      <c r="A2467" s="31" t="s">
        <v>5666</v>
      </c>
      <c r="B2467" s="27" t="s">
        <v>5667</v>
      </c>
      <c r="C2467" s="27"/>
      <c r="D2467" s="33" t="s">
        <v>14</v>
      </c>
      <c r="E2467" s="9"/>
      <c r="F2467" s="32"/>
      <c r="G2467" s="10">
        <v>63054</v>
      </c>
      <c r="H2467" s="30" t="str">
        <f ca="1">IFERROR(__xludf.DUMMYFUNCTION("LOWER(REGEXREPLACE(B2467&amp;"" ""&amp;C2467,""[^а-яa-z0-9 ]"","" ""))")," нтерфейс ")</f>
        <v xml:space="preserve"> нтерфейс </v>
      </c>
    </row>
    <row r="2468" spans="1:8" ht="25.5" x14ac:dyDescent="0.2">
      <c r="A2468" s="31" t="s">
        <v>5668</v>
      </c>
      <c r="B2468" s="8" t="s">
        <v>5669</v>
      </c>
      <c r="C2468" s="27"/>
      <c r="D2468" s="33" t="s">
        <v>14</v>
      </c>
      <c r="E2468" s="9"/>
      <c r="F2468" s="32"/>
      <c r="G2468" s="10">
        <v>79393</v>
      </c>
      <c r="H2468" s="30" t="str">
        <f ca="1">IFERROR(__xludf.DUMMYFUNCTION("LOWER(REGEXREPLACE(B2468&amp;"" ""&amp;C2468,""[^а-яa-z0-9 ]"","" ""))")," чебное программное обеспечение для записи  показа и анализа данных ")</f>
        <v xml:space="preserve"> чебное программное обеспечение для записи  показа и анализа данных </v>
      </c>
    </row>
    <row r="2469" spans="1:8" ht="12.75" x14ac:dyDescent="0.2">
      <c r="A2469" s="31" t="s">
        <v>5670</v>
      </c>
      <c r="B2469" s="27" t="s">
        <v>5671</v>
      </c>
      <c r="C2469" s="27"/>
      <c r="D2469" s="33" t="s">
        <v>14</v>
      </c>
      <c r="E2469" s="9"/>
      <c r="F2469" s="32"/>
      <c r="G2469" s="10">
        <v>52857</v>
      </c>
      <c r="H2469" s="30" t="str">
        <f ca="1">IFERROR(__xludf.DUMMYFUNCTION("LOWER(REGEXREPLACE(B2469&amp;"" ""&amp;C2469,""[^а-яa-z0-9 ]"","" ""))")," истема управления кабинетом ")</f>
        <v xml:space="preserve"> истема управления кабинетом </v>
      </c>
    </row>
    <row r="2470" spans="1:8" ht="25.5" x14ac:dyDescent="0.2">
      <c r="A2470" s="31" t="s">
        <v>5672</v>
      </c>
      <c r="B2470" s="8" t="s">
        <v>5673</v>
      </c>
      <c r="C2470" s="27"/>
      <c r="D2470" s="32"/>
      <c r="E2470" s="9"/>
      <c r="F2470" s="32"/>
      <c r="G2470" s="10"/>
      <c r="H2470" s="30" t="str">
        <f ca="1">IFERROR(__xludf.DUMMYFUNCTION("LOWER(REGEXREPLACE(B2470&amp;"" ""&amp;C2470,""[^а-яa-z0-9 ]"","" ""))")," нформационно коммуникационные средства ")</f>
        <v xml:space="preserve"> нформационно коммуникационные средства </v>
      </c>
    </row>
    <row r="2471" spans="1:8" ht="12.75" x14ac:dyDescent="0.2">
      <c r="A2471" s="31" t="s">
        <v>5674</v>
      </c>
      <c r="B2471" s="27" t="s">
        <v>5675</v>
      </c>
      <c r="C2471" s="27"/>
      <c r="D2471" s="33" t="s">
        <v>14</v>
      </c>
      <c r="E2471" s="9"/>
      <c r="F2471" s="32"/>
      <c r="G2471" s="10"/>
      <c r="H2471" s="30" t="str">
        <f ca="1">IFERROR(__xludf.DUMMYFUNCTION("LOWER(REGEXREPLACE(B2471&amp;"" ""&amp;C2471,""[^а-яa-z0-9 ]"","" ""))")," окумент камера ")</f>
        <v xml:space="preserve"> окумент камера </v>
      </c>
    </row>
    <row r="2472" spans="1:8" ht="12.75" x14ac:dyDescent="0.2">
      <c r="A2472" s="31" t="s">
        <v>5676</v>
      </c>
      <c r="B2472" s="27" t="s">
        <v>5675</v>
      </c>
      <c r="C2472" s="27"/>
      <c r="D2472" s="33" t="s">
        <v>14</v>
      </c>
      <c r="E2472" s="9"/>
      <c r="F2472" s="32"/>
      <c r="G2472" s="10">
        <v>135804</v>
      </c>
      <c r="H2472" s="30" t="str">
        <f ca="1">IFERROR(__xludf.DUMMYFUNCTION("LOWER(REGEXREPLACE(B2472&amp;"" ""&amp;C2472,""[^а-яa-z0-9 ]"","" ""))")," окумент камера ")</f>
        <v xml:space="preserve"> окумент камера </v>
      </c>
    </row>
    <row r="2473" spans="1:8" ht="12.75" x14ac:dyDescent="0.2">
      <c r="A2473" s="31" t="s">
        <v>5677</v>
      </c>
      <c r="B2473" s="27" t="s">
        <v>5678</v>
      </c>
      <c r="C2473" s="27"/>
      <c r="D2473" s="33" t="s">
        <v>14</v>
      </c>
      <c r="E2473" s="9"/>
      <c r="F2473" s="32"/>
      <c r="G2473" s="10">
        <v>87589</v>
      </c>
      <c r="H2473" s="30" t="str">
        <f ca="1">IFERROR(__xludf.DUMMYFUNCTION("LOWER(REGEXREPLACE(B2473&amp;"" ""&amp;C2473,""[^а-яa-z0-9 ]"","" ""))")," окумент камера          51 ")</f>
        <v xml:space="preserve"> окумент камера          51 </v>
      </c>
    </row>
    <row r="2474" spans="1:8" ht="12.75" x14ac:dyDescent="0.2">
      <c r="A2474" s="31" t="s">
        <v>5679</v>
      </c>
      <c r="B2474" s="27" t="s">
        <v>5680</v>
      </c>
      <c r="C2474" s="27"/>
      <c r="D2474" s="33" t="s">
        <v>14</v>
      </c>
      <c r="E2474" s="34">
        <v>2</v>
      </c>
      <c r="F2474" s="35">
        <v>1.5</v>
      </c>
      <c r="G2474" s="10">
        <v>204318</v>
      </c>
      <c r="H2474" s="30" t="str">
        <f ca="1">IFERROR(__xludf.DUMMYFUNCTION("LOWER(REGEXREPLACE(B2474&amp;"" ""&amp;C2474,""[^а-яa-z0-9 ]"","" ""))")," окумент камера типа  vervision  50 ")</f>
        <v xml:space="preserve"> окумент камера типа  vervision  50 </v>
      </c>
    </row>
    <row r="2475" spans="1:8" ht="12.75" x14ac:dyDescent="0.2">
      <c r="A2475" s="31" t="s">
        <v>5681</v>
      </c>
      <c r="B2475" s="27" t="s">
        <v>5682</v>
      </c>
      <c r="C2475" s="27"/>
      <c r="D2475" s="32"/>
      <c r="E2475" s="9"/>
      <c r="F2475" s="32"/>
      <c r="G2475" s="10"/>
      <c r="H2475" s="30" t="str">
        <f ca="1">IFERROR(__xludf.DUMMYFUNCTION("LOWER(REGEXREPLACE(B2475&amp;"" ""&amp;C2475,""[^а-яa-z0-9 ]"","" ""))")," абораторное оборудование ")</f>
        <v xml:space="preserve"> абораторное оборудование </v>
      </c>
    </row>
    <row r="2476" spans="1:8" ht="12.75" x14ac:dyDescent="0.2">
      <c r="A2476" s="31" t="s">
        <v>5683</v>
      </c>
      <c r="B2476" s="27" t="s">
        <v>5684</v>
      </c>
      <c r="C2476" s="27"/>
      <c r="D2476" s="33" t="s">
        <v>14</v>
      </c>
      <c r="E2476" s="9"/>
      <c r="F2476" s="32"/>
      <c r="G2476" s="10"/>
      <c r="H2476" s="30" t="str">
        <f ca="1">IFERROR(__xludf.DUMMYFUNCTION("LOWER(REGEXREPLACE(B2476&amp;"" ""&amp;C2476,""[^а-яa-z0-9 ]"","" ""))")," арометр анероид ")</f>
        <v xml:space="preserve"> арометр анероид </v>
      </c>
    </row>
    <row r="2477" spans="1:8" ht="38.25" x14ac:dyDescent="0.2">
      <c r="A2477" s="31" t="s">
        <v>5685</v>
      </c>
      <c r="B2477" s="8" t="s">
        <v>5686</v>
      </c>
      <c r="C2477" s="27"/>
      <c r="D2477" s="33" t="s">
        <v>14</v>
      </c>
      <c r="E2477" s="34">
        <v>2</v>
      </c>
      <c r="F2477" s="35">
        <v>0.5</v>
      </c>
      <c r="G2477" s="10">
        <v>47448</v>
      </c>
      <c r="H2477" s="30" t="str">
        <f ca="1">IFERROR(__xludf.DUMMYFUNCTION("LOWER(REGEXREPLACE(B2477&amp;"" ""&amp;C2477,""[^а-яa-z0-9 ]"","" ""))")," арометр анероид   иапазон  720 780мм рт ст   96000 104000 а  цена деления 1мм рт ст   100 а ")</f>
        <v xml:space="preserve"> арометр анероид   иапазон  720 780мм рт ст   96000 104000 а  цена деления 1мм рт ст   100 а </v>
      </c>
    </row>
    <row r="2478" spans="1:8" ht="25.5" x14ac:dyDescent="0.2">
      <c r="A2478" s="31" t="s">
        <v>5687</v>
      </c>
      <c r="B2478" s="27" t="s">
        <v>5688</v>
      </c>
      <c r="C2478" s="27"/>
      <c r="D2478" s="33" t="s">
        <v>14</v>
      </c>
      <c r="E2478" s="34">
        <v>2</v>
      </c>
      <c r="F2478" s="35">
        <v>0.5</v>
      </c>
      <c r="G2478" s="10">
        <v>9894</v>
      </c>
      <c r="H2478" s="30" t="str">
        <f ca="1">IFERROR(__xludf.DUMMYFUNCTION("LOWER(REGEXREPLACE(B2478&amp;"" ""&amp;C2478,""[^а-яa-z0-9 ]"","" ""))")," арометр анероид   иапазон  950 1070г а  точность    5г а ")</f>
        <v xml:space="preserve"> арометр анероид   иапазон  950 1070г а  точность    5г а </v>
      </c>
    </row>
    <row r="2479" spans="1:8" ht="12.75" x14ac:dyDescent="0.2">
      <c r="A2479" s="31" t="s">
        <v>5689</v>
      </c>
      <c r="B2479" s="27" t="s">
        <v>5690</v>
      </c>
      <c r="C2479" s="27"/>
      <c r="D2479" s="33" t="s">
        <v>14</v>
      </c>
      <c r="E2479" s="9"/>
      <c r="F2479" s="32"/>
      <c r="G2479" s="10"/>
      <c r="H2479" s="30" t="str">
        <f ca="1">IFERROR(__xludf.DUMMYFUNCTION("LOWER(REGEXREPLACE(B2479&amp;"" ""&amp;C2479,""[^а-яa-z0-9 ]"","" ""))")," ермометр ")</f>
        <v xml:space="preserve"> ермометр </v>
      </c>
    </row>
    <row r="2480" spans="1:8" ht="12.75" x14ac:dyDescent="0.2">
      <c r="A2480" s="31" t="s">
        <v>5691</v>
      </c>
      <c r="B2480" s="27" t="s">
        <v>5692</v>
      </c>
      <c r="C2480" s="27"/>
      <c r="D2480" s="33" t="s">
        <v>14</v>
      </c>
      <c r="E2480" s="9"/>
      <c r="F2480" s="32"/>
      <c r="G2480" s="10">
        <v>405</v>
      </c>
      <c r="H2480" s="30" t="str">
        <f ca="1">IFERROR(__xludf.DUMMYFUNCTION("LOWER(REGEXREPLACE(B2480&amp;"" ""&amp;C2480,""[^а-яa-z0-9 ]"","" ""))")," ермометр демонстрационный ")</f>
        <v xml:space="preserve"> ермометр демонстрационный </v>
      </c>
    </row>
    <row r="2481" spans="1:8" ht="38.25" x14ac:dyDescent="0.2">
      <c r="A2481" s="31" t="s">
        <v>5693</v>
      </c>
      <c r="B2481" s="27" t="s">
        <v>5694</v>
      </c>
      <c r="C2481" s="27"/>
      <c r="D2481" s="33" t="s">
        <v>14</v>
      </c>
      <c r="E2481" s="34">
        <v>2</v>
      </c>
      <c r="F2481" s="36">
        <v>0.05</v>
      </c>
      <c r="G2481" s="10">
        <v>8543</v>
      </c>
      <c r="H2481" s="30" t="str">
        <f ca="1">IFERROR(__xludf.DUMMYFUNCTION("LOWER(REGEXREPLACE(B2481&amp;"" ""&amp;C2481,""[^а-яa-z0-9 ]"","" ""))")," ермометр с фиксацией максимального и минимального значений типа  cience ube      106   иапазон   20   до  50   ")</f>
        <v xml:space="preserve"> ермометр с фиксацией максимального и минимального значений типа  cience ube      106   иапазон   20   до  50   </v>
      </c>
    </row>
    <row r="2482" spans="1:8" ht="25.5" x14ac:dyDescent="0.2">
      <c r="A2482" s="31" t="s">
        <v>5695</v>
      </c>
      <c r="B2482" s="27" t="s">
        <v>5696</v>
      </c>
      <c r="C2482" s="27"/>
      <c r="D2482" s="33" t="s">
        <v>14</v>
      </c>
      <c r="E2482" s="34">
        <v>2</v>
      </c>
      <c r="F2482" s="37">
        <v>0.14499999999999999</v>
      </c>
      <c r="G2482" s="10">
        <v>4306</v>
      </c>
      <c r="H2482" s="30" t="str">
        <f ca="1">IFERROR(__xludf.DUMMYFUNCTION("LOWER(REGEXREPLACE(B2482&amp;"" ""&amp;C2482,""[^а-яa-z0-9 ]"","" ""))")," ермометр цифровой   ержавеющая сталь   иапазон  от  50   до  100   ")</f>
        <v xml:space="preserve"> ермометр цифровой   ержавеющая сталь   иапазон  от  50   до  100   </v>
      </c>
    </row>
    <row r="2483" spans="1:8" ht="38.25" x14ac:dyDescent="0.2">
      <c r="A2483" s="31" t="s">
        <v>5697</v>
      </c>
      <c r="B2483" s="27" t="s">
        <v>5698</v>
      </c>
      <c r="C2483" s="27" t="s">
        <v>5699</v>
      </c>
      <c r="D2483" s="33" t="s">
        <v>14</v>
      </c>
      <c r="E2483" s="9"/>
      <c r="F2483" s="32"/>
      <c r="G2483" s="10">
        <v>346</v>
      </c>
      <c r="H2483" s="30" t="str">
        <f ca="1">IFERROR(__xludf.DUMMYFUNCTION("LOWER(REGEXREPLACE(B2483&amp;"" ""&amp;C2483,""[^а-яa-z0-9 ]"","" ""))")," омпас школьный  омпас состоит из пластмассовой круглой коробки  на дне которой имеется круговая шкала с указанием сторон света    центре установлена игла  на острие которой насажена легкая магнитная стрелка   оробка закрыта прозрачной крышкой ")</f>
        <v xml:space="preserve"> омпас школьный  омпас состоит из пластмассовой круглой коробки  на дне которой имеется круговая шкала с указанием сторон света    центре установлена игла  на острие которой насажена легкая магнитная стрелка   оробка закрыта прозрачной крышкой </v>
      </c>
    </row>
    <row r="2484" spans="1:8" ht="76.5" x14ac:dyDescent="0.2">
      <c r="A2484" s="31" t="s">
        <v>5700</v>
      </c>
      <c r="B2484" s="27" t="s">
        <v>5701</v>
      </c>
      <c r="C2484" s="27" t="s">
        <v>5702</v>
      </c>
      <c r="D2484" s="33" t="s">
        <v>68</v>
      </c>
      <c r="E2484" s="9"/>
      <c r="F2484" s="36">
        <v>0.05</v>
      </c>
      <c r="G2484" s="10">
        <v>720</v>
      </c>
      <c r="H2484" s="30" t="str">
        <f ca="1">IFERROR(__xludf.DUMMYFUNCTION("LOWER(REGEXREPLACE(B2484&amp;"" ""&amp;C2484,""[^а-яa-z0-9 ]"","" ""))")," трелки магнитные на штативах   комплект входят  магнитные стрелки   2 шт   стойки пластмассовые с иглой   2 шт   подставки   2 шт   руководство по эксплуатации   1 шт   трелка представляет собой намагниченную полоску из стали с запрессованным латунным гн"&amp;"ездом для установки на иглу пластмассовой стойки   еверный полюс стрелки окрашен в синий цвет  а южный   в красный ")</f>
        <v xml:space="preserve"> трелки магнитные на штативах   комплект входят  магнитные стрелки   2 шт   стойки пластмассовые с иглой   2 шт   подставки   2 шт   руководство по эксплуатации   1 шт   трелка представляет собой намагниченную полоску из стали с запрессованным латунным гнездом для установки на иглу пластмассовой стойки   еверный полюс стрелки окрашен в синий цвет  а южный   в красный </v>
      </c>
    </row>
    <row r="2485" spans="1:8" ht="12.75" x14ac:dyDescent="0.2">
      <c r="A2485" s="31" t="s">
        <v>5703</v>
      </c>
      <c r="B2485" s="27" t="s">
        <v>5704</v>
      </c>
      <c r="C2485" s="27"/>
      <c r="D2485" s="33" t="s">
        <v>14</v>
      </c>
      <c r="E2485" s="9"/>
      <c r="F2485" s="32"/>
      <c r="G2485" s="10"/>
      <c r="H2485" s="30" t="str">
        <f ca="1">IFERROR(__xludf.DUMMYFUNCTION("LOWER(REGEXREPLACE(B2485&amp;"" ""&amp;C2485,""[^а-яa-z0-9 ]"","" ""))")," еллурий  модель  олнце    емля    уна  ")</f>
        <v xml:space="preserve"> еллурий  модель  олнце    емля    уна  </v>
      </c>
    </row>
    <row r="2486" spans="1:8" ht="12.75" x14ac:dyDescent="0.2">
      <c r="A2486" s="31" t="s">
        <v>5705</v>
      </c>
      <c r="B2486" s="27" t="s">
        <v>5704</v>
      </c>
      <c r="C2486" s="27"/>
      <c r="D2486" s="33" t="s">
        <v>14</v>
      </c>
      <c r="E2486" s="9"/>
      <c r="F2486" s="32"/>
      <c r="G2486" s="10">
        <v>32644</v>
      </c>
      <c r="H2486" s="30" t="str">
        <f ca="1">IFERROR(__xludf.DUMMYFUNCTION("LOWER(REGEXREPLACE(B2486&amp;"" ""&amp;C2486,""[^а-яa-z0-9 ]"","" ""))")," еллурий  модель  олнце    емля    уна  ")</f>
        <v xml:space="preserve"> еллурий  модель  олнце    емля    уна  </v>
      </c>
    </row>
    <row r="2487" spans="1:8" ht="38.25" x14ac:dyDescent="0.2">
      <c r="A2487" s="31" t="s">
        <v>5706</v>
      </c>
      <c r="B2487" s="27" t="s">
        <v>5707</v>
      </c>
      <c r="C2487" s="27"/>
      <c r="D2487" s="33" t="s">
        <v>68</v>
      </c>
      <c r="E2487" s="34">
        <v>2</v>
      </c>
      <c r="F2487" s="35">
        <v>7.1</v>
      </c>
      <c r="G2487" s="10">
        <v>810960</v>
      </c>
      <c r="H2487" s="30" t="str">
        <f ca="1">IFERROR(__xludf.DUMMYFUNCTION("LOWER(REGEXREPLACE(B2487&amp;"" ""&amp;C2487,""[^а-яa-z0-9 ]"","" ""))")," омплект демонстрационного оборудования   еллурий  типа  ornelsen  xperimenta 31121 44260 ")</f>
        <v xml:space="preserve"> омплект демонстрационного оборудования   еллурий  типа  ornelsen  xperimenta 31121 44260 </v>
      </c>
    </row>
    <row r="2488" spans="1:8" ht="12.75" x14ac:dyDescent="0.2">
      <c r="A2488" s="31" t="s">
        <v>5708</v>
      </c>
      <c r="B2488" s="27" t="s">
        <v>5709</v>
      </c>
      <c r="C2488" s="27"/>
      <c r="D2488" s="33" t="s">
        <v>14</v>
      </c>
      <c r="E2488" s="9"/>
      <c r="F2488" s="32"/>
      <c r="G2488" s="10"/>
      <c r="H2488" s="30" t="str">
        <f ca="1">IFERROR(__xludf.DUMMYFUNCTION("LOWER(REGEXREPLACE(B2488&amp;"" ""&amp;C2488,""[^а-яa-z0-9 ]"","" ""))")," аня комбинированная ")</f>
        <v xml:space="preserve"> аня комбинированная </v>
      </c>
    </row>
    <row r="2489" spans="1:8" ht="51" x14ac:dyDescent="0.2">
      <c r="A2489" s="31" t="s">
        <v>5710</v>
      </c>
      <c r="B2489" s="8" t="s">
        <v>5711</v>
      </c>
      <c r="C2489" s="27" t="s">
        <v>5712</v>
      </c>
      <c r="D2489" s="33" t="s">
        <v>14</v>
      </c>
      <c r="E2489" s="34">
        <v>2</v>
      </c>
      <c r="F2489" s="36">
        <v>1.86</v>
      </c>
      <c r="G2489" s="10">
        <v>52346</v>
      </c>
      <c r="H2489" s="30" t="str">
        <f ca="1">IFERROR(__xludf.DUMMYFUNCTION("LOWER(REGEXREPLACE(B2489&amp;"" ""&amp;C2489,""[^а-яa-z0-9 ]"","" ""))")," аня комбинированная с нагревательным элементом для воды и песка  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емпература нагрева в водяно"&amp;"й бане 100    температура нагрева в песочной бане 300     апряжение питания 220    50  ц ")</f>
        <v xml:space="preserve"> аня комбинированная с нагревательным элементом для воды и песка  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емпература нагрева в водяной бане 100    температура нагрева в песочной бане 300     апряжение питания 220    50  ц </v>
      </c>
    </row>
    <row r="2490" spans="1:8" ht="63.75" x14ac:dyDescent="0.2">
      <c r="A2490" s="31" t="s">
        <v>5713</v>
      </c>
      <c r="B2490" s="27" t="s">
        <v>5714</v>
      </c>
      <c r="C2490" s="27" t="s">
        <v>5715</v>
      </c>
      <c r="D2490" s="33" t="s">
        <v>14</v>
      </c>
      <c r="E2490" s="34">
        <v>2</v>
      </c>
      <c r="F2490" s="35">
        <v>0.8</v>
      </c>
      <c r="G2490" s="10">
        <v>12764</v>
      </c>
      <c r="H2490" s="30" t="str">
        <f ca="1">IFERROR(__xludf.DUMMYFUNCTION("LOWER(REGEXREPLACE(B2490&amp;"" ""&amp;C2490,""[^а-яa-z0-9 ]"","" ""))")," аня водяная без электрической плитки  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емпература нагрева в водяной бане должна до 100     ля"&amp;" регулирования диаметра посадочного отверстия в комплекте должно быть не менее 4 съемных колец разных диаметров ")</f>
        <v xml:space="preserve"> аня водяная без электрической плитки  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емпература нагрева в водяной бане должна до 100     ля регулирования диаметра посадочного отверстия в комплекте должно быть не менее 4 съемных колец разных диаметров </v>
      </c>
    </row>
    <row r="2491" spans="1:8" ht="38.25" x14ac:dyDescent="0.2">
      <c r="A2491" s="31" t="s">
        <v>5716</v>
      </c>
      <c r="B2491" s="27" t="s">
        <v>5717</v>
      </c>
      <c r="C2491" s="27" t="s">
        <v>5718</v>
      </c>
      <c r="D2491" s="33" t="s">
        <v>14</v>
      </c>
      <c r="E2491" s="34">
        <v>2</v>
      </c>
      <c r="F2491" s="35">
        <v>0.4</v>
      </c>
      <c r="G2491" s="10">
        <v>7817</v>
      </c>
      <c r="H2491" s="30" t="str">
        <f ca="1">IFERROR(__xludf.DUMMYFUNCTION("LOWER(REGEXREPLACE(B2491&amp;"" ""&amp;C2491,""[^а-яa-z0-9 ]"","" ""))")," аня песочная без электрической плитки  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емпература нагрева в песочной бане до 1"&amp;"70   ")</f>
        <v xml:space="preserve"> аня песочная без электрической плитки  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емпература нагрева в песочной бане до 170   </v>
      </c>
    </row>
    <row r="2492" spans="1:8" ht="12.75" x14ac:dyDescent="0.2">
      <c r="A2492" s="31" t="s">
        <v>5719</v>
      </c>
      <c r="B2492" s="27" t="s">
        <v>5720</v>
      </c>
      <c r="C2492" s="27"/>
      <c r="D2492" s="33" t="s">
        <v>14</v>
      </c>
      <c r="E2492" s="9"/>
      <c r="F2492" s="32"/>
      <c r="G2492" s="10"/>
      <c r="H2492" s="30" t="str">
        <f ca="1">IFERROR(__xludf.DUMMYFUNCTION("LOWER(REGEXREPLACE(B2492&amp;"" ""&amp;C2492,""[^а-яa-z0-9 ]"","" ""))")," татив лабораторный ")</f>
        <v xml:space="preserve"> татив лабораторный </v>
      </c>
    </row>
    <row r="2493" spans="1:8" ht="25.5" x14ac:dyDescent="0.2">
      <c r="A2493" s="31" t="s">
        <v>5721</v>
      </c>
      <c r="B2493" s="27" t="s">
        <v>5722</v>
      </c>
      <c r="C2493" s="27" t="s">
        <v>5723</v>
      </c>
      <c r="D2493" s="33" t="s">
        <v>14</v>
      </c>
      <c r="E2493" s="34">
        <v>2</v>
      </c>
      <c r="F2493" s="37">
        <v>2.1669999999999998</v>
      </c>
      <c r="G2493" s="10">
        <v>10672</v>
      </c>
      <c r="H2493" s="30" t="str">
        <f ca="1">IFERROR(__xludf.DUMMYFUNCTION("LOWER(REGEXREPLACE(B2493&amp;"" ""&amp;C2493,""[^а-яa-z0-9 ]"","" ""))")," татив лабораторный комбинированный  остоит из металлической подставки и вертикального металлического штыря  стержня     комплекте  5 муфт  2 лапки  3 кольца  болты для креплений ")</f>
        <v xml:space="preserve"> татив лабораторный комбинированный  остоит из металлической подставки и вертикального металлического штыря  стержня     комплекте  5 муфт  2 лапки  3 кольца  болты для креплений </v>
      </c>
    </row>
    <row r="2494" spans="1:8" ht="89.25" x14ac:dyDescent="0.2">
      <c r="A2494" s="31" t="s">
        <v>5724</v>
      </c>
      <c r="B2494" s="27" t="s">
        <v>5725</v>
      </c>
      <c r="C2494" s="27" t="s">
        <v>5726</v>
      </c>
      <c r="D2494" s="33" t="s">
        <v>14</v>
      </c>
      <c r="E2494" s="34">
        <v>2</v>
      </c>
      <c r="F2494" s="35">
        <v>6.4</v>
      </c>
      <c r="G2494" s="10">
        <v>21428</v>
      </c>
      <c r="H2494" s="30" t="str">
        <f ca="1">IFERROR(__xludf.DUMMYFUNCTION("LOWER(REGEXREPLACE(B2494&amp;"" ""&amp;C2494,""[^а-яa-z0-9 ]"","" ""))")," татив физический универсальный  омплектность  подставки чугунные   2 шт   стойки   2 шт   стойка с изолирующим стержнем   1 шт   муфты крестообразные   2 шт   муфта параллельная   1 шт   муфты с крючком   4 шт   лапка пружинная   1 шт   муфта с опорой   "&amp;"1 шт   кольцо  93 мм    1 шт   струбцина   1 шт   столик   1 шт   винты   16 шт ")</f>
        <v xml:space="preserve"> татив физический универсальный  омплектность  подставки чугунные   2 шт   стойки   2 шт   стойка с изолирующим стержнем   1 шт   муфты крестообразные   2 шт   муфта параллельная   1 шт   муфты с крючком   4 шт   лапка пружинная   1 шт   муфта с опорой   1 шт   кольцо  93 мм    1 шт   струбцина   1 шт   столик   1 шт   винты   16 шт </v>
      </c>
    </row>
    <row r="2495" spans="1:8" ht="51" x14ac:dyDescent="0.2">
      <c r="A2495" s="31" t="s">
        <v>5727</v>
      </c>
      <c r="B2495" s="27" t="s">
        <v>5728</v>
      </c>
      <c r="C2495" s="27" t="s">
        <v>5729</v>
      </c>
      <c r="D2495" s="33" t="s">
        <v>14</v>
      </c>
      <c r="E2495" s="34">
        <v>2</v>
      </c>
      <c r="F2495" s="37">
        <v>2.1669999999999998</v>
      </c>
      <c r="G2495" s="10">
        <v>9361</v>
      </c>
      <c r="H2495" s="30" t="str">
        <f ca="1">IFERROR(__xludf.DUMMYFUNCTION("LOWER(REGEXREPLACE(B2495&amp;"" ""&amp;C2495,""[^а-яa-z0-9 ]"","" ""))")," татив лабораторный металлический  омплект состоит из следующих частей   одставка плита   1 шт  тойка   1 шт  ольцо   3 шт  ажим для бюреток   2 шт  ажим   1 шт  уфта крестообразная   1 шт")</f>
        <v xml:space="preserve"> татив лабораторный металлический  омплект состоит из следующих частей   одставка плита   1 шт  тойка   1 шт  ольцо   3 шт  ажим для бюреток   2 шт  ажим   1 шт  уфта крестообразная   1 шт</v>
      </c>
    </row>
    <row r="2496" spans="1:8" ht="51" x14ac:dyDescent="0.2">
      <c r="A2496" s="31" t="s">
        <v>5730</v>
      </c>
      <c r="B2496" s="27" t="s">
        <v>5731</v>
      </c>
      <c r="C2496" s="27" t="s">
        <v>5732</v>
      </c>
      <c r="D2496" s="33" t="s">
        <v>14</v>
      </c>
      <c r="E2496" s="34">
        <v>2</v>
      </c>
      <c r="F2496" s="35">
        <v>2.7</v>
      </c>
      <c r="G2496" s="10">
        <v>13721</v>
      </c>
      <c r="H2496" s="30" t="str">
        <f ca="1">IFERROR(__xludf.DUMMYFUNCTION("LOWER(REGEXREPLACE(B2496&amp;"" ""&amp;C2496,""[^а-яa-z0-9 ]"","" ""))")," татив универсальный  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к"&amp;"репления стеклянных приборов")</f>
        <v xml:space="preserve"> татив универсальный  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v>
      </c>
    </row>
    <row r="2497" spans="1:8" ht="38.25" x14ac:dyDescent="0.2">
      <c r="A2497" s="31" t="s">
        <v>5733</v>
      </c>
      <c r="B2497" s="27" t="s">
        <v>5734</v>
      </c>
      <c r="C2497" s="27" t="s">
        <v>5735</v>
      </c>
      <c r="D2497" s="33" t="s">
        <v>14</v>
      </c>
      <c r="E2497" s="34">
        <v>2</v>
      </c>
      <c r="F2497" s="36">
        <v>0.18</v>
      </c>
      <c r="G2497" s="10">
        <v>11393</v>
      </c>
      <c r="H2497" s="30" t="str">
        <f ca="1">IFERROR(__xludf.DUMMYFUNCTION("LOWER(REGEXREPLACE(B2497&amp;"" ""&amp;C2497,""[^а-яa-z0-9 ]"","" ""))")," татив универсальный химический   комплект входят  муфты   5 шт  лапки   3 шт  четырехпальчиковый зажим   2 шт  кольца   3 шт разного диаметра  стойки   3 шт  2 длинных  1 короткая   раздвижная платформа из двух частей")</f>
        <v xml:space="preserve"> татив универсальный химический   комплект входят  муфты   5 шт  лапки   3 шт  четырехпальчиковый зажим   2 шт  кольца   3 шт разного диаметра  стойки   3 шт  2 длинных  1 короткая   раздвижная платформа из двух частей</v>
      </c>
    </row>
    <row r="2498" spans="1:8" ht="63.75" x14ac:dyDescent="0.2">
      <c r="A2498" s="31" t="s">
        <v>5736</v>
      </c>
      <c r="B2498" s="27" t="s">
        <v>5737</v>
      </c>
      <c r="C2498" s="27" t="s">
        <v>5738</v>
      </c>
      <c r="D2498" s="33" t="s">
        <v>14</v>
      </c>
      <c r="E2498" s="9"/>
      <c r="F2498" s="36">
        <v>0.95</v>
      </c>
      <c r="G2498" s="10">
        <v>11694</v>
      </c>
      <c r="H2498" s="30" t="str">
        <f ca="1">IFERROR(__xludf.DUMMYFUNCTION("LOWER(REGEXREPLACE(B2498&amp;"" ""&amp;C2498,""[^а-яa-z0-9 ]"","" ""))")," инокль  орро с центральной фокусировкой   олесико центральной фокусировки расположен под средним пальцем и позволяет настраивать резкость обоих окуляров   редел изменения центральной диоптрийной наводки от  5 до  10 диоптрий   редел изменения дополнитель"&amp;"ной диоптрийной наводки от  2 5 до  2 5 диоптрий")</f>
        <v xml:space="preserve"> инокль  орро с центральной фокусировкой   олесико центральной фокусировки расположен под средним пальцем и позволяет настраивать резкость обоих окуляров   редел изменения центральной диоптрийной наводки от  5 до  10 диоптрий   редел изменения дополнительной диоптрийной наводки от  2 5 до  2 5 диоптрий</v>
      </c>
    </row>
    <row r="2499" spans="1:8" ht="12.75" x14ac:dyDescent="0.2">
      <c r="A2499" s="31" t="s">
        <v>5739</v>
      </c>
      <c r="B2499" s="27" t="s">
        <v>5740</v>
      </c>
      <c r="C2499" s="27"/>
      <c r="D2499" s="33" t="s">
        <v>14</v>
      </c>
      <c r="E2499" s="9"/>
      <c r="F2499" s="32"/>
      <c r="G2499" s="10"/>
      <c r="H2499" s="30" t="str">
        <f ca="1">IFERROR(__xludf.DUMMYFUNCTION("LOWER(REGEXREPLACE(B2499&amp;"" ""&amp;C2499,""[^а-яa-z0-9 ]"","" ""))")," асос ")</f>
        <v xml:space="preserve"> асос </v>
      </c>
    </row>
    <row r="2500" spans="1:8" ht="25.5" x14ac:dyDescent="0.2">
      <c r="A2500" s="31" t="s">
        <v>5741</v>
      </c>
      <c r="B2500" s="27" t="s">
        <v>5742</v>
      </c>
      <c r="C2500" s="27" t="s">
        <v>5743</v>
      </c>
      <c r="D2500" s="33" t="s">
        <v>14</v>
      </c>
      <c r="E2500" s="34">
        <v>2</v>
      </c>
      <c r="F2500" s="35">
        <v>0.2</v>
      </c>
      <c r="G2500" s="10">
        <v>5156</v>
      </c>
      <c r="H2500" s="30" t="str">
        <f ca="1">IFERROR(__xludf.DUMMYFUNCTION("LOWER(REGEXREPLACE(B2500&amp;"" ""&amp;C2500,""[^а-яa-z0-9 ]"","" ""))")," асос воздушный ручной  асос воздушный ручной   асос поршневой двойного действия   аксимальное разрежение 40 мм рт  cт   нагнетание 4 ат ")</f>
        <v xml:space="preserve"> асос воздушный ручной  асос воздушный ручной   асос поршневой двойного действия   аксимальное разрежение 40 мм рт  cт   нагнетание 4 ат </v>
      </c>
    </row>
    <row r="2501" spans="1:8" ht="63.75" x14ac:dyDescent="0.2">
      <c r="A2501" s="31" t="s">
        <v>5744</v>
      </c>
      <c r="B2501" s="27" t="s">
        <v>5745</v>
      </c>
      <c r="C2501" s="27" t="s">
        <v>5746</v>
      </c>
      <c r="D2501" s="33" t="s">
        <v>14</v>
      </c>
      <c r="E2501" s="34">
        <v>2</v>
      </c>
      <c r="F2501" s="37">
        <v>0.23799999999999999</v>
      </c>
      <c r="G2501" s="10">
        <v>7015</v>
      </c>
      <c r="H2501" s="30" t="str">
        <f ca="1">IFERROR(__xludf.DUMMYFUNCTION("LOWER(REGEXREPLACE(B2501&amp;"" ""&amp;C2501,""[^а-яa-z0-9 ]"","" ""))")," асос водоструйный  ринцип действия водоструйного насоса   создание разряжения за счет протекающей через трубки струи воды   авление воды обеспечивает водопровод  никаких дополнительных установок не требуется  150мм  стеклянная трубка  во внутри есть прот"&amp;"очная трубка с двумя газоотводами    1 шт ")</f>
        <v xml:space="preserve"> асос водоструйный  ринцип действия водоструйного насоса   создание разряжения за счет протекающей через трубки струи воды   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 </v>
      </c>
    </row>
    <row r="2502" spans="1:8" ht="38.25" x14ac:dyDescent="0.2">
      <c r="A2502" s="31" t="s">
        <v>5747</v>
      </c>
      <c r="B2502" s="27" t="s">
        <v>5748</v>
      </c>
      <c r="C2502" s="27" t="s">
        <v>5749</v>
      </c>
      <c r="D2502" s="33" t="s">
        <v>14</v>
      </c>
      <c r="E2502" s="34">
        <v>2</v>
      </c>
      <c r="F2502" s="35">
        <v>2.7</v>
      </c>
      <c r="G2502" s="10">
        <v>40006</v>
      </c>
      <c r="H2502" s="30" t="str">
        <f ca="1">IFERROR(__xludf.DUMMYFUNCTION("LOWER(REGEXREPLACE(B2502&amp;"" ""&amp;C2502,""[^а-яa-z0-9 ]"","" ""))")," асос вакуумный  редставляет собой масляный поршневой насос  основанный на отсечке воздуха   вижение поршня обеспечивается шатунно кривошипным механизмом  соединенным с ручным приводом   инимальное разрежение воздуха  133  а ")</f>
        <v xml:space="preserve"> асос вакуумный  редставляет собой масляный поршневой насос  основанный на отсечке воздуха   вижение поршня обеспечивается шатунно кривошипным механизмом  соединенным с ручным приводом   инимальное разрежение воздуха  133  а </v>
      </c>
    </row>
    <row r="2503" spans="1:8" ht="76.5" x14ac:dyDescent="0.2">
      <c r="A2503" s="31" t="s">
        <v>5750</v>
      </c>
      <c r="B2503" s="27" t="s">
        <v>5751</v>
      </c>
      <c r="C2503" s="27" t="s">
        <v>5752</v>
      </c>
      <c r="D2503" s="33" t="s">
        <v>14</v>
      </c>
      <c r="E2503" s="9"/>
      <c r="F2503" s="36">
        <v>2.58</v>
      </c>
      <c r="G2503" s="10">
        <v>2639</v>
      </c>
      <c r="H2503" s="30" t="str">
        <f ca="1">IFERROR(__xludf.DUMMYFUNCTION("LOWER(REGEXREPLACE(B2503&amp;"" ""&amp;C2503,""[^а-яa-z0-9 ]"","" ""))")," лектрометр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иаметр больших полых шаров не бо"&amp;"лее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 ")</f>
        <v xml:space="preserve"> лектрометр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 </v>
      </c>
    </row>
    <row r="2504" spans="1:8" ht="12.75" x14ac:dyDescent="0.2">
      <c r="A2504" s="31" t="s">
        <v>5753</v>
      </c>
      <c r="B2504" s="27" t="s">
        <v>5754</v>
      </c>
      <c r="C2504" s="27"/>
      <c r="D2504" s="33" t="s">
        <v>14</v>
      </c>
      <c r="E2504" s="9"/>
      <c r="F2504" s="32"/>
      <c r="G2504" s="10"/>
      <c r="H2504" s="30" t="str">
        <f ca="1">IFERROR(__xludf.DUMMYFUNCTION("LOWER(REGEXREPLACE(B2504&amp;"" ""&amp;C2504,""[^а-яa-z0-9 ]"","" ""))")," истолет баллистический ")</f>
        <v xml:space="preserve"> истолет баллистический </v>
      </c>
    </row>
    <row r="2505" spans="1:8" ht="114.75" x14ac:dyDescent="0.2">
      <c r="A2505" s="31" t="s">
        <v>5755</v>
      </c>
      <c r="B2505" s="27" t="s">
        <v>5754</v>
      </c>
      <c r="C2505" s="27" t="s">
        <v>5756</v>
      </c>
      <c r="D2505" s="33" t="s">
        <v>14</v>
      </c>
      <c r="E2505" s="34">
        <v>2</v>
      </c>
      <c r="F2505" s="36">
        <v>1.95</v>
      </c>
      <c r="G2505" s="10">
        <v>23193</v>
      </c>
      <c r="H2505" s="30" t="str">
        <f ca="1">IFERROR(__xludf.DUMMYFUNCTION("LOWER(REGEXREPLACE(B2505&amp;"" ""&amp;C2505,""[^а-яa-z0-9 ]"","" ""))")," истолет баллистический  истолет баллистический сконструирован на базе динамометра   инамометр двухсторонний  имеет шкалу с нулем посередине и пределы измерения в обе стороны 10   цена деления шкалы   0 2    трелочный указатель может перемещаться вдоль шк"&amp;"алы по направляющим  точная установка указателя против деления шкалы осуществляется винтом   а концах направляющих закреплена круглая площадка   ля установки снаряда  шарика  на ней расположены два штыря    сжатом состоянии пружина динамометра удерживаетс"&amp;"я с помощью проволочного крючка   ля определения угла наклона прибора служит транспортир с ценой деления 150 с отвесом ")</f>
        <v xml:space="preserve"> истолет баллистический  истолет баллистический сконструирован на базе динамометра   инамометр двухсторонний  имеет шкалу с нулем посередине и пределы измерения в обе стороны 10   цена деления шкалы   0 2    трелочный указатель может перемещаться вдоль шкалы по направляющим  точная установка указателя против деления шкалы осуществляется винтом   а концах направляющих закреплена круглая площадка   ля установки снаряда  шарика  на ней расположены два штыря    сжатом состоянии пружина динамометра удерживается с помощью проволочного крючка   ля определения угла наклона прибора служит транспортир с ценой деления 150 с отвесом </v>
      </c>
    </row>
    <row r="2506" spans="1:8" ht="51" x14ac:dyDescent="0.2">
      <c r="A2506" s="31" t="s">
        <v>5757</v>
      </c>
      <c r="B2506" s="27" t="s">
        <v>5758</v>
      </c>
      <c r="C2506" s="27" t="s">
        <v>5759</v>
      </c>
      <c r="D2506" s="33" t="s">
        <v>14</v>
      </c>
      <c r="E2506" s="34">
        <v>2</v>
      </c>
      <c r="F2506" s="36">
        <v>1.44</v>
      </c>
      <c r="G2506" s="10">
        <v>17204</v>
      </c>
      <c r="H2506" s="30" t="str">
        <f ca="1">IFERROR(__xludf.DUMMYFUNCTION("LOWER(REGEXREPLACE(B2506&amp;"" ""&amp;C2506,""[^а-яa-z0-9 ]"","" ""))")," арелка вакуумная со звонком  арелка вакуумная со звонком предназначена для демонстрации опытов в замкнутом объеме с разреженным воздухом   остоит из круглого основания  толстостенного стеклянного колпака колокола диаметром не менее 200мм и высотой не мен"&amp;"ее 250мм  крана  звонка ")</f>
        <v xml:space="preserve"> арелка вакуумная со звонком  арелка вакуумная со звонком предназначена для демонстрации опытов в замкнутом объеме с разреженным воздухом   остоит из круглого основания  толстостенного стеклянного колпака колокола диаметром не менее 200мм и высотой не менее 250мм  крана  звонка </v>
      </c>
    </row>
    <row r="2507" spans="1:8" ht="25.5" x14ac:dyDescent="0.2">
      <c r="A2507" s="31" t="s">
        <v>5760</v>
      </c>
      <c r="B2507" s="27" t="s">
        <v>5761</v>
      </c>
      <c r="C2507" s="27"/>
      <c r="D2507" s="32"/>
      <c r="E2507" s="9"/>
      <c r="F2507" s="32"/>
      <c r="G2507" s="10"/>
      <c r="H2507" s="30" t="str">
        <f ca="1">IFERROR(__xludf.DUMMYFUNCTION("LOWER(REGEXREPLACE(B2507&amp;"" ""&amp;C2507,""[^а-яa-z0-9 ]"","" ""))")," борудование и инвентарь для занятий физической культурой ")</f>
        <v xml:space="preserve"> борудование и инвентарь для занятий физической культурой </v>
      </c>
    </row>
    <row r="2508" spans="1:8" ht="12.75" x14ac:dyDescent="0.2">
      <c r="A2508" s="31" t="s">
        <v>5762</v>
      </c>
      <c r="B2508" s="27" t="s">
        <v>5763</v>
      </c>
      <c r="C2508" s="27"/>
      <c r="D2508" s="33" t="s">
        <v>14</v>
      </c>
      <c r="E2508" s="9"/>
      <c r="F2508" s="32"/>
      <c r="G2508" s="10"/>
      <c r="H2508" s="30" t="str">
        <f ca="1">IFERROR(__xludf.DUMMYFUNCTION("LOWER(REGEXREPLACE(B2508&amp;"" ""&amp;C2508,""[^а-яa-z0-9 ]"","" ""))")," тенка гимнастическая ")</f>
        <v xml:space="preserve"> тенка гимнастическая </v>
      </c>
    </row>
    <row r="2509" spans="1:8" ht="25.5" x14ac:dyDescent="0.2">
      <c r="A2509" s="31" t="s">
        <v>5764</v>
      </c>
      <c r="B2509" s="27" t="s">
        <v>5765</v>
      </c>
      <c r="C2509" s="27"/>
      <c r="D2509" s="33" t="s">
        <v>14</v>
      </c>
      <c r="E2509" s="34">
        <v>1</v>
      </c>
      <c r="F2509" s="35">
        <v>26.9</v>
      </c>
      <c r="G2509" s="10">
        <v>28571</v>
      </c>
      <c r="H2509" s="30" t="str">
        <f ca="1">IFERROR(__xludf.DUMMYFUNCTION("LOWER(REGEXREPLACE(B2509&amp;"" ""&amp;C2509,""[^а-яa-z0-9 ]"","" ""))")," етская шведская стенка деревянная эконом  доска 45х105 мм  ")</f>
        <v xml:space="preserve"> етская шведская стенка деревянная эконом  доска 45х105 мм  </v>
      </c>
    </row>
    <row r="2510" spans="1:8" ht="25.5" x14ac:dyDescent="0.2">
      <c r="A2510" s="31" t="s">
        <v>5766</v>
      </c>
      <c r="B2510" s="27" t="s">
        <v>5767</v>
      </c>
      <c r="C2510" s="27"/>
      <c r="D2510" s="33" t="s">
        <v>14</v>
      </c>
      <c r="E2510" s="34">
        <v>1</v>
      </c>
      <c r="F2510" s="35">
        <v>26.9</v>
      </c>
      <c r="G2510" s="10">
        <v>28571</v>
      </c>
      <c r="H2510" s="30" t="str">
        <f ca="1">IFERROR(__xludf.DUMMYFUNCTION("LOWER(REGEXREPLACE(B2510&amp;"" ""&amp;C2510,""[^а-яa-z0-9 ]"","" ""))")," ведская стенка деревянная эконом  доска 45х105мм  ")</f>
        <v xml:space="preserve"> ведская стенка деревянная эконом  доска 45х105мм  </v>
      </c>
    </row>
    <row r="2511" spans="1:8" ht="25.5" x14ac:dyDescent="0.2">
      <c r="A2511" s="31" t="s">
        <v>5768</v>
      </c>
      <c r="B2511" s="27" t="s">
        <v>5769</v>
      </c>
      <c r="C2511" s="27"/>
      <c r="D2511" s="33" t="s">
        <v>14</v>
      </c>
      <c r="E2511" s="34">
        <v>1</v>
      </c>
      <c r="F2511" s="34">
        <v>52</v>
      </c>
      <c r="G2511" s="10">
        <v>33036</v>
      </c>
      <c r="H2511" s="30" t="str">
        <f ca="1">IFERROR(__xludf.DUMMYFUNCTION("LOWER(REGEXREPLACE(B2511&amp;"" ""&amp;C2511,""[^а-яa-z0-9 ]"","" ""))")," ведская стенка деревянная стандарт  доска 40х140мм  до 260см высота ")</f>
        <v xml:space="preserve"> ведская стенка деревянная стандарт  доска 40х140мм  до 260см высота </v>
      </c>
    </row>
    <row r="2512" spans="1:8" ht="25.5" x14ac:dyDescent="0.2">
      <c r="A2512" s="31" t="s">
        <v>5770</v>
      </c>
      <c r="B2512" s="27" t="s">
        <v>5771</v>
      </c>
      <c r="C2512" s="27"/>
      <c r="D2512" s="33" t="s">
        <v>14</v>
      </c>
      <c r="E2512" s="34">
        <v>1</v>
      </c>
      <c r="F2512" s="34">
        <v>52</v>
      </c>
      <c r="G2512" s="10">
        <v>34821</v>
      </c>
      <c r="H2512" s="30" t="str">
        <f ca="1">IFERROR(__xludf.DUMMYFUNCTION("LOWER(REGEXREPLACE(B2512&amp;"" ""&amp;C2512,""[^а-яa-z0-9 ]"","" ""))")," ведская стенка деревянная стандарт  доска 40х140мм  до 320см высота ")</f>
        <v xml:space="preserve"> ведская стенка деревянная стандарт  доска 40х140мм  до 320см высота </v>
      </c>
    </row>
    <row r="2513" spans="1:8" ht="127.5" x14ac:dyDescent="0.2">
      <c r="A2513" s="31" t="s">
        <v>5772</v>
      </c>
      <c r="B2513" s="27" t="s">
        <v>5773</v>
      </c>
      <c r="C2513" s="27" t="s">
        <v>5774</v>
      </c>
      <c r="D2513" s="33" t="s">
        <v>14</v>
      </c>
      <c r="E2513" s="34">
        <v>2</v>
      </c>
      <c r="F2513" s="34">
        <v>18</v>
      </c>
      <c r="G2513" s="10">
        <v>67056</v>
      </c>
      <c r="H2513" s="30" t="str">
        <f ca="1">IFERROR(__xludf.DUMMYFUNCTION("LOWER(REGEXREPLACE(B2513&amp;"" ""&amp;C2513,""[^а-яa-z0-9 ]"","" ""))")," тенка гимнастическая шведская деревянная  размеры не менее 2300х800мм  тенка гимнастическая шведская 2300х800мм   тенка гимнастическая деревянная представляет собой сборную деревянную конструкцию состоящую из двух боковин шириной 120мм  изготовленных из "&amp;"сосны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2300мм  ширина 800мм   редназначена для выполнения развивающих и общеукрепляющих"&amp;"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размеры не менее 2300х800мм  тенка гимнастическая шведская 2300х800мм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2300мм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4" spans="1:8" ht="127.5" x14ac:dyDescent="0.2">
      <c r="A2514" s="31" t="s">
        <v>5775</v>
      </c>
      <c r="B2514" s="27" t="s">
        <v>5776</v>
      </c>
      <c r="C2514" s="27" t="s">
        <v>5777</v>
      </c>
      <c r="D2514" s="33" t="s">
        <v>14</v>
      </c>
      <c r="E2514" s="34">
        <v>2</v>
      </c>
      <c r="F2514" s="34">
        <v>20</v>
      </c>
      <c r="G2514" s="10">
        <v>62010</v>
      </c>
      <c r="H2514" s="30" t="str">
        <f ca="1">IFERROR(__xludf.DUMMYFUNCTION("LOWER(REGEXREPLACE(B2514&amp;"" ""&amp;C2514,""[^а-яa-z0-9 ]"","" ""))")," тенка гимнастическая шведская деревянная     9465   азмеры 2500х800мм  тенка гимнастическая шведская 2500х800мм   тенка гимнастическая деревянная представляет собой сборную деревянную конструкцию состоящую из двух боковин шириной 120мм  изготовленных из "&amp;"сосны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2500мм  ширина 800мм   редназначена для выполнения развивающих и общеукрепляющих"&amp;"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9465   азмеры 2500х800мм  тенка гимнастическая шведская 2500х800мм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2500мм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5" spans="1:8" ht="127.5" x14ac:dyDescent="0.2">
      <c r="A2515" s="31" t="s">
        <v>5778</v>
      </c>
      <c r="B2515" s="27" t="s">
        <v>5779</v>
      </c>
      <c r="C2515" s="27" t="s">
        <v>5780</v>
      </c>
      <c r="D2515" s="33" t="s">
        <v>14</v>
      </c>
      <c r="E2515" s="34">
        <v>2</v>
      </c>
      <c r="F2515" s="34">
        <v>25</v>
      </c>
      <c r="G2515" s="10">
        <v>72691</v>
      </c>
      <c r="H2515" s="30" t="str">
        <f ca="1">IFERROR(__xludf.DUMMYFUNCTION("LOWER(REGEXREPLACE(B2515&amp;"" ""&amp;C2515,""[^а-яa-z0-9 ]"","" ""))")," тенка гимнастическая шведская деревянная     9320   азмеры 2800х1000мм  тенка гимнастическая шведская 2800х1000мм   тенка гимнастическая деревянная представляет собой сборную деревянную конструкцию состоящую из двух боковин шириной 120мм  изготовленных и"&amp;"з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редназначена для выполнения развивающих и общеукрепляю"&amp;"щих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9320   азмеры 2800х1000мм  тенка гимнастическая шведская 2800х1000мм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6" spans="1:8" ht="127.5" x14ac:dyDescent="0.2">
      <c r="A2516" s="31" t="s">
        <v>5781</v>
      </c>
      <c r="B2516" s="27" t="s">
        <v>5782</v>
      </c>
      <c r="C2516" s="27" t="s">
        <v>5783</v>
      </c>
      <c r="D2516" s="33" t="s">
        <v>14</v>
      </c>
      <c r="E2516" s="34">
        <v>2</v>
      </c>
      <c r="F2516" s="34">
        <v>23</v>
      </c>
      <c r="G2516" s="10">
        <v>73822</v>
      </c>
      <c r="H2516" s="30" t="str">
        <f ca="1">IFERROR(__xludf.DUMMYFUNCTION("LOWER(REGEXREPLACE(B2516&amp;"" ""&amp;C2516,""[^а-яa-z0-9 ]"","" ""))")," тенка гимнастическая шведская деревянная  размер не менее 2800х800мм  тенка гимнастическая шведская 2800х800мм   тенка гимнастическая деревянная представляет собой сборную деревянную конструкцию состоящую из двух боковин шириной 120мм  изготовленных из с"&amp;"осны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редназначена для выполнения развивающих и общеукрепляющих "&amp;"упражнений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размер не менее 2800х800мм  тенка гимнастическая шведская 2800х800мм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7" spans="1:8" ht="127.5" x14ac:dyDescent="0.2">
      <c r="A2517" s="31" t="s">
        <v>5784</v>
      </c>
      <c r="B2517" s="27" t="s">
        <v>5785</v>
      </c>
      <c r="C2517" s="27" t="s">
        <v>5786</v>
      </c>
      <c r="D2517" s="33" t="s">
        <v>14</v>
      </c>
      <c r="E2517" s="34">
        <v>2</v>
      </c>
      <c r="F2517" s="34">
        <v>27</v>
      </c>
      <c r="G2517" s="10">
        <v>72623</v>
      </c>
      <c r="H2517" s="30" t="str">
        <f ca="1">IFERROR(__xludf.DUMMYFUNCTION("LOWER(REGEXREPLACE(B2517&amp;"" ""&amp;C2517,""[^а-яa-z0-9 ]"","" ""))")," тенка гимнастическая шведская деревянная     9349   азмеры 3200х800мм  тенка гимнастическая шведская 3200х800мм   тенка гимнастическая деревянная представляет собой сборную деревянную конструкцию состоящую из двух боковин шириной 120мм  изготовленных из "&amp;"сосны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редназначена для выполнения развивающих и общеукрепляющих"&amp;"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9349   азмеры 3200х800мм  тенка гимнастическая шведская 3200х800мм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8" spans="1:8" ht="127.5" x14ac:dyDescent="0.2">
      <c r="A2518" s="31" t="s">
        <v>5787</v>
      </c>
      <c r="B2518" s="27" t="s">
        <v>5788</v>
      </c>
      <c r="C2518" s="27" t="s">
        <v>5789</v>
      </c>
      <c r="D2518" s="33" t="s">
        <v>14</v>
      </c>
      <c r="E2518" s="34">
        <v>2</v>
      </c>
      <c r="F2518" s="34">
        <v>30</v>
      </c>
      <c r="G2518" s="10">
        <v>77309</v>
      </c>
      <c r="H2518" s="30" t="str">
        <f ca="1">IFERROR(__xludf.DUMMYFUNCTION("LOWER(REGEXREPLACE(B2518&amp;"" ""&amp;C2518,""[^а-яa-z0-9 ]"","" ""))")," тенка гимнастическая шведская деревянная     9321   азмеры 3200х1000мм  тенка гимнастическая шведская 3200х1000мм   тенка гимнастическая деревянная представляет собой сборную деревянную конструкцию состоящую из двух боковин шириной 120мм  изготовленных и"&amp;"з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редназначена для выполнения развивающих и общеукрепляю"&amp;"щих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f>
        <v xml:space="preserve"> тенка гимнастическая шведская деревянная     9321   азмеры 3200х1000мм  тенка гимнастическая шведская 3200х1000мм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19" spans="1:8" ht="127.5" x14ac:dyDescent="0.2">
      <c r="A2519" s="31" t="s">
        <v>5790</v>
      </c>
      <c r="B2519" s="27" t="s">
        <v>5791</v>
      </c>
      <c r="C2519" s="27" t="s">
        <v>5792</v>
      </c>
      <c r="D2519" s="33" t="s">
        <v>14</v>
      </c>
      <c r="E2519" s="34">
        <v>2</v>
      </c>
      <c r="F2519" s="34">
        <v>27</v>
      </c>
      <c r="G2519" s="10">
        <v>77848</v>
      </c>
      <c r="H2519" s="30" t="str">
        <f ca="1">IFERROR(__xludf.DUMMYFUNCTION("LOWER(REGEXREPLACE(B2519&amp;"" ""&amp;C2519,""[^а-яa-z0-9 ]"","" ""))")," тенка гимнастическая шведская деревянная с выносом     2810   азмеры 2800х1000мм  тенка гимнастическая 2800х1000мм с выносом  тенка гимнастическая деревянная представляет собой сборную деревянную конструкцию состоящую из двух боковин шириной 120мм  изгот"&amp;"овленных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оставляется в собранном виде    турником   р"&amp;"едназначена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та"&amp;"к и на перекладинах стенок гимнастических ")</f>
        <v xml:space="preserve"> тенка гимнастическая шведская деревянная с выносом     2810   азмеры 2800х1000мм  тенка гимнастическая 2800х1000мм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0" spans="1:8" ht="127.5" x14ac:dyDescent="0.2">
      <c r="A2520" s="31" t="s">
        <v>5793</v>
      </c>
      <c r="B2520" s="27" t="s">
        <v>5794</v>
      </c>
      <c r="C2520" s="27" t="s">
        <v>5795</v>
      </c>
      <c r="D2520" s="33" t="s">
        <v>14</v>
      </c>
      <c r="E2520" s="34">
        <v>2</v>
      </c>
      <c r="F2520" s="34">
        <v>25</v>
      </c>
      <c r="G2520" s="10">
        <v>71785</v>
      </c>
      <c r="H2520" s="30" t="str">
        <f ca="1">IFERROR(__xludf.DUMMYFUNCTION("LOWER(REGEXREPLACE(B2520&amp;"" ""&amp;C2520,""[^а-яa-z0-9 ]"","" ""))")," тенка гимнастическая шведская деревянная с выносом     2880   азмеры 2800х800мм  тенка гимнастическая 2800х800мм с выносом  тенка гимнастическая деревянная представляет собой сборную деревянную конструкцию состоящую из двух боковин шириной 120мм  изготов"&amp;"ленных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оставляется в собранном виде    турником   редн"&amp;"азначена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и"&amp;" на перекладинах стенок гимнастических ")</f>
        <v xml:space="preserve"> тенка гимнастическая шведская деревянная с выносом     2880   азмеры 2800х800мм  тенка гимнастическая 2800х800мм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1" spans="1:8" ht="127.5" x14ac:dyDescent="0.2">
      <c r="A2521" s="31" t="s">
        <v>5796</v>
      </c>
      <c r="B2521" s="27" t="s">
        <v>5797</v>
      </c>
      <c r="C2521" s="27" t="s">
        <v>5798</v>
      </c>
      <c r="D2521" s="33" t="s">
        <v>14</v>
      </c>
      <c r="E2521" s="34">
        <v>2</v>
      </c>
      <c r="F2521" s="34">
        <v>29</v>
      </c>
      <c r="G2521" s="10">
        <v>76678</v>
      </c>
      <c r="H2521" s="30" t="str">
        <f ca="1">IFERROR(__xludf.DUMMYFUNCTION("LOWER(REGEXREPLACE(B2521&amp;"" ""&amp;C2521,""[^а-яa-z0-9 ]"","" ""))")," тенка гимнастическая шведская деревянная с выносом     3280   азмеры 3200х800мм  тенка гимнастическая 3200х800мм с выносом  тенка гимнастическая деревянная представляет собой сборную деревянную конструкцию состоящую из двух боковин шириной 120мм  изготов"&amp;"ленных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оставляется в собранном виде    турником   редн"&amp;"азначена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и"&amp;" на перекладинах стенок гимнастических ")</f>
        <v xml:space="preserve"> тенка гимнастическая шведская деревянная с выносом     3280   азмеры 3200х800мм  тенка гимнастическая 3200х800мм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2" spans="1:8" ht="127.5" x14ac:dyDescent="0.2">
      <c r="A2522" s="31" t="s">
        <v>5799</v>
      </c>
      <c r="B2522" s="27" t="s">
        <v>5800</v>
      </c>
      <c r="C2522" s="27" t="s">
        <v>5801</v>
      </c>
      <c r="D2522" s="33" t="s">
        <v>14</v>
      </c>
      <c r="E2522" s="34">
        <v>2</v>
      </c>
      <c r="F2522" s="34">
        <v>32</v>
      </c>
      <c r="G2522" s="10">
        <v>83495</v>
      </c>
      <c r="H2522" s="30" t="str">
        <f ca="1">IFERROR(__xludf.DUMMYFUNCTION("LOWER(REGEXREPLACE(B2522&amp;"" ""&amp;C2522,""[^а-яa-z0-9 ]"","" ""))")," тенка гимнастическая с выносом     3210   азмеры 3200х1000мм  тенка гимнастическая 3200х1000мм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"&amp;"покрытых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оставляется в собранном виде    турником   редназначена для выпо"&amp;"лнения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"&amp;"стенок гимнастических ")</f>
        <v xml:space="preserve"> тенка гимнастическая с выносом     3210   азмеры 3200х1000мм  тенка гимнастическая 3200х1000мм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v>
      </c>
    </row>
    <row r="2523" spans="1:8" ht="12.75" x14ac:dyDescent="0.2">
      <c r="A2523" s="31" t="s">
        <v>5802</v>
      </c>
      <c r="B2523" s="27" t="s">
        <v>5803</v>
      </c>
      <c r="C2523" s="27"/>
      <c r="D2523" s="33" t="s">
        <v>14</v>
      </c>
      <c r="E2523" s="9"/>
      <c r="F2523" s="32"/>
      <c r="G2523" s="10"/>
      <c r="H2523" s="30" t="str">
        <f ca="1">IFERROR(__xludf.DUMMYFUNCTION("LOWER(REGEXREPLACE(B2523&amp;"" ""&amp;C2523,""[^а-яa-z0-9 ]"","" ""))")," оска для гимнастической стенки ")</f>
        <v xml:space="preserve"> оска для гимнастической стенки </v>
      </c>
    </row>
    <row r="2524" spans="1:8" ht="12.75" x14ac:dyDescent="0.2">
      <c r="A2524" s="31" t="s">
        <v>5804</v>
      </c>
      <c r="B2524" s="27" t="s">
        <v>5805</v>
      </c>
      <c r="C2524" s="27"/>
      <c r="D2524" s="33" t="s">
        <v>14</v>
      </c>
      <c r="E2524" s="34">
        <v>1</v>
      </c>
      <c r="F2524" s="34">
        <v>8</v>
      </c>
      <c r="G2524" s="10">
        <v>13839</v>
      </c>
      <c r="H2524" s="30" t="str">
        <f ca="1">IFERROR(__xludf.DUMMYFUNCTION("LOWER(REGEXREPLACE(B2524&amp;"" ""&amp;C2524,""[^а-яa-z0-9 ]"","" ""))")," оска массажная приставная 150х30 см ")</f>
        <v xml:space="preserve"> оска массажная приставная 150х30 см </v>
      </c>
    </row>
    <row r="2525" spans="1:8" ht="12.75" x14ac:dyDescent="0.2">
      <c r="A2525" s="31" t="s">
        <v>5806</v>
      </c>
      <c r="B2525" s="27" t="s">
        <v>5807</v>
      </c>
      <c r="C2525" s="27"/>
      <c r="D2525" s="33" t="s">
        <v>14</v>
      </c>
      <c r="E2525" s="34">
        <v>1</v>
      </c>
      <c r="F2525" s="34">
        <v>8</v>
      </c>
      <c r="G2525" s="10">
        <v>14911</v>
      </c>
      <c r="H2525" s="30" t="str">
        <f ca="1">IFERROR(__xludf.DUMMYFUNCTION("LOWER(REGEXREPLACE(B2525&amp;"" ""&amp;C2525,""[^а-яa-z0-9 ]"","" ""))")," оска массажная приставная 180х30 см ")</f>
        <v xml:space="preserve"> оска массажная приставная 180х30 см </v>
      </c>
    </row>
    <row r="2526" spans="1:8" ht="12.75" x14ac:dyDescent="0.2">
      <c r="A2526" s="31" t="s">
        <v>5808</v>
      </c>
      <c r="B2526" s="27" t="s">
        <v>5809</v>
      </c>
      <c r="C2526" s="27"/>
      <c r="D2526" s="33" t="s">
        <v>14</v>
      </c>
      <c r="E2526" s="34">
        <v>1</v>
      </c>
      <c r="F2526" s="35">
        <v>9.5</v>
      </c>
      <c r="G2526" s="10">
        <v>26749</v>
      </c>
      <c r="H2526" s="30" t="str">
        <f ca="1">IFERROR(__xludf.DUMMYFUNCTION("LOWER(REGEXREPLACE(B2526&amp;"" ""&amp;C2526,""[^а-яa-z0-9 ]"","" ""))")," оска массажная приставная 200х30 см ")</f>
        <v xml:space="preserve"> оска массажная приставная 200х30 см </v>
      </c>
    </row>
    <row r="2527" spans="1:8" ht="12.75" x14ac:dyDescent="0.2">
      <c r="A2527" s="31" t="s">
        <v>5810</v>
      </c>
      <c r="B2527" s="27" t="s">
        <v>5811</v>
      </c>
      <c r="C2527" s="27"/>
      <c r="D2527" s="33" t="s">
        <v>14</v>
      </c>
      <c r="E2527" s="34">
        <v>1</v>
      </c>
      <c r="F2527" s="34">
        <v>15</v>
      </c>
      <c r="G2527" s="10">
        <v>10268</v>
      </c>
      <c r="H2527" s="30" t="str">
        <f ca="1">IFERROR(__xludf.DUMMYFUNCTION("LOWER(REGEXREPLACE(B2527&amp;"" ""&amp;C2527,""[^а-яa-z0-9 ]"","" ""))")," оска наклонная приставная 150x30 см ")</f>
        <v xml:space="preserve"> оска наклонная приставная 150x30 см </v>
      </c>
    </row>
    <row r="2528" spans="1:8" ht="12.75" x14ac:dyDescent="0.2">
      <c r="A2528" s="31" t="s">
        <v>5812</v>
      </c>
      <c r="B2528" s="27" t="s">
        <v>5813</v>
      </c>
      <c r="C2528" s="27"/>
      <c r="D2528" s="33" t="s">
        <v>14</v>
      </c>
      <c r="E2528" s="34">
        <v>1</v>
      </c>
      <c r="F2528" s="34">
        <v>15</v>
      </c>
      <c r="G2528" s="10">
        <v>11339</v>
      </c>
      <c r="H2528" s="30" t="str">
        <f ca="1">IFERROR(__xludf.DUMMYFUNCTION("LOWER(REGEXREPLACE(B2528&amp;"" ""&amp;C2528,""[^а-яa-z0-9 ]"","" ""))")," оска наклонная приставная 180x30 см ")</f>
        <v xml:space="preserve"> оска наклонная приставная 180x30 см </v>
      </c>
    </row>
    <row r="2529" spans="1:8" ht="12.75" x14ac:dyDescent="0.2">
      <c r="A2529" s="31" t="s">
        <v>5814</v>
      </c>
      <c r="B2529" s="27" t="s">
        <v>5815</v>
      </c>
      <c r="C2529" s="27"/>
      <c r="D2529" s="33" t="s">
        <v>14</v>
      </c>
      <c r="E2529" s="34">
        <v>1</v>
      </c>
      <c r="F2529" s="34">
        <v>20</v>
      </c>
      <c r="G2529" s="10">
        <v>12857</v>
      </c>
      <c r="H2529" s="30" t="str">
        <f ca="1">IFERROR(__xludf.DUMMYFUNCTION("LOWER(REGEXREPLACE(B2529&amp;"" ""&amp;C2529,""[^а-яa-z0-9 ]"","" ""))")," оска наклонная приставная 200x30 см ")</f>
        <v xml:space="preserve"> оска наклонная приставная 200x30 см </v>
      </c>
    </row>
    <row r="2530" spans="1:8" ht="89.25" x14ac:dyDescent="0.2">
      <c r="A2530" s="31" t="s">
        <v>5816</v>
      </c>
      <c r="B2530" s="27" t="s">
        <v>5817</v>
      </c>
      <c r="C2530" s="27" t="s">
        <v>5818</v>
      </c>
      <c r="D2530" s="33" t="s">
        <v>14</v>
      </c>
      <c r="E2530" s="34">
        <v>2</v>
      </c>
      <c r="F2530" s="34">
        <v>9</v>
      </c>
      <c r="G2530" s="10">
        <v>31910</v>
      </c>
      <c r="H2530" s="30" t="str">
        <f ca="1">IFERROR(__xludf.DUMMYFUNCTION("LOWER(REGEXREPLACE(B2530&amp;"" ""&amp;C2530,""[^а-яa-z0-9 ]"","" ""))")," оска наклонная ребристая 1 5м  дерево   оска наклонная ребристая 1 5м  дерево    азмеры 1500х240мм   атериал  березовая фанера 18 мм   оверхность доски навесной тщательно отшлифована и покрыта высококачественным тр хкомпонентным лаком в два слоя   ол во "&amp;"поперечных р бер  14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репл"&amp;"ение крючки ")</f>
        <v xml:space="preserve"> оска наклонная ребристая 1 5м  дерево   оска наклонная ребристая 1 5м  дерево    азмеры 1500х240мм   атериал  березовая фанера 18 мм   оверхность доски навесной тщательно отшлифована и покрыта высококачественным тр хкомпонентным лаком в два слоя   ол во поперечных р бер  14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v>
      </c>
    </row>
    <row r="2531" spans="1:8" ht="89.25" x14ac:dyDescent="0.2">
      <c r="A2531" s="31" t="s">
        <v>5819</v>
      </c>
      <c r="B2531" s="27" t="s">
        <v>5820</v>
      </c>
      <c r="C2531" s="27" t="s">
        <v>5821</v>
      </c>
      <c r="D2531" s="33" t="s">
        <v>14</v>
      </c>
      <c r="E2531" s="34">
        <v>2</v>
      </c>
      <c r="F2531" s="35">
        <v>10.5</v>
      </c>
      <c r="G2531" s="10">
        <v>39019</v>
      </c>
      <c r="H2531" s="30" t="str">
        <f ca="1">IFERROR(__xludf.DUMMYFUNCTION("LOWER(REGEXREPLACE(B2531&amp;"" ""&amp;C2531,""[^а-яa-z0-9 ]"","" ""))")," оска наклонная ребристая 1 8м     4708  дерево    азмеры 1800х300 мм   атериал  березовая фанера 25 мм  оска наклонная ребристая 1 8м     4708  дерево    азмеры 1800х300 мм   атериал  березовая фанера 25 мм   оверхность доски навесной тщательно отшлифова"&amp;"на и покрыта высококачественным тр хкомпонентным лаком в два слоя   ол во поперечных р бер  15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гим"&amp;"настическую стенку и выполнения различных гимнастических упражнений   репление крючки ")</f>
        <v xml:space="preserve"> оска наклонная ребристая 1 8м     4708  дерево    азмеры 1800х300 мм   атериал  березовая фанера 25 мм  оска наклонная ребристая 1 8м     4708  дерево    азмеры 1800х300 мм   атериал  березовая фанера 25 мм   оверхность доски навесной тщательно отшлифована и покрыта высококачественным тр хкомпонентным лаком в два слоя   ол во поперечных р бер  15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v>
      </c>
    </row>
    <row r="2532" spans="1:8" ht="89.25" x14ac:dyDescent="0.2">
      <c r="A2532" s="31" t="s">
        <v>5822</v>
      </c>
      <c r="B2532" s="27" t="s">
        <v>5823</v>
      </c>
      <c r="C2532" s="27" t="s">
        <v>5824</v>
      </c>
      <c r="D2532" s="33" t="s">
        <v>14</v>
      </c>
      <c r="E2532" s="34">
        <v>2</v>
      </c>
      <c r="F2532" s="34">
        <v>12</v>
      </c>
      <c r="G2532" s="10">
        <v>41816</v>
      </c>
      <c r="H2532" s="30" t="str">
        <f ca="1">IFERROR(__xludf.DUMMYFUNCTION("LOWER(REGEXREPLACE(B2532&amp;"" ""&amp;C2532,""[^а-яa-z0-9 ]"","" ""))")," оска наклонная ребристая 2м     9186  дерево    азмеры 2000х300 мм   атериал  березовая фанера 25 мм  оска наклонная ребристая 2м     9186  дерево    азмеры 2000х300 мм   атериал  березовая фанера 25 мм   оверхность доски навесной тщательно отшлифована и"&amp;" покрыта высококачественным тр хкомпонентным лаком в два слоя    ол во поперечных р бер  16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гимн"&amp;"астическую стенку и выполнения различных гимнастических упражнений   репление крючки ")</f>
        <v xml:space="preserve"> оска наклонная ребристая 2м     9186  дерево    азмеры 2000х300 мм   атериал  березовая фанера 25 мм  оска наклонная ребристая 2м     9186  дерево    азмеры 2000х300 мм   атериал  березовая фанера 25 мм   оверхность доски навесной тщательно отшлифована и покрыта высококачественным тр хкомпонентным лаком в два слоя    ол во поперечных р бер  16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v>
      </c>
    </row>
    <row r="2533" spans="1:8" ht="63.75" x14ac:dyDescent="0.2">
      <c r="A2533" s="31" t="s">
        <v>5825</v>
      </c>
      <c r="B2533" s="27" t="s">
        <v>5826</v>
      </c>
      <c r="C2533" s="27" t="s">
        <v>5827</v>
      </c>
      <c r="D2533" s="33" t="s">
        <v>14</v>
      </c>
      <c r="E2533" s="34">
        <v>2</v>
      </c>
      <c r="F2533" s="34">
        <v>8</v>
      </c>
      <c r="G2533" s="10">
        <v>25331</v>
      </c>
      <c r="H2533" s="30" t="str">
        <f ca="1">IFERROR(__xludf.DUMMYFUNCTION("LOWER(REGEXREPLACE(B2533&amp;"" ""&amp;C2533,""[^а-яa-z0-9 ]"","" ""))")," оска наклонная навесная 1 5м     2425   азмеры 1500х240 мм   атериал  березовая фанера 25 мм  оска наклонная навесная 1 5м     2425   азмеры 1500х240 мм   атериал  березовая фанера 25 мм   оверхность доски навесной тщательно отшлифована и покрыта высокок"&amp;"ачественным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f>
        <v xml:space="preserve"> оска наклонная навесная 1 5м     2425   азмеры 1500х240 мм   атериал  березовая фанера 25 мм  оска наклонная навесная 1 5м     2425   азмеры 1500х240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v>
      </c>
    </row>
    <row r="2534" spans="1:8" ht="63.75" x14ac:dyDescent="0.2">
      <c r="A2534" s="31" t="s">
        <v>5828</v>
      </c>
      <c r="B2534" s="27" t="s">
        <v>5829</v>
      </c>
      <c r="C2534" s="27" t="s">
        <v>5830</v>
      </c>
      <c r="D2534" s="33" t="s">
        <v>14</v>
      </c>
      <c r="E2534" s="34">
        <v>2</v>
      </c>
      <c r="F2534" s="35">
        <v>9.5</v>
      </c>
      <c r="G2534" s="10">
        <v>29615</v>
      </c>
      <c r="H2534" s="30" t="str">
        <f ca="1">IFERROR(__xludf.DUMMYFUNCTION("LOWER(REGEXREPLACE(B2534&amp;"" ""&amp;C2534,""[^а-яa-z0-9 ]"","" ""))")," оска наклонная навесная 1 8 м     2427   азмеры 1800х240 мм   атериал  березовая фанера 25 мм  оска наклонная навесная 1 8 м     2427   азмеры 1800х240 мм   атериал  березовая фанера 25 мм   оверхность доски навесной тщательно отшлифована и покрыта высок"&amp;"окачественным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f>
        <v xml:space="preserve"> оска наклонная навесная 1 8 м     2427   азмеры 1800х240 мм   атериал  березовая фанера 25 мм  оска наклонная навесная 1 8 м     2427   азмеры 1800х240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v>
      </c>
    </row>
    <row r="2535" spans="1:8" ht="63.75" x14ac:dyDescent="0.2">
      <c r="A2535" s="31" t="s">
        <v>5831</v>
      </c>
      <c r="B2535" s="27" t="s">
        <v>5832</v>
      </c>
      <c r="C2535" s="27" t="s">
        <v>5833</v>
      </c>
      <c r="D2535" s="33" t="s">
        <v>14</v>
      </c>
      <c r="E2535" s="34">
        <v>2</v>
      </c>
      <c r="F2535" s="34">
        <v>11</v>
      </c>
      <c r="G2535" s="10">
        <v>32672</v>
      </c>
      <c r="H2535" s="30" t="str">
        <f ca="1">IFERROR(__xludf.DUMMYFUNCTION("LOWER(REGEXREPLACE(B2535&amp;"" ""&amp;C2535,""[^а-яa-z0-9 ]"","" ""))")," оска наклонная навесная 2м     9185   азмеры 2000х240 мм   атериал  березовая фанера 25 мм  оска наклонная навесная 2м     9185   азмеры 2000х240 мм   атериал  березовая фанера 25 мм   оверхность доски навесной тщательно отшлифована и покрыта высококачес"&amp;"твенным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f>
        <v xml:space="preserve"> оска наклонная навесная 2м     9185   азмеры 2000х240 мм   атериал  березовая фанера 25 мм  оска наклонная навесная 2м     9185   азмеры 2000х240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v>
      </c>
    </row>
    <row r="2536" spans="1:8" ht="12.75" x14ac:dyDescent="0.2">
      <c r="A2536" s="31" t="s">
        <v>5834</v>
      </c>
      <c r="B2536" s="27" t="s">
        <v>5835</v>
      </c>
      <c r="C2536" s="27"/>
      <c r="D2536" s="33" t="s">
        <v>14</v>
      </c>
      <c r="E2536" s="9"/>
      <c r="F2536" s="32"/>
      <c r="G2536" s="10"/>
      <c r="H2536" s="30" t="str">
        <f ca="1">IFERROR(__xludf.DUMMYFUNCTION("LOWER(REGEXREPLACE(B2536&amp;"" ""&amp;C2536,""[^а-яa-z0-9 ]"","" ""))")," камейка гимнастическая ")</f>
        <v xml:space="preserve"> камейка гимнастическая </v>
      </c>
    </row>
    <row r="2537" spans="1:8" ht="12.75" x14ac:dyDescent="0.2">
      <c r="A2537" s="31" t="s">
        <v>5836</v>
      </c>
      <c r="B2537" s="27" t="s">
        <v>5837</v>
      </c>
      <c r="C2537" s="27"/>
      <c r="D2537" s="33" t="s">
        <v>14</v>
      </c>
      <c r="E2537" s="34">
        <v>1</v>
      </c>
      <c r="F2537" s="34">
        <v>21</v>
      </c>
      <c r="G2537" s="10">
        <v>14286</v>
      </c>
      <c r="H2537" s="30" t="str">
        <f ca="1">IFERROR(__xludf.DUMMYFUNCTION("LOWER(REGEXREPLACE(B2537&amp;"" ""&amp;C2537,""[^а-яa-z0-9 ]"","" ""))")," камья гимнастическая 150х23х30см ")</f>
        <v xml:space="preserve"> камья гимнастическая 150х23х30см </v>
      </c>
    </row>
    <row r="2538" spans="1:8" ht="12.75" x14ac:dyDescent="0.2">
      <c r="A2538" s="31" t="s">
        <v>5838</v>
      </c>
      <c r="B2538" s="27" t="s">
        <v>5839</v>
      </c>
      <c r="C2538" s="27"/>
      <c r="D2538" s="33" t="s">
        <v>14</v>
      </c>
      <c r="E2538" s="34">
        <v>1</v>
      </c>
      <c r="F2538" s="34">
        <v>21</v>
      </c>
      <c r="G2538" s="10">
        <v>15179</v>
      </c>
      <c r="H2538" s="30" t="str">
        <f ca="1">IFERROR(__xludf.DUMMYFUNCTION("LOWER(REGEXREPLACE(B2538&amp;"" ""&amp;C2538,""[^а-яa-z0-9 ]"","" ""))")," камья гимнастическая 200х23х30см ")</f>
        <v xml:space="preserve"> камья гимнастическая 200х23х30см </v>
      </c>
    </row>
    <row r="2539" spans="1:8" ht="12.75" x14ac:dyDescent="0.2">
      <c r="A2539" s="31" t="s">
        <v>5840</v>
      </c>
      <c r="B2539" s="27" t="s">
        <v>5841</v>
      </c>
      <c r="C2539" s="27"/>
      <c r="D2539" s="33" t="s">
        <v>14</v>
      </c>
      <c r="E2539" s="34">
        <v>1</v>
      </c>
      <c r="F2539" s="34">
        <v>21</v>
      </c>
      <c r="G2539" s="10">
        <v>16071</v>
      </c>
      <c r="H2539" s="30" t="str">
        <f ca="1">IFERROR(__xludf.DUMMYFUNCTION("LOWER(REGEXREPLACE(B2539&amp;"" ""&amp;C2539,""[^а-яa-z0-9 ]"","" ""))")," камья гимнастическая 250х23х30см ")</f>
        <v xml:space="preserve"> камья гимнастическая 250х23х30см </v>
      </c>
    </row>
    <row r="2540" spans="1:8" ht="12.75" x14ac:dyDescent="0.2">
      <c r="A2540" s="31" t="s">
        <v>5842</v>
      </c>
      <c r="B2540" s="27" t="s">
        <v>5843</v>
      </c>
      <c r="C2540" s="27"/>
      <c r="D2540" s="33" t="s">
        <v>14</v>
      </c>
      <c r="E2540" s="34">
        <v>1</v>
      </c>
      <c r="F2540" s="34">
        <v>23</v>
      </c>
      <c r="G2540" s="10">
        <v>18750</v>
      </c>
      <c r="H2540" s="30" t="str">
        <f ca="1">IFERROR(__xludf.DUMMYFUNCTION("LOWER(REGEXREPLACE(B2540&amp;"" ""&amp;C2540,""[^а-яa-z0-9 ]"","" ""))")," камья гимнастическая 300х23х30см ")</f>
        <v xml:space="preserve"> камья гимнастическая 300х23х30см </v>
      </c>
    </row>
    <row r="2541" spans="1:8" ht="12.75" x14ac:dyDescent="0.2">
      <c r="A2541" s="31" t="s">
        <v>5844</v>
      </c>
      <c r="B2541" s="27" t="s">
        <v>5845</v>
      </c>
      <c r="C2541" s="27"/>
      <c r="D2541" s="33" t="s">
        <v>14</v>
      </c>
      <c r="E2541" s="34">
        <v>1</v>
      </c>
      <c r="F2541" s="34">
        <v>23</v>
      </c>
      <c r="G2541" s="10">
        <v>20536</v>
      </c>
      <c r="H2541" s="30" t="str">
        <f ca="1">IFERROR(__xludf.DUMMYFUNCTION("LOWER(REGEXREPLACE(B2541&amp;"" ""&amp;C2541,""[^а-яa-z0-9 ]"","" ""))")," камья гимнастическая 350х23х30см ")</f>
        <v xml:space="preserve"> камья гимнастическая 350х23х30см </v>
      </c>
    </row>
    <row r="2542" spans="1:8" ht="12.75" x14ac:dyDescent="0.2">
      <c r="A2542" s="31" t="s">
        <v>5846</v>
      </c>
      <c r="B2542" s="27" t="s">
        <v>5847</v>
      </c>
      <c r="C2542" s="27"/>
      <c r="D2542" s="33" t="s">
        <v>14</v>
      </c>
      <c r="E2542" s="34">
        <v>1</v>
      </c>
      <c r="F2542" s="34">
        <v>28</v>
      </c>
      <c r="G2542" s="10">
        <v>22321</v>
      </c>
      <c r="H2542" s="30" t="str">
        <f ca="1">IFERROR(__xludf.DUMMYFUNCTION("LOWER(REGEXREPLACE(B2542&amp;"" ""&amp;C2542,""[^а-яa-z0-9 ]"","" ""))")," камья гимнастическая 400х23х30см ")</f>
        <v xml:space="preserve"> камья гимнастическая 400х23х30см </v>
      </c>
    </row>
    <row r="2543" spans="1:8" ht="25.5" x14ac:dyDescent="0.2">
      <c r="A2543" s="31" t="s">
        <v>5848</v>
      </c>
      <c r="B2543" s="27" t="s">
        <v>5849</v>
      </c>
      <c r="C2543" s="27" t="s">
        <v>5850</v>
      </c>
      <c r="D2543" s="33" t="s">
        <v>14</v>
      </c>
      <c r="E2543" s="9"/>
      <c r="F2543" s="32"/>
      <c r="G2543" s="10">
        <v>20593</v>
      </c>
      <c r="H2543" s="30" t="str">
        <f ca="1">IFERROR(__xludf.DUMMYFUNCTION("LOWER(REGEXREPLACE(B2543&amp;"" ""&amp;C2543,""[^а-яa-z0-9 ]"","" ""))")," камья гимнастическая  размеры не менее 2000х240х300мм  камейка гимнастическая покрыта качественным мебельным  лаком на водной основе")</f>
        <v xml:space="preserve"> камья гимнастическая  размеры не менее 2000х240х300мм  камейка гимнастическая покрыта качественным мебельным  лаком на водной основе</v>
      </c>
    </row>
    <row r="2544" spans="1:8" ht="127.5" x14ac:dyDescent="0.2">
      <c r="A2544" s="31" t="s">
        <v>5851</v>
      </c>
      <c r="B2544" s="27" t="s">
        <v>5852</v>
      </c>
      <c r="C2544" s="27" t="s">
        <v>5853</v>
      </c>
      <c r="D2544" s="33" t="s">
        <v>14</v>
      </c>
      <c r="E2544" s="34">
        <v>2</v>
      </c>
      <c r="F2544" s="36">
        <v>10.25</v>
      </c>
      <c r="G2544" s="10">
        <v>41461</v>
      </c>
      <c r="H2544" s="30" t="str">
        <f ca="1">IFERROR(__xludf.DUMMYFUNCTION("LOWER(REGEXREPLACE(B2544&amp;"" ""&amp;C2544,""[^а-яa-z0-9 ]"","" ""))")," камья гимнастическая с металлическими опорами     9362   лина скамейки 1500 мм  ширина 240мм  высота 320мм  камья гимнастическая с металлическими опорами     9362   лина скамейки 1500 мм  ширина 240мм  высота 320мм   камейка гимнастическая представляет с"&amp;"обой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пов"&amp;"ышенная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напыл"&amp;"ения в электростатическом поле ")</f>
        <v xml:space="preserve"> камья гимнастическая с металлическими опорами     9362   лина скамейки 1500 мм  ширина 240мм  высота 320мм  камья гимнастическая с металлическими опорами     9362   лина скамейки 1500 мм  ширина 240мм  высота 320мм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v>
      </c>
    </row>
    <row r="2545" spans="1:8" ht="140.25" x14ac:dyDescent="0.2">
      <c r="A2545" s="31" t="s">
        <v>5854</v>
      </c>
      <c r="B2545" s="27" t="s">
        <v>5855</v>
      </c>
      <c r="C2545" s="27" t="s">
        <v>5856</v>
      </c>
      <c r="D2545" s="33" t="s">
        <v>14</v>
      </c>
      <c r="E2545" s="34">
        <v>2</v>
      </c>
      <c r="F2545" s="35">
        <v>15.5</v>
      </c>
      <c r="G2545" s="10">
        <v>56725</v>
      </c>
      <c r="H2545" s="30" t="str">
        <f ca="1">IFERROR(__xludf.DUMMYFUNCTION("LOWER(REGEXREPLACE(B2545&amp;"" ""&amp;C2545,""[^а-яa-z0-9 ]"","" ""))")," камья гимнастическая с металлическими опорами  длина не менее 2000мм  азмеры не менее  длина скамейки 2000 мм  ширина 240мм  высота 340мм   камейка гимнастическая представляет собой сборную конструкцию состоящую из верхней и нижней доски соединенных межд"&amp;"у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б"&amp;"езвредным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f>
        <v xml:space="preserve"> камья гимнастическая с металлическими опорами  длина не менее 2000мм  азмеры не менее  длина скамейки 2000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v>
      </c>
    </row>
    <row r="2546" spans="1:8" ht="102" x14ac:dyDescent="0.2">
      <c r="A2546" s="31" t="s">
        <v>5857</v>
      </c>
      <c r="B2546" s="27" t="s">
        <v>5858</v>
      </c>
      <c r="C2546" s="27" t="s">
        <v>5859</v>
      </c>
      <c r="D2546" s="33" t="s">
        <v>14</v>
      </c>
      <c r="E2546" s="34">
        <v>2</v>
      </c>
      <c r="F2546" s="34">
        <v>25</v>
      </c>
      <c r="G2546" s="10">
        <v>71325</v>
      </c>
      <c r="H2546" s="30" t="str">
        <f ca="1">IFERROR(__xludf.DUMMYFUNCTION("LOWER(REGEXREPLACE(B2546&amp;"" ""&amp;C2546,""[^а-яa-z0-9 ]"","" ""))")," камья гимнастическая с металлическими опорами  длина не менее 2500 мм  азмеры не менее  длина скамейки 2500 мм  ширина 240мм  высота 340мм   камейка гимнастическая представляет собой сборную конструкцию состоящую из верхней и нижней доски соединенных меж"&amp;"ду собой двумя металлическими опорами    иденье и царга скамьи выполнены из мебельного щита сосны высшего сорта   имнастическая скамейка окрашена безвредным полиуретановым лаком в два слоя с промежуточной шлифовкой   еталлические ножки скамейки покрыты по"&amp;"рошковым высокопрочным полимерным покрытием цвета графит методом напыления в электростатическом поле")</f>
        <v xml:space="preserve"> камья гимнастическая с металлическими опорами  длина не менее 2500 мм  азмеры не менее  длина скамейки 2500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v>
      </c>
    </row>
    <row r="2547" spans="1:8" ht="127.5" x14ac:dyDescent="0.2">
      <c r="A2547" s="31" t="s">
        <v>5860</v>
      </c>
      <c r="B2547" s="27" t="s">
        <v>5861</v>
      </c>
      <c r="C2547" s="27" t="s">
        <v>5862</v>
      </c>
      <c r="D2547" s="33" t="s">
        <v>14</v>
      </c>
      <c r="E2547" s="34">
        <v>2</v>
      </c>
      <c r="F2547" s="35">
        <v>30.5</v>
      </c>
      <c r="G2547" s="10">
        <v>79983</v>
      </c>
      <c r="H2547" s="30" t="str">
        <f ca="1">IFERROR(__xludf.DUMMYFUNCTION("LOWER(REGEXREPLACE(B2547&amp;"" ""&amp;C2547,""[^а-яa-z0-9 ]"","" ""))")," камья гимнастическая с металлическими опорами     9253   лина скамейки 3000 мм  ширина 240мм  высота 340мм  камья гимнастическая с металлическими опорами     9253   лина скамейки 3000 мм  ширина 240мм  высота 340мм   камейка гимнастическая представляет с"&amp;"обой сборную конструкцию состоящую из верхней и нижней доски соединенных между собой двум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повыш"&amp;"енная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напылен"&amp;"ия в электростатическом поле")</f>
        <v xml:space="preserve"> камья гимнастическая с металлическими опорами     9253   лина скамейки 3000 мм  ширина 240мм  высота 340мм  камья гимнастическая с металлическими опорами     9253   лина скамейки 3000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v>
      </c>
    </row>
    <row r="2548" spans="1:8" ht="102" x14ac:dyDescent="0.2">
      <c r="A2548" s="31" t="s">
        <v>5863</v>
      </c>
      <c r="B2548" s="8" t="s">
        <v>5864</v>
      </c>
      <c r="C2548" s="27" t="s">
        <v>5865</v>
      </c>
      <c r="D2548" s="33" t="s">
        <v>14</v>
      </c>
      <c r="E2548" s="34">
        <v>2</v>
      </c>
      <c r="F2548" s="34">
        <v>18</v>
      </c>
      <c r="G2548" s="10">
        <v>69737</v>
      </c>
      <c r="H2548" s="30" t="str">
        <f ca="1">IFERROR(__xludf.DUMMYFUNCTION("LOWER(REGEXREPLACE(B2548&amp;"" ""&amp;C2548,""[^а-яa-z0-9 ]"","" ""))")," камья для раздевалок без спинки     4853   ыполнена из массива дерева с металлическими опорами  а также оснащена полкой для обуви   азмеры  высота   425 мм  ширина посадочного места   350 мм  длина   2000 мм  камья для раздевалок без спинки     4853   ып"&amp;"олнена из массива дерева с металлическими опорами  а также оснащена полкой для обуви   ыполнена из цельносварной металлической рамы и четырех досок   варные швы  края и деревянная поверхность тщательно обработаны и зачищены  поэтому не представляют опасно"&amp;"сти   оски покрыты влагостойким лаком   ри покраске металлопрофиля использован порошковый способ покраски   азмеры  высота   425 мм  ширина посадочного места   350 мм  длина   2000 мм ")</f>
        <v xml:space="preserve"> камья для раздевалок без спинки     4853   ыполнена из массива дерева с металлическими опорами  а также оснащена полкой для обуви   азмеры  высота   425 мм  ширина посадочного места   350 мм  длина   2000 мм  камья для раздевалок без спинки     4853   ыполнена из массива дерева с металлическими опорами  а также оснащена полкой для обуви   ыполнена из цельносварной металлической рамы и четырех досок   варные швы  края и деревянная поверхность тщательно обработаны и зачищены  поэтому не представляют опасности   оски покрыты влагостойким лаком   ри покраске металлопрофиля использован порошковый способ покраски   азмеры  высота   425 мм  ширина посадочного места   350 мм  длина   2000 мм </v>
      </c>
    </row>
    <row r="2549" spans="1:8" ht="38.25" x14ac:dyDescent="0.2">
      <c r="A2549" s="31" t="s">
        <v>5866</v>
      </c>
      <c r="B2549" s="27" t="s">
        <v>5867</v>
      </c>
      <c r="C2549" s="27" t="s">
        <v>5868</v>
      </c>
      <c r="D2549" s="33" t="s">
        <v>14</v>
      </c>
      <c r="E2549" s="34">
        <v>2</v>
      </c>
      <c r="F2549" s="34">
        <v>17</v>
      </c>
      <c r="G2549" s="10">
        <v>30343</v>
      </c>
      <c r="H2549" s="30" t="str">
        <f ca="1">IFERROR(__xludf.DUMMYFUNCTION("LOWER(REGEXREPLACE(B2549&amp;"" ""&amp;C2549,""[^а-яa-z0-9 ]"","" ""))")," камья деревянная на металлической основе 1500х300х450 мм  аркас изготовлен из профильной трубы квадратного сечения 25х25 мм   толщиной 1 5 мм  покраска полимерно порошковой краской   иденье      16 мм   торцы закатаны кромочным материалом     1 5 мм ")</f>
        <v xml:space="preserve"> камья деревянная на металлической основе 1500х300х450 мм  аркас изготовлен из профильной трубы квадратного сечения 25х25 мм   толщиной 1 5 мм  покраска полимерно порошковой краской   иденье      16 мм   торцы закатаны кромочным материалом     1 5 мм </v>
      </c>
    </row>
    <row r="2550" spans="1:8" ht="12.75" x14ac:dyDescent="0.2">
      <c r="A2550" s="31" t="s">
        <v>5869</v>
      </c>
      <c r="B2550" s="27" t="s">
        <v>5870</v>
      </c>
      <c r="C2550" s="27"/>
      <c r="D2550" s="33" t="s">
        <v>14</v>
      </c>
      <c r="E2550" s="9"/>
      <c r="F2550" s="32"/>
      <c r="G2550" s="10"/>
      <c r="H2550" s="30" t="str">
        <f ca="1">IFERROR(__xludf.DUMMYFUNCTION("LOWER(REGEXREPLACE(B2550&amp;"" ""&amp;C2550,""[^а-яa-z0-9 ]"","" ""))")," анат для перетягивания ")</f>
        <v xml:space="preserve"> анат для перетягивания </v>
      </c>
    </row>
    <row r="2551" spans="1:8" ht="51" x14ac:dyDescent="0.2">
      <c r="A2551" s="31" t="s">
        <v>5871</v>
      </c>
      <c r="B2551" s="27" t="s">
        <v>5872</v>
      </c>
      <c r="C2551" s="27" t="s">
        <v>5873</v>
      </c>
      <c r="D2551" s="33" t="s">
        <v>14</v>
      </c>
      <c r="E2551" s="34">
        <v>2</v>
      </c>
      <c r="F2551" s="34">
        <v>7</v>
      </c>
      <c r="G2551" s="10">
        <v>81878</v>
      </c>
      <c r="H2551" s="30" t="str">
        <f ca="1">IFERROR(__xludf.DUMMYFUNCTION("LOWER(REGEXREPLACE(B2551&amp;"" ""&amp;C2551,""[^а-яa-z0-9 ]"","" ""))")," анат для перетягивания  длина не менее 10м  диаметр не менее 40мм  анат для перетягивания   лина  не менее 10м  диаметр не менее 40мм   атериал  3 х прядная крученая хлопчатобумажная пряжа   а концах каната для перетягивания предусмотрены специальные чех"&amp;"лы для того  чтобы предотвратить распушение и продлить срок службы ")</f>
        <v xml:space="preserve"> анат для перетягивания  длина не менее 10м  диаметр не менее 40мм  анат для перетягивания   лина  не менее 10м  диаметр не менее 40мм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распушение и продлить срок службы </v>
      </c>
    </row>
    <row r="2552" spans="1:8" ht="102" x14ac:dyDescent="0.2">
      <c r="A2552" s="31" t="s">
        <v>5874</v>
      </c>
      <c r="B2552" s="27" t="s">
        <v>5875</v>
      </c>
      <c r="C2552" s="27" t="s">
        <v>5876</v>
      </c>
      <c r="D2552" s="33" t="s">
        <v>14</v>
      </c>
      <c r="E2552" s="34">
        <v>2</v>
      </c>
      <c r="F2552" s="35">
        <v>8.6999999999999993</v>
      </c>
      <c r="G2552" s="10">
        <v>90394</v>
      </c>
      <c r="H2552" s="30" t="str">
        <f ca="1">IFERROR(__xludf.DUMMYFUNCTION("LOWER(REGEXREPLACE(B2552&amp;"" ""&amp;C2552,""[^а-яa-z0-9 ]"","" ""))")," анат для перетягивания 12м  40мм  анат для перетягивания 12м  40мм   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хорош"&amp;"о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предо"&amp;"твратить распушение и продлить срок службы ")</f>
        <v xml:space="preserve"> анат для перетягивания 12м  40мм  анат для перетягивания 12м  40мм   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предотвратить распушение и продлить срок службы </v>
      </c>
    </row>
    <row r="2553" spans="1:8" ht="51" x14ac:dyDescent="0.2">
      <c r="A2553" s="31" t="s">
        <v>5877</v>
      </c>
      <c r="B2553" s="27" t="s">
        <v>5878</v>
      </c>
      <c r="C2553" s="27" t="s">
        <v>5879</v>
      </c>
      <c r="D2553" s="33" t="s">
        <v>14</v>
      </c>
      <c r="E2553" s="34">
        <v>2</v>
      </c>
      <c r="F2553" s="34">
        <v>6</v>
      </c>
      <c r="G2553" s="10">
        <v>52398</v>
      </c>
      <c r="H2553" s="30" t="str">
        <f ca="1">IFERROR(__xludf.DUMMYFUNCTION("LOWER(REGEXREPLACE(B2553&amp;"" ""&amp;C2553,""[^а-яa-z0-9 ]"","" ""))")," анат для перетягивания  длина 10м  диаметр 30мм  анат для перетягивания   лина  10м  диаметр 30мм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рас"&amp;"пушение и продлить срок службы ")</f>
        <v xml:space="preserve"> анат для перетягивания  длина 10м  диаметр 30мм  анат для перетягивания   лина  10м  диаметр 30мм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распушение и продлить срок службы </v>
      </c>
    </row>
    <row r="2554" spans="1:8" ht="102" x14ac:dyDescent="0.2">
      <c r="A2554" s="31" t="s">
        <v>5880</v>
      </c>
      <c r="B2554" s="27" t="s">
        <v>5881</v>
      </c>
      <c r="C2554" s="27" t="s">
        <v>5882</v>
      </c>
      <c r="D2554" s="33" t="s">
        <v>14</v>
      </c>
      <c r="E2554" s="34">
        <v>2</v>
      </c>
      <c r="F2554" s="35">
        <v>7.9</v>
      </c>
      <c r="G2554" s="10">
        <v>62621</v>
      </c>
      <c r="H2554" s="30" t="str">
        <f ca="1">IFERROR(__xludf.DUMMYFUNCTION("LOWER(REGEXREPLACE(B2554&amp;"" ""&amp;C2554,""[^а-яa-z0-9 ]"","" ""))")," анат для перетягивания 12м  30мм  анат для перетягивания 12м  30мм   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хорош"&amp;"о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предо"&amp;"твратить распушение и продлить срок службы ")</f>
        <v xml:space="preserve"> анат для перетягивания 12м  30мм  анат для перетягивания 12м  30мм   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предотвратить распушение и продлить срок службы </v>
      </c>
    </row>
    <row r="2555" spans="1:8" ht="63.75" x14ac:dyDescent="0.2">
      <c r="A2555" s="31" t="s">
        <v>5883</v>
      </c>
      <c r="B2555" s="27" t="s">
        <v>5884</v>
      </c>
      <c r="C2555" s="27" t="s">
        <v>5885</v>
      </c>
      <c r="D2555" s="33" t="s">
        <v>14</v>
      </c>
      <c r="E2555" s="34">
        <v>2</v>
      </c>
      <c r="F2555" s="35">
        <v>7.2</v>
      </c>
      <c r="G2555" s="10">
        <v>74395</v>
      </c>
      <c r="H2555" s="30" t="str">
        <f ca="1">IFERROR(__xludf.DUMMYFUNCTION("LOWER(REGEXREPLACE(B2555&amp;"" ""&amp;C2555,""[^а-яa-z0-9 ]"","" ""))")," анат для кроссфита  длина 9 м  диаметр 50 мм  нейлон с вставками из красного нейлона  анат для кроссфита 9м диаметр 50мм   россфит тренинг   канат является одним из приоритетных спортивных снарядов в этом направлении спорта  так как эффект от тренировок "&amp;"повышает выносливость  скорость  сила которую вы получите от тренировок с кроссфит канатом   атериал каната   100   нейлон с вставками из красного нейлона ")</f>
        <v xml:space="preserve"> анат для кроссфита  длина 9 м  диаметр 50 мм  нейлон с вставками из красного нейлона  анат для кроссфита 9м диаметр 50мм   россфит тренинг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атериал каната   100   нейлон с вставками из красного нейлона </v>
      </c>
    </row>
    <row r="2556" spans="1:8" ht="63.75" x14ac:dyDescent="0.2">
      <c r="A2556" s="31" t="s">
        <v>5886</v>
      </c>
      <c r="B2556" s="27" t="s">
        <v>5887</v>
      </c>
      <c r="C2556" s="27" t="s">
        <v>5888</v>
      </c>
      <c r="D2556" s="33" t="s">
        <v>14</v>
      </c>
      <c r="E2556" s="34">
        <v>2</v>
      </c>
      <c r="F2556" s="35">
        <v>9.1999999999999993</v>
      </c>
      <c r="G2556" s="10">
        <v>99192</v>
      </c>
      <c r="H2556" s="30" t="str">
        <f ca="1">IFERROR(__xludf.DUMMYFUNCTION("LOWER(REGEXREPLACE(B2556&amp;"" ""&amp;C2556,""[^а-яa-z0-9 ]"","" ""))")," анат для кроссфита  длина 12 м  диаметр 50 мм  нейлон с вставками из красного нейлона  анат для кроссфита 12м диаметр 50мм   россфит тренинг   канат является одним из приоритетных спортивных снарядов в этом направлении спорта  так как эффект от тренирово"&amp;"к повышает выносливость  скорость  сила которую вы получите от тренировок с кроссфит канатом   атериал каната   100   нейлон с вставками из красного нейлона ")</f>
        <v xml:space="preserve"> анат для кроссфита  длина 12 м  диаметр 50 мм  нейлон с вставками из красного нейлона  анат для кроссфита 12м диаметр 50мм   россфит тренинг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атериал каната   100   нейлон с вставками из красного нейлона </v>
      </c>
    </row>
    <row r="2557" spans="1:8" ht="12.75" x14ac:dyDescent="0.2">
      <c r="A2557" s="31" t="s">
        <v>5889</v>
      </c>
      <c r="B2557" s="27" t="s">
        <v>5890</v>
      </c>
      <c r="C2557" s="27"/>
      <c r="D2557" s="33" t="s">
        <v>14</v>
      </c>
      <c r="E2557" s="9"/>
      <c r="F2557" s="32"/>
      <c r="G2557" s="10"/>
      <c r="H2557" s="30" t="str">
        <f ca="1">IFERROR(__xludf.DUMMYFUNCTION("LOWER(REGEXREPLACE(B2557&amp;"" ""&amp;C2557,""[^а-яa-z0-9 ]"","" ""))")," анат для лазания ")</f>
        <v xml:space="preserve"> анат для лазания </v>
      </c>
    </row>
    <row r="2558" spans="1:8" ht="12.75" x14ac:dyDescent="0.2">
      <c r="A2558" s="31" t="s">
        <v>5891</v>
      </c>
      <c r="B2558" s="27" t="s">
        <v>5892</v>
      </c>
      <c r="C2558" s="27"/>
      <c r="D2558" s="33" t="s">
        <v>14</v>
      </c>
      <c r="E2558" s="34">
        <v>1</v>
      </c>
      <c r="F2558" s="35">
        <v>1.8</v>
      </c>
      <c r="G2558" s="10">
        <v>2857</v>
      </c>
      <c r="H2558" s="30" t="str">
        <f ca="1">IFERROR(__xludf.DUMMYFUNCTION("LOWER(REGEXREPLACE(B2558&amp;"" ""&amp;C2558,""[^а-яa-z0-9 ]"","" ""))")," анат спортивный 32мм ")</f>
        <v xml:space="preserve"> анат спортивный 32мм </v>
      </c>
    </row>
    <row r="2559" spans="1:8" ht="12.75" x14ac:dyDescent="0.2">
      <c r="A2559" s="31" t="s">
        <v>5893</v>
      </c>
      <c r="B2559" s="27" t="s">
        <v>5894</v>
      </c>
      <c r="C2559" s="27"/>
      <c r="D2559" s="33" t="s">
        <v>14</v>
      </c>
      <c r="E2559" s="34">
        <v>1</v>
      </c>
      <c r="F2559" s="35">
        <v>2.1</v>
      </c>
      <c r="G2559" s="10">
        <v>6071</v>
      </c>
      <c r="H2559" s="30" t="str">
        <f ca="1">IFERROR(__xludf.DUMMYFUNCTION("LOWER(REGEXREPLACE(B2559&amp;"" ""&amp;C2559,""[^а-яa-z0-9 ]"","" ""))")," анат спортивный 50мм ")</f>
        <v xml:space="preserve"> анат спортивный 50мм </v>
      </c>
    </row>
    <row r="2560" spans="1:8" ht="12.75" x14ac:dyDescent="0.2">
      <c r="A2560" s="31" t="s">
        <v>5895</v>
      </c>
      <c r="B2560" s="27" t="s">
        <v>5896</v>
      </c>
      <c r="C2560" s="27"/>
      <c r="D2560" s="33" t="s">
        <v>14</v>
      </c>
      <c r="E2560" s="34">
        <v>1</v>
      </c>
      <c r="F2560" s="34">
        <v>2</v>
      </c>
      <c r="G2560" s="10">
        <v>4018</v>
      </c>
      <c r="H2560" s="30" t="str">
        <f ca="1">IFERROR(__xludf.DUMMYFUNCTION("LOWER(REGEXREPLACE(B2560&amp;"" ""&amp;C2560,""[^а-яa-z0-9 ]"","" ""))")," анат спортивный 40мм ")</f>
        <v xml:space="preserve"> анат спортивный 40мм </v>
      </c>
    </row>
    <row r="2561" spans="1:8" ht="38.25" x14ac:dyDescent="0.2">
      <c r="A2561" s="31" t="s">
        <v>5897</v>
      </c>
      <c r="B2561" s="27" t="s">
        <v>5898</v>
      </c>
      <c r="C2561" s="27" t="s">
        <v>5899</v>
      </c>
      <c r="D2561" s="33" t="s">
        <v>14</v>
      </c>
      <c r="E2561" s="34">
        <v>2</v>
      </c>
      <c r="F2561" s="34">
        <v>5</v>
      </c>
      <c r="G2561" s="10">
        <v>50367</v>
      </c>
      <c r="H2561" s="30" t="str">
        <f ca="1">IFERROR(__xludf.DUMMYFUNCTION("LOWER(REGEXREPLACE(B2561&amp;"" ""&amp;C2561,""[^а-яa-z0-9 ]"","" ""))")," анат для лазанья    500 х б 5м   40 мм   лина  5 м  диаметр  40 мм   атериал  хлопчатобумажная пряжа  анат для лазанья    500 х б 5м   40 мм   лина  5 м  диаметр  40 мм   атериал  хлопчатобумажная пряжа")</f>
        <v xml:space="preserve"> анат для лазанья    500 х б 5м   40 мм   лина  5 м  диаметр  40 мм   атериал  хлопчатобумажная пряжа  анат для лазанья    500 х б 5м   40 мм   лина  5 м  диаметр  40 мм   атериал  хлопчатобумажная пряжа</v>
      </c>
    </row>
    <row r="2562" spans="1:8" ht="76.5" x14ac:dyDescent="0.2">
      <c r="A2562" s="31" t="s">
        <v>5900</v>
      </c>
      <c r="B2562" s="27" t="s">
        <v>5901</v>
      </c>
      <c r="C2562" s="27" t="s">
        <v>5902</v>
      </c>
      <c r="D2562" s="33" t="s">
        <v>14</v>
      </c>
      <c r="E2562" s="34">
        <v>2</v>
      </c>
      <c r="F2562" s="34">
        <v>6</v>
      </c>
      <c r="G2562" s="10">
        <v>59907</v>
      </c>
      <c r="H2562" s="30" t="str">
        <f ca="1">IFERROR(__xludf.DUMMYFUNCTION("LOWER(REGEXREPLACE(B2562&amp;"" ""&amp;C2562,""[^а-яa-z0-9 ]"","" ""))")," анат для лазанья    1817 х б 6м   40 мм   лина  6 м  диаметр  40 мм   атериал  хлопчатобумажная пряжа  анат для лазанья    1817 х б 6м   40 мм   лина  6 м  диаметр  40 мм   атериал  хлопчатобумажная пряжа   ля подвески каната служит стальная петля  закре"&amp;"пл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f>
        <v xml:space="preserve"> анат для лазанья    1817 х б 6м   40 мм   лина  6 м  диаметр  40 мм   атериал  хлопчатобумажная пряжа  анат для лазанья    1817 х б 6м   40 мм   лина  6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3" spans="1:8" ht="76.5" x14ac:dyDescent="0.2">
      <c r="A2563" s="31" t="s">
        <v>5903</v>
      </c>
      <c r="B2563" s="27" t="s">
        <v>5904</v>
      </c>
      <c r="C2563" s="27" t="s">
        <v>5905</v>
      </c>
      <c r="D2563" s="33" t="s">
        <v>14</v>
      </c>
      <c r="E2563" s="34">
        <v>2</v>
      </c>
      <c r="F2563" s="34">
        <v>7</v>
      </c>
      <c r="G2563" s="10">
        <v>69271</v>
      </c>
      <c r="H2563" s="30" t="str">
        <f ca="1">IFERROR(__xludf.DUMMYFUNCTION("LOWER(REGEXREPLACE(B2563&amp;"" ""&amp;C2563,""[^а-яa-z0-9 ]"","" ""))")," анат для лазанья    1902 х б 7м   40 мм   лина  7 м  диаметр  40 мм   атериал  хлопчатобумажная пряжа  анат для лазанья    1902 х б 7м   40 мм   лина  7 м  диаметр  40 мм   атериал  хлопчатобумажная пряжа   ля подвески каната служит стальная петля  закре"&amp;"пл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f>
        <v xml:space="preserve"> анат для лазанья    1902 х б 7м   40 мм   лина  7 м  диаметр  40 мм   атериал  хлопчатобумажная пряжа  анат для лазанья    1902 х б 7м   40 мм   лина  7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4" spans="1:8" ht="63.75" x14ac:dyDescent="0.2">
      <c r="A2564" s="31" t="s">
        <v>5906</v>
      </c>
      <c r="B2564" s="27" t="s">
        <v>5907</v>
      </c>
      <c r="C2564" s="27" t="s">
        <v>5908</v>
      </c>
      <c r="D2564" s="33" t="s">
        <v>14</v>
      </c>
      <c r="E2564" s="34">
        <v>2</v>
      </c>
      <c r="F2564" s="34">
        <v>8</v>
      </c>
      <c r="G2564" s="10">
        <v>86479</v>
      </c>
      <c r="H2564" s="30" t="str">
        <f ca="1">IFERROR(__xludf.DUMMYFUNCTION("LOWER(REGEXREPLACE(B2564&amp;"" ""&amp;C2564,""[^а-яa-z0-9 ]"","" ""))")," анат для лазанья  длина не менее 8 м  диаметр не менее 40мм  лина  не менее 8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кана"&amp;"та закрепл н декоративный чехол   анат для лазания предназначен для общефизической подготовки учащихся в спортивных залах ")</f>
        <v xml:space="preserve"> анат для лазанья  длина не менее 8 м  диаметр не менее 40мм  лина  не менее 8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5" spans="1:8" ht="76.5" x14ac:dyDescent="0.2">
      <c r="A2565" s="31" t="s">
        <v>5909</v>
      </c>
      <c r="B2565" s="27" t="s">
        <v>5910</v>
      </c>
      <c r="C2565" s="27" t="s">
        <v>5911</v>
      </c>
      <c r="D2565" s="33" t="s">
        <v>14</v>
      </c>
      <c r="E2565" s="34">
        <v>2</v>
      </c>
      <c r="F2565" s="34">
        <v>9</v>
      </c>
      <c r="G2565" s="10">
        <v>87825</v>
      </c>
      <c r="H2565" s="30" t="str">
        <f ca="1">IFERROR(__xludf.DUMMYFUNCTION("LOWER(REGEXREPLACE(B2565&amp;"" ""&amp;C2565,""[^а-яa-z0-9 ]"","" ""))")," анат для лазанья    8742 х б 9м   40 мм   лина  9 м  диаметр  40 мм   атериал  хлопчатобумажная пряжа  анат для лазанья    8742 х б 9м   40 мм   лина  9 м  диаметр  40 мм   атериал  хлопчатобумажная пряжа   ля подвески каната служит стальная петля  закре"&amp;"пл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f>
        <v xml:space="preserve"> анат для лазанья    8742 х б 9м   40 мм   лина  9 м  диаметр  40 мм   атериал  хлопчатобумажная пряжа  анат для лазанья    8742 х б 9м   40 мм   лина  9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6" spans="1:8" ht="63.75" x14ac:dyDescent="0.2">
      <c r="A2566" s="31" t="s">
        <v>5912</v>
      </c>
      <c r="B2566" s="27" t="s">
        <v>5913</v>
      </c>
      <c r="C2566" s="27" t="s">
        <v>5914</v>
      </c>
      <c r="D2566" s="33" t="s">
        <v>14</v>
      </c>
      <c r="E2566" s="34">
        <v>2</v>
      </c>
      <c r="F2566" s="34">
        <v>12</v>
      </c>
      <c r="G2566" s="10">
        <v>112450</v>
      </c>
      <c r="H2566" s="30" t="str">
        <f ca="1">IFERROR(__xludf.DUMMYFUNCTION("LOWER(REGEXREPLACE(B2566&amp;"" ""&amp;C2566,""[^а-яa-z0-9 ]"","" ""))")," анат для лазания  длина 12м  анат для лазанья   лина  12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декорати"&amp;"вный чехол   анат для лазания предназначен для общефизической подготовки учащихся в спортивных залах ")</f>
        <v xml:space="preserve"> анат для лазания  длина 12м  анат для лазанья   лина  12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v>
      </c>
    </row>
    <row r="2567" spans="1:8" ht="12.75" x14ac:dyDescent="0.2">
      <c r="A2567" s="31" t="s">
        <v>5915</v>
      </c>
      <c r="B2567" s="27" t="s">
        <v>5916</v>
      </c>
      <c r="C2567" s="27"/>
      <c r="D2567" s="33" t="s">
        <v>14</v>
      </c>
      <c r="E2567" s="9"/>
      <c r="F2567" s="32"/>
      <c r="G2567" s="10"/>
      <c r="H2567" s="30" t="str">
        <f ca="1">IFERROR(__xludf.DUMMYFUNCTION("LOWER(REGEXREPLACE(B2567&amp;"" ""&amp;C2567,""[^а-яa-z0-9 ]"","" ""))")," еревочная лестница ")</f>
        <v xml:space="preserve"> еревочная лестница </v>
      </c>
    </row>
    <row r="2568" spans="1:8" ht="12.75" x14ac:dyDescent="0.2">
      <c r="A2568" s="31" t="s">
        <v>5917</v>
      </c>
      <c r="B2568" s="27" t="s">
        <v>5918</v>
      </c>
      <c r="C2568" s="27"/>
      <c r="D2568" s="33" t="s">
        <v>14</v>
      </c>
      <c r="E2568" s="34">
        <v>1</v>
      </c>
      <c r="F2568" s="35">
        <v>1.6</v>
      </c>
      <c r="G2568" s="10">
        <v>9286</v>
      </c>
      <c r="H2568" s="30" t="str">
        <f ca="1">IFERROR(__xludf.DUMMYFUNCTION("LOWER(REGEXREPLACE(B2568&amp;"" ""&amp;C2568,""[^а-яa-z0-9 ]"","" ""))")," естница веревочная 2м ")</f>
        <v xml:space="preserve"> естница веревочная 2м </v>
      </c>
    </row>
    <row r="2569" spans="1:8" ht="25.5" x14ac:dyDescent="0.2">
      <c r="A2569" s="31" t="s">
        <v>5919</v>
      </c>
      <c r="B2569" s="8" t="s">
        <v>5920</v>
      </c>
      <c r="C2569" s="27"/>
      <c r="D2569" s="33" t="s">
        <v>14</v>
      </c>
      <c r="E2569" s="9"/>
      <c r="F2569" s="32"/>
      <c r="G2569" s="10">
        <v>203513</v>
      </c>
      <c r="H2569" s="30" t="str">
        <f ca="1">IFERROR(__xludf.DUMMYFUNCTION("LOWER(REGEXREPLACE(B2569&amp;"" ""&amp;C2569,""[^а-яa-z0-9 ]"","" ""))")," етская каркасная веревочная лестница   азмер  170х69х7 см ")</f>
        <v xml:space="preserve"> етская каркасная веревочная лестница   азмер  170х69х7 см </v>
      </c>
    </row>
    <row r="2570" spans="1:8" ht="25.5" x14ac:dyDescent="0.2">
      <c r="A2570" s="31" t="s">
        <v>5921</v>
      </c>
      <c r="B2570" s="27" t="s">
        <v>5922</v>
      </c>
      <c r="C2570" s="27" t="s">
        <v>5923</v>
      </c>
      <c r="D2570" s="33" t="s">
        <v>68</v>
      </c>
      <c r="E2570" s="34">
        <v>1</v>
      </c>
      <c r="F2570" s="34">
        <v>1</v>
      </c>
      <c r="G2570" s="10">
        <v>4140</v>
      </c>
      <c r="H2570" s="30" t="str">
        <f ca="1">IFERROR(__xludf.DUMMYFUNCTION("LOWER(REGEXREPLACE(B2570&amp;"" ""&amp;C2570,""[^а-яa-z0-9 ]"","" ""))")," абор кеглей  егли для эстафет состоит из 6 цветных кеглей и 2 шаров   ысота 265 мм   лина 170 мм   ирина 250 мм   атериал       пластик  ")</f>
        <v xml:space="preserve"> абор кеглей  егли для эстафет состоит из 6 цветных кеглей и 2 шаров   ысота 265 мм   лина 170 мм   ирина 250 мм   атериал       пластик  </v>
      </c>
    </row>
    <row r="2571" spans="1:8" ht="12.75" x14ac:dyDescent="0.2">
      <c r="A2571" s="31" t="s">
        <v>5924</v>
      </c>
      <c r="B2571" s="27" t="s">
        <v>5925</v>
      </c>
      <c r="C2571" s="27"/>
      <c r="D2571" s="33" t="s">
        <v>14</v>
      </c>
      <c r="E2571" s="9"/>
      <c r="F2571" s="32"/>
      <c r="G2571" s="10"/>
      <c r="H2571" s="30" t="str">
        <f ca="1">IFERROR(__xludf.DUMMYFUNCTION("LOWER(REGEXREPLACE(B2571&amp;"" ""&amp;C2571,""[^а-яa-z0-9 ]"","" ""))")," висток игровой ")</f>
        <v xml:space="preserve"> висток игровой </v>
      </c>
    </row>
    <row r="2572" spans="1:8" ht="12.75" x14ac:dyDescent="0.2">
      <c r="A2572" s="31" t="s">
        <v>5926</v>
      </c>
      <c r="B2572" s="27" t="s">
        <v>5927</v>
      </c>
      <c r="C2572" s="27"/>
      <c r="D2572" s="33" t="s">
        <v>14</v>
      </c>
      <c r="E2572" s="34">
        <v>1</v>
      </c>
      <c r="F2572" s="36">
        <v>0.02</v>
      </c>
      <c r="G2572" s="10">
        <v>536</v>
      </c>
      <c r="H2572" s="30" t="str">
        <f ca="1">IFERROR(__xludf.DUMMYFUNCTION("LOWER(REGEXREPLACE(B2572&amp;"" ""&amp;C2572,""[^а-яa-z0-9 ]"","" ""))")," висток металический ")</f>
        <v xml:space="preserve"> висток металический </v>
      </c>
    </row>
    <row r="2573" spans="1:8" ht="12.75" x14ac:dyDescent="0.2">
      <c r="A2573" s="31" t="s">
        <v>5928</v>
      </c>
      <c r="B2573" s="27" t="s">
        <v>5929</v>
      </c>
      <c r="C2573" s="27"/>
      <c r="D2573" s="33" t="s">
        <v>14</v>
      </c>
      <c r="E2573" s="34">
        <v>1</v>
      </c>
      <c r="F2573" s="36">
        <v>0.02</v>
      </c>
      <c r="G2573" s="10">
        <v>446</v>
      </c>
      <c r="H2573" s="30" t="str">
        <f ca="1">IFERROR(__xludf.DUMMYFUNCTION("LOWER(REGEXREPLACE(B2573&amp;"" ""&amp;C2573,""[^а-яa-z0-9 ]"","" ""))")," висток     ")</f>
        <v xml:space="preserve"> висток     </v>
      </c>
    </row>
    <row r="2574" spans="1:8" ht="38.25" x14ac:dyDescent="0.2">
      <c r="A2574" s="31" t="s">
        <v>5930</v>
      </c>
      <c r="B2574" s="27" t="s">
        <v>5931</v>
      </c>
      <c r="C2574" s="27" t="s">
        <v>5932</v>
      </c>
      <c r="D2574" s="33" t="s">
        <v>14</v>
      </c>
      <c r="E2574" s="34">
        <v>2</v>
      </c>
      <c r="F2574" s="36">
        <v>0.01</v>
      </c>
      <c r="G2574" s="10">
        <v>2342</v>
      </c>
      <c r="H2574" s="30" t="str">
        <f ca="1">IFERROR(__xludf.DUMMYFUNCTION("LOWER(REGEXREPLACE(B2574&amp;"" ""&amp;C2574,""[^а-яa-z0-9 ]"","" ""))")," висток металический    06   атериал свистка  нержавеющеая сталь  материал горошины  пластик  висток металический    06   атериал свистка  нержавеющеая сталь  материал горошины  пластик   омплектация  свисток  шнурок с карабином")</f>
        <v xml:space="preserve"> висток металический    06   атериал свистка  нержавеющеая сталь  материал горошины  пластик  висток металический    06   атериал свистка  нержавеющеая сталь  материал горошины  пластик   омплектация  свисток  шнурок с карабином</v>
      </c>
    </row>
    <row r="2575" spans="1:8" ht="12.75" x14ac:dyDescent="0.2">
      <c r="A2575" s="31" t="s">
        <v>5933</v>
      </c>
      <c r="B2575" s="27" t="s">
        <v>5934</v>
      </c>
      <c r="C2575" s="27"/>
      <c r="D2575" s="33" t="s">
        <v>14</v>
      </c>
      <c r="E2575" s="34">
        <v>2</v>
      </c>
      <c r="F2575" s="36">
        <v>0.05</v>
      </c>
      <c r="G2575" s="10">
        <v>4047</v>
      </c>
      <c r="H2575" s="30" t="str">
        <f ca="1">IFERROR(__xludf.DUMMYFUNCTION("LOWER(REGEXREPLACE(B2575&amp;"" ""&amp;C2575,""[^а-яa-z0-9 ]"","" ""))")," висток пластиковый    40 ")</f>
        <v xml:space="preserve"> висток пластиковый    40 </v>
      </c>
    </row>
    <row r="2576" spans="1:8" ht="51" x14ac:dyDescent="0.2">
      <c r="A2576" s="31" t="s">
        <v>5935</v>
      </c>
      <c r="B2576" s="27" t="s">
        <v>5936</v>
      </c>
      <c r="C2576" s="27" t="s">
        <v>5937</v>
      </c>
      <c r="D2576" s="33" t="s">
        <v>14</v>
      </c>
      <c r="E2576" s="34">
        <v>2</v>
      </c>
      <c r="F2576" s="36">
        <v>0.02</v>
      </c>
      <c r="G2576" s="10">
        <v>14600</v>
      </c>
      <c r="H2576" s="30" t="str">
        <f ca="1">IFERROR(__xludf.DUMMYFUNCTION("LOWER(REGEXREPLACE(B2576&amp;"" ""&amp;C2576,""[^а-яa-z0-9 ]"","" ""))")," висток электронный  батарея 9v  съемный шнурок   ощность  125 д   корпус и кнопки из ударопрочного     пластика  металлические внутренние элементы  лектронный свисток   ункции   он 1   слабый   он 2   средний   он 3  сильный    комплекте  литий ионный ак"&amp;"кумулятор 18650 ")</f>
        <v xml:space="preserve"> висток электронный  батарея 9v  съемный шнурок   ощность  125 д   корпус и кнопки из ударопрочного     пластика  металлические внутренние элементы  лектронный свисток   ункции   он 1   слабый   он 2   средний   он 3  сильный    комплекте  литий ионный аккумулятор 18650 </v>
      </c>
    </row>
    <row r="2577" spans="1:8" ht="12.75" x14ac:dyDescent="0.2">
      <c r="A2577" s="31" t="s">
        <v>5938</v>
      </c>
      <c r="B2577" s="27" t="s">
        <v>5939</v>
      </c>
      <c r="C2577" s="27"/>
      <c r="D2577" s="33" t="s">
        <v>14</v>
      </c>
      <c r="E2577" s="9"/>
      <c r="F2577" s="32"/>
      <c r="G2577" s="10"/>
      <c r="H2577" s="30" t="str">
        <f ca="1">IFERROR(__xludf.DUMMYFUNCTION("LOWER(REGEXREPLACE(B2577&amp;"" ""&amp;C2577,""[^а-яa-z0-9 ]"","" ""))")," нвентарь для художественной гимнастики ")</f>
        <v xml:space="preserve"> нвентарь для художественной гимнастики </v>
      </c>
    </row>
    <row r="2578" spans="1:8" ht="51" x14ac:dyDescent="0.2">
      <c r="A2578" s="31" t="s">
        <v>5940</v>
      </c>
      <c r="B2578" s="27" t="s">
        <v>5941</v>
      </c>
      <c r="C2578" s="27" t="s">
        <v>5942</v>
      </c>
      <c r="D2578" s="33" t="s">
        <v>14</v>
      </c>
      <c r="E2578" s="34">
        <v>2</v>
      </c>
      <c r="F2578" s="36">
        <v>0.15</v>
      </c>
      <c r="G2578" s="10">
        <v>4918</v>
      </c>
      <c r="H2578" s="30" t="str">
        <f ca="1">IFERROR(__xludf.DUMMYFUNCTION("LOWER(REGEXREPLACE(B2578&amp;"" ""&amp;C2578,""[^а-яa-z0-9 ]"","" ""))")," улава     040 для художественной гимнастики    ыполнены из комбинированных материалов  головка и ручка булавы каучуковые  тело   пластиковое     лина  36 см  улава     040 для художественной гимнастики    ыполнены из комбинированных материалов  головка и"&amp;" ручка булавы каучуковые  тело   пластиковое     лина  36 см   ес  150 гр   атериал  пластик каучук ")</f>
        <v xml:space="preserve"> улава     040 для художественной гимнастики    ыполнены из комбинированных материалов  головка и ручка булавы каучуковые  тело   пластиковое     лина  36 см  улава     040 для художественной гимнастики    ыполнены из комбинированных материалов  головка и ручка булавы каучуковые  тело   пластиковое     лина  36 см   ес  150 гр   атериал  пластик каучук </v>
      </c>
    </row>
    <row r="2579" spans="1:8" ht="38.25" x14ac:dyDescent="0.2">
      <c r="A2579" s="31" t="s">
        <v>5943</v>
      </c>
      <c r="B2579" s="27" t="s">
        <v>5944</v>
      </c>
      <c r="C2579" s="27" t="s">
        <v>5944</v>
      </c>
      <c r="D2579" s="33" t="s">
        <v>14</v>
      </c>
      <c r="E2579" s="34">
        <v>2</v>
      </c>
      <c r="F2579" s="36">
        <v>0.05</v>
      </c>
      <c r="G2579" s="10">
        <v>3981</v>
      </c>
      <c r="H2579" s="30" t="str">
        <f ca="1">IFERROR(__xludf.DUMMYFUNCTION("LOWER(REGEXREPLACE(B2579&amp;"" ""&amp;C2579,""[^а-яa-z0-9 ]"","" ""))")," ента для художественной гимнастики    4024  4 м   зготовлена из полиэстера  лина  4 м  лина прута  57 см  ента для художественной гимнастики    4024  4 м   зготовлена из полиэстера  лина  4 м  лина прута  57 см")</f>
        <v xml:space="preserve"> ента для художественной гимнастики    4024  4 м   зготовлена из полиэстера  лина  4 м  лина прута  57 см  ента для художественной гимнастики    4024  4 м   зготовлена из полиэстера  лина  4 м  лина прута  57 см</v>
      </c>
    </row>
    <row r="2580" spans="1:8" ht="38.25" x14ac:dyDescent="0.2">
      <c r="A2580" s="31" t="s">
        <v>5945</v>
      </c>
      <c r="B2580" s="27" t="s">
        <v>5946</v>
      </c>
      <c r="C2580" s="27" t="s">
        <v>5947</v>
      </c>
      <c r="D2580" s="33" t="s">
        <v>14</v>
      </c>
      <c r="E2580" s="34">
        <v>2</v>
      </c>
      <c r="F2580" s="34">
        <v>1</v>
      </c>
      <c r="G2580" s="10">
        <v>4500</v>
      </c>
      <c r="H2580" s="30" t="str">
        <f ca="1">IFERROR(__xludf.DUMMYFUNCTION("LOWER(REGEXREPLACE(B2580&amp;"" ""&amp;C2580,""[^а-яa-z0-9 ]"","" ""))")," уб гимнастический 200х200мм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f>
        <v xml:space="preserve"> уб гимнастический 200х200мм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v>
      </c>
    </row>
    <row r="2581" spans="1:8" ht="38.25" x14ac:dyDescent="0.2">
      <c r="A2581" s="31" t="s">
        <v>5948</v>
      </c>
      <c r="B2581" s="27" t="s">
        <v>5949</v>
      </c>
      <c r="C2581" s="27" t="s">
        <v>5947</v>
      </c>
      <c r="D2581" s="33" t="s">
        <v>14</v>
      </c>
      <c r="E2581" s="34">
        <v>2</v>
      </c>
      <c r="F2581" s="34">
        <v>2</v>
      </c>
      <c r="G2581" s="10">
        <v>5403</v>
      </c>
      <c r="H2581" s="30" t="str">
        <f ca="1">IFERROR(__xludf.DUMMYFUNCTION("LOWER(REGEXREPLACE(B2581&amp;"" ""&amp;C2581,""[^а-яa-z0-9 ]"","" ""))")," уб гимнастический 300х300мм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f>
        <v xml:space="preserve"> уб гимнастический 300х300мм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v>
      </c>
    </row>
    <row r="2582" spans="1:8" ht="38.25" x14ac:dyDescent="0.2">
      <c r="A2582" s="31" t="s">
        <v>5950</v>
      </c>
      <c r="B2582" s="27" t="s">
        <v>5951</v>
      </c>
      <c r="C2582" s="27" t="s">
        <v>5947</v>
      </c>
      <c r="D2582" s="33" t="s">
        <v>14</v>
      </c>
      <c r="E2582" s="34">
        <v>2</v>
      </c>
      <c r="F2582" s="34">
        <v>3</v>
      </c>
      <c r="G2582" s="10">
        <v>6307</v>
      </c>
      <c r="H2582" s="30" t="str">
        <f ca="1">IFERROR(__xludf.DUMMYFUNCTION("LOWER(REGEXREPLACE(B2582&amp;"" ""&amp;C2582,""[^а-яa-z0-9 ]"","" ""))")," уб гимнастический 400х400мм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f>
        <v xml:space="preserve"> уб гимнастический 400х400мм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v>
      </c>
    </row>
    <row r="2583" spans="1:8" ht="38.25" x14ac:dyDescent="0.2">
      <c r="A2583" s="31" t="s">
        <v>5952</v>
      </c>
      <c r="B2583" s="27" t="s">
        <v>5953</v>
      </c>
      <c r="C2583" s="27" t="s">
        <v>5954</v>
      </c>
      <c r="D2583" s="33" t="s">
        <v>68</v>
      </c>
      <c r="E2583" s="34">
        <v>2</v>
      </c>
      <c r="F2583" s="34">
        <v>1</v>
      </c>
      <c r="G2583" s="10">
        <v>11245</v>
      </c>
      <c r="H2583" s="30" t="str">
        <f ca="1">IFERROR(__xludf.DUMMYFUNCTION("LOWER(REGEXREPLACE(B2583&amp;"" ""&amp;C2583,""[^а-яa-z0-9 ]"","" ""))")," еревянные кубы в комплекте 5 штук  размеры  50х50мм  75х75мм  100х100мм  125х125мм  150х150мм   уб деревянный гимнастический в комлекте 5 шт   зготовлен из фанеры толщиной 12 мм   окрыт водоэмульсионной краской")</f>
        <v xml:space="preserve"> еревянные кубы в комплекте 5 штук  размеры  50х50мм  75х75мм  100х100мм  125х125мм  150х150мм   уб деревянный гимнастический в комлекте 5 шт   зготовлен из фанеры толщиной 12 мм   окрыт водоэмульсионной краской</v>
      </c>
    </row>
    <row r="2584" spans="1:8" ht="76.5" x14ac:dyDescent="0.2">
      <c r="A2584" s="31" t="s">
        <v>5955</v>
      </c>
      <c r="B2584" s="8" t="s">
        <v>5956</v>
      </c>
      <c r="C2584" s="27" t="s">
        <v>5957</v>
      </c>
      <c r="D2584" s="33" t="s">
        <v>1477</v>
      </c>
      <c r="E2584" s="34">
        <v>2</v>
      </c>
      <c r="F2584" s="36">
        <v>1.45</v>
      </c>
      <c r="G2584" s="10">
        <v>35977</v>
      </c>
      <c r="H2584" s="30" t="str">
        <f ca="1">IFERROR(__xludf.DUMMYFUNCTION("LOWER(REGEXREPLACE(B2584&amp;"" ""&amp;C2584,""[^а-яa-z0-9 ]"","" ""))")," ольца гимнастические в комплекте с тросом 2м  ольца гимнастические в комплекте с тросом 2м   ольца гимнастические представляют конструкцию  состоящую из  колец  ленты и троса   оединение троса с лентой с помощью коушами и скоб  что предохраняет трос от с"&amp;"кручивания   нутренний диаметр кольца 180 мм  внешний диаметр кольца 235мм   диаметр сечения кольца 28 мм   бщая длина подвеса 3 м 1 м стропа  2 м трос    атериал кольца фанера 30 мм  лента       35  трос диаметром 4 мм в трубке ")</f>
        <v xml:space="preserve"> ольца гимнастические в комплекте с тросом 2м  ольца гимнастические в комплекте с тросом 2м   ольца гимнастические представляют конструкцию  состоящую из  колец  ленты и троса   оединение троса с лентой с помощью коушами и скоб  что предохраняет трос от скручивания   нутренний диаметр кольца 180 мм  внешний диаметр кольца 235мм   диаметр сечения кольца 28 мм   бщая длина подвеса 3 м 1 м стропа  2 м трос    атериал кольца фанера 30 мм  лента       35  трос диаметром 4 мм в трубке </v>
      </c>
    </row>
    <row r="2585" spans="1:8" ht="51" x14ac:dyDescent="0.2">
      <c r="A2585" s="31" t="s">
        <v>5958</v>
      </c>
      <c r="B2585" s="27" t="s">
        <v>5959</v>
      </c>
      <c r="C2585" s="27" t="s">
        <v>5960</v>
      </c>
      <c r="D2585" s="33" t="s">
        <v>1506</v>
      </c>
      <c r="E2585" s="34">
        <v>2</v>
      </c>
      <c r="F2585" s="34">
        <v>8</v>
      </c>
      <c r="G2585" s="10">
        <v>33980</v>
      </c>
      <c r="H2585" s="30" t="str">
        <f ca="1">IFERROR(__xludf.DUMMYFUNCTION("LOWER(REGEXREPLACE(B2585&amp;"" ""&amp;C2585,""[^а-яa-z0-9 ]"","" ""))")," абор плиометрических блоков  абор плиометрических блоков  набор 4 шт  30  40  50  60см   атериал изготовления   рочная фанера  слоистый листовой материал из тонких сло в древесного шпона  склеенных под давлением    бладает высокой прочностью  не деформир"&amp;"уется  выдерживает нагрузку  легче массива дерева и устойчива к перепадам температуры")</f>
        <v xml:space="preserve"> абор плиометрических блоков  абор плиометрических блоков  набор 4 шт  30  40  50  60см   атериал изготовления   рочная фанера  слоистый листовой материал из тонких сло в древесного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v>
      </c>
    </row>
    <row r="2586" spans="1:8" ht="51" x14ac:dyDescent="0.2">
      <c r="A2586" s="31" t="s">
        <v>5961</v>
      </c>
      <c r="B2586" s="27" t="s">
        <v>5962</v>
      </c>
      <c r="C2586" s="27" t="s">
        <v>5963</v>
      </c>
      <c r="D2586" s="33" t="s">
        <v>14</v>
      </c>
      <c r="E2586" s="34">
        <v>2</v>
      </c>
      <c r="F2586" s="35">
        <v>1.2</v>
      </c>
      <c r="G2586" s="10">
        <v>11302</v>
      </c>
      <c r="H2586" s="30" t="str">
        <f ca="1">IFERROR(__xludf.DUMMYFUNCTION("LOWER(REGEXREPLACE(B2586&amp;"" ""&amp;C2586,""[^а-яa-z0-9 ]"","" ""))")," оврик для фитнеса двухслойный  размеры 1800х600х8 мм   атериал изготовления       оврик для фитнеса имеет толщину 0 8 см и рассчитан на нагрузки средней интенсивности   вухслойный коврик для йоги из нескользящего материала  с цепкой структурированной пов"&amp;"ерхностью ")</f>
        <v xml:space="preserve"> оврик для фитнеса двухслойный  размеры 1800х600х8 мм   атериал изготовления       оврик для фитнеса имеет толщину 0 8 см и рассчитан на нагрузки средней интенсивности   вухслойный коврик для йоги из нескользящего материала  с цепкой структурированной поверхностью </v>
      </c>
    </row>
    <row r="2587" spans="1:8" ht="12.75" x14ac:dyDescent="0.2">
      <c r="A2587" s="31" t="s">
        <v>5964</v>
      </c>
      <c r="B2587" s="27" t="s">
        <v>5965</v>
      </c>
      <c r="C2587" s="27"/>
      <c r="D2587" s="33" t="s">
        <v>14</v>
      </c>
      <c r="E2587" s="34">
        <v>1</v>
      </c>
      <c r="F2587" s="35">
        <v>0.2</v>
      </c>
      <c r="G2587" s="10"/>
      <c r="H2587" s="30" t="str">
        <f ca="1">IFERROR(__xludf.DUMMYFUNCTION("LOWER(REGEXREPLACE(B2587&amp;"" ""&amp;C2587,""[^а-яa-z0-9 ]"","" ""))")," алка гимнастическая ")</f>
        <v xml:space="preserve"> алка гимнастическая </v>
      </c>
    </row>
    <row r="2588" spans="1:8" ht="25.5" x14ac:dyDescent="0.2">
      <c r="A2588" s="31" t="s">
        <v>5966</v>
      </c>
      <c r="B2588" s="27" t="s">
        <v>5967</v>
      </c>
      <c r="C2588" s="27"/>
      <c r="D2588" s="33" t="s">
        <v>14</v>
      </c>
      <c r="E2588" s="34">
        <v>2</v>
      </c>
      <c r="F2588" s="35">
        <v>0.2</v>
      </c>
      <c r="G2588" s="10">
        <v>900</v>
      </c>
      <c r="H2588" s="30" t="str">
        <f ca="1">IFERROR(__xludf.DUMMYFUNCTION("LOWER(REGEXREPLACE(B2588&amp;"" ""&amp;C2588,""[^а-яa-z0-9 ]"","" ""))")," алка гимнастическая   атериал пластик   иаметр 25мм  длина 1000мм ")</f>
        <v xml:space="preserve"> алка гимнастическая   атериал пластик   иаметр 25мм  длина 1000мм </v>
      </c>
    </row>
    <row r="2589" spans="1:8" ht="51" x14ac:dyDescent="0.2">
      <c r="A2589" s="31" t="s">
        <v>5968</v>
      </c>
      <c r="B2589" s="27" t="s">
        <v>5969</v>
      </c>
      <c r="C2589" s="27" t="s">
        <v>5970</v>
      </c>
      <c r="D2589" s="33" t="s">
        <v>14</v>
      </c>
      <c r="E2589" s="34">
        <v>2</v>
      </c>
      <c r="F2589" s="36">
        <v>0.15</v>
      </c>
      <c r="G2589" s="10">
        <v>1686</v>
      </c>
      <c r="H2589" s="30" t="str">
        <f ca="1">IFERROR(__xludf.DUMMYFUNCTION("LOWER(REGEXREPLACE(B2589&amp;"" ""&amp;C2589,""[^а-яa-z0-9 ]"","" ""))")," алка гимнастическая деревянная 1000 мм     9034   атериал  дерево  береза  нелакированная   лина  1 метр   иаметр  28 мм  алка гимнастическая деревянная 1000 мм     9034   атериал  дерево  береза  нелакированная   лина  1 метр   иаметр  28 мм   алка гимн"&amp;"астическая изготовлена из дерева с закругленными краями ")</f>
        <v xml:space="preserve"> алка гимнастическая деревянная 1000 мм     9034   атериал  дерево  береза  нелакированная   лина  1 метр   иаметр  28 мм  алка гимнастическая деревянная 1000 мм     9034   атериал  дерево  береза  нелакированная   лина  1 метр   иаметр  28 мм   алка гимнастическая изготовлена из дерева с закругленными краями </v>
      </c>
    </row>
    <row r="2590" spans="1:8" ht="51" x14ac:dyDescent="0.2">
      <c r="A2590" s="31" t="s">
        <v>5971</v>
      </c>
      <c r="B2590" s="27" t="s">
        <v>5972</v>
      </c>
      <c r="C2590" s="27" t="s">
        <v>5973</v>
      </c>
      <c r="D2590" s="33" t="s">
        <v>14</v>
      </c>
      <c r="E2590" s="34">
        <v>2</v>
      </c>
      <c r="F2590" s="36">
        <v>0.18</v>
      </c>
      <c r="G2590" s="10">
        <v>1987</v>
      </c>
      <c r="H2590" s="30" t="str">
        <f ca="1">IFERROR(__xludf.DUMMYFUNCTION("LOWER(REGEXREPLACE(B2590&amp;"" ""&amp;C2590,""[^а-яa-z0-9 ]"","" ""))")," алка гимнастическая деревянная 1200 мм     9035   атериал  дерево  береза  нелакированная   лина  1 2 метр   иаметр  28 мм  алка гимнастическая деревянная 1200 мм     9035   атериал  дерево  береза  нелакированная   лина  1 2 метр   иаметр  28 мм   алка "&amp;"гимнастическая изготовлена из дерева с закругленными краями ")</f>
        <v xml:space="preserve"> алка гимнастическая деревянная 1200 мм     9035   атериал  дерево  береза  нелакированная   лина  1 2 метр   иаметр  28 мм  алка гимнастическая деревянная 1200 мм     9035   атериал  дерево  береза  нелакированная   лина  1 2 метр   иаметр  28 мм   алка гимнастическая изготовлена из дерева с закругленными краями </v>
      </c>
    </row>
    <row r="2591" spans="1:8" ht="76.5" x14ac:dyDescent="0.2">
      <c r="A2591" s="31" t="s">
        <v>5974</v>
      </c>
      <c r="B2591" s="27" t="s">
        <v>5975</v>
      </c>
      <c r="C2591" s="27" t="s">
        <v>5976</v>
      </c>
      <c r="D2591" s="33" t="s">
        <v>14</v>
      </c>
      <c r="E2591" s="34">
        <v>2</v>
      </c>
      <c r="F2591" s="36">
        <v>0.08</v>
      </c>
      <c r="G2591" s="10">
        <v>4317</v>
      </c>
      <c r="H2591" s="30" t="str">
        <f ca="1">IFERROR(__xludf.DUMMYFUNCTION("LOWER(REGEXREPLACE(B2591&amp;"" ""&amp;C2591,""[^а-яa-z0-9 ]"","" ""))")," алка алюминиевая эстафетная палочка длина 300мм  люминиевые эстафетные палочки длина 30 см  уровень  любительский   атериал  алюминий  диаметр палочки  28 мм  длина палочки  30 см  окрашена методом порошкового напыления   роме того  эстафетные палочки мо"&amp;"жно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 ")</f>
        <v xml:space="preserve"> алка алюминиевая эстафетная палочка длина 300мм  люминиевые эстафетные палочки длина 30 см  уровень  любительский   атериал  алюминий  диаметр палочки  28 мм  длина палочки  30 см  окрашена методом порошкового напыления   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 </v>
      </c>
    </row>
    <row r="2592" spans="1:8" ht="51" x14ac:dyDescent="0.2">
      <c r="A2592" s="31" t="s">
        <v>5977</v>
      </c>
      <c r="B2592" s="27" t="s">
        <v>5978</v>
      </c>
      <c r="C2592" s="27" t="s">
        <v>5979</v>
      </c>
      <c r="D2592" s="33" t="s">
        <v>14</v>
      </c>
      <c r="E2592" s="34">
        <v>2</v>
      </c>
      <c r="F2592" s="34">
        <v>1</v>
      </c>
      <c r="G2592" s="10">
        <v>12398</v>
      </c>
      <c r="H2592" s="30" t="str">
        <f ca="1">IFERROR(__xludf.DUMMYFUNCTION("LOWER(REGEXREPLACE(B2592&amp;"" ""&amp;C2592,""[^а-яa-z0-9 ]"","" ""))")," оди бар 1 кг  материал металл  оди бар 1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1 кг  материал металл  оди бар 1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3" spans="1:8" ht="51" x14ac:dyDescent="0.2">
      <c r="A2593" s="31" t="s">
        <v>5980</v>
      </c>
      <c r="B2593" s="27" t="s">
        <v>5981</v>
      </c>
      <c r="C2593" s="27" t="s">
        <v>5982</v>
      </c>
      <c r="D2593" s="33" t="s">
        <v>14</v>
      </c>
      <c r="E2593" s="34">
        <v>2</v>
      </c>
      <c r="F2593" s="34">
        <v>2</v>
      </c>
      <c r="G2593" s="10">
        <v>13952</v>
      </c>
      <c r="H2593" s="30" t="str">
        <f ca="1">IFERROR(__xludf.DUMMYFUNCTION("LOWER(REGEXREPLACE(B2593&amp;"" ""&amp;C2593,""[^а-яa-z0-9 ]"","" ""))")," оди бар 2 кг  материал металл  оди бар 2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2 кг  материал металл  оди бар 2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4" spans="1:8" ht="51" x14ac:dyDescent="0.2">
      <c r="A2594" s="31" t="s">
        <v>5983</v>
      </c>
      <c r="B2594" s="27" t="s">
        <v>5984</v>
      </c>
      <c r="C2594" s="27" t="s">
        <v>5985</v>
      </c>
      <c r="D2594" s="33" t="s">
        <v>14</v>
      </c>
      <c r="E2594" s="34">
        <v>2</v>
      </c>
      <c r="F2594" s="34">
        <v>3</v>
      </c>
      <c r="G2594" s="10">
        <v>15505</v>
      </c>
      <c r="H2594" s="30" t="str">
        <f ca="1">IFERROR(__xludf.DUMMYFUNCTION("LOWER(REGEXREPLACE(B2594&amp;"" ""&amp;C2594,""[^а-яa-z0-9 ]"","" ""))")," оди бар 3 кг  материал металл  оди бар 3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3 кг  материал металл  оди бар 3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5" spans="1:8" ht="51" x14ac:dyDescent="0.2">
      <c r="A2595" s="31" t="s">
        <v>5986</v>
      </c>
      <c r="B2595" s="27" t="s">
        <v>5987</v>
      </c>
      <c r="C2595" s="27" t="s">
        <v>5988</v>
      </c>
      <c r="D2595" s="33" t="s">
        <v>14</v>
      </c>
      <c r="E2595" s="34">
        <v>2</v>
      </c>
      <c r="F2595" s="34">
        <v>4</v>
      </c>
      <c r="G2595" s="10">
        <v>17059</v>
      </c>
      <c r="H2595" s="30" t="str">
        <f ca="1">IFERROR(__xludf.DUMMYFUNCTION("LOWER(REGEXREPLACE(B2595&amp;"" ""&amp;C2595,""[^а-яa-z0-9 ]"","" ""))")," оди бар 4 кг  материал металл  оди бар 4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4 кг  материал металл  оди бар 4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6" spans="1:8" ht="51" x14ac:dyDescent="0.2">
      <c r="A2596" s="31" t="s">
        <v>5989</v>
      </c>
      <c r="B2596" s="27" t="s">
        <v>5990</v>
      </c>
      <c r="C2596" s="27" t="s">
        <v>5991</v>
      </c>
      <c r="D2596" s="33" t="s">
        <v>14</v>
      </c>
      <c r="E2596" s="34">
        <v>2</v>
      </c>
      <c r="F2596" s="34">
        <v>5</v>
      </c>
      <c r="G2596" s="10">
        <v>18612</v>
      </c>
      <c r="H2596" s="30" t="str">
        <f ca="1">IFERROR(__xludf.DUMMYFUNCTION("LOWER(REGEXREPLACE(B2596&amp;"" ""&amp;C2596,""[^а-яa-z0-9 ]"","" ""))")," оди бар 5 кг  материал металл  оди бар 5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5 кг  материал металл  оди бар 5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7" spans="1:8" ht="51" x14ac:dyDescent="0.2">
      <c r="A2597" s="31" t="s">
        <v>5992</v>
      </c>
      <c r="B2597" s="27" t="s">
        <v>5993</v>
      </c>
      <c r="C2597" s="27" t="s">
        <v>5994</v>
      </c>
      <c r="D2597" s="33" t="s">
        <v>14</v>
      </c>
      <c r="E2597" s="34">
        <v>2</v>
      </c>
      <c r="F2597" s="34">
        <v>6</v>
      </c>
      <c r="G2597" s="10">
        <v>20165</v>
      </c>
      <c r="H2597" s="30" t="str">
        <f ca="1">IFERROR(__xludf.DUMMYFUNCTION("LOWER(REGEXREPLACE(B2597&amp;"" ""&amp;C2597,""[^а-яa-z0-9 ]"","" ""))")," оди бар 6 кг  материал металл  оди бар 6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6 кг  материал металл  оди бар 6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8" spans="1:8" ht="51" x14ac:dyDescent="0.2">
      <c r="A2598" s="31" t="s">
        <v>5995</v>
      </c>
      <c r="B2598" s="27" t="s">
        <v>5996</v>
      </c>
      <c r="C2598" s="27" t="s">
        <v>5997</v>
      </c>
      <c r="D2598" s="33" t="s">
        <v>14</v>
      </c>
      <c r="E2598" s="34">
        <v>2</v>
      </c>
      <c r="F2598" s="34">
        <v>7</v>
      </c>
      <c r="G2598" s="10">
        <v>21719</v>
      </c>
      <c r="H2598" s="30" t="str">
        <f ca="1">IFERROR(__xludf.DUMMYFUNCTION("LOWER(REGEXREPLACE(B2598&amp;"" ""&amp;C2598,""[^а-яa-z0-9 ]"","" ""))")," оди бар 7 кг  материал металл  оди бар 7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7 кг  материал металл  оди бар 7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599" spans="1:8" ht="51" x14ac:dyDescent="0.2">
      <c r="A2599" s="31" t="s">
        <v>5998</v>
      </c>
      <c r="B2599" s="27" t="s">
        <v>5999</v>
      </c>
      <c r="C2599" s="27" t="s">
        <v>6000</v>
      </c>
      <c r="D2599" s="33" t="s">
        <v>14</v>
      </c>
      <c r="E2599" s="34">
        <v>2</v>
      </c>
      <c r="F2599" s="34">
        <v>8</v>
      </c>
      <c r="G2599" s="10">
        <v>25441</v>
      </c>
      <c r="H2599" s="30" t="str">
        <f ca="1">IFERROR(__xludf.DUMMYFUNCTION("LOWER(REGEXREPLACE(B2599&amp;"" ""&amp;C2599,""[^а-яa-z0-9 ]"","" ""))")," оди бар 8 кг  материал металл  оди бар 8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8 кг  материал металл  оди бар 8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600" spans="1:8" ht="51" x14ac:dyDescent="0.2">
      <c r="A2600" s="31" t="s">
        <v>6001</v>
      </c>
      <c r="B2600" s="27" t="s">
        <v>6002</v>
      </c>
      <c r="C2600" s="27" t="s">
        <v>6003</v>
      </c>
      <c r="D2600" s="33" t="s">
        <v>14</v>
      </c>
      <c r="E2600" s="34">
        <v>2</v>
      </c>
      <c r="F2600" s="34">
        <v>9</v>
      </c>
      <c r="G2600" s="10">
        <v>28854</v>
      </c>
      <c r="H2600" s="30" t="str">
        <f ca="1">IFERROR(__xludf.DUMMYFUNCTION("LOWER(REGEXREPLACE(B2600&amp;"" ""&amp;C2600,""[^а-яa-z0-9 ]"","" ""))")," оди бар 9 кг  материал металл  оди бар 9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х"&amp;"вата  пластиковые утяжел нные наконечники   азмер 1000х30мм")</f>
        <v xml:space="preserve"> оди бар 9 кг  материал металл  оди бар 9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601" spans="1:8" ht="51" x14ac:dyDescent="0.2">
      <c r="A2601" s="31" t="s">
        <v>6004</v>
      </c>
      <c r="B2601" s="27" t="s">
        <v>6005</v>
      </c>
      <c r="C2601" s="27" t="s">
        <v>6006</v>
      </c>
      <c r="D2601" s="33" t="s">
        <v>14</v>
      </c>
      <c r="E2601" s="34">
        <v>2</v>
      </c>
      <c r="F2601" s="34">
        <v>10</v>
      </c>
      <c r="G2601" s="10">
        <v>32576</v>
      </c>
      <c r="H2601" s="30" t="str">
        <f ca="1">IFERROR(__xludf.DUMMYFUNCTION("LOWER(REGEXREPLACE(B2601&amp;"" ""&amp;C2601,""[^а-яa-z0-9 ]"","" ""))")," оди бар 10 кг  материал металл  оди бар 10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улучшенного"&amp;" хвата  пластиковые утяжел нные наконечники   азмер 1000х30мм")</f>
        <v xml:space="preserve"> оди бар 10 кг  материал металл  оди бар 10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v>
      </c>
    </row>
    <row r="2602" spans="1:8" ht="38.25" x14ac:dyDescent="0.2">
      <c r="A2602" s="31" t="s">
        <v>6007</v>
      </c>
      <c r="B2602" s="27" t="s">
        <v>6008</v>
      </c>
      <c r="C2602" s="27" t="s">
        <v>6009</v>
      </c>
      <c r="D2602" s="33" t="s">
        <v>14</v>
      </c>
      <c r="E2602" s="34">
        <v>2</v>
      </c>
      <c r="F2602" s="35">
        <v>0.2</v>
      </c>
      <c r="G2602" s="10">
        <v>2426</v>
      </c>
      <c r="H2602" s="30" t="str">
        <f ca="1">IFERROR(__xludf.DUMMYFUNCTION("LOWER(REGEXREPLACE(B2602&amp;"" ""&amp;C2602,""[^а-яa-z0-9 ]"","" ""))")," алка гимнастическая пластиковая   лина 1000 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f>
        <v xml:space="preserve"> алка гимнастическая пластиковая   лина 1000 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v>
      </c>
    </row>
    <row r="2603" spans="1:8" ht="38.25" x14ac:dyDescent="0.2">
      <c r="A2603" s="31" t="s">
        <v>6010</v>
      </c>
      <c r="B2603" s="27" t="s">
        <v>6011</v>
      </c>
      <c r="C2603" s="27" t="s">
        <v>6009</v>
      </c>
      <c r="D2603" s="33" t="s">
        <v>14</v>
      </c>
      <c r="E2603" s="34">
        <v>2</v>
      </c>
      <c r="F2603" s="36">
        <v>0.23</v>
      </c>
      <c r="G2603" s="10">
        <v>2717</v>
      </c>
      <c r="H2603" s="30" t="str">
        <f ca="1">IFERROR(__xludf.DUMMYFUNCTION("LOWER(REGEXREPLACE(B2603&amp;"" ""&amp;C2603,""[^а-яa-z0-9 ]"","" ""))")," алка гимнастическая пластиковая   лина 1200мм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f>
        <v xml:space="preserve"> алка гимнастическая пластиковая   лина 1200мм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v>
      </c>
    </row>
    <row r="2604" spans="1:8" ht="12.75" x14ac:dyDescent="0.2">
      <c r="A2604" s="31" t="s">
        <v>6012</v>
      </c>
      <c r="B2604" s="27" t="s">
        <v>6013</v>
      </c>
      <c r="C2604" s="27"/>
      <c r="D2604" s="33" t="s">
        <v>14</v>
      </c>
      <c r="E2604" s="9"/>
      <c r="F2604" s="32"/>
      <c r="G2604" s="10"/>
      <c r="H2604" s="30" t="str">
        <f ca="1">IFERROR(__xludf.DUMMYFUNCTION("LOWER(REGEXREPLACE(B2604&amp;"" ""&amp;C2604,""[^а-яa-z0-9 ]"","" ""))")," какалка ")</f>
        <v xml:space="preserve"> какалка </v>
      </c>
    </row>
    <row r="2605" spans="1:8" ht="12.75" x14ac:dyDescent="0.2">
      <c r="A2605" s="31" t="s">
        <v>6014</v>
      </c>
      <c r="B2605" s="27" t="s">
        <v>6015</v>
      </c>
      <c r="C2605" s="27"/>
      <c r="D2605" s="33" t="s">
        <v>14</v>
      </c>
      <c r="E2605" s="34">
        <v>1</v>
      </c>
      <c r="F2605" s="35">
        <v>0.2</v>
      </c>
      <c r="G2605" s="10">
        <v>1786</v>
      </c>
      <c r="H2605" s="30" t="str">
        <f ca="1">IFERROR(__xludf.DUMMYFUNCTION("LOWER(REGEXREPLACE(B2605&amp;"" ""&amp;C2605,""[^а-яa-z0-9 ]"","" ""))")," какалка с деревянными ручками ")</f>
        <v xml:space="preserve"> какалка с деревянными ручками </v>
      </c>
    </row>
    <row r="2606" spans="1:8" ht="12.75" x14ac:dyDescent="0.2">
      <c r="A2606" s="31" t="s">
        <v>6016</v>
      </c>
      <c r="B2606" s="27" t="s">
        <v>6017</v>
      </c>
      <c r="C2606" s="27"/>
      <c r="D2606" s="33" t="s">
        <v>14</v>
      </c>
      <c r="E2606" s="34">
        <v>1</v>
      </c>
      <c r="F2606" s="35">
        <v>0.2</v>
      </c>
      <c r="G2606" s="10">
        <v>1339</v>
      </c>
      <c r="H2606" s="30" t="str">
        <f ca="1">IFERROR(__xludf.DUMMYFUNCTION("LOWER(REGEXREPLACE(B2606&amp;"" ""&amp;C2606,""[^а-яa-z0-9 ]"","" ""))")," какалка j 582 ")</f>
        <v xml:space="preserve"> какалка j 582 </v>
      </c>
    </row>
    <row r="2607" spans="1:8" ht="12.75" x14ac:dyDescent="0.2">
      <c r="A2607" s="31" t="s">
        <v>6018</v>
      </c>
      <c r="B2607" s="27" t="s">
        <v>6019</v>
      </c>
      <c r="C2607" s="27"/>
      <c r="D2607" s="33" t="s">
        <v>14</v>
      </c>
      <c r="E2607" s="34">
        <v>1</v>
      </c>
      <c r="F2607" s="35">
        <v>0.2</v>
      </c>
      <c r="G2607" s="10">
        <v>1339</v>
      </c>
      <c r="H2607" s="30" t="str">
        <f ca="1">IFERROR(__xludf.DUMMYFUNCTION("LOWER(REGEXREPLACE(B2607&amp;"" ""&amp;C2607,""[^а-яa-z0-9 ]"","" ""))")," какалка j 584 ")</f>
        <v xml:space="preserve"> какалка j 584 </v>
      </c>
    </row>
    <row r="2608" spans="1:8" ht="12.75" x14ac:dyDescent="0.2">
      <c r="A2608" s="31" t="s">
        <v>6020</v>
      </c>
      <c r="B2608" s="27" t="s">
        <v>6021</v>
      </c>
      <c r="C2608" s="27"/>
      <c r="D2608" s="33" t="s">
        <v>14</v>
      </c>
      <c r="E2608" s="34">
        <v>1</v>
      </c>
      <c r="F2608" s="35">
        <v>0.2</v>
      </c>
      <c r="G2608" s="10">
        <v>1339</v>
      </c>
      <c r="H2608" s="30" t="str">
        <f ca="1">IFERROR(__xludf.DUMMYFUNCTION("LOWER(REGEXREPLACE(B2608&amp;"" ""&amp;C2608,""[^а-яa-z0-9 ]"","" ""))")," какалка j 607 ")</f>
        <v xml:space="preserve"> какалка j 607 </v>
      </c>
    </row>
    <row r="2609" spans="1:8" ht="38.25" x14ac:dyDescent="0.2">
      <c r="A2609" s="31" t="s">
        <v>6022</v>
      </c>
      <c r="B2609" s="27" t="s">
        <v>6023</v>
      </c>
      <c r="C2609" s="27" t="s">
        <v>6024</v>
      </c>
      <c r="D2609" s="33" t="s">
        <v>14</v>
      </c>
      <c r="E2609" s="34">
        <v>2</v>
      </c>
      <c r="F2609" s="35">
        <v>0.2</v>
      </c>
      <c r="G2609" s="10">
        <v>2978</v>
      </c>
      <c r="H2609" s="30" t="str">
        <f ca="1">IFERROR(__xludf.DUMMYFUNCTION("LOWER(REGEXREPLACE(B2609&amp;"" ""&amp;C2609,""[^а-яa-z0-9 ]"","" ""))")," какалка гелевая   1239          какалка гелевая   1239           елевый шнур   изделия выполнены из ребристого пластика  который обеспечивает надежный захват ладони предотвращающий выскальзывание   нур изготовлен из    ")</f>
        <v xml:space="preserve"> какалка гелевая   1239          какалка гелевая   1239           елевый шнур   изделия выполнены из ребристого пластика  который обеспечивает надежный захват ладони предотвращающий выскальзывание   нур изготовлен из    </v>
      </c>
    </row>
    <row r="2610" spans="1:8" ht="38.25" x14ac:dyDescent="0.2">
      <c r="A2610" s="31" t="s">
        <v>6025</v>
      </c>
      <c r="B2610" s="27" t="s">
        <v>6026</v>
      </c>
      <c r="C2610" s="27" t="s">
        <v>6027</v>
      </c>
      <c r="D2610" s="33" t="s">
        <v>14</v>
      </c>
      <c r="E2610" s="34">
        <v>2</v>
      </c>
      <c r="F2610" s="35">
        <v>0.4</v>
      </c>
      <c r="G2610" s="10">
        <v>3422</v>
      </c>
      <c r="H2610" s="30" t="str">
        <f ca="1">IFERROR(__xludf.DUMMYFUNCTION("LOWER(REGEXREPLACE(B2610&amp;"" ""&amp;C2610,""[^а-яa-z0-9 ]"","" ""))")," какалка     1238   учки скакалки выполнены из полипропиленовой пены  какалка     1238   учки скакалки выполнены из полипропиленовой пены   нур изготовлен из гибкого и прочного поливинилхлорида")</f>
        <v xml:space="preserve"> какалка     1238   учки скакалки выполнены из полипропиленовой пены  какалка     1238   учки скакалки выполнены из полипропиленовой пены   нур изготовлен из гибкого и прочного поливинилхлорида</v>
      </c>
    </row>
    <row r="2611" spans="1:8" ht="102" x14ac:dyDescent="0.2">
      <c r="A2611" s="31" t="s">
        <v>6028</v>
      </c>
      <c r="B2611" s="27" t="s">
        <v>6029</v>
      </c>
      <c r="C2611" s="27" t="s">
        <v>6030</v>
      </c>
      <c r="D2611" s="33" t="s">
        <v>14</v>
      </c>
      <c r="E2611" s="34">
        <v>2</v>
      </c>
      <c r="F2611" s="35">
        <v>0.5</v>
      </c>
      <c r="G2611" s="10">
        <v>4118</v>
      </c>
      <c r="H2611" s="30" t="str">
        <f ca="1">IFERROR(__xludf.DUMMYFUNCTION("LOWER(REGEXREPLACE(B2611&amp;"" ""&amp;C2611,""[^а-яa-z0-9 ]"","" ""))")," какалка с металлическим тросом      0212  какалка с металлическим тросом      0212   какалка скоростная модифицированный снаряд  предназначенный для интенсивных тренировок   одшипники прыгалки обеспечивают свободное вращение троса  поэтому выполнять двой"&amp;"ные прыжки на скакалке будет проще   учки оснащены подшипниками  такой тип крепления позволит избегать скручивания скакалки при прыжках и обеспечит долговечную службу   какалка регулируется по длине   ращающиеся ручки с нескользящими рукоятками   ыстровра"&amp;"щающийся трос ")</f>
        <v xml:space="preserve"> какалка с металлическим тросом      0212  какалка с металлическим тросом      0212   какалка скоростная модифицированный снаряд  предназначенный для интенсивных тренировок   одшипники прыгалки обеспечивают свободное вращение троса  поэтому выполнять двойные прыжки на скакалке будет проще   учки оснащены подшипниками  такой тип крепления позволит избегать скручивания скакалки при прыжках и обеспечит долговечную службу   какалка регулируется по длине   ращающиеся ручки с нескользящими рукоятками   ыстровращающийся трос </v>
      </c>
    </row>
    <row r="2612" spans="1:8" ht="38.25" x14ac:dyDescent="0.2">
      <c r="A2612" s="31" t="s">
        <v>6031</v>
      </c>
      <c r="B2612" s="27" t="s">
        <v>6032</v>
      </c>
      <c r="C2612" s="27" t="s">
        <v>6033</v>
      </c>
      <c r="D2612" s="33" t="s">
        <v>14</v>
      </c>
      <c r="E2612" s="34">
        <v>2</v>
      </c>
      <c r="F2612" s="35">
        <v>0.4</v>
      </c>
      <c r="G2612" s="10">
        <v>3111</v>
      </c>
      <c r="H2612" s="30" t="str">
        <f ca="1">IFERROR(__xludf.DUMMYFUNCTION("LOWER(REGEXREPLACE(B2612&amp;"" ""&amp;C2612,""[^а-яa-z0-9 ]"","" ""))")," какалка pvt 1237   зготовлена из высококачественной полиуретана  какалка pvt 1237   зготовлена из высококачественной полиуретана  которая долговечна для длительного использования")</f>
        <v xml:space="preserve"> какалка pvt 1237   зготовлена из высококачественной полиуретана  какалка pvt 1237   зготовлена из высококачественной полиуретана  которая долговечна для длительного использования</v>
      </c>
    </row>
    <row r="2613" spans="1:8" ht="38.25" x14ac:dyDescent="0.2">
      <c r="A2613" s="31" t="s">
        <v>6034</v>
      </c>
      <c r="B2613" s="8" t="s">
        <v>6035</v>
      </c>
      <c r="C2613" s="27" t="s">
        <v>6036</v>
      </c>
      <c r="D2613" s="33" t="s">
        <v>14</v>
      </c>
      <c r="E2613" s="34">
        <v>2</v>
      </c>
      <c r="F2613" s="35">
        <v>0.4</v>
      </c>
      <c r="G2613" s="10">
        <v>4217</v>
      </c>
      <c r="H2613" s="30" t="str">
        <f ca="1">IFERROR(__xludf.DUMMYFUNCTION("LOWER(REGEXREPLACE(B2613&amp;"" ""&amp;C2613,""[^а-яa-z0-9 ]"","" ""))")," какалка со счетчиком  1113          1113   истема скоростного вращения  какалка со счетчиком  1113          1113   истема скоростного вращения   четчик фиксирует количество оборотов  тем самым позволяя следит за ходом тренировки и фиксировать прогресс ")</f>
        <v xml:space="preserve"> какалка со счетчиком  1113          1113   истема скоростного вращения  какалка со счетчиком  1113          1113   истема скоростного вращения   четчик фиксирует количество оборотов  тем самым позволяя следит за ходом тренировки и фиксировать прогресс </v>
      </c>
    </row>
    <row r="2614" spans="1:8" ht="25.5" x14ac:dyDescent="0.2">
      <c r="A2614" s="31" t="s">
        <v>6037</v>
      </c>
      <c r="B2614" s="27" t="s">
        <v>6038</v>
      </c>
      <c r="C2614" s="27" t="s">
        <v>6038</v>
      </c>
      <c r="D2614" s="33" t="s">
        <v>14</v>
      </c>
      <c r="E2614" s="34">
        <v>2</v>
      </c>
      <c r="F2614" s="36">
        <v>0.15</v>
      </c>
      <c r="G2614" s="10">
        <v>2418</v>
      </c>
      <c r="H2614" s="30" t="str">
        <f ca="1">IFERROR(__xludf.DUMMYFUNCTION("LOWER(REGEXREPLACE(B2614&amp;"" ""&amp;C2614,""[^а-яa-z0-9 ]"","" ""))")," какалка веревочная    1239   лина скакалки  2 4 м   олщина шнура  4 мм  какалка веревочная    1239   лина скакалки  2 4 м   олщина шнура  4 мм")</f>
        <v xml:space="preserve"> какалка веревочная    1239   лина скакалки  2 4 м   олщина шнура  4 мм  какалка веревочная    1239   лина скакалки  2 4 м   олщина шнура  4 мм</v>
      </c>
    </row>
    <row r="2615" spans="1:8" ht="127.5" x14ac:dyDescent="0.2">
      <c r="A2615" s="31" t="s">
        <v>6039</v>
      </c>
      <c r="B2615" s="27" t="s">
        <v>6040</v>
      </c>
      <c r="C2615" s="27" t="s">
        <v>6041</v>
      </c>
      <c r="D2615" s="33" t="s">
        <v>14</v>
      </c>
      <c r="E2615" s="34">
        <v>2</v>
      </c>
      <c r="F2615" s="37">
        <v>0.115</v>
      </c>
      <c r="G2615" s="10">
        <v>596</v>
      </c>
      <c r="H2615" s="30" t="str">
        <f ca="1">IFERROR(__xludf.DUMMYFUNCTION("LOWER(REGEXREPLACE(B2615&amp;"" ""&amp;C2615,""[^а-яa-z0-9 ]"","" ""))")," какалка детская    rstal          1215   лина синтетического шнура 2 метра  какалка детская   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ле"&amp;"т  когда дошкольники осознанно выполняют упражнения и принимают правила игры   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а концах шнура им"&amp;"еются пластиковые ручки   х форма адаптирована для детской руки  расширения у оснований не позволяют скакалке случайно выскользнуть   роме того  ручки полые внутри  а на месте соединения с плетеным шнуром вырезаны отверстия для свободного движения основно"&amp;"й части во избежание ее перекручивания ")</f>
        <v xml:space="preserve"> какалка детская    rstal          1215   лина синтетического шнура 2 метра  какалка детская   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а концах шнура имеются пластиковые ручки   х форма адаптирована для детской руки  расширения у оснований не позволяют скакалке случайно выскользнуть   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 </v>
      </c>
    </row>
    <row r="2616" spans="1:8" ht="63.75" x14ac:dyDescent="0.2">
      <c r="A2616" s="31" t="s">
        <v>6042</v>
      </c>
      <c r="B2616" s="27" t="s">
        <v>6043</v>
      </c>
      <c r="C2616" s="27" t="s">
        <v>6044</v>
      </c>
      <c r="D2616" s="33" t="s">
        <v>14</v>
      </c>
      <c r="E2616" s="34">
        <v>2</v>
      </c>
      <c r="F2616" s="35">
        <v>0.4</v>
      </c>
      <c r="G2616" s="10">
        <v>2879</v>
      </c>
      <c r="H2616" s="30" t="str">
        <f ca="1">IFERROR(__xludf.DUMMYFUNCTION("LOWER(REGEXREPLACE(B2616&amp;"" ""&amp;C2616,""[^а-яa-z0-9 ]"","" ""))")," какалка    1240  какалка      максимально легкая и удобная  предназначена для кардио тренировок  укрепления сердечно сосудистой и дыхательной системы   нур скакалки изготовлен из прочного      выдерживающего высокие нагрузки   учки выполнены из полипропи"&amp;"лена   зделие легкое  но достаточно крепкое  чтобы прослужить долго  выдерживая регулярные тренировки ")</f>
        <v xml:space="preserve"> какалка    1240  какалка      максимально легкая и удобная  предназначена для кардио тренировок  укрепления сердечно сосудистой и дыхательной системы   нур скакалки изготовлен из прочного      выдерживающего высокие нагрузки   учки выполнены из полипропилена   зделие легкое  но достаточно крепкое  чтобы прослужить долго  выдерживая регулярные тренировки </v>
      </c>
    </row>
    <row r="2617" spans="1:8" ht="38.25" x14ac:dyDescent="0.2">
      <c r="A2617" s="31" t="s">
        <v>6045</v>
      </c>
      <c r="B2617" s="27" t="s">
        <v>6046</v>
      </c>
      <c r="C2617" s="27" t="s">
        <v>6047</v>
      </c>
      <c r="D2617" s="33" t="s">
        <v>14</v>
      </c>
      <c r="E2617" s="34">
        <v>2</v>
      </c>
      <c r="F2617" s="35">
        <v>0.1</v>
      </c>
      <c r="G2617" s="10">
        <v>3212</v>
      </c>
      <c r="H2617" s="30" t="str">
        <f ca="1">IFERROR(__xludf.DUMMYFUNCTION("LOWER(REGEXREPLACE(B2617&amp;"" ""&amp;C2617,""[^а-яa-z0-9 ]"","" ""))")," какалка с деревяными ручками   атериал изготовления  ручки из дерева   шнур из нейлона  какалка с деревянными ручками   ри прыжках сжигаются калории  тренируются все группы мышц  укрепляется дыхательная система ")</f>
        <v xml:space="preserve"> какалка с деревяными ручками   атериал изготовления  ручки из дерева   шнур из нейлона  какалка с деревянными ручками   ри прыжках сжигаются калории  тренируются все группы мышц  укрепляется дыхательная система </v>
      </c>
    </row>
    <row r="2618" spans="1:8" ht="12.75" x14ac:dyDescent="0.2">
      <c r="A2618" s="31" t="s">
        <v>6048</v>
      </c>
      <c r="B2618" s="27" t="s">
        <v>6049</v>
      </c>
      <c r="C2618" s="27"/>
      <c r="D2618" s="33" t="s">
        <v>14</v>
      </c>
      <c r="E2618" s="9"/>
      <c r="F2618" s="32"/>
      <c r="G2618" s="10"/>
      <c r="H2618" s="30" t="str">
        <f ca="1">IFERROR(__xludf.DUMMYFUNCTION("LOWER(REGEXREPLACE(B2618&amp;"" ""&amp;C2618,""[^а-яa-z0-9 ]"","" ""))")," лажок ")</f>
        <v xml:space="preserve"> лажок </v>
      </c>
    </row>
    <row r="2619" spans="1:8" ht="38.25" x14ac:dyDescent="0.2">
      <c r="A2619" s="31" t="s">
        <v>6050</v>
      </c>
      <c r="B2619" s="8" t="s">
        <v>6051</v>
      </c>
      <c r="C2619" s="27" t="s">
        <v>6052</v>
      </c>
      <c r="D2619" s="33" t="s">
        <v>14</v>
      </c>
      <c r="E2619" s="34">
        <v>1</v>
      </c>
      <c r="F2619" s="35">
        <v>0.5</v>
      </c>
      <c r="G2619" s="10">
        <v>7744</v>
      </c>
      <c r="H2619" s="30" t="str">
        <f ca="1">IFERROR(__xludf.DUMMYFUNCTION("LOWER(REGEXREPLACE(B2619&amp;"" ""&amp;C2619,""[^а-яa-z0-9 ]"","" ""))")," лажок судейский размерами 340 х 440 мм     015  лажок судейский     015   учка изготовлена из пластика и покрыта мягким неопреновым материалом   азмер флага  34 х 44см   лина полюс  49см")</f>
        <v xml:space="preserve"> лажок судейский размерами 340 х 440 мм     015  лажок судейский     015   учка изготовлена из пластика и покрыта мягким неопреновым материалом   азмер флага  34 х 44см   лина полюс  49см</v>
      </c>
    </row>
    <row r="2620" spans="1:8" ht="51" x14ac:dyDescent="0.2">
      <c r="A2620" s="31" t="s">
        <v>6053</v>
      </c>
      <c r="B2620" s="27" t="s">
        <v>6054</v>
      </c>
      <c r="C2620" s="27" t="s">
        <v>6055</v>
      </c>
      <c r="D2620" s="33" t="s">
        <v>14</v>
      </c>
      <c r="E2620" s="9"/>
      <c r="F2620" s="32"/>
      <c r="G2620" s="10">
        <v>1385</v>
      </c>
      <c r="H2620" s="30" t="str">
        <f ca="1">IFERROR(__xludf.DUMMYFUNCTION("LOWER(REGEXREPLACE(B2620&amp;"" ""&amp;C2620,""[^а-яa-z0-9 ]"","" ""))")," лажок разноцветный  лажок разноцветный   лассические прямоугольные тканьевые цветные флажки   каневая часть надежно крепится к деревянной ручке   азмер изделия  габариты  х х     300х200х20мм   атериал   дерево  ткань")</f>
        <v xml:space="preserve"> лажок разноцветный  лажок разноцветный   лассические прямоугольные тканьевые цветные флажки   каневая часть надежно крепится к деревянной ручке   азмер изделия  габариты  х х     300х200х20мм   атериал   дерево  ткань</v>
      </c>
    </row>
    <row r="2621" spans="1:8" ht="12.75" x14ac:dyDescent="0.2">
      <c r="A2621" s="31" t="s">
        <v>6056</v>
      </c>
      <c r="B2621" s="27" t="s">
        <v>6057</v>
      </c>
      <c r="C2621" s="27"/>
      <c r="D2621" s="33" t="s">
        <v>14</v>
      </c>
      <c r="E2621" s="34">
        <v>1</v>
      </c>
      <c r="F2621" s="35">
        <v>0.5</v>
      </c>
      <c r="G2621" s="10">
        <v>446</v>
      </c>
      <c r="H2621" s="30" t="str">
        <f ca="1">IFERROR(__xludf.DUMMYFUNCTION("LOWER(REGEXREPLACE(B2621&amp;"" ""&amp;C2621,""[^а-яa-z0-9 ]"","" ""))")," нур короткий ")</f>
        <v xml:space="preserve"> нур короткий </v>
      </c>
    </row>
    <row r="2622" spans="1:8" ht="12.75" x14ac:dyDescent="0.2">
      <c r="A2622" s="31" t="s">
        <v>6058</v>
      </c>
      <c r="B2622" s="27" t="s">
        <v>6059</v>
      </c>
      <c r="C2622" s="27"/>
      <c r="D2622" s="33" t="s">
        <v>14</v>
      </c>
      <c r="E2622" s="9"/>
      <c r="F2622" s="32"/>
      <c r="G2622" s="10"/>
      <c r="H2622" s="30" t="str">
        <f ca="1">IFERROR(__xludf.DUMMYFUNCTION("LOWER(REGEXREPLACE(B2622&amp;"" ""&amp;C2622,""[^а-яa-z0-9 ]"","" ""))")," яч баскетбольный ")</f>
        <v xml:space="preserve"> яч баскетбольный </v>
      </c>
    </row>
    <row r="2623" spans="1:8" ht="12.75" x14ac:dyDescent="0.2">
      <c r="A2623" s="31" t="s">
        <v>6060</v>
      </c>
      <c r="B2623" s="27" t="s">
        <v>6061</v>
      </c>
      <c r="C2623" s="27"/>
      <c r="D2623" s="33" t="s">
        <v>14</v>
      </c>
      <c r="E2623" s="34">
        <v>1</v>
      </c>
      <c r="F2623" s="37">
        <v>0.56699999999999995</v>
      </c>
      <c r="G2623" s="10">
        <v>7143</v>
      </c>
      <c r="H2623" s="30" t="str">
        <f ca="1">IFERROR(__xludf.DUMMYFUNCTION("LOWER(REGEXREPLACE(B2623&amp;"" ""&amp;C2623,""[^а-яa-z0-9 ]"","" ""))")," яч баскетбольный  palding   1000 ")</f>
        <v xml:space="preserve"> яч баскетбольный  palding   1000 </v>
      </c>
    </row>
    <row r="2624" spans="1:8" ht="63.75" x14ac:dyDescent="0.2">
      <c r="A2624" s="31" t="s">
        <v>6062</v>
      </c>
      <c r="B2624" s="27" t="s">
        <v>6063</v>
      </c>
      <c r="C2624" s="27" t="s">
        <v>6064</v>
      </c>
      <c r="D2624" s="33" t="s">
        <v>14</v>
      </c>
      <c r="E2624" s="34">
        <v>2</v>
      </c>
      <c r="F2624" s="36">
        <v>0.65</v>
      </c>
      <c r="G2624" s="10">
        <v>13757</v>
      </c>
      <c r="H2624" s="30" t="str">
        <f ca="1">IFERROR(__xludf.DUMMYFUNCTION("LOWER(REGEXREPLACE(B2624&amp;"" ""&amp;C2624,""[^а-яa-z0-9 ]"","" ""))")," яч баскетбольный  7    7100   оверхность из синтетической кожи  полиуретан   яч баскетбольный  7    7100   оверхность из синтетической кожи  полиуретан  и глубокие каналы  технология  eep hannel    утиловая камера   азмер  7   ип соединения панелей   лее"&amp;"ный   оличество панелей  8   атериал покрышки   инт  кожа  полиуретан    атериал камеры   утил   атериал обмотки камеры   ейлон ")</f>
        <v xml:space="preserve"> яч баскетбольный  7    7100   оверхность из синтетической кожи  полиуретан   яч баскетбольный  7    7100   оверхность из синтетической кожи  полиуретан  и глубокие каналы  технология  eep hannel    утиловая камера   азмер  7   ип соединения панелей   лееный   оличество панелей  8   атериал покрышки   инт  кожа  полиуретан    атериал камеры   утил   атериал обмотки камеры   ейлон </v>
      </c>
    </row>
    <row r="2625" spans="1:8" ht="51" x14ac:dyDescent="0.2">
      <c r="A2625" s="31" t="s">
        <v>6065</v>
      </c>
      <c r="B2625" s="27" t="s">
        <v>6066</v>
      </c>
      <c r="C2625" s="27" t="s">
        <v>6067</v>
      </c>
      <c r="D2625" s="33" t="s">
        <v>14</v>
      </c>
      <c r="E2625" s="34">
        <v>2</v>
      </c>
      <c r="F2625" s="36">
        <v>0.65</v>
      </c>
      <c r="G2625" s="10">
        <v>60302</v>
      </c>
      <c r="H2625" s="30" t="str">
        <f ca="1">IFERROR(__xludf.DUMMYFUNCTION("LOWER(REGEXREPLACE(B2625&amp;"" ""&amp;C2625,""[^а-яa-z0-9 ]"","" ""))")," яч баскетбольный  7   3800  профессиональный  типа  olten  яч баскетбольный  7   3800  профессиональный  типа  olten    вет основной   оричневый   вет дополнительный   ежево ч рный   азмер  7   ип соединения панелей   лееный   оличество панелей  12   ате"&amp;"риал покрышки   инт  кожа  полиуретан    атериал камеры   утил   атериал обмотки камеры    ейлон ")</f>
        <v xml:space="preserve"> яч баскетбольный  7   3800  профессиональный  типа  olten  яч баскетбольный  7   3800  профессиональный  типа  olten    вет основной   оричневый   вет дополнительный   ежево ч рный   азмер  7   ип соединения панелей   лееный   оличество панелей  12   атериал покрышки   инт  кожа  полиуретан    атериал камеры   утил   атериал обмотки камеры    ейлон </v>
      </c>
    </row>
    <row r="2626" spans="1:8" ht="63.75" x14ac:dyDescent="0.2">
      <c r="A2626" s="31" t="s">
        <v>6068</v>
      </c>
      <c r="B2626" s="27" t="s">
        <v>6069</v>
      </c>
      <c r="C2626" s="27" t="s">
        <v>6070</v>
      </c>
      <c r="D2626" s="33" t="s">
        <v>14</v>
      </c>
      <c r="E2626" s="34">
        <v>2</v>
      </c>
      <c r="F2626" s="35">
        <v>0.7</v>
      </c>
      <c r="G2626" s="10">
        <v>18432</v>
      </c>
      <c r="H2626" s="30" t="str">
        <f ca="1">IFERROR(__xludf.DUMMYFUNCTION("LOWER(REGEXREPLACE(B2626&amp;"" ""&amp;C2626,""[^а-яa-z0-9 ]"","" ""))")," яч баскетбольный   атериал изготовления  композитная кожа  аскетбольный мяч  palding    1000 для проведения соревнований  а также для тренировок и игр   пециальный каркас мяча  palding    1000 обеспечивает мягкость  а конструкция углубленных каналов позв"&amp;"оляет обеспечить максимально уверенный захват и контроль мяча   бладает высокими техническими характеристиками  прочный и износостойкий ")</f>
        <v xml:space="preserve"> яч баскетбольный   атериал изготовления  композитная кожа  аскетбольный мяч  palding    1000 для проведения соревнований  а также для тренировок и игр   пециальный каркас мяча  palding    1000 обеспечивает мягкость  а конструкция углубленных каналов позволяет обеспечить максимально уверенный захват и контроль мяча   бладает высокими техническими характеристиками  прочный и износостойкий </v>
      </c>
    </row>
    <row r="2627" spans="1:8" ht="12.75" x14ac:dyDescent="0.2">
      <c r="A2627" s="31" t="s">
        <v>6071</v>
      </c>
      <c r="B2627" s="27" t="s">
        <v>6072</v>
      </c>
      <c r="C2627" s="27"/>
      <c r="D2627" s="33" t="s">
        <v>14</v>
      </c>
      <c r="E2627" s="9"/>
      <c r="F2627" s="32"/>
      <c r="G2627" s="10"/>
      <c r="H2627" s="30" t="str">
        <f ca="1">IFERROR(__xludf.DUMMYFUNCTION("LOWER(REGEXREPLACE(B2627&amp;"" ""&amp;C2627,""[^а-яa-z0-9 ]"","" ""))")," яч волейбольный ")</f>
        <v xml:space="preserve"> яч волейбольный </v>
      </c>
    </row>
    <row r="2628" spans="1:8" ht="12.75" x14ac:dyDescent="0.2">
      <c r="A2628" s="31" t="s">
        <v>6073</v>
      </c>
      <c r="B2628" s="27" t="s">
        <v>6074</v>
      </c>
      <c r="C2628" s="27"/>
      <c r="D2628" s="33" t="s">
        <v>14</v>
      </c>
      <c r="E2628" s="34">
        <v>1</v>
      </c>
      <c r="F2628" s="35">
        <v>0.3</v>
      </c>
      <c r="G2628" s="10">
        <v>5357</v>
      </c>
      <c r="H2628" s="30" t="str">
        <f ca="1">IFERROR(__xludf.DUMMYFUNCTION("LOWER(REGEXREPLACE(B2628&amp;"" ""&amp;C2628,""[^а-яa-z0-9 ]"","" ""))")," олейбольный мяч  ikasa      320  ")</f>
        <v xml:space="preserve"> олейбольный мяч  ikasa      320  </v>
      </c>
    </row>
    <row r="2629" spans="1:8" ht="38.25" x14ac:dyDescent="0.2">
      <c r="A2629" s="31" t="s">
        <v>6075</v>
      </c>
      <c r="B2629" s="27" t="s">
        <v>6076</v>
      </c>
      <c r="C2629" s="27" t="s">
        <v>6077</v>
      </c>
      <c r="D2629" s="33" t="s">
        <v>14</v>
      </c>
      <c r="E2629" s="34">
        <v>2</v>
      </c>
      <c r="F2629" s="36">
        <v>0.28000000000000003</v>
      </c>
      <c r="G2629" s="10">
        <v>10690</v>
      </c>
      <c r="H2629" s="30" t="str">
        <f ca="1">IFERROR(__xludf.DUMMYFUNCTION("LOWER(REGEXREPLACE(B2629&amp;"" ""&amp;C2629,""[^а-яa-z0-9 ]"","" ""))")," яч волейбольный  5    210    ягкая синтетическая кожа  полиуретан   олейбольный мяч  5    210    ип соединения панелей   лееный   оличество панелей  18  ягкая синтетическая кожа  полиуретан   бутиловая камера   размер 5   панелей 18")</f>
        <v xml:space="preserve"> яч волейбольный  5    210    ягкая синтетическая кожа  полиуретан   олейбольный мяч  5    210    ип соединения панелей   лееный   оличество панелей  18  ягкая синтетическая кожа  полиуретан   бутиловая камера   размер 5   панелей 18</v>
      </c>
    </row>
    <row r="2630" spans="1:8" ht="63.75" x14ac:dyDescent="0.2">
      <c r="A2630" s="31" t="s">
        <v>6078</v>
      </c>
      <c r="B2630" s="27" t="s">
        <v>6079</v>
      </c>
      <c r="C2630" s="27" t="s">
        <v>6080</v>
      </c>
      <c r="D2630" s="33" t="s">
        <v>14</v>
      </c>
      <c r="E2630" s="34">
        <v>2</v>
      </c>
      <c r="F2630" s="36">
        <v>0.28000000000000003</v>
      </c>
      <c r="G2630" s="10">
        <v>62794</v>
      </c>
      <c r="H2630" s="30" t="str">
        <f ca="1">IFERROR(__xludf.DUMMYFUNCTION("LOWER(REGEXREPLACE(B2630&amp;"" ""&amp;C2630,""[^а-яa-z0-9 ]"","" ""))")," яч волейбольный  5  330   типа          рофессиональный   инт  кожа  микрофибра   олейбольный мяч  5  330   типа          вет основной    елтый   вет дополнительный   иний   ровень игры    рофессиональный   азмер  65 67 см   ип соединения панелей   леены"&amp;"й   оличество панелей  18  атериал покрышки    инт  кожа  микрофибра    онструкция   аминированная   атериал камеры   утил ")</f>
        <v xml:space="preserve"> яч волейбольный  5  330   типа          рофессиональный   инт  кожа  микрофибра   олейбольный мяч  5  330   типа          вет основной    елтый   вет дополнительный   иний   ровень игры    рофессиональный   азмер  65 67 см   ип соединения панелей   лееный   оличество панелей  18  атериал покрышки    инт  кожа  микрофибра    онструкция   аминированная   атериал камеры   утил </v>
      </c>
    </row>
    <row r="2631" spans="1:8" ht="38.25" x14ac:dyDescent="0.2">
      <c r="A2631" s="31" t="s">
        <v>6081</v>
      </c>
      <c r="B2631" s="27" t="s">
        <v>6082</v>
      </c>
      <c r="C2631" s="27" t="s">
        <v>6083</v>
      </c>
      <c r="D2631" s="33" t="s">
        <v>14</v>
      </c>
      <c r="E2631" s="34">
        <v>2</v>
      </c>
      <c r="F2631" s="36">
        <v>0.26</v>
      </c>
      <c r="G2631" s="10">
        <v>28523</v>
      </c>
      <c r="H2631" s="30" t="str">
        <f ca="1">IFERROR(__xludf.DUMMYFUNCTION("LOWER(REGEXREPLACE(B2631&amp;"" ""&amp;C2631,""[^а-яa-z0-9 ]"","" ""))")," яч волейбольный  5  5    типа          клеенный  яч волейбольный  5  5    типа          азмер  5   ип соединения панелей   клеенный   пособ сшивки мяча   ермический   вет   елый  зеленый  красный ")</f>
        <v xml:space="preserve"> яч волейбольный  5  5    типа          клеенный  яч волейбольный  5  5    типа          азмер  5   ип соединения панелей   клеенный   пособ сшивки мяча   ермический   вет   елый  зеленый  красный </v>
      </c>
    </row>
    <row r="2632" spans="1:8" ht="102" x14ac:dyDescent="0.2">
      <c r="A2632" s="31" t="s">
        <v>6084</v>
      </c>
      <c r="B2632" s="27" t="s">
        <v>6085</v>
      </c>
      <c r="C2632" s="27" t="s">
        <v>6086</v>
      </c>
      <c r="D2632" s="33" t="s">
        <v>14</v>
      </c>
      <c r="E2632" s="34">
        <v>2</v>
      </c>
      <c r="F2632" s="36">
        <v>0.26</v>
      </c>
      <c r="G2632" s="10">
        <v>78778</v>
      </c>
      <c r="H2632" s="30" t="str">
        <f ca="1">IFERROR(__xludf.DUMMYFUNCTION("LOWER(REGEXREPLACE(B2632&amp;"" ""&amp;C2632,""[^а-яa-z0-9 ]"","" ""))")," олейбольный мяч профессиональный  5        типа  200   олейбольный мяч  5           вет основной    елтый   вет дополнительный   иний   ровень игры    рофессиональный   ертификат         pproved  азмер  5   азмер  65 67 см   ес  260 гр   ип соединения па"&amp;"нелей   лееный   оличество панелей  18   деально сбалансированная 18 панельная аэродинамическая конструкция    атериал покрышки    верхкомпозитный чехол   онструкция   аминированная   атериал камеры   утил   собенность   оверхность с двойными углублениями"&amp;" ")</f>
        <v xml:space="preserve"> олейбольный мяч профессиональный  5        типа  200   олейбольный мяч  5           вет основной    елтый   вет дополнительный   иний   ровень игры    рофессиональный   ертификат         pproved  азмер  5   азмер  65 67 см   ес  260 гр   ип соединения панелей   лееный   оличество панелей  18   деально сбалансированная 18 панельная аэродинамическая конструкция    атериал покрышки    верхкомпозитный чехол   онструкция   аминированная   атериал камеры   утил   собенность   оверхность с двойными углублениями </v>
      </c>
    </row>
    <row r="2633" spans="1:8" ht="51" x14ac:dyDescent="0.2">
      <c r="A2633" s="31" t="s">
        <v>6087</v>
      </c>
      <c r="B2633" s="27" t="s">
        <v>6088</v>
      </c>
      <c r="C2633" s="27" t="s">
        <v>6089</v>
      </c>
      <c r="D2633" s="33" t="s">
        <v>14</v>
      </c>
      <c r="E2633" s="34">
        <v>2</v>
      </c>
      <c r="F2633" s="36">
        <v>0.45</v>
      </c>
      <c r="G2633" s="10">
        <v>17461</v>
      </c>
      <c r="H2633" s="30" t="str">
        <f ca="1">IFERROR(__xludf.DUMMYFUNCTION("LOWER(REGEXREPLACE(B2633&amp;"" ""&amp;C2633,""[^а-яa-z0-9 ]"","" ""))")," яч волейбольный   атериал изготовления  синтетическая кожа  микрофибра   олейбольный мяч  ikasa  320  идеально подойдет для тренировок и соревнований молодежи и взрослых   одель обладает хорошим сцеплением за счет легких углублений на поверхности   яч во"&amp;"лейбольный  ikasa  320   желтый цвет  5 размер одобрен      и     ")</f>
        <v xml:space="preserve"> яч волейбольный   атериал изготовления  синтетическая кожа  микрофибра   олейбольный мяч  ikasa  320  идеально подойдет для тренировок и соревнований молодежи и взрослых   одель обладает хорошим сцеплением за счет легких углублений на поверхности   яч волейбольный  ikasa  320   желтый цвет  5 размер одобрен      и     </v>
      </c>
    </row>
    <row r="2634" spans="1:8" ht="12.75" x14ac:dyDescent="0.2">
      <c r="A2634" s="31" t="s">
        <v>6090</v>
      </c>
      <c r="B2634" s="27" t="s">
        <v>6091</v>
      </c>
      <c r="C2634" s="27"/>
      <c r="D2634" s="33" t="s">
        <v>14</v>
      </c>
      <c r="E2634" s="9"/>
      <c r="F2634" s="32"/>
      <c r="G2634" s="10"/>
      <c r="H2634" s="30" t="str">
        <f ca="1">IFERROR(__xludf.DUMMYFUNCTION("LOWER(REGEXREPLACE(B2634&amp;"" ""&amp;C2634,""[^а-яa-z0-9 ]"","" ""))")," яч футбольный ")</f>
        <v xml:space="preserve"> яч футбольный </v>
      </c>
    </row>
    <row r="2635" spans="1:8" ht="12.75" x14ac:dyDescent="0.2">
      <c r="A2635" s="31" t="s">
        <v>6092</v>
      </c>
      <c r="B2635" s="27" t="s">
        <v>6093</v>
      </c>
      <c r="C2635" s="27"/>
      <c r="D2635" s="33" t="s">
        <v>14</v>
      </c>
      <c r="E2635" s="34">
        <v>1</v>
      </c>
      <c r="F2635" s="35">
        <v>0.4</v>
      </c>
      <c r="G2635" s="10">
        <v>6696</v>
      </c>
      <c r="H2635" s="30" t="str">
        <f ca="1">IFERROR(__xludf.DUMMYFUNCTION("LOWER(REGEXREPLACE(B2635&amp;"" ""&amp;C2635,""[^а-яa-z0-9 ]"","" ""))")," утбольный мяч  elect  5 ")</f>
        <v xml:space="preserve"> утбольный мяч  elect  5 </v>
      </c>
    </row>
    <row r="2636" spans="1:8" ht="63.75" x14ac:dyDescent="0.2">
      <c r="A2636" s="31" t="s">
        <v>6094</v>
      </c>
      <c r="B2636" s="27" t="s">
        <v>6095</v>
      </c>
      <c r="C2636" s="27" t="s">
        <v>6096</v>
      </c>
      <c r="D2636" s="33" t="s">
        <v>14</v>
      </c>
      <c r="E2636" s="34">
        <v>2</v>
      </c>
      <c r="F2636" s="36">
        <v>0.45</v>
      </c>
      <c r="G2636" s="10">
        <v>19905</v>
      </c>
      <c r="H2636" s="30" t="str">
        <f ca="1">IFERROR(__xludf.DUMMYFUNCTION("LOWER(REGEXREPLACE(B2636&amp;"" ""&amp;C2636,""[^а-яa-z0-9 ]"","" ""))")," яч футбольный  5     428    онструкция мяча состоит из 14 панелей  утбольный мяч  5     428    онструкция мяча состоит из 14 панелей   ягкая микрофибра толщиной 1 0 мм на нетканой основе  армированная натуральным латексом  для придания большей упругости "&amp;" со структурированной поверхностью    яч изготовлен по технологии термосшивки  термосклеивания  панелей ")</f>
        <v xml:space="preserve"> яч футбольный  5     428    онструкция мяча состоит из 14 панелей  утбольный мяч  5     428    онструкция мяча состоит из 14 панелей   ягкая микрофибра толщиной 1 0 мм на нетканой основе  армированная натуральным латексом  для придания большей упругости  со структурированной поверхностью    яч изготовлен по технологии термосшивки  термосклеивания  панелей </v>
      </c>
    </row>
    <row r="2637" spans="1:8" ht="51" x14ac:dyDescent="0.2">
      <c r="A2637" s="31" t="s">
        <v>6097</v>
      </c>
      <c r="B2637" s="27" t="s">
        <v>6098</v>
      </c>
      <c r="C2637" s="27" t="s">
        <v>6099</v>
      </c>
      <c r="D2637" s="33" t="s">
        <v>14</v>
      </c>
      <c r="E2637" s="34">
        <v>2</v>
      </c>
      <c r="F2637" s="36">
        <v>0.45</v>
      </c>
      <c r="G2637" s="10">
        <v>61909</v>
      </c>
      <c r="H2637" s="30" t="str">
        <f ca="1">IFERROR(__xludf.DUMMYFUNCTION("LOWER(REGEXREPLACE(B2637&amp;"" ""&amp;C2637,""[^а-яa-z0-9 ]"","" ""))")," яч футбольный  5                      1000   омпозитная синтетическая кожа  remium класса на основе  олиуретана      толщиной 1 5мм  утбольный мяч  5                      1000   омпозитная синтетическая кожа  remium класса на основе  олиуретана      толщ"&amp;"иной 1 5мм  3 подкладочных слоя по технологии 3 2  2 1    амера   атуральный латекс высшего качества ")</f>
        <v xml:space="preserve"> яч футбольный  5                      1000   омпозитная синтетическая кожа  remium класса на основе  олиуретана      толщиной 1 5мм  утбольный мяч  5                      1000   омпозитная синтетическая кожа  remium класса на основе  олиуретана      толщиной 1 5мм  3 подкладочных слоя по технологии 3 2  2 1    амера   атуральный латекс высшего качества </v>
      </c>
    </row>
    <row r="2638" spans="1:8" ht="38.25" x14ac:dyDescent="0.2">
      <c r="A2638" s="31" t="s">
        <v>6100</v>
      </c>
      <c r="B2638" s="8" t="s">
        <v>6101</v>
      </c>
      <c r="C2638" s="27" t="s">
        <v>6102</v>
      </c>
      <c r="D2638" s="33" t="s">
        <v>14</v>
      </c>
      <c r="E2638" s="34">
        <v>2</v>
      </c>
      <c r="F2638" s="36">
        <v>0.45</v>
      </c>
      <c r="G2638" s="10">
        <v>15978</v>
      </c>
      <c r="H2638" s="30" t="str">
        <f ca="1">IFERROR(__xludf.DUMMYFUNCTION("LOWER(REGEXREPLACE(B2638&amp;"" ""&amp;C2638,""[^а-яa-z0-9 ]"","" ""))")," яч мини футбольный  4     2008   атериал  камеры    атексная камера  ини футбольный мяч  4     2008   азмер  4   атериал  камеры   атексная камера   оличество панелей  32шт   ип соединения  машиная сшивка ")</f>
        <v xml:space="preserve"> яч мини футбольный  4     2008   атериал  камеры    атексная камера  ини футбольный мяч  4     2008   азмер  4   атериал  камеры   атексная камера   оличество панелей  32шт   ип соединения  машиная сшивка </v>
      </c>
    </row>
    <row r="2639" spans="1:8" ht="76.5" x14ac:dyDescent="0.2">
      <c r="A2639" s="31" t="s">
        <v>6103</v>
      </c>
      <c r="B2639" s="27" t="s">
        <v>6104</v>
      </c>
      <c r="C2639" s="27" t="s">
        <v>6105</v>
      </c>
      <c r="D2639" s="33" t="s">
        <v>14</v>
      </c>
      <c r="E2639" s="34">
        <v>2</v>
      </c>
      <c r="F2639" s="36">
        <v>0.44</v>
      </c>
      <c r="G2639" s="10">
        <v>18404</v>
      </c>
      <c r="H2639" s="30" t="str">
        <f ca="1">IFERROR(__xludf.DUMMYFUNCTION("LOWER(REGEXREPLACE(B2639&amp;"" ""&amp;C2639,""[^а-яa-z0-9 ]"","" ""))")," яч футзальный  4      432    окрышка из перламутровой глянцевой синтетической кожи  полиуретан    атериал камеры   утил с наполнителем  яч футзальный  4      432    окрышка из перламутровой глянцевой синтетической кожи  полиуретан  и четырех слоев  три п"&amp;"одкладочных слоя из синтетического нетканого материала  слой вспененной резины  ir attress   бутиловая камера с наполнителем для низкого отскока   оличество панелей  32 шт   атериал камеры   утил с наполнителем ")</f>
        <v xml:space="preserve"> яч футзальный  4      432    окрышка из перламутровой глянцевой синтетической кожи  полиуретан    атериал камеры   утил с наполнителем  яч футзальный  4      432    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ir attress   бутиловая камера с наполнителем для низкого отскока   оличество панелей  32 шт   атериал камеры   утил с наполнителем </v>
      </c>
    </row>
    <row r="2640" spans="1:8" ht="63.75" x14ac:dyDescent="0.2">
      <c r="A2640" s="31" t="s">
        <v>6106</v>
      </c>
      <c r="B2640" s="27" t="s">
        <v>6107</v>
      </c>
      <c r="C2640" s="27" t="s">
        <v>6108</v>
      </c>
      <c r="D2640" s="33" t="s">
        <v>14</v>
      </c>
      <c r="E2640" s="34">
        <v>2</v>
      </c>
      <c r="F2640" s="36">
        <v>0.42</v>
      </c>
      <c r="G2640" s="10">
        <v>62357</v>
      </c>
      <c r="H2640" s="30" t="str">
        <f ca="1">IFERROR(__xludf.DUMMYFUNCTION("LOWER(REGEXREPLACE(B2640&amp;"" ""&amp;C2640,""[^а-яa-z0-9 ]"","" ""))")," утзальный мяч  4   атериал изготовления  полиуретан  синтетическая кожа  редназначен для игр и тренировок   яч изготовлен из современных искусственных материалов    помощью полимерного нано компонента слои мяча оптимально проявляют свои свойства  что улу"&amp;"чшает форму мяча  угол отскока  а также устойчивость поверхности к повреждениям   азмеры  0 38х0 38х0 38 м")</f>
        <v xml:space="preserve"> утзальный мяч  4   атериал изготовления  полиуретан  синтетическая кожа  редназначен для игр и тренировок   яч изготовлен из современных искусственных материалов    помощью полимерного нано компонента слои мяча оптимально проявляют свои свойства  что улучшает форму мяча  угол отскока  а также устойчивость поверхности к повреждениям   азмеры  0 38х0 38х0 38 м</v>
      </c>
    </row>
    <row r="2641" spans="1:8" ht="63.75" x14ac:dyDescent="0.2">
      <c r="A2641" s="31" t="s">
        <v>6109</v>
      </c>
      <c r="B2641" s="27" t="s">
        <v>6110</v>
      </c>
      <c r="C2641" s="27" t="s">
        <v>6111</v>
      </c>
      <c r="D2641" s="33" t="s">
        <v>14</v>
      </c>
      <c r="E2641" s="34">
        <v>2</v>
      </c>
      <c r="F2641" s="35">
        <v>0.5</v>
      </c>
      <c r="G2641" s="10">
        <v>18431</v>
      </c>
      <c r="H2641" s="30" t="str">
        <f ca="1">IFERROR(__xludf.DUMMYFUNCTION("LOWER(REGEXREPLACE(B2641&amp;"" ""&amp;C2641,""[^а-яa-z0-9 ]"","" ""))")," яч футбольный   атериал изготовления  полиуретан  синтетическая кожа  утбольный мяч  elect  5   это мяч  который сочетает в себе превосходное качество и надежность   н разработан для использования на футбольных матчах и тренировках   яч  elect  5 обеспеч"&amp;"ивает отличную игровую производительность и долговечность  что делает его идеальным выбором для футболистов ")</f>
        <v xml:space="preserve"> яч футбольный   атериал изготовления  полиуретан  синтетическая кожа  утбольный мяч  elect  5   это мяч  который сочетает в себе превосходное качество и надежность   н разработан для использования на футбольных матчах и тренировках   яч  elect  5 обеспечивает отличную игровую производительность и долговечность  что делает его идеальным выбором для футболистов </v>
      </c>
    </row>
    <row r="2642" spans="1:8" ht="12.75" x14ac:dyDescent="0.2">
      <c r="A2642" s="31" t="s">
        <v>6112</v>
      </c>
      <c r="B2642" s="27" t="s">
        <v>6113</v>
      </c>
      <c r="C2642" s="27"/>
      <c r="D2642" s="33" t="s">
        <v>14</v>
      </c>
      <c r="E2642" s="34">
        <v>1</v>
      </c>
      <c r="F2642" s="32"/>
      <c r="G2642" s="10"/>
      <c r="H2642" s="30" t="str">
        <f ca="1">IFERROR(__xludf.DUMMYFUNCTION("LOWER(REGEXREPLACE(B2642&amp;"" ""&amp;C2642,""[^а-яa-z0-9 ]"","" ""))")," яч резиновый ")</f>
        <v xml:space="preserve"> яч резиновый </v>
      </c>
    </row>
    <row r="2643" spans="1:8" ht="12.75" x14ac:dyDescent="0.2">
      <c r="A2643" s="31" t="s">
        <v>6114</v>
      </c>
      <c r="B2643" s="27" t="s">
        <v>6115</v>
      </c>
      <c r="C2643" s="27"/>
      <c r="D2643" s="33" t="s">
        <v>14</v>
      </c>
      <c r="E2643" s="34">
        <v>1</v>
      </c>
      <c r="F2643" s="35">
        <v>0.9</v>
      </c>
      <c r="G2643" s="10">
        <v>2411</v>
      </c>
      <c r="H2643" s="30" t="str">
        <f ca="1">IFERROR(__xludf.DUMMYFUNCTION("LOWER(REGEXREPLACE(B2643&amp;"" ""&amp;C2643,""[^а-яa-z0-9 ]"","" ""))")," имнастический мяч   итбол  65 гладкий ")</f>
        <v xml:space="preserve"> имнастический мяч   итбол  65 гладкий </v>
      </c>
    </row>
    <row r="2644" spans="1:8" ht="12.75" x14ac:dyDescent="0.2">
      <c r="A2644" s="31" t="s">
        <v>6116</v>
      </c>
      <c r="B2644" s="27" t="s">
        <v>6117</v>
      </c>
      <c r="C2644" s="27"/>
      <c r="D2644" s="33" t="s">
        <v>14</v>
      </c>
      <c r="E2644" s="34">
        <v>1</v>
      </c>
      <c r="F2644" s="35">
        <v>1.2</v>
      </c>
      <c r="G2644" s="10">
        <v>2589</v>
      </c>
      <c r="H2644" s="30" t="str">
        <f ca="1">IFERROR(__xludf.DUMMYFUNCTION("LOWER(REGEXREPLACE(B2644&amp;"" ""&amp;C2644,""[^а-яa-z0-9 ]"","" ""))")," имнастический мяч   итбол  85 гладкий ")</f>
        <v xml:space="preserve"> имнастический мяч   итбол  85 гладкий </v>
      </c>
    </row>
    <row r="2645" spans="1:8" ht="12.75" x14ac:dyDescent="0.2">
      <c r="A2645" s="31" t="s">
        <v>6118</v>
      </c>
      <c r="B2645" s="27" t="s">
        <v>6119</v>
      </c>
      <c r="C2645" s="27"/>
      <c r="D2645" s="33" t="s">
        <v>14</v>
      </c>
      <c r="E2645" s="34">
        <v>1</v>
      </c>
      <c r="F2645" s="34">
        <v>1</v>
      </c>
      <c r="G2645" s="10">
        <v>4911</v>
      </c>
      <c r="H2645" s="30" t="str">
        <f ca="1">IFERROR(__xludf.DUMMYFUNCTION("LOWER(REGEXREPLACE(B2645&amp;"" ""&amp;C2645,""[^а-яa-z0-9 ]"","" ""))")," едбол  rofi 1кг ")</f>
        <v xml:space="preserve"> едбол  rofi 1кг </v>
      </c>
    </row>
    <row r="2646" spans="1:8" ht="12.75" x14ac:dyDescent="0.2">
      <c r="A2646" s="31" t="s">
        <v>6120</v>
      </c>
      <c r="B2646" s="27" t="s">
        <v>6121</v>
      </c>
      <c r="C2646" s="27"/>
      <c r="D2646" s="33" t="s">
        <v>14</v>
      </c>
      <c r="E2646" s="34">
        <v>1</v>
      </c>
      <c r="F2646" s="34">
        <v>2</v>
      </c>
      <c r="G2646" s="10">
        <v>6161</v>
      </c>
      <c r="H2646" s="30" t="str">
        <f ca="1">IFERROR(__xludf.DUMMYFUNCTION("LOWER(REGEXREPLACE(B2646&amp;"" ""&amp;C2646,""[^а-яa-z0-9 ]"","" ""))")," едбол  rofi 2кг ")</f>
        <v xml:space="preserve"> едбол  rofi 2кг </v>
      </c>
    </row>
    <row r="2647" spans="1:8" ht="12.75" x14ac:dyDescent="0.2">
      <c r="A2647" s="31" t="s">
        <v>6122</v>
      </c>
      <c r="B2647" s="27" t="s">
        <v>6123</v>
      </c>
      <c r="C2647" s="27"/>
      <c r="D2647" s="33" t="s">
        <v>14</v>
      </c>
      <c r="E2647" s="34">
        <v>1</v>
      </c>
      <c r="F2647" s="34">
        <v>3</v>
      </c>
      <c r="G2647" s="10">
        <v>7857</v>
      </c>
      <c r="H2647" s="30" t="str">
        <f ca="1">IFERROR(__xludf.DUMMYFUNCTION("LOWER(REGEXREPLACE(B2647&amp;"" ""&amp;C2647,""[^а-яa-z0-9 ]"","" ""))")," едбол  rofi 3кг ")</f>
        <v xml:space="preserve"> едбол  rofi 3кг </v>
      </c>
    </row>
    <row r="2648" spans="1:8" ht="12.75" x14ac:dyDescent="0.2">
      <c r="A2648" s="31" t="s">
        <v>6124</v>
      </c>
      <c r="B2648" s="27" t="s">
        <v>6125</v>
      </c>
      <c r="C2648" s="27"/>
      <c r="D2648" s="33" t="s">
        <v>14</v>
      </c>
      <c r="E2648" s="34">
        <v>1</v>
      </c>
      <c r="F2648" s="34">
        <v>4</v>
      </c>
      <c r="G2648" s="10">
        <v>8750</v>
      </c>
      <c r="H2648" s="30" t="str">
        <f ca="1">IFERROR(__xludf.DUMMYFUNCTION("LOWER(REGEXREPLACE(B2648&amp;"" ""&amp;C2648,""[^а-яa-z0-9 ]"","" ""))")," едбол  rofi 4кг ")</f>
        <v xml:space="preserve"> едбол  rofi 4кг </v>
      </c>
    </row>
    <row r="2649" spans="1:8" ht="12.75" x14ac:dyDescent="0.2">
      <c r="A2649" s="31" t="s">
        <v>6126</v>
      </c>
      <c r="B2649" s="27" t="s">
        <v>6127</v>
      </c>
      <c r="C2649" s="27"/>
      <c r="D2649" s="33" t="s">
        <v>14</v>
      </c>
      <c r="E2649" s="34">
        <v>1</v>
      </c>
      <c r="F2649" s="34">
        <v>5</v>
      </c>
      <c r="G2649" s="10">
        <v>9643</v>
      </c>
      <c r="H2649" s="30" t="str">
        <f ca="1">IFERROR(__xludf.DUMMYFUNCTION("LOWER(REGEXREPLACE(B2649&amp;"" ""&amp;C2649,""[^а-яa-z0-9 ]"","" ""))")," едбол  rofi 5кг ")</f>
        <v xml:space="preserve"> едбол  rofi 5кг </v>
      </c>
    </row>
    <row r="2650" spans="1:8" ht="12.75" x14ac:dyDescent="0.2">
      <c r="A2650" s="31" t="s">
        <v>6128</v>
      </c>
      <c r="B2650" s="27" t="s">
        <v>6129</v>
      </c>
      <c r="C2650" s="27"/>
      <c r="D2650" s="33" t="s">
        <v>14</v>
      </c>
      <c r="E2650" s="34">
        <v>1</v>
      </c>
      <c r="F2650" s="34">
        <v>6</v>
      </c>
      <c r="G2650" s="10">
        <v>8929</v>
      </c>
      <c r="H2650" s="30" t="str">
        <f ca="1">IFERROR(__xludf.DUMMYFUNCTION("LOWER(REGEXREPLACE(B2650&amp;"" ""&amp;C2650,""[^а-яa-z0-9 ]"","" ""))")," едбол  rofi 6кг ")</f>
        <v xml:space="preserve"> едбол  rofi 6кг </v>
      </c>
    </row>
    <row r="2651" spans="1:8" ht="12.75" x14ac:dyDescent="0.2">
      <c r="A2651" s="31" t="s">
        <v>6130</v>
      </c>
      <c r="B2651" s="27" t="s">
        <v>6131</v>
      </c>
      <c r="C2651" s="27"/>
      <c r="D2651" s="33" t="s">
        <v>14</v>
      </c>
      <c r="E2651" s="34">
        <v>1</v>
      </c>
      <c r="F2651" s="34">
        <v>7</v>
      </c>
      <c r="G2651" s="10">
        <v>9821</v>
      </c>
      <c r="H2651" s="30" t="str">
        <f ca="1">IFERROR(__xludf.DUMMYFUNCTION("LOWER(REGEXREPLACE(B2651&amp;"" ""&amp;C2651,""[^а-яa-z0-9 ]"","" ""))")," едбол  rofi 7кг ")</f>
        <v xml:space="preserve"> едбол  rofi 7кг </v>
      </c>
    </row>
    <row r="2652" spans="1:8" ht="12.75" x14ac:dyDescent="0.2">
      <c r="A2652" s="31" t="s">
        <v>6132</v>
      </c>
      <c r="B2652" s="27" t="s">
        <v>6133</v>
      </c>
      <c r="C2652" s="27"/>
      <c r="D2652" s="33" t="s">
        <v>14</v>
      </c>
      <c r="E2652" s="34">
        <v>1</v>
      </c>
      <c r="F2652" s="34">
        <v>8</v>
      </c>
      <c r="G2652" s="10">
        <v>12946</v>
      </c>
      <c r="H2652" s="30" t="str">
        <f ca="1">IFERROR(__xludf.DUMMYFUNCTION("LOWER(REGEXREPLACE(B2652&amp;"" ""&amp;C2652,""[^а-яa-z0-9 ]"","" ""))")," едбол  rofi 8кг ")</f>
        <v xml:space="preserve"> едбол  rofi 8кг </v>
      </c>
    </row>
    <row r="2653" spans="1:8" ht="12.75" x14ac:dyDescent="0.2">
      <c r="A2653" s="31" t="s">
        <v>6134</v>
      </c>
      <c r="B2653" s="27" t="s">
        <v>6135</v>
      </c>
      <c r="C2653" s="27"/>
      <c r="D2653" s="33" t="s">
        <v>14</v>
      </c>
      <c r="E2653" s="34">
        <v>1</v>
      </c>
      <c r="F2653" s="34">
        <v>9</v>
      </c>
      <c r="G2653" s="10">
        <v>11607</v>
      </c>
      <c r="H2653" s="30" t="str">
        <f ca="1">IFERROR(__xludf.DUMMYFUNCTION("LOWER(REGEXREPLACE(B2653&amp;"" ""&amp;C2653,""[^а-яa-z0-9 ]"","" ""))")," едбол  rofi 9кг ")</f>
        <v xml:space="preserve"> едбол  rofi 9кг </v>
      </c>
    </row>
    <row r="2654" spans="1:8" ht="12.75" x14ac:dyDescent="0.2">
      <c r="A2654" s="31" t="s">
        <v>6136</v>
      </c>
      <c r="B2654" s="27" t="s">
        <v>6137</v>
      </c>
      <c r="C2654" s="27"/>
      <c r="D2654" s="33" t="s">
        <v>14</v>
      </c>
      <c r="E2654" s="34">
        <v>1</v>
      </c>
      <c r="F2654" s="34">
        <v>10</v>
      </c>
      <c r="G2654" s="10">
        <v>14911</v>
      </c>
      <c r="H2654" s="30" t="str">
        <f ca="1">IFERROR(__xludf.DUMMYFUNCTION("LOWER(REGEXREPLACE(B2654&amp;"" ""&amp;C2654,""[^а-яa-z0-9 ]"","" ""))")," едбол  rofi 10кг ")</f>
        <v xml:space="preserve"> едбол  rofi 10кг </v>
      </c>
    </row>
    <row r="2655" spans="1:8" ht="76.5" x14ac:dyDescent="0.2">
      <c r="A2655" s="31" t="s">
        <v>6138</v>
      </c>
      <c r="B2655" s="27" t="s">
        <v>6139</v>
      </c>
      <c r="C2655" s="27" t="s">
        <v>6140</v>
      </c>
      <c r="D2655" s="33" t="s">
        <v>14</v>
      </c>
      <c r="E2655" s="34">
        <v>2</v>
      </c>
      <c r="F2655" s="34">
        <v>1</v>
      </c>
      <c r="G2655" s="10">
        <v>7907</v>
      </c>
      <c r="H2655" s="30" t="str">
        <f ca="1">IFERROR(__xludf.DUMMYFUNCTION("LOWER(REGEXREPLACE(B2655&amp;"" ""&amp;C2655,""[^а-яa-z0-9 ]"","" ""))")," едицинбол 1кг   медбол     001   зготовлен из высококачественной плотной износостойкой резины  натуральной кожи или      едицинбол 1кг   медбол     001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1кг   медбол     001   зготовлен из высококачественной плотной износостойкой резины  натуральной кожи или      едицинбол 1кг   медбол     001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6" spans="1:8" ht="76.5" x14ac:dyDescent="0.2">
      <c r="A2656" s="31" t="s">
        <v>6141</v>
      </c>
      <c r="B2656" s="27" t="s">
        <v>6142</v>
      </c>
      <c r="C2656" s="27" t="s">
        <v>6143</v>
      </c>
      <c r="D2656" s="33" t="s">
        <v>14</v>
      </c>
      <c r="E2656" s="34">
        <v>2</v>
      </c>
      <c r="F2656" s="34">
        <v>2</v>
      </c>
      <c r="G2656" s="10">
        <v>9609</v>
      </c>
      <c r="H2656" s="30" t="str">
        <f ca="1">IFERROR(__xludf.DUMMYFUNCTION("LOWER(REGEXREPLACE(B2656&amp;"" ""&amp;C2656,""[^а-яa-z0-9 ]"","" ""))")," едицинбол 2кг   медбол     002   зготовлен из высококачественной плотной износостойкой резины  натуральной кожи или      едицинбол 2кг   медбол     002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2кг   медбол     002   зготовлен из высококачественной плотной износостойкой резины  натуральной кожи или      едицинбол 2кг   медбол     002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7" spans="1:8" ht="76.5" x14ac:dyDescent="0.2">
      <c r="A2657" s="31" t="s">
        <v>6144</v>
      </c>
      <c r="B2657" s="27" t="s">
        <v>6145</v>
      </c>
      <c r="C2657" s="27" t="s">
        <v>6146</v>
      </c>
      <c r="D2657" s="33" t="s">
        <v>14</v>
      </c>
      <c r="E2657" s="34">
        <v>2</v>
      </c>
      <c r="F2657" s="34">
        <v>3</v>
      </c>
      <c r="G2657" s="10">
        <v>11373</v>
      </c>
      <c r="H2657" s="30" t="str">
        <f ca="1">IFERROR(__xludf.DUMMYFUNCTION("LOWER(REGEXREPLACE(B2657&amp;"" ""&amp;C2657,""[^а-яa-z0-9 ]"","" ""))")," едицинбол 3кг   медбол     003   зготовлен из высококачественной плотной износостойкой резины  натуральной кожи или      едицинбол 3кг   медбол     003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3кг   медбол     003   зготовлен из высококачественной плотной износостойкой резины  натуральной кожи или      едицинбол 3кг   медбол     003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8" spans="1:8" ht="76.5" x14ac:dyDescent="0.2">
      <c r="A2658" s="31" t="s">
        <v>6147</v>
      </c>
      <c r="B2658" s="27" t="s">
        <v>6148</v>
      </c>
      <c r="C2658" s="27" t="s">
        <v>6149</v>
      </c>
      <c r="D2658" s="33" t="s">
        <v>14</v>
      </c>
      <c r="E2658" s="34">
        <v>2</v>
      </c>
      <c r="F2658" s="34">
        <v>4</v>
      </c>
      <c r="G2658" s="10">
        <v>13547</v>
      </c>
      <c r="H2658" s="30" t="str">
        <f ca="1">IFERROR(__xludf.DUMMYFUNCTION("LOWER(REGEXREPLACE(B2658&amp;"" ""&amp;C2658,""[^а-яa-z0-9 ]"","" ""))")," едицинбол 4кг   медбол     004   зготовлен из высококачественной плотной износостойкой резины  натуральной кожи или      едицинбол 4кг   медбол     004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4кг   медбол     004   зготовлен из высококачественной плотной износостойкой резины  натуральной кожи или      едицинбол 4кг   медбол     004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59" spans="1:8" ht="76.5" x14ac:dyDescent="0.2">
      <c r="A2659" s="31" t="s">
        <v>6150</v>
      </c>
      <c r="B2659" s="27" t="s">
        <v>6151</v>
      </c>
      <c r="C2659" s="27" t="s">
        <v>6152</v>
      </c>
      <c r="D2659" s="33" t="s">
        <v>14</v>
      </c>
      <c r="E2659" s="34">
        <v>2</v>
      </c>
      <c r="F2659" s="34">
        <v>5</v>
      </c>
      <c r="G2659" s="10">
        <v>15960</v>
      </c>
      <c r="H2659" s="30" t="str">
        <f ca="1">IFERROR(__xludf.DUMMYFUNCTION("LOWER(REGEXREPLACE(B2659&amp;"" ""&amp;C2659,""[^а-яa-z0-9 ]"","" ""))")," едицинбол 5кг   медбол     005   зготовлен из высококачественной плотной износостойкой резины  натуральной кожи или      едицинбол 5кг   медбол     005   зготовлен из высококачественной плотной износостойкой резины  натуральной кожи или      который наби"&amp;"вается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5кг   медбол     005   зготовлен из высококачественной плотной износостойкой резины  натуральной кожи или      едицинбол 5кг   медбол     005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60" spans="1:8" ht="76.5" x14ac:dyDescent="0.2">
      <c r="A2660" s="31" t="s">
        <v>6153</v>
      </c>
      <c r="B2660" s="27" t="s">
        <v>6154</v>
      </c>
      <c r="C2660" s="27" t="s">
        <v>6155</v>
      </c>
      <c r="D2660" s="33" t="s">
        <v>14</v>
      </c>
      <c r="E2660" s="34">
        <v>2</v>
      </c>
      <c r="F2660" s="34">
        <v>6</v>
      </c>
      <c r="G2660" s="10">
        <v>17125</v>
      </c>
      <c r="H2660" s="30" t="str">
        <f ca="1">IFERROR(__xludf.DUMMYFUNCTION("LOWER(REGEXREPLACE(B2660&amp;"" ""&amp;C2660,""[^а-яa-z0-9 ]"","" ""))")," едицинбол 6кг   медбол     006   зготовлен из высококачественной плотной износостойкой резины  кожи или      едицинбол 6кг   медбол     006   зготовлен из высококачественной плотной износостойкой резины  кожи или      который набивается резиновой крошкой"&amp;"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6кг   медбол     006   зготовлен из высококачественной плотной износостойкой резины  кожи или      едицинбол 6кг   медбол     006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61" spans="1:8" ht="38.25" x14ac:dyDescent="0.2">
      <c r="A2661" s="31" t="s">
        <v>6156</v>
      </c>
      <c r="B2661" s="27" t="s">
        <v>6157</v>
      </c>
      <c r="C2661" s="27" t="s">
        <v>6158</v>
      </c>
      <c r="D2661" s="33" t="s">
        <v>14</v>
      </c>
      <c r="E2661" s="34">
        <v>2</v>
      </c>
      <c r="F2661" s="36">
        <v>0.15</v>
      </c>
      <c r="G2661" s="10">
        <v>9953</v>
      </c>
      <c r="H2661" s="30" t="str">
        <f ca="1">IFERROR(__xludf.DUMMYFUNCTION("LOWER(REGEXREPLACE(B2661&amp;"" ""&amp;C2661,""[^а-яa-z0-9 ]"","" ""))")," яч гимнастический   итбол     65 гладкий   иаметр  65 см  имнастический мяч   итбол     65 гладкий   зготовлен из материала  поливинилхлорид  нетоксичный и гипоаллергенный    иаметр  65 см")</f>
        <v xml:space="preserve"> яч гимнастический   итбол     65 гладкий   иаметр  65 см  имнастический мяч   итбол     65 гладкий   зготовлен из материала  поливинилхлорид  нетоксичный и гипоаллергенный    иаметр  65 см</v>
      </c>
    </row>
    <row r="2662" spans="1:8" ht="38.25" x14ac:dyDescent="0.2">
      <c r="A2662" s="31" t="s">
        <v>6159</v>
      </c>
      <c r="B2662" s="27" t="s">
        <v>6160</v>
      </c>
      <c r="C2662" s="27" t="s">
        <v>6161</v>
      </c>
      <c r="D2662" s="33" t="s">
        <v>14</v>
      </c>
      <c r="E2662" s="34">
        <v>2</v>
      </c>
      <c r="F2662" s="35">
        <v>0.2</v>
      </c>
      <c r="G2662" s="10">
        <v>14439</v>
      </c>
      <c r="H2662" s="30" t="str">
        <f ca="1">IFERROR(__xludf.DUMMYFUNCTION("LOWER(REGEXREPLACE(B2662&amp;"" ""&amp;C2662,""[^а-яa-z0-9 ]"","" ""))")," яч гимнастический   итбол     85 гладкий   иаметр  85 см  имнастический мяч   итбол     85 гладкий   зготовлен из материала  поливинилхлорид  нетоксичный и гипоаллергенный    иаметр  85 см")</f>
        <v xml:space="preserve"> яч гимнастический   итбол     85 гладкий   иаметр  85 см  имнастический мяч   итбол     85 гладкий   зготовлен из материала  поливинилхлорид  нетоксичный и гипоаллергенный    иаметр  85 см</v>
      </c>
    </row>
    <row r="2663" spans="1:8" ht="51" x14ac:dyDescent="0.2">
      <c r="A2663" s="31" t="s">
        <v>6162</v>
      </c>
      <c r="B2663" s="27" t="s">
        <v>6163</v>
      </c>
      <c r="C2663" s="27" t="s">
        <v>6164</v>
      </c>
      <c r="D2663" s="33" t="s">
        <v>14</v>
      </c>
      <c r="E2663" s="34">
        <v>2</v>
      </c>
      <c r="F2663" s="34">
        <v>1</v>
      </c>
      <c r="G2663" s="10">
        <v>8249</v>
      </c>
      <c r="H2663" s="30" t="str">
        <f ca="1">IFERROR(__xludf.DUMMYFUNCTION("LOWER(REGEXREPLACE(B2663&amp;"" ""&amp;C2663,""[^а-яa-z0-9 ]"","" ""))")," едицинбол 1кг    001  медбол    зготовлен из высококачественной плотной износостойкой резины  кожи или      едицинбол 1кг    001  медбол    зготовлен из высококачественной плотной износостойкой резины  кожи или       меет нескользящую поверхность и дизай"&amp;"н баскетбольного мяча    нутри снаряд заполнен песком ")</f>
        <v xml:space="preserve"> едицинбол 1кг    001  медбол    зготовлен из высококачественной плотной износостойкой резины  кожи или      едицинбол 1кг    001  медбол    зготовлен из высококачественной плотной износостойкой резины  кожи или       меет нескользящую поверхность и дизайн баскетбольного мяча    нутри снаряд заполнен песком </v>
      </c>
    </row>
    <row r="2664" spans="1:8" ht="51" x14ac:dyDescent="0.2">
      <c r="A2664" s="31" t="s">
        <v>6165</v>
      </c>
      <c r="B2664" s="27" t="s">
        <v>6166</v>
      </c>
      <c r="C2664" s="27" t="s">
        <v>6167</v>
      </c>
      <c r="D2664" s="33" t="s">
        <v>14</v>
      </c>
      <c r="E2664" s="34">
        <v>2</v>
      </c>
      <c r="F2664" s="34">
        <v>2</v>
      </c>
      <c r="G2664" s="10">
        <v>13026</v>
      </c>
      <c r="H2664" s="30" t="str">
        <f ca="1">IFERROR(__xludf.DUMMYFUNCTION("LOWER(REGEXREPLACE(B2664&amp;"" ""&amp;C2664,""[^а-яa-z0-9 ]"","" ""))")," едицинбол 2кг    002  медбол    зготовлен из высококачественной плотной износостойкой резины  кожи или      едицинбол 2кг    002  медбол    зготовлен из высококачественной плотной износостойкой резины  кожи или      который набивается резиновой крошкой  "&amp;"песком   меет нескользящую поверхность и дизайн баскетбольного мяча    нутри снаряд заполнен песком ")</f>
        <v xml:space="preserve"> едицинбол 2кг    002  медбол    зготовлен из высококачественной плотной износостойкой резины  кожи или      едицинбол 2кг    002  медбол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5" spans="1:8" ht="51" x14ac:dyDescent="0.2">
      <c r="A2665" s="31" t="s">
        <v>6168</v>
      </c>
      <c r="B2665" s="27" t="s">
        <v>6169</v>
      </c>
      <c r="C2665" s="27" t="s">
        <v>6170</v>
      </c>
      <c r="D2665" s="33" t="s">
        <v>14</v>
      </c>
      <c r="E2665" s="34">
        <v>2</v>
      </c>
      <c r="F2665" s="34">
        <v>3</v>
      </c>
      <c r="G2665" s="10">
        <v>16637</v>
      </c>
      <c r="H2665" s="30" t="str">
        <f ca="1">IFERROR(__xludf.DUMMYFUNCTION("LOWER(REGEXREPLACE(B2665&amp;"" ""&amp;C2665,""[^а-яa-z0-9 ]"","" ""))")," едицинбол 3кг    003  медбол    зготовлен из высококачественной плотной износостойкой резины  кожи или      едицинбол 3кг    003  медбол    зготовлен из высококачественной плотной износостойкой резины  кожи или      который набивается резиновой крошкой  "&amp;"песком   меет нескользящую поверхность и дизайн баскетбольного мяча    нутри снаряд заполнен песком ")</f>
        <v xml:space="preserve"> едицинбол 3кг    003  медбол    зготовлен из высококачественной плотной износостойкой резины  кожи или      едицинбол 3кг    003  медбол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6" spans="1:8" ht="51" x14ac:dyDescent="0.2">
      <c r="A2666" s="31" t="s">
        <v>6171</v>
      </c>
      <c r="B2666" s="27" t="s">
        <v>6172</v>
      </c>
      <c r="C2666" s="27" t="s">
        <v>6173</v>
      </c>
      <c r="D2666" s="33" t="s">
        <v>14</v>
      </c>
      <c r="E2666" s="34">
        <v>2</v>
      </c>
      <c r="F2666" s="34">
        <v>4</v>
      </c>
      <c r="G2666" s="10">
        <v>21130</v>
      </c>
      <c r="H2666" s="30" t="str">
        <f ca="1">IFERROR(__xludf.DUMMYFUNCTION("LOWER(REGEXREPLACE(B2666&amp;"" ""&amp;C2666,""[^а-яa-z0-9 ]"","" ""))")," едицинбол 4кг    004  медбол    зготовлен из высококачественной плотной износостойкой резины  кожи или      едицинбол 4кг    004   медбол    зготовлен извысококачественной плотной износостойкой резины  кожи или      который набивается резиновой крошкой  "&amp;"песком    меет нескользящую поверхность и дизайн баскетбольного мяча    нутри снаряд заполнен песком ")</f>
        <v xml:space="preserve"> едицинбол 4кг    004  медбол    зготовлен из высококачественной плотной износостойкой резины  кожи или      едицинбол 4кг    004   медбол    зготовлен извысококачественной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7" spans="1:8" ht="63.75" x14ac:dyDescent="0.2">
      <c r="A2667" s="31" t="s">
        <v>6174</v>
      </c>
      <c r="B2667" s="27" t="s">
        <v>6175</v>
      </c>
      <c r="C2667" s="27" t="s">
        <v>6176</v>
      </c>
      <c r="D2667" s="33" t="s">
        <v>14</v>
      </c>
      <c r="E2667" s="34">
        <v>2</v>
      </c>
      <c r="F2667" s="34">
        <v>5</v>
      </c>
      <c r="G2667" s="10">
        <v>24872</v>
      </c>
      <c r="H2667" s="30" t="str">
        <f ca="1">IFERROR(__xludf.DUMMYFUNCTION("LOWER(REGEXREPLACE(B2667&amp;"" ""&amp;C2667,""[^а-яa-z0-9 ]"","" ""))")," едицинбол 5кг    005  медбол    зготовлен из высококачественной плотной износостойкой резины  кожи или      едицинбол 5кг    005  медбол    это тяжелый мяч  изготовленный высококачественной плотной износостойкой резины  кожи или      который набивается р"&amp;"езиновой крошкой  песком    меет нескользящую поверхность и дизайн баскетбольного мяча    нутри снаряд заполнен песком ")</f>
        <v xml:space="preserve"> едицинбол 5кг    005  медбол    зготовлен из высококачественной плотной износостойкой резины  кожи или      едицинбол 5кг    005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v>
      </c>
    </row>
    <row r="2668" spans="1:8" ht="76.5" x14ac:dyDescent="0.2">
      <c r="A2668" s="31" t="s">
        <v>6177</v>
      </c>
      <c r="B2668" s="27" t="s">
        <v>6178</v>
      </c>
      <c r="C2668" s="27" t="s">
        <v>6179</v>
      </c>
      <c r="D2668" s="33" t="s">
        <v>14</v>
      </c>
      <c r="E2668" s="34">
        <v>2</v>
      </c>
      <c r="F2668" s="34">
        <v>6</v>
      </c>
      <c r="G2668" s="10">
        <v>27422</v>
      </c>
      <c r="H2668" s="30" t="str">
        <f ca="1">IFERROR(__xludf.DUMMYFUNCTION("LOWER(REGEXREPLACE(B2668&amp;"" ""&amp;C2668,""[^а-яa-z0-9 ]"","" ""))")," едицинбол 6кг     006  медбол    зготовлен из  высококачественной плотной износостойкой резины  кожи или      едицинбол 6кг     006  медбол    это тяжелый мяч  изготовлен из высококачественной плотной износостойкой резины  кожи или      который набиваетс"&amp;"я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6кг     006  медбол    зготовлен из  высококачественной плотной износостойкой резины  кожи или      едицинбол 6кг     006  медбол    это тяжелый мяч  изготовлен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69" spans="1:8" ht="76.5" x14ac:dyDescent="0.2">
      <c r="A2669" s="31" t="s">
        <v>6180</v>
      </c>
      <c r="B2669" s="27" t="s">
        <v>6181</v>
      </c>
      <c r="C2669" s="27" t="s">
        <v>6182</v>
      </c>
      <c r="D2669" s="33" t="s">
        <v>14</v>
      </c>
      <c r="E2669" s="34">
        <v>2</v>
      </c>
      <c r="F2669" s="34">
        <v>7</v>
      </c>
      <c r="G2669" s="10">
        <v>29450</v>
      </c>
      <c r="H2669" s="30" t="str">
        <f ca="1">IFERROR(__xludf.DUMMYFUNCTION("LOWER(REGEXREPLACE(B2669&amp;"" ""&amp;C2669,""[^а-яa-z0-9 ]"","" ""))")," едицинбол 7кг     007  медбол    зготовлен из высококачественной плотной износостойкой резины  кожи или      едицинбол 7кг     007  медбол    это тяжелый мяч   зготовлен из высококачественной плотной износостойкой резины  кожи или      который набивается"&amp;"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7кг     007  медбол    зготовлен из высококачественной плотной износостойкой резины  кожи или      едицинбол 7кг     007  медбол    это тяжелый мяч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70" spans="1:8" ht="76.5" x14ac:dyDescent="0.2">
      <c r="A2670" s="31" t="s">
        <v>6183</v>
      </c>
      <c r="B2670" s="27" t="s">
        <v>6184</v>
      </c>
      <c r="C2670" s="27" t="s">
        <v>6185</v>
      </c>
      <c r="D2670" s="33" t="s">
        <v>14</v>
      </c>
      <c r="E2670" s="34">
        <v>2</v>
      </c>
      <c r="F2670" s="34">
        <v>8</v>
      </c>
      <c r="G2670" s="10">
        <v>30997</v>
      </c>
      <c r="H2670" s="30" t="str">
        <f ca="1">IFERROR(__xludf.DUMMYFUNCTION("LOWER(REGEXREPLACE(B2670&amp;"" ""&amp;C2670,""[^а-яa-z0-9 ]"","" ""))")," едицинбол 8кг    008  медбол    зготовлен из высококачественной плотной износостойкой резины  кожи или      едицинбол 8кг    008  медбол    это тяжелый мяч  изготовленный высококачественной плотной износостойкой резины  кожи или      который набивается р"&amp;"езиновой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8кг    008  медбол    зготовлен из высококачественной плотной износостойкой резины  кожи или      едицинбол 8кг    008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71" spans="1:8" ht="76.5" x14ac:dyDescent="0.2">
      <c r="A2671" s="31" t="s">
        <v>6186</v>
      </c>
      <c r="B2671" s="27" t="s">
        <v>6187</v>
      </c>
      <c r="C2671" s="27" t="s">
        <v>6188</v>
      </c>
      <c r="D2671" s="33" t="s">
        <v>14</v>
      </c>
      <c r="E2671" s="34">
        <v>2</v>
      </c>
      <c r="F2671" s="34">
        <v>9</v>
      </c>
      <c r="G2671" s="10">
        <v>33941</v>
      </c>
      <c r="H2671" s="30" t="str">
        <f ca="1">IFERROR(__xludf.DUMMYFUNCTION("LOWER(REGEXREPLACE(B2671&amp;"" ""&amp;C2671,""[^а-яa-z0-9 ]"","" ""))")," едицинбол 9кг     009  медбол    зготовлен из высококачественной плотной износостойкой резины  кожи или      едицинбол 9кг     009  медбол    это тяжелый мяч  изготовленный высококачественной плотной износостойкой резины  кожи или      который набивается"&amp;"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f>
        <v xml:space="preserve"> едицинбол 9кг     009  медбол    зготовлен из высококачественной плотной износостойкой резины  кожи или      едицинбол 9кг     009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v>
      </c>
    </row>
    <row r="2672" spans="1:8" ht="51" x14ac:dyDescent="0.2">
      <c r="A2672" s="31" t="s">
        <v>6189</v>
      </c>
      <c r="B2672" s="27" t="s">
        <v>6190</v>
      </c>
      <c r="C2672" s="27" t="s">
        <v>6191</v>
      </c>
      <c r="D2672" s="33" t="s">
        <v>14</v>
      </c>
      <c r="E2672" s="34">
        <v>2</v>
      </c>
      <c r="F2672" s="34">
        <v>10</v>
      </c>
      <c r="G2672" s="10">
        <v>35509</v>
      </c>
      <c r="H2672" s="30" t="str">
        <f ca="1">IFERROR(__xludf.DUMMYFUNCTION("LOWER(REGEXREPLACE(B2672&amp;"" ""&amp;C2672,""[^а-яa-z0-9 ]"","" ""))")," едицинбол 10кг     010  медбол    зготовлен из высококачественной плотной износостойкой резины  кожи или      едицинбол 10кг     010  медбол    это тяжелый мяч  изготовленный высококачественной плотной износостойкой резины  кожи или      который набивает"&amp;"ся резиновой крошкой  песком  ")</f>
        <v xml:space="preserve"> едицинбол 10кг     010  медбол    зготовлен из высококачественной плотной износостойкой резины  кожи или      едицинбол 10кг     010  медбол    это тяжелый мяч  изготовленный высококачественной плотной износостойкой резины  кожи или      который набивается резиновой крошкой  песком  </v>
      </c>
    </row>
    <row r="2673" spans="1:8" ht="38.25" x14ac:dyDescent="0.2">
      <c r="A2673" s="31" t="s">
        <v>6192</v>
      </c>
      <c r="B2673" s="27" t="s">
        <v>6193</v>
      </c>
      <c r="C2673" s="27" t="s">
        <v>6194</v>
      </c>
      <c r="D2673" s="33" t="s">
        <v>14</v>
      </c>
      <c r="E2673" s="34">
        <v>2</v>
      </c>
      <c r="F2673" s="35">
        <v>0.4</v>
      </c>
      <c r="G2673" s="10">
        <v>7964</v>
      </c>
      <c r="H2673" s="30" t="str">
        <f ca="1">IFERROR(__xludf.DUMMYFUNCTION("LOWER(REGEXREPLACE(B2673&amp;"" ""&amp;C2673,""[^а-яa-z0-9 ]"","" ""))")," яч для художественной гимнастики      0228   21 см   зготовлен из  аучука  яч для художественной гимнастики      0228   21 см   ес составляет по стандарту 400 грамм   зготовлен из  аучука ")</f>
        <v xml:space="preserve"> яч для художественной гимнастики      0228   21 см   зготовлен из  аучука  яч для художественной гимнастики      0228   21 см   ес составляет по стандарту 400 грамм   зготовлен из  аучука </v>
      </c>
    </row>
    <row r="2674" spans="1:8" ht="12.75" x14ac:dyDescent="0.2">
      <c r="A2674" s="31" t="s">
        <v>6195</v>
      </c>
      <c r="B2674" s="27" t="s">
        <v>6196</v>
      </c>
      <c r="C2674" s="27" t="s">
        <v>6197</v>
      </c>
      <c r="D2674" s="33" t="s">
        <v>14</v>
      </c>
      <c r="E2674" s="34">
        <v>2</v>
      </c>
      <c r="F2674" s="35">
        <v>0.4</v>
      </c>
      <c r="G2674" s="10">
        <v>7144</v>
      </c>
      <c r="H2674" s="30" t="str">
        <f ca="1">IFERROR(__xludf.DUMMYFUNCTION("LOWER(REGEXREPLACE(B2674&amp;"" ""&amp;C2674,""[^а-яa-z0-9 ]"","" ""))")," яч для художественной гимнастики   19400  зготовлен из поливинилхлорида  диаметр 19см ")</f>
        <v xml:space="preserve"> яч для художественной гимнастики   19400  зготовлен из поливинилхлорида  диаметр 19см </v>
      </c>
    </row>
    <row r="2675" spans="1:8" ht="12.75" x14ac:dyDescent="0.2">
      <c r="A2675" s="31" t="s">
        <v>6198</v>
      </c>
      <c r="B2675" s="27" t="s">
        <v>6199</v>
      </c>
      <c r="C2675" s="27"/>
      <c r="D2675" s="33" t="s">
        <v>14</v>
      </c>
      <c r="E2675" s="9"/>
      <c r="F2675" s="32"/>
      <c r="G2675" s="10"/>
      <c r="H2675" s="30" t="str">
        <f ca="1">IFERROR(__xludf.DUMMYFUNCTION("LOWER(REGEXREPLACE(B2675&amp;"" ""&amp;C2675,""[^а-яa-z0-9 ]"","" ""))")," яч для метания ")</f>
        <v xml:space="preserve"> яч для метания </v>
      </c>
    </row>
    <row r="2676" spans="1:8" ht="25.5" x14ac:dyDescent="0.2">
      <c r="A2676" s="31" t="s">
        <v>6200</v>
      </c>
      <c r="B2676" s="27" t="s">
        <v>6201</v>
      </c>
      <c r="C2676" s="27" t="s">
        <v>6202</v>
      </c>
      <c r="D2676" s="33" t="s">
        <v>14</v>
      </c>
      <c r="E2676" s="34">
        <v>1</v>
      </c>
      <c r="F2676" s="36">
        <v>0.15</v>
      </c>
      <c r="G2676" s="10">
        <v>1420</v>
      </c>
      <c r="H2676" s="30" t="str">
        <f ca="1">IFERROR(__xludf.DUMMYFUNCTION("LOWER(REGEXREPLACE(B2676&amp;"" ""&amp;C2676,""[^а-яa-z0-9 ]"","" ""))")," яч для метания резиновый диаметром 60мм     150  яч для метания резиновый     150  150 гр    арактеристики  материал  резина   иаметр   60мм")</f>
        <v xml:space="preserve"> яч для метания резиновый диаметром 60мм     150  яч для метания резиновый     150  150 гр    арактеристики  материал  резина   иаметр   60мм</v>
      </c>
    </row>
    <row r="2677" spans="1:8" ht="12.75" x14ac:dyDescent="0.2">
      <c r="A2677" s="31" t="s">
        <v>6203</v>
      </c>
      <c r="B2677" s="27" t="s">
        <v>6204</v>
      </c>
      <c r="C2677" s="27"/>
      <c r="D2677" s="33" t="s">
        <v>14</v>
      </c>
      <c r="E2677" s="34">
        <v>1</v>
      </c>
      <c r="F2677" s="32"/>
      <c r="G2677" s="10"/>
      <c r="H2677" s="30" t="str">
        <f ca="1">IFERROR(__xludf.DUMMYFUNCTION("LOWER(REGEXREPLACE(B2677&amp;"" ""&amp;C2677,""[^а-яa-z0-9 ]"","" ""))")," ишень для метания ")</f>
        <v xml:space="preserve"> ишень для метания </v>
      </c>
    </row>
    <row r="2678" spans="1:8" ht="12.75" x14ac:dyDescent="0.2">
      <c r="A2678" s="31" t="s">
        <v>6205</v>
      </c>
      <c r="B2678" s="27" t="s">
        <v>6204</v>
      </c>
      <c r="C2678" s="27"/>
      <c r="D2678" s="33" t="s">
        <v>14</v>
      </c>
      <c r="E2678" s="34">
        <v>2</v>
      </c>
      <c r="F2678" s="36">
        <v>7.26</v>
      </c>
      <c r="G2678" s="10">
        <v>9920</v>
      </c>
      <c r="H2678" s="30" t="str">
        <f ca="1">IFERROR(__xludf.DUMMYFUNCTION("LOWER(REGEXREPLACE(B2678&amp;"" ""&amp;C2678,""[^а-яa-z0-9 ]"","" ""))")," ишень для метания ")</f>
        <v xml:space="preserve"> ишень для метания </v>
      </c>
    </row>
    <row r="2679" spans="1:8" ht="38.25" x14ac:dyDescent="0.2">
      <c r="A2679" s="31" t="s">
        <v>6206</v>
      </c>
      <c r="B2679" s="8" t="s">
        <v>6207</v>
      </c>
      <c r="C2679" s="27" t="s">
        <v>6208</v>
      </c>
      <c r="D2679" s="33" t="s">
        <v>14</v>
      </c>
      <c r="E2679" s="34">
        <v>2</v>
      </c>
      <c r="F2679" s="35">
        <v>5.4</v>
      </c>
      <c r="G2679" s="10">
        <v>6599</v>
      </c>
      <c r="H2679" s="30" t="str">
        <f ca="1">IFERROR(__xludf.DUMMYFUNCTION("LOWER(REGEXREPLACE(B2679&amp;"" ""&amp;C2679,""[^а-яa-z0-9 ]"","" ""))")," ишень для метания     450 450х450мм   зготовлен из натурального дерева  фанеры  ишень для метания     450 450х450мм   зготовлен из натурального дерева  фанеры  редставляет собой деревянную фанеру   а поверхности нарисована мишень с несколькими кольцами ")</f>
        <v xml:space="preserve"> ишень для метания     450 450х450мм   зготовлен из натурального дерева  фанеры  ишень для метания     450 450х450мм   зготовлен из натурального дерева  фанеры  редставляет собой деревянную фанеру   а поверхности нарисована мишень с несколькими кольцами </v>
      </c>
    </row>
    <row r="2680" spans="1:8" ht="51" x14ac:dyDescent="0.2">
      <c r="A2680" s="31" t="s">
        <v>6209</v>
      </c>
      <c r="B2680" s="8" t="s">
        <v>6210</v>
      </c>
      <c r="C2680" s="27" t="s">
        <v>6211</v>
      </c>
      <c r="D2680" s="33" t="s">
        <v>14</v>
      </c>
      <c r="E2680" s="34">
        <v>2</v>
      </c>
      <c r="F2680" s="34">
        <v>8</v>
      </c>
      <c r="G2680" s="10">
        <v>8603</v>
      </c>
      <c r="H2680" s="30" t="str">
        <f ca="1">IFERROR(__xludf.DUMMYFUNCTION("LOWER(REGEXREPLACE(B2680&amp;"" ""&amp;C2680,""[^а-яa-z0-9 ]"","" ""))")," ишень для метания     700 700х700мм   зготовлена из натурального дерева  фанеры  ишень для метания     700 700х700мм    ит сделан из натурального дерева  фанеры   анера  прошла несколько стадий обработки  чтобы поверхность была ровной  и избавиться от за"&amp;"усениц   ерхняя поверхность имеет изображение мишени с несколькими кольцами ")</f>
        <v xml:space="preserve"> ишень для метания     700 700х700мм   зготовлена из натурального дерева  фанеры  ишень для метания     700 700х700мм    ит сделан из натурального дерева  фанеры   анера  прошла несколько стадий обработки  чтобы поверхность была ровной  и избавиться от заусениц   ерхняя поверхность имеет изображение мишени с несколькими кольцами </v>
      </c>
    </row>
    <row r="2681" spans="1:8" ht="51" x14ac:dyDescent="0.2">
      <c r="A2681" s="31" t="s">
        <v>6212</v>
      </c>
      <c r="B2681" s="27" t="s">
        <v>6213</v>
      </c>
      <c r="C2681" s="27" t="s">
        <v>6214</v>
      </c>
      <c r="D2681" s="33" t="s">
        <v>14</v>
      </c>
      <c r="E2681" s="9"/>
      <c r="F2681" s="35">
        <v>0.3</v>
      </c>
      <c r="G2681" s="10">
        <v>2429</v>
      </c>
      <c r="H2681" s="30" t="str">
        <f ca="1">IFERROR(__xludf.DUMMYFUNCTION("LOWER(REGEXREPLACE(B2681&amp;"" ""&amp;C2681,""[^а-яa-z0-9 ]"","" ""))")," ешочек для метания  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атериал  искусственная кожа  песок   азмер  140х140мм ")</f>
        <v xml:space="preserve"> ешочек для метания  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атериал  искусственная кожа  песок   азмер  140х140мм </v>
      </c>
    </row>
    <row r="2682" spans="1:8" ht="12.75" x14ac:dyDescent="0.2">
      <c r="A2682" s="31" t="s">
        <v>6215</v>
      </c>
      <c r="B2682" s="27" t="s">
        <v>6216</v>
      </c>
      <c r="C2682" s="27"/>
      <c r="D2682" s="33" t="s">
        <v>68</v>
      </c>
      <c r="E2682" s="9"/>
      <c r="F2682" s="32"/>
      <c r="G2682" s="10"/>
      <c r="H2682" s="30" t="str">
        <f ca="1">IFERROR(__xludf.DUMMYFUNCTION("LOWER(REGEXREPLACE(B2682&amp;"" ""&amp;C2682,""[^а-яa-z0-9 ]"","" ""))")," абор для игры в бадминтон ")</f>
        <v xml:space="preserve"> абор для игры в бадминтон </v>
      </c>
    </row>
    <row r="2683" spans="1:8" ht="12.75" x14ac:dyDescent="0.2">
      <c r="A2683" s="31" t="s">
        <v>6217</v>
      </c>
      <c r="B2683" s="27" t="s">
        <v>6218</v>
      </c>
      <c r="C2683" s="27"/>
      <c r="D2683" s="33" t="s">
        <v>68</v>
      </c>
      <c r="E2683" s="34">
        <v>1</v>
      </c>
      <c r="F2683" s="35">
        <v>0.2</v>
      </c>
      <c r="G2683" s="10">
        <v>3304</v>
      </c>
      <c r="H2683" s="30" t="str">
        <f ca="1">IFERROR(__xludf.DUMMYFUNCTION("LOWER(REGEXREPLACE(B2683&amp;"" ""&amp;C2683,""[^а-яa-z0-9 ]"","" ""))")," акетки для бадминтона  eka ")</f>
        <v xml:space="preserve"> акетки для бадминтона  eka </v>
      </c>
    </row>
    <row r="2684" spans="1:8" ht="12.75" x14ac:dyDescent="0.2">
      <c r="A2684" s="31" t="s">
        <v>6219</v>
      </c>
      <c r="B2684" s="27" t="s">
        <v>6220</v>
      </c>
      <c r="C2684" s="27"/>
      <c r="D2684" s="33" t="s">
        <v>14</v>
      </c>
      <c r="E2684" s="34">
        <v>1</v>
      </c>
      <c r="F2684" s="36">
        <v>0.01</v>
      </c>
      <c r="G2684" s="10">
        <v>223</v>
      </c>
      <c r="H2684" s="30" t="str">
        <f ca="1">IFERROR(__xludf.DUMMYFUNCTION("LOWER(REGEXREPLACE(B2684&amp;"" ""&amp;C2684,""[^а-яa-z0-9 ]"","" ""))")," оланы для бадминтона ")</f>
        <v xml:space="preserve"> оланы для бадминтона </v>
      </c>
    </row>
    <row r="2685" spans="1:8" ht="51" x14ac:dyDescent="0.2">
      <c r="A2685" s="31" t="s">
        <v>6221</v>
      </c>
      <c r="B2685" s="27" t="s">
        <v>6222</v>
      </c>
      <c r="C2685" s="27" t="s">
        <v>6223</v>
      </c>
      <c r="D2685" s="33" t="s">
        <v>14</v>
      </c>
      <c r="E2685" s="34">
        <v>2</v>
      </c>
      <c r="F2685" s="35">
        <v>0.1</v>
      </c>
      <c r="G2685" s="10">
        <v>7126</v>
      </c>
      <c r="H2685" s="30" t="str">
        <f ca="1">IFERROR(__xludf.DUMMYFUNCTION("LOWER(REGEXREPLACE(B2685&amp;"" ""&amp;C2685,""[^а-яa-z0-9 ]"","" ""))")," акетка для бадминтона    4250   зготовлена  из углеродистой стали  акетка для бадминтона    4250   зготовлена  из углеродистой стали   ес ракетки составляет от 80 до 100 грамм   азмер ракетки 680мм  в длину 230мм    трунная поверхность  не более 280 мм в"&amp;" длину и 220 мм в ширину   бщая длина струнной 330 мм ")</f>
        <v xml:space="preserve"> акетка для бадминтона    4250   зготовлена  из углеродистой стали  акетка для бадминтона    4250   зготовлена  из углеродистой стали   ес ракетки составляет от 80 до 100 грамм   азмер ракетки 680мм  в длину 230мм    трунная поверхность  не более 280 мм в длину и 220 мм в ширину   бщая длина струнной 330 мм </v>
      </c>
    </row>
    <row r="2686" spans="1:8" ht="51" x14ac:dyDescent="0.2">
      <c r="A2686" s="31" t="s">
        <v>6224</v>
      </c>
      <c r="B2686" s="27" t="s">
        <v>6225</v>
      </c>
      <c r="C2686" s="27" t="s">
        <v>6226</v>
      </c>
      <c r="D2686" s="33" t="s">
        <v>14</v>
      </c>
      <c r="E2686" s="34">
        <v>2</v>
      </c>
      <c r="F2686" s="37">
        <v>1.4999999999999999E-2</v>
      </c>
      <c r="G2686" s="10">
        <v>1800</v>
      </c>
      <c r="H2686" s="30" t="str">
        <f ca="1">IFERROR(__xludf.DUMMYFUNCTION("LOWER(REGEXREPLACE(B2686&amp;"" ""&amp;C2686,""[^а-яa-z0-9 ]"","" ""))")," оланчик для бадминтона   4406  в упаковке 3 шт    зготовлен из нейлона  оланчик для бадминтона   4406  в упаковке 3 шт     зготовлен из нейлона    атериал головки   робка   олан тренировочного уровня для игры в зале и на улице   ысота волана 8 см  диамет"&amp;"р юбки 7 см   пакованы в тубу по 3 шт ")</f>
        <v xml:space="preserve"> оланчик для бадминтона   4406  в упаковке 3 шт    зготовлен из нейлона  оланчик для бадминтона   4406  в упаковке 3 шт     зготовлен из нейлона    атериал головки   робка   олан тренировочного уровня для игры в зале и на улице   ысота волана 8 см  диаметр юбки 7 см   пакованы в тубу по 3 шт </v>
      </c>
    </row>
    <row r="2687" spans="1:8" ht="38.25" x14ac:dyDescent="0.2">
      <c r="A2687" s="31" t="s">
        <v>6227</v>
      </c>
      <c r="B2687" s="27" t="s">
        <v>6228</v>
      </c>
      <c r="C2687" s="27" t="s">
        <v>6229</v>
      </c>
      <c r="D2687" s="33" t="s">
        <v>14</v>
      </c>
      <c r="E2687" s="34">
        <v>2</v>
      </c>
      <c r="F2687" s="37">
        <v>5.0000000000000001E-3</v>
      </c>
      <c r="G2687" s="10">
        <v>594</v>
      </c>
      <c r="H2687" s="30" t="str">
        <f ca="1">IFERROR(__xludf.DUMMYFUNCTION("LOWER(REGEXREPLACE(B2687&amp;"" ""&amp;C2687,""[^а-яa-z0-9 ]"","" ""))")," оланчик для бадминтона     300   зготовлен из нейлона  оланчик для бадминтона     300   зготовлен из нейлона   вет основной   елый   вет дополнительный   ело черный   атериал   ейлон   ысота волана 8 см  диаметр юбки 7 см ")</f>
        <v xml:space="preserve"> оланчик для бадминтона     300   зготовлен из нейлона  оланчик для бадминтона     300   зготовлен из нейлона   вет основной   елый   вет дополнительный   ело черный   атериал   ейлон   ысота волана 8 см  диаметр юбки 7 см </v>
      </c>
    </row>
    <row r="2688" spans="1:8" ht="25.5" x14ac:dyDescent="0.2">
      <c r="A2688" s="31" t="s">
        <v>6230</v>
      </c>
      <c r="B2688" s="27" t="s">
        <v>6231</v>
      </c>
      <c r="C2688" s="27" t="s">
        <v>6232</v>
      </c>
      <c r="D2688" s="33" t="s">
        <v>1506</v>
      </c>
      <c r="E2688" s="34">
        <v>2</v>
      </c>
      <c r="F2688" s="36">
        <v>0.25</v>
      </c>
      <c r="G2688" s="10">
        <v>6112</v>
      </c>
      <c r="H2688" s="30" t="str">
        <f ca="1">IFERROR(__xludf.DUMMYFUNCTION("LOWER(REGEXREPLACE(B2688&amp;"" ""&amp;C2688,""[^а-яa-z0-9 ]"","" ""))")," абор для игры   сык ату   абор для игры   сык ату     наборе 12шт   ехол из экокожи   атериал изготовления  пластик")</f>
        <v xml:space="preserve"> абор для игры   сык ату   абор для игры   сык ату     наборе 12шт   ехол из экокожи   атериал изготовления  пластик</v>
      </c>
    </row>
    <row r="2689" spans="1:8" ht="25.5" x14ac:dyDescent="0.2">
      <c r="A2689" s="31" t="s">
        <v>6233</v>
      </c>
      <c r="B2689" s="27" t="s">
        <v>6234</v>
      </c>
      <c r="C2689" s="27" t="s">
        <v>6235</v>
      </c>
      <c r="D2689" s="33" t="s">
        <v>1506</v>
      </c>
      <c r="E2689" s="34">
        <v>2</v>
      </c>
      <c r="F2689" s="36">
        <v>0.15</v>
      </c>
      <c r="G2689" s="10">
        <v>1262</v>
      </c>
      <c r="H2689" s="30" t="str">
        <f ca="1">IFERROR(__xludf.DUMMYFUNCTION("LOWER(REGEXREPLACE(B2689&amp;"" ""&amp;C2689,""[^а-яa-z0-9 ]"","" ""))")," абор для игры   ес тас   абор для игры   ес тас     наборе 5 шт  камней   ехол из кожзама   атериал изготовления  эпоксидное соединение")</f>
        <v xml:space="preserve"> абор для игры   ес тас   абор для игры   ес тас     наборе 5 шт  камней   ехол из кожзама   атериал изготовления  эпоксидное соединение</v>
      </c>
    </row>
    <row r="2690" spans="1:8" ht="12.75" x14ac:dyDescent="0.2">
      <c r="A2690" s="31" t="s">
        <v>6236</v>
      </c>
      <c r="B2690" s="27" t="s">
        <v>6237</v>
      </c>
      <c r="C2690" s="27"/>
      <c r="D2690" s="32"/>
      <c r="E2690" s="9"/>
      <c r="F2690" s="32"/>
      <c r="G2690" s="10"/>
      <c r="H2690" s="30" t="str">
        <f ca="1">IFERROR(__xludf.DUMMYFUNCTION("LOWER(REGEXREPLACE(B2690&amp;"" ""&amp;C2690,""[^а-яa-z0-9 ]"","" ""))")," абор для игры в настольный теннис ")</f>
        <v xml:space="preserve"> абор для игры в настольный теннис </v>
      </c>
    </row>
    <row r="2691" spans="1:8" ht="12.75" x14ac:dyDescent="0.2">
      <c r="A2691" s="31" t="s">
        <v>6238</v>
      </c>
      <c r="B2691" s="27" t="s">
        <v>6239</v>
      </c>
      <c r="C2691" s="27"/>
      <c r="D2691" s="33" t="s">
        <v>14</v>
      </c>
      <c r="E2691" s="34">
        <v>1</v>
      </c>
      <c r="F2691" s="35">
        <v>0.2</v>
      </c>
      <c r="G2691" s="10">
        <v>1696</v>
      </c>
      <c r="H2691" s="30" t="str">
        <f ca="1">IFERROR(__xludf.DUMMYFUNCTION("LOWER(REGEXREPLACE(B2691&amp;"" ""&amp;C2691,""[^а-яa-z0-9 ]"","" ""))")," акетка для настольного тенниса  evel 100 ")</f>
        <v xml:space="preserve"> акетка для настольного тенниса  evel 100 </v>
      </c>
    </row>
    <row r="2692" spans="1:8" ht="12.75" x14ac:dyDescent="0.2">
      <c r="A2692" s="31" t="s">
        <v>6240</v>
      </c>
      <c r="B2692" s="27" t="s">
        <v>6241</v>
      </c>
      <c r="C2692" s="27"/>
      <c r="D2692" s="33" t="s">
        <v>14</v>
      </c>
      <c r="E2692" s="34">
        <v>1</v>
      </c>
      <c r="F2692" s="35">
        <v>0.2</v>
      </c>
      <c r="G2692" s="10">
        <v>3750</v>
      </c>
      <c r="H2692" s="30" t="str">
        <f ca="1">IFERROR(__xludf.DUMMYFUNCTION("LOWER(REGEXREPLACE(B2692&amp;"" ""&amp;C2692,""[^а-яa-z0-9 ]"","" ""))")," акетка набор для настольного  tart ine evel 100 ")</f>
        <v xml:space="preserve"> акетка набор для настольного  tart ine evel 100 </v>
      </c>
    </row>
    <row r="2693" spans="1:8" ht="12.75" x14ac:dyDescent="0.2">
      <c r="A2693" s="31" t="s">
        <v>6242</v>
      </c>
      <c r="B2693" s="27" t="s">
        <v>6243</v>
      </c>
      <c r="C2693" s="27"/>
      <c r="D2693" s="33" t="s">
        <v>14</v>
      </c>
      <c r="E2693" s="34">
        <v>1</v>
      </c>
      <c r="F2693" s="35">
        <v>0.2</v>
      </c>
      <c r="G2693" s="10">
        <v>4911</v>
      </c>
      <c r="H2693" s="30" t="str">
        <f ca="1">IFERROR(__xludf.DUMMYFUNCTION("LOWER(REGEXREPLACE(B2693&amp;"" ""&amp;C2693,""[^а-яa-z0-9 ]"","" ""))")," акетка набор для настольного  tart ine evel 200 ")</f>
        <v xml:space="preserve"> акетка набор для настольного  tart ine evel 200 </v>
      </c>
    </row>
    <row r="2694" spans="1:8" ht="12.75" x14ac:dyDescent="0.2">
      <c r="A2694" s="31" t="s">
        <v>6244</v>
      </c>
      <c r="B2694" s="27" t="s">
        <v>6245</v>
      </c>
      <c r="C2694" s="27"/>
      <c r="D2694" s="33" t="s">
        <v>14</v>
      </c>
      <c r="E2694" s="34">
        <v>1</v>
      </c>
      <c r="F2694" s="35">
        <v>0.2</v>
      </c>
      <c r="G2694" s="10">
        <v>3839</v>
      </c>
      <c r="H2694" s="30" t="str">
        <f ca="1">IFERROR(__xludf.DUMMYFUNCTION("LOWER(REGEXREPLACE(B2694&amp;"" ""&amp;C2694,""[^а-яa-z0-9 ]"","" ""))")," акетка для настольного тенниса  tiga       ")</f>
        <v xml:space="preserve"> акетка для настольного тенниса  tiga       </v>
      </c>
    </row>
    <row r="2695" spans="1:8" ht="12.75" x14ac:dyDescent="0.2">
      <c r="A2695" s="31" t="s">
        <v>6246</v>
      </c>
      <c r="B2695" s="27" t="s">
        <v>6247</v>
      </c>
      <c r="C2695" s="27"/>
      <c r="D2695" s="33" t="s">
        <v>14</v>
      </c>
      <c r="E2695" s="34">
        <v>1</v>
      </c>
      <c r="F2695" s="35">
        <v>0.2</v>
      </c>
      <c r="G2695" s="10">
        <v>4911</v>
      </c>
      <c r="H2695" s="30" t="str">
        <f ca="1">IFERROR(__xludf.DUMMYFUNCTION("LOWER(REGEXREPLACE(B2695&amp;"" ""&amp;C2695,""[^а-яa-z0-9 ]"","" ""))")," акетка для настольного тенниса  tiga         ")</f>
        <v xml:space="preserve"> акетка для настольного тенниса  tiga         </v>
      </c>
    </row>
    <row r="2696" spans="1:8" ht="25.5" x14ac:dyDescent="0.2">
      <c r="A2696" s="31" t="s">
        <v>6248</v>
      </c>
      <c r="B2696" s="27" t="s">
        <v>6249</v>
      </c>
      <c r="C2696" s="27"/>
      <c r="D2696" s="33" t="s">
        <v>14</v>
      </c>
      <c r="E2696" s="34">
        <v>1</v>
      </c>
      <c r="F2696" s="35">
        <v>0.2</v>
      </c>
      <c r="G2696" s="10">
        <v>5357</v>
      </c>
      <c r="H2696" s="30" t="str">
        <f ca="1">IFERROR(__xludf.DUMMYFUNCTION("LOWER(REGEXREPLACE(B2696&amp;"" ""&amp;C2696,""[^а-яa-z0-9 ]"","" ""))")," акетка для настольного тенниса  tiga  remier     ")</f>
        <v xml:space="preserve"> акетка для настольного тенниса  tiga  remier     </v>
      </c>
    </row>
    <row r="2697" spans="1:8" ht="12.75" x14ac:dyDescent="0.2">
      <c r="A2697" s="31" t="s">
        <v>6250</v>
      </c>
      <c r="B2697" s="27" t="s">
        <v>6251</v>
      </c>
      <c r="C2697" s="27"/>
      <c r="D2697" s="33" t="s">
        <v>14</v>
      </c>
      <c r="E2697" s="34">
        <v>1</v>
      </c>
      <c r="F2697" s="36">
        <v>0.01</v>
      </c>
      <c r="G2697" s="10">
        <v>89</v>
      </c>
      <c r="H2697" s="30" t="str">
        <f ca="1">IFERROR(__xludf.DUMMYFUNCTION("LOWER(REGEXREPLACE(B2697&amp;"" ""&amp;C2697,""[^а-яa-z0-9 ]"","" ""))")," арики для настольного тенниса ")</f>
        <v xml:space="preserve"> арики для настольного тенниса </v>
      </c>
    </row>
    <row r="2698" spans="1:8" ht="25.5" x14ac:dyDescent="0.2">
      <c r="A2698" s="31" t="s">
        <v>6252</v>
      </c>
      <c r="B2698" s="27" t="s">
        <v>6253</v>
      </c>
      <c r="C2698" s="27"/>
      <c r="D2698" s="33" t="s">
        <v>68</v>
      </c>
      <c r="E2698" s="34">
        <v>1</v>
      </c>
      <c r="F2698" s="36">
        <v>0.06</v>
      </c>
      <c r="G2698" s="10">
        <v>1071</v>
      </c>
      <c r="H2698" s="30" t="str">
        <f ca="1">IFERROR(__xludf.DUMMYFUNCTION("LOWER(REGEXREPLACE(B2698&amp;"" ""&amp;C2698,""[^а-яa-z0-9 ]"","" ""))")," арики для настольного тенниса             1   6 мячей в упаковке  белые ")</f>
        <v xml:space="preserve"> арики для настольного тенниса             1   6 мячей в упаковке  белые </v>
      </c>
    </row>
    <row r="2699" spans="1:8" ht="25.5" x14ac:dyDescent="0.2">
      <c r="A2699" s="31" t="s">
        <v>6254</v>
      </c>
      <c r="B2699" s="27" t="s">
        <v>6255</v>
      </c>
      <c r="C2699" s="27"/>
      <c r="D2699" s="33" t="s">
        <v>68</v>
      </c>
      <c r="E2699" s="34">
        <v>1</v>
      </c>
      <c r="F2699" s="36">
        <v>0.06</v>
      </c>
      <c r="G2699" s="10">
        <v>1339</v>
      </c>
      <c r="H2699" s="30" t="str">
        <f ca="1">IFERROR(__xludf.DUMMYFUNCTION("LOWER(REGEXREPLACE(B2699&amp;"" ""&amp;C2699,""[^а-яa-z0-9 ]"","" ""))")," арики для настольного тенниса          2   6 мячей в упаковке  белые ")</f>
        <v xml:space="preserve"> арики для настольного тенниса          2   6 мячей в упаковке  белые </v>
      </c>
    </row>
    <row r="2700" spans="1:8" ht="25.5" x14ac:dyDescent="0.2">
      <c r="A2700" s="31" t="s">
        <v>6256</v>
      </c>
      <c r="B2700" s="27" t="s">
        <v>6257</v>
      </c>
      <c r="C2700" s="27"/>
      <c r="D2700" s="33" t="s">
        <v>68</v>
      </c>
      <c r="E2700" s="34">
        <v>1</v>
      </c>
      <c r="F2700" s="36">
        <v>0.06</v>
      </c>
      <c r="G2700" s="10">
        <v>1696</v>
      </c>
      <c r="H2700" s="30" t="str">
        <f ca="1">IFERROR(__xludf.DUMMYFUNCTION("LOWER(REGEXREPLACE(B2700&amp;"" ""&amp;C2700,""[^а-яa-z0-9 ]"","" ""))")," арики для настольного тенниса          3   6 мячей в упаковке  белые ")</f>
        <v xml:space="preserve"> арики для настольного тенниса          3   6 мячей в упаковке  белые </v>
      </c>
    </row>
    <row r="2701" spans="1:8" ht="51" x14ac:dyDescent="0.2">
      <c r="A2701" s="31" t="s">
        <v>6258</v>
      </c>
      <c r="B2701" s="8" t="s">
        <v>6259</v>
      </c>
      <c r="C2701" s="27" t="s">
        <v>6260</v>
      </c>
      <c r="D2701" s="33" t="s">
        <v>14</v>
      </c>
      <c r="E2701" s="34">
        <v>2</v>
      </c>
      <c r="F2701" s="35">
        <v>0.4</v>
      </c>
      <c r="G2701" s="10">
        <v>5030</v>
      </c>
      <c r="H2701" s="30" t="str">
        <f ca="1">IFERROR(__xludf.DUMMYFUNCTION("LOWER(REGEXREPLACE(B2701&amp;"" ""&amp;C2701,""[^а-яa-z0-9 ]"","" ""))")," акетки для настольного тенниса   4225  в комплекте 2 ракетки и 3 шарика    зготовлена из специального шпона дерева  акетки для настольного тенниса   4225  в комплекте 2 ракетки и 3 шарика     снование ракетки изготовлено из специального шпона дерева   ак"&amp;"ладки состоят из губчатого слоя   ес ракетки 400  гр    ысота ракетки 235 мм   ирина ракетки 140 мм ")</f>
        <v xml:space="preserve"> акетки для настольного тенниса   4225  в комплекте 2 ракетки и 3 шарика    зготовлена из специального шпона дерева  акетки для настольного тенниса   4225  в комплекте 2 ракетки и 3 шарика     снование ракетки изготовлено из специального шпона дерева   акладки состоят из губчатого слоя   ес ракетки 400  гр    ысота ракетки 235 мм   ирина ракетки 140 мм </v>
      </c>
    </row>
    <row r="2702" spans="1:8" ht="38.25" x14ac:dyDescent="0.2">
      <c r="A2702" s="31" t="s">
        <v>6261</v>
      </c>
      <c r="B2702" s="27" t="s">
        <v>6262</v>
      </c>
      <c r="C2702" s="27" t="s">
        <v>6263</v>
      </c>
      <c r="D2702" s="33" t="s">
        <v>68</v>
      </c>
      <c r="E2702" s="34">
        <v>2</v>
      </c>
      <c r="F2702" s="38">
        <v>1.6199999999999999E-2</v>
      </c>
      <c r="G2702" s="10">
        <v>2946</v>
      </c>
      <c r="H2702" s="30" t="str">
        <f ca="1">IFERROR(__xludf.DUMMYFUNCTION("LOWER(REGEXREPLACE(B2702&amp;"" ""&amp;C2702,""[^а-яa-z0-9 ]"","" ""))")," арик для настольного тенниса    1    зготовлен из пластика  арик для настольного тенниса    1     иаметр 40 мм   в упаковке 6 шт   вет основной   елый   атериал   ластик   атериал   ластик  цвет белый  в упаковке 6 шт ")</f>
        <v xml:space="preserve"> арик для настольного тенниса    1    зготовлен из пластика  арик для настольного тенниса    1     иаметр 40 мм   в упаковке 6 шт   вет основной   елый   атериал   ластик   атериал   ластик  цвет белый  в упаковке 6 шт </v>
      </c>
    </row>
    <row r="2703" spans="1:8" ht="38.25" x14ac:dyDescent="0.2">
      <c r="A2703" s="31" t="s">
        <v>6264</v>
      </c>
      <c r="B2703" s="8" t="s">
        <v>6265</v>
      </c>
      <c r="C2703" s="27" t="s">
        <v>6266</v>
      </c>
      <c r="D2703" s="33" t="s">
        <v>68</v>
      </c>
      <c r="E2703" s="34">
        <v>2</v>
      </c>
      <c r="F2703" s="38">
        <v>5.4000000000000003E-3</v>
      </c>
      <c r="G2703" s="10">
        <v>2392</v>
      </c>
      <c r="H2703" s="30" t="str">
        <f ca="1">IFERROR(__xludf.DUMMYFUNCTION("LOWER(REGEXREPLACE(B2703&amp;"" ""&amp;C2703,""[^а-яa-z0-9 ]"","" ""))")," арик для настольного тенниса    2    зготовлен из пластика  арик для настольного тенниса    2    иаметр 40 мм   в упаковке 3 шт   вет основной   елый   зготовлен из пластика    в упаковке 3 шт   в упаковке 3 шт ")</f>
        <v xml:space="preserve"> арик для настольного тенниса    2    зготовлен из пластика  арик для настольного тенниса    2    иаметр 40 мм   в упаковке 3 шт   вет основной   елый   зготовлен из пластика    в упаковке 3 шт   в упаковке 3 шт </v>
      </c>
    </row>
    <row r="2704" spans="1:8" ht="25.5" x14ac:dyDescent="0.2">
      <c r="A2704" s="31" t="s">
        <v>6267</v>
      </c>
      <c r="B2704" s="27" t="s">
        <v>6268</v>
      </c>
      <c r="C2704" s="27" t="s">
        <v>6269</v>
      </c>
      <c r="D2704" s="33" t="s">
        <v>14</v>
      </c>
      <c r="E2704" s="34">
        <v>2</v>
      </c>
      <c r="F2704" s="38">
        <v>2.7000000000000001E-3</v>
      </c>
      <c r="G2704" s="10">
        <v>179</v>
      </c>
      <c r="H2704" s="30" t="str">
        <f ca="1">IFERROR(__xludf.DUMMYFUNCTION("LOWER(REGEXREPLACE(B2704&amp;"" ""&amp;C2704,""[^а-яa-z0-9 ]"","" ""))")," арик для настольного тенниса      диаметр 40мм   зготовлен из пластика  арик для настольного тенниса      диаметр 40мм    зготовлен из пластика ")</f>
        <v xml:space="preserve"> арик для настольного тенниса      диаметр 40мм   зготовлен из пластика  арик для настольного тенниса      диаметр 40мм    зготовлен из пластика </v>
      </c>
    </row>
    <row r="2705" spans="1:8" ht="38.25" x14ac:dyDescent="0.2">
      <c r="A2705" s="31" t="s">
        <v>6270</v>
      </c>
      <c r="B2705" s="27" t="s">
        <v>6271</v>
      </c>
      <c r="C2705" s="27" t="s">
        <v>6272</v>
      </c>
      <c r="D2705" s="33" t="s">
        <v>14</v>
      </c>
      <c r="E2705" s="34">
        <v>2</v>
      </c>
      <c r="F2705" s="35">
        <v>0.2</v>
      </c>
      <c r="G2705" s="10">
        <v>11871</v>
      </c>
      <c r="H2705" s="30" t="str">
        <f ca="1">IFERROR(__xludf.DUMMYFUNCTION("LOWER(REGEXREPLACE(B2705&amp;"" ""&amp;C2705,""[^а-яa-z0-9 ]"","" ""))")," акетка для настольного тенниса  ouble fish 5   акетка для настольного тенниса  ouble fish 5    акетка предназначенная для продвинутых игроков в настольный теннис   одходит для быстрых  коротких игр ")</f>
        <v xml:space="preserve"> акетка для настольного тенниса  ouble fish 5   акетка для настольного тенниса  ouble fish 5    акетка предназначенная для продвинутых игроков в настольный теннис   одходит для быстрых  коротких игр </v>
      </c>
    </row>
    <row r="2706" spans="1:8" ht="38.25" x14ac:dyDescent="0.2">
      <c r="A2706" s="31" t="s">
        <v>6273</v>
      </c>
      <c r="B2706" s="27" t="s">
        <v>6274</v>
      </c>
      <c r="C2706" s="27" t="s">
        <v>6275</v>
      </c>
      <c r="D2706" s="33" t="s">
        <v>14</v>
      </c>
      <c r="E2706" s="34">
        <v>2</v>
      </c>
      <c r="F2706" s="35">
        <v>0.3</v>
      </c>
      <c r="G2706" s="10">
        <v>29748</v>
      </c>
      <c r="H2706" s="30" t="str">
        <f ca="1">IFERROR(__xludf.DUMMYFUNCTION("LOWER(REGEXREPLACE(B2706&amp;"" ""&amp;C2706,""[^а-яa-z0-9 ]"","" ""))")," ачок для мячей   люминиевая телескопическая ручка  нейлоновая сетка  пластиковые крепления  ачок для мячей       егко разбирается и собирается   елескопическая ручка 61 106 см   атериал изготовления   азмер сеткосборника  16 х 28 см ")</f>
        <v xml:space="preserve"> ачок для мячей   люминиевая телескопическая ручка  нейлоновая сетка  пластиковые крепления  ачок для мячей       егко разбирается и собирается   елескопическая ручка 61 106 см   атериал изготовления   азмер сеткосборника  16 х 28 см </v>
      </c>
    </row>
    <row r="2707" spans="1:8" ht="51" x14ac:dyDescent="0.2">
      <c r="A2707" s="31" t="s">
        <v>6276</v>
      </c>
      <c r="B2707" s="27" t="s">
        <v>6277</v>
      </c>
      <c r="C2707" s="27" t="s">
        <v>6278</v>
      </c>
      <c r="D2707" s="33" t="s">
        <v>14</v>
      </c>
      <c r="E2707" s="34">
        <v>2</v>
      </c>
      <c r="F2707" s="36">
        <v>0.02</v>
      </c>
      <c r="G2707" s="10">
        <v>930</v>
      </c>
      <c r="H2707" s="30" t="str">
        <f ca="1">IFERROR(__xludf.DUMMYFUNCTION("LOWER(REGEXREPLACE(B2707&amp;"" ""&amp;C2707,""[^а-яa-z0-9 ]"","" ""))")," яч для настольного тенниса  материал     пластик   азмер  диаметр 40 мм  одходят для тренировок и игр в спортивных клубах  секциях и школьных учреждениях   зготавливаются из прочного     пластика  обеспечивающего высокую износостойкость  долгий срок служ"&amp;"бы и стабильные игровые характеристики ")</f>
        <v xml:space="preserve"> яч для настольного тенниса  материал     пластик   азмер  диаметр 40 мм  одходят для тренировок и игр в спортивных клубах  секциях и школьных учреждениях   зготавливаются из прочного     пластика  обеспечивающего высокую износостойкость  долгий срок службы и стабильные игровые характеристики </v>
      </c>
    </row>
    <row r="2708" spans="1:8" ht="51" x14ac:dyDescent="0.2">
      <c r="A2708" s="31" t="s">
        <v>6279</v>
      </c>
      <c r="B2708" s="27" t="s">
        <v>6280</v>
      </c>
      <c r="C2708" s="27" t="s">
        <v>6281</v>
      </c>
      <c r="D2708" s="33" t="s">
        <v>14</v>
      </c>
      <c r="E2708" s="34">
        <v>2</v>
      </c>
      <c r="F2708" s="36">
        <v>0.25</v>
      </c>
      <c r="G2708" s="10">
        <v>5324</v>
      </c>
      <c r="H2708" s="30" t="str">
        <f ca="1">IFERROR(__xludf.DUMMYFUNCTION("LOWER(REGEXREPLACE(B2708&amp;"" ""&amp;C2708,""[^а-яa-z0-9 ]"","" ""))")," акетка для настольного тенниса   снование из специального шпона дерева  накладки из губчатого слоя  акетки для настольного тенниса         учка ракетки удобной конической формы и не доставляет дискомфорта во время игры   атериал изготовления  основание и"&amp;"з фанеры  покрытое резиновыми накладками с губкой ")</f>
        <v xml:space="preserve"> акетка для настольного тенниса   снование из специального шпона дерева  накладки из губчатого слоя  акетки для настольного тенниса         учка ракетки удобной конической формы и не доставляет дискомфорта во время игры   атериал изготовления  основание из фанеры  покрытое резиновыми накладками с губкой </v>
      </c>
    </row>
    <row r="2709" spans="1:8" ht="12.75" x14ac:dyDescent="0.2">
      <c r="A2709" s="31" t="s">
        <v>6282</v>
      </c>
      <c r="B2709" s="27" t="s">
        <v>6283</v>
      </c>
      <c r="C2709" s="27"/>
      <c r="D2709" s="33" t="s">
        <v>14</v>
      </c>
      <c r="E2709" s="9"/>
      <c r="F2709" s="32"/>
      <c r="G2709" s="10"/>
      <c r="H2709" s="30" t="str">
        <f ca="1">IFERROR(__xludf.DUMMYFUNCTION("LOWER(REGEXREPLACE(B2709&amp;"" ""&amp;C2709,""[^а-яa-z0-9 ]"","" ""))")," тол для настольного тенниса ")</f>
        <v xml:space="preserve"> тол для настольного тенниса </v>
      </c>
    </row>
    <row r="2710" spans="1:8" ht="25.5" x14ac:dyDescent="0.2">
      <c r="A2710" s="31" t="s">
        <v>6284</v>
      </c>
      <c r="B2710" s="27" t="s">
        <v>6285</v>
      </c>
      <c r="C2710" s="27" t="s">
        <v>6286</v>
      </c>
      <c r="D2710" s="33" t="s">
        <v>14</v>
      </c>
      <c r="E2710" s="34">
        <v>1</v>
      </c>
      <c r="F2710" s="34">
        <v>65</v>
      </c>
      <c r="G2710" s="10">
        <v>92878</v>
      </c>
      <c r="H2710" s="30" t="str">
        <f ca="1">IFERROR(__xludf.DUMMYFUNCTION("LOWER(REGEXREPLACE(B2710&amp;"" ""&amp;C2710,""[^а-яa-z0-9 ]"","" ""))")," тол теннисный в комплекте  кладная конструкция  транспортировочные ролики  сетка в комплекте   атериал столешницы     ")</f>
        <v xml:space="preserve"> тол теннисный в комплекте  кладная конструкция  транспортировочные ролики  сетка в комплекте   атериал столешницы     </v>
      </c>
    </row>
    <row r="2711" spans="1:8" ht="12.75" x14ac:dyDescent="0.2">
      <c r="A2711" s="31" t="s">
        <v>6287</v>
      </c>
      <c r="B2711" s="27" t="s">
        <v>6288</v>
      </c>
      <c r="C2711" s="27"/>
      <c r="D2711" s="33" t="s">
        <v>14</v>
      </c>
      <c r="E2711" s="34">
        <v>1</v>
      </c>
      <c r="F2711" s="34">
        <v>65</v>
      </c>
      <c r="G2711" s="10">
        <v>126786</v>
      </c>
      <c r="H2711" s="30" t="str">
        <f ca="1">IFERROR(__xludf.DUMMYFUNCTION("LOWER(REGEXREPLACE(B2711&amp;"" ""&amp;C2711,""[^а-яa-z0-9 ]"","" ""))")," еннисный стол уличный ")</f>
        <v xml:space="preserve"> еннисный стол уличный </v>
      </c>
    </row>
    <row r="2712" spans="1:8" ht="51" x14ac:dyDescent="0.2">
      <c r="A2712" s="31" t="s">
        <v>6289</v>
      </c>
      <c r="B2712" s="8" t="s">
        <v>6290</v>
      </c>
      <c r="C2712" s="27" t="s">
        <v>6291</v>
      </c>
      <c r="D2712" s="33" t="s">
        <v>14</v>
      </c>
      <c r="E2712" s="34">
        <v>2</v>
      </c>
      <c r="F2712" s="34">
        <v>67</v>
      </c>
      <c r="G2712" s="10">
        <v>300396</v>
      </c>
      <c r="H2712" s="30" t="str">
        <f ca="1">IFERROR(__xludf.DUMMYFUNCTION("LOWER(REGEXREPLACE(B2712&amp;"" ""&amp;C2712,""[^а-яa-z0-9 ]"","" ""))")," тол настольного тенниса    166   зготовлен из      16 мм с меламиновым покрытием   азмеры  длина 274 см  ширина 152 5 см  высота 76 см  тол настольного тенниса    166   азмеры  длина 274 см  ширина 152 5 см  высота 76 см   гровое поле       16 мм с мелам"&amp;"иновым покрытием   ант  кромка     0 45 мм ")</f>
        <v xml:space="preserve"> тол настольного тенниса    166   зготовлен из      16 мм с меламиновым покрытием   азмеры  длина 274 см  ширина 152 5 см  высота 76 см  тол настольного тенниса    166   азмеры  длина 274 см  ширина 152 5 см  высота 76 см   гровое поле       16 мм с меламиновым покрытием   ант  кромка     0 45 мм </v>
      </c>
    </row>
    <row r="2713" spans="1:8" ht="38.25" x14ac:dyDescent="0.2">
      <c r="A2713" s="31" t="s">
        <v>6292</v>
      </c>
      <c r="B2713" s="27" t="s">
        <v>6293</v>
      </c>
      <c r="C2713" s="27" t="s">
        <v>6294</v>
      </c>
      <c r="D2713" s="33" t="s">
        <v>14</v>
      </c>
      <c r="E2713" s="34">
        <v>2</v>
      </c>
      <c r="F2713" s="34">
        <v>70</v>
      </c>
      <c r="G2713" s="10">
        <v>405550</v>
      </c>
      <c r="H2713" s="30" t="str">
        <f ca="1">IFERROR(__xludf.DUMMYFUNCTION("LOWER(REGEXREPLACE(B2713&amp;"" ""&amp;C2713,""[^а-яa-z0-9 ]"","" ""))")," тол настольного тенниса уличный    2375   зготовлен из металла   азмер  250х125 см  высота 76 см  лист цельный  тол настольного тенниса уличный    2375     гровое поле  металл   ама  ножки  профиль металлический 40х40 мм  40х20 мм   азмер  250х125 см  вы"&amp;"сота 76 см  лист цельный ")</f>
        <v xml:space="preserve"> тол настольного тенниса уличный    2375   зготовлен из металла   азмер  250х125 см  высота 76 см  лист цельный  тол настольного тенниса уличный    2375     гровое поле  металл   ама  ножки  профиль металлический 40х40 мм  40х20 мм   азмер  250х125 см  высота 76 см  лист цельный </v>
      </c>
    </row>
    <row r="2714" spans="1:8" ht="38.25" x14ac:dyDescent="0.2">
      <c r="A2714" s="31" t="s">
        <v>6295</v>
      </c>
      <c r="B2714" s="27" t="s">
        <v>6296</v>
      </c>
      <c r="C2714" s="27" t="s">
        <v>6297</v>
      </c>
      <c r="D2714" s="33" t="s">
        <v>14</v>
      </c>
      <c r="E2714" s="34">
        <v>2</v>
      </c>
      <c r="F2714" s="34">
        <v>56</v>
      </c>
      <c r="G2714" s="10">
        <v>414429</v>
      </c>
      <c r="H2714" s="30" t="str">
        <f ca="1">IFERROR(__xludf.DUMMYFUNCTION("LOWER(REGEXREPLACE(B2714&amp;"" ""&amp;C2714,""[^а-яa-z0-9 ]"","" ""))")," тол теннисный в комплекте с сеткой  tartline  eader  зготовлен из      16мм   азмеры   х х   274х152 5х76см  еннисный стол в комплекте с сеткой  tartline  eader  зготовлен из      16мм   азмеры   х х   274х152 5х76см")</f>
        <v xml:space="preserve"> тол теннисный в комплекте с сеткой  tartline  eader  зготовлен из      16мм   азмеры   х х   274х152 5х76см  еннисный стол в комплекте с сеткой  tartline  eader  зготовлен из      16мм   азмеры   х х   274х152 5х76см</v>
      </c>
    </row>
    <row r="2715" spans="1:8" ht="127.5" x14ac:dyDescent="0.2">
      <c r="A2715" s="31" t="s">
        <v>6298</v>
      </c>
      <c r="B2715" s="27" t="s">
        <v>6299</v>
      </c>
      <c r="C2715" s="27" t="s">
        <v>6300</v>
      </c>
      <c r="D2715" s="33" t="s">
        <v>14</v>
      </c>
      <c r="E2715" s="34">
        <v>2</v>
      </c>
      <c r="F2715" s="35">
        <v>10.5</v>
      </c>
      <c r="G2715" s="10">
        <v>991584</v>
      </c>
      <c r="H2715" s="30" t="str">
        <f ca="1">IFERROR(__xludf.DUMMYFUNCTION("LOWER(REGEXREPLACE(B2715&amp;"" ""&amp;C2715,""[^а-яa-z0-9 ]"","" ""))")," обот для настольного тенниса  размеры 820х400х400мм   орпус из ударопрочного пластика  механизм подачи из металла   высокопрочного пластика  обот для настольного тенниса предназначен для тренировки различных подач и игровых ситуаций   н может быть запрог"&amp;"раммирован на верхнее  обратное  боковое вращение и обратный ход мяча   очная подача обеспечивается за сч т 21 колеблющейся позиции и 30 уровней скорости   ифровой блок управления позволяет выбирать упражнения  программировать их под различные игровые ста"&amp;"ндарты  а также регулировать скорость мяча  интервал подачи и направление размещения   атериал изготовления   орпус  ударопрочный пластик             еханизм подачи  металл   высокопрочный пластик   оторы ролики подачи мяча  резина или мягкий полимер  сто"&amp;"йка и крепления  металл сталь алюминий  ")</f>
        <v xml:space="preserve"> обот для настольного тенниса  размеры 820х400х400мм   орпус из ударопрочного пластика  механизм подачи из металла   высокопрочного пластика  обот для настольного тенниса предназначен для тренировки различных подач и игровых ситуаций   н может быть запрограммирован на верхнее  обратное  боковое вращение и обратный ход мяча   очная подача обеспечивается за сч т 21 колеблющейся позиции и 30 уровней скорости   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атериал изготовления   орпус  ударопрочный пластик             еханизм подачи  металл   высокопрочный пластик   оторы ролики подачи мяча  резина или мягкий полимер  стойка и крепления  металл сталь алюминий  </v>
      </c>
    </row>
    <row r="2716" spans="1:8" ht="102" x14ac:dyDescent="0.2">
      <c r="A2716" s="31" t="s">
        <v>6301</v>
      </c>
      <c r="B2716" s="27" t="s">
        <v>6302</v>
      </c>
      <c r="C2716" s="27" t="s">
        <v>6303</v>
      </c>
      <c r="D2716" s="33" t="s">
        <v>14</v>
      </c>
      <c r="E2716" s="34">
        <v>2</v>
      </c>
      <c r="F2716" s="34">
        <v>140</v>
      </c>
      <c r="G2716" s="10">
        <v>946256</v>
      </c>
      <c r="H2716" s="30" t="str">
        <f ca="1">IFERROR(__xludf.DUMMYFUNCTION("LOWER(REGEXREPLACE(B2716&amp;"" ""&amp;C2716,""[^а-яa-z0-9 ]"","" ""))")," тол настольного тенниса  размеры 1640х1500х260мм   кладной механизм  колеса с тормозами  материал изготогвления       металлическая труба  толешница изготовлена из      материала более плотного  чем      за счет чего достигается максимально равномерный о"&amp;"тскок мяча   аждая половина стола складывается и транспортируется по отдельности   омпактные размеры в сложенном состоянии   добрен        еждународной федерацией настольного тенниса    ама изготовлена из 50 мм металлической трубы   нешние ножки с регулир"&amp;"овкой высоты  юстировкой    тол оснащен колесами диаметром 125 мм с тормозами   диночное сложение стола настольного тенниса ")</f>
        <v xml:space="preserve"> тол настольного тенниса  размеры 1640х1500х260мм   кладной механизм  колеса с тормозами  материал изготогвления       металлическая труба  толешница изготовлена из      материала более плотного  чем      за счет чего достигается максимально равномерный отскок мяча   аждая половина стола складывается и транспортируется по отдельности   омпактные размеры в сложенном состоянии   добрен        еждународной федерацией настольного тенниса    ама изготовлена из 50 мм металлической трубы   нешние ножки с регулировкой высоты  юстировкой    тол оснащен колесами диаметром 125 мм с тормозами   диночное сложение стола настольного тенниса </v>
      </c>
    </row>
    <row r="2717" spans="1:8" ht="12.75" x14ac:dyDescent="0.2">
      <c r="A2717" s="31" t="s">
        <v>6304</v>
      </c>
      <c r="B2717" s="27" t="s">
        <v>6305</v>
      </c>
      <c r="C2717" s="27"/>
      <c r="D2717" s="33" t="s">
        <v>68</v>
      </c>
      <c r="E2717" s="34">
        <v>1</v>
      </c>
      <c r="F2717" s="35">
        <v>3.2</v>
      </c>
      <c r="G2717" s="10"/>
      <c r="H2717" s="30" t="str">
        <f ca="1">IFERROR(__xludf.DUMMYFUNCTION("LOWER(REGEXREPLACE(B2717&amp;"" ""&amp;C2717,""[^а-яa-z0-9 ]"","" ""))")," уга для подлезания ")</f>
        <v xml:space="preserve"> уга для подлезания </v>
      </c>
    </row>
    <row r="2718" spans="1:8" ht="38.25" x14ac:dyDescent="0.2">
      <c r="A2718" s="31" t="s">
        <v>6306</v>
      </c>
      <c r="B2718" s="27" t="s">
        <v>6307</v>
      </c>
      <c r="C2718" s="27" t="s">
        <v>6308</v>
      </c>
      <c r="D2718" s="33" t="s">
        <v>14</v>
      </c>
      <c r="E2718" s="34">
        <v>1</v>
      </c>
      <c r="F2718" s="35">
        <v>1.4</v>
      </c>
      <c r="G2718" s="10">
        <v>9573</v>
      </c>
      <c r="H2718" s="30" t="str">
        <f ca="1">IFERROR(__xludf.DUMMYFUNCTION("LOWER(REGEXREPLACE(B2718&amp;"" ""&amp;C2718,""[^а-яa-z0-9 ]"","" ""))")," уга для подлезания размерами 400х800 мм     040  уга для подлезания 40     040   уга для подлезания представляет собой сборно разборную конструкцию  состоящую из следующих основных частей  арки и двух опор   азмер  400х800 мм  материал дуги и опор  дерев"&amp;"о")</f>
        <v xml:space="preserve"> уга для подлезания размерами 400х800 мм     040  уга для подлезания 40     040   уга для подлезания представляет собой сборно разборную конструкцию  состоящую из следующих основных частей  арки и двух опор   азмер  400х800 мм  материал дуги и опор  дерево</v>
      </c>
    </row>
    <row r="2719" spans="1:8" ht="38.25" x14ac:dyDescent="0.2">
      <c r="A2719" s="31" t="s">
        <v>6309</v>
      </c>
      <c r="B2719" s="27" t="s">
        <v>6310</v>
      </c>
      <c r="C2719" s="27" t="s">
        <v>6311</v>
      </c>
      <c r="D2719" s="33" t="s">
        <v>14</v>
      </c>
      <c r="E2719" s="34">
        <v>1</v>
      </c>
      <c r="F2719" s="35">
        <v>1.5</v>
      </c>
      <c r="G2719" s="10">
        <v>11840</v>
      </c>
      <c r="H2719" s="30" t="str">
        <f ca="1">IFERROR(__xludf.DUMMYFUNCTION("LOWER(REGEXREPLACE(B2719&amp;"" ""&amp;C2719,""[^а-яa-z0-9 ]"","" ""))")," уга для подлезания размерами 500х900 мм     050  уга для подлезания 50     050   уга для подлезания представляет собой сборно разборную конструкцию  состоящую из следующих основных частей  арки и двух опор   азмер  500х900 мм  материал дуги и опор  дерев"&amp;"о")</f>
        <v xml:space="preserve"> уга для подлезания размерами 500х900 мм     050  уга для подлезания 50     050   уга для подлезания представляет собой сборно разборную конструкцию  состоящую из следующих основных частей  арки и двух опор   азмер  500х900 мм  материал дуги и опор  дерево</v>
      </c>
    </row>
    <row r="2720" spans="1:8" ht="38.25" x14ac:dyDescent="0.2">
      <c r="A2720" s="31" t="s">
        <v>6312</v>
      </c>
      <c r="B2720" s="27" t="s">
        <v>6313</v>
      </c>
      <c r="C2720" s="27" t="s">
        <v>6314</v>
      </c>
      <c r="D2720" s="33" t="s">
        <v>14</v>
      </c>
      <c r="E2720" s="34">
        <v>1</v>
      </c>
      <c r="F2720" s="35">
        <v>1.6</v>
      </c>
      <c r="G2720" s="10">
        <v>14252</v>
      </c>
      <c r="H2720" s="30" t="str">
        <f ca="1">IFERROR(__xludf.DUMMYFUNCTION("LOWER(REGEXREPLACE(B2720&amp;"" ""&amp;C2720,""[^а-яa-z0-9 ]"","" ""))")," уга для подлезания размерами 600х1000 мм     060  уга для подлезания 60     060   уга для подлезания представляет собой сборно разборную конструкцию  состоящую из следующих основных частей  арки и двух опор   азмер  600х1000 мм  материал дуги и опор  дер"&amp;"ево")</f>
        <v xml:space="preserve"> уга для подлезания размерами 600х1000 мм     060  уга для подлезания 60     060   уга для подлезания представляет собой сборно разборную конструкцию  состоящую из следующих основных частей  арки и двух опор   азмер  600х1000 мм  материал дуги и опор  дерево</v>
      </c>
    </row>
    <row r="2721" spans="1:8" ht="12.75" x14ac:dyDescent="0.2">
      <c r="A2721" s="31" t="s">
        <v>6315</v>
      </c>
      <c r="B2721" s="27" t="s">
        <v>6316</v>
      </c>
      <c r="C2721" s="27"/>
      <c r="D2721" s="33" t="s">
        <v>14</v>
      </c>
      <c r="E2721" s="34">
        <v>1</v>
      </c>
      <c r="F2721" s="32"/>
      <c r="G2721" s="10"/>
      <c r="H2721" s="30" t="str">
        <f ca="1">IFERROR(__xludf.DUMMYFUNCTION("LOWER(REGEXREPLACE(B2721&amp;"" ""&amp;C2721,""[^а-яa-z0-9 ]"","" ""))")," бруч ")</f>
        <v xml:space="preserve"> бруч </v>
      </c>
    </row>
    <row r="2722" spans="1:8" ht="12.75" x14ac:dyDescent="0.2">
      <c r="A2722" s="31" t="s">
        <v>6317</v>
      </c>
      <c r="B2722" s="27" t="s">
        <v>6318</v>
      </c>
      <c r="C2722" s="27"/>
      <c r="D2722" s="33" t="s">
        <v>14</v>
      </c>
      <c r="E2722" s="34">
        <v>1</v>
      </c>
      <c r="F2722" s="35">
        <v>0.2</v>
      </c>
      <c r="G2722" s="10">
        <v>2857</v>
      </c>
      <c r="H2722" s="30" t="str">
        <f ca="1">IFERROR(__xludf.DUMMYFUNCTION("LOWER(REGEXREPLACE(B2722&amp;"" ""&amp;C2722,""[^а-яa-z0-9 ]"","" ""))")," бруч алюминевый ")</f>
        <v xml:space="preserve"> бруч алюминевый </v>
      </c>
    </row>
    <row r="2723" spans="1:8" ht="12.75" x14ac:dyDescent="0.2">
      <c r="A2723" s="31" t="s">
        <v>6319</v>
      </c>
      <c r="B2723" s="27" t="s">
        <v>6320</v>
      </c>
      <c r="C2723" s="27"/>
      <c r="D2723" s="33" t="s">
        <v>14</v>
      </c>
      <c r="E2723" s="34">
        <v>1</v>
      </c>
      <c r="F2723" s="35">
        <v>0.2</v>
      </c>
      <c r="G2723" s="10">
        <v>1518</v>
      </c>
      <c r="H2723" s="30" t="str">
        <f ca="1">IFERROR(__xludf.DUMMYFUNCTION("LOWER(REGEXREPLACE(B2723&amp;"" ""&amp;C2723,""[^а-яa-z0-9 ]"","" ""))")," бруч пластмассовый  40 ")</f>
        <v xml:space="preserve"> бруч пластмассовый  40 </v>
      </c>
    </row>
    <row r="2724" spans="1:8" ht="12.75" x14ac:dyDescent="0.2">
      <c r="A2724" s="31" t="s">
        <v>6321</v>
      </c>
      <c r="B2724" s="27" t="s">
        <v>6322</v>
      </c>
      <c r="C2724" s="27"/>
      <c r="D2724" s="33" t="s">
        <v>14</v>
      </c>
      <c r="E2724" s="34">
        <v>1</v>
      </c>
      <c r="F2724" s="35">
        <v>0.2</v>
      </c>
      <c r="G2724" s="10">
        <v>1696</v>
      </c>
      <c r="H2724" s="30" t="str">
        <f ca="1">IFERROR(__xludf.DUMMYFUNCTION("LOWER(REGEXREPLACE(B2724&amp;"" ""&amp;C2724,""[^а-яa-z0-9 ]"","" ""))")," бруч пластмассовый  50 ")</f>
        <v xml:space="preserve"> бруч пластмассовый  50 </v>
      </c>
    </row>
    <row r="2725" spans="1:8" ht="12.75" x14ac:dyDescent="0.2">
      <c r="A2725" s="31" t="s">
        <v>6323</v>
      </c>
      <c r="B2725" s="27" t="s">
        <v>6324</v>
      </c>
      <c r="C2725" s="27"/>
      <c r="D2725" s="33" t="s">
        <v>14</v>
      </c>
      <c r="E2725" s="34">
        <v>1</v>
      </c>
      <c r="F2725" s="36">
        <v>0.25</v>
      </c>
      <c r="G2725" s="10">
        <v>1696</v>
      </c>
      <c r="H2725" s="30" t="str">
        <f ca="1">IFERROR(__xludf.DUMMYFUNCTION("LOWER(REGEXREPLACE(B2725&amp;"" ""&amp;C2725,""[^а-яa-z0-9 ]"","" ""))")," бруч пластмассовый  60 ")</f>
        <v xml:space="preserve"> бруч пластмассовый  60 </v>
      </c>
    </row>
    <row r="2726" spans="1:8" ht="12.75" x14ac:dyDescent="0.2">
      <c r="A2726" s="31" t="s">
        <v>6325</v>
      </c>
      <c r="B2726" s="27" t="s">
        <v>6326</v>
      </c>
      <c r="C2726" s="27"/>
      <c r="D2726" s="33" t="s">
        <v>14</v>
      </c>
      <c r="E2726" s="34">
        <v>1</v>
      </c>
      <c r="F2726" s="36">
        <v>0.25</v>
      </c>
      <c r="G2726" s="10">
        <v>1786</v>
      </c>
      <c r="H2726" s="30" t="str">
        <f ca="1">IFERROR(__xludf.DUMMYFUNCTION("LOWER(REGEXREPLACE(B2726&amp;"" ""&amp;C2726,""[^а-яa-z0-9 ]"","" ""))")," бруч пластмассовый  70 ")</f>
        <v xml:space="preserve"> бруч пластмассовый  70 </v>
      </c>
    </row>
    <row r="2727" spans="1:8" ht="12.75" x14ac:dyDescent="0.2">
      <c r="A2727" s="31" t="s">
        <v>6327</v>
      </c>
      <c r="B2727" s="27" t="s">
        <v>6328</v>
      </c>
      <c r="C2727" s="27"/>
      <c r="D2727" s="33" t="s">
        <v>14</v>
      </c>
      <c r="E2727" s="34">
        <v>1</v>
      </c>
      <c r="F2727" s="36">
        <v>0.25</v>
      </c>
      <c r="G2727" s="10">
        <v>1875</v>
      </c>
      <c r="H2727" s="30" t="str">
        <f ca="1">IFERROR(__xludf.DUMMYFUNCTION("LOWER(REGEXREPLACE(B2727&amp;"" ""&amp;C2727,""[^а-яa-z0-9 ]"","" ""))")," бруч пластмассовый  80 ")</f>
        <v xml:space="preserve"> бруч пластмассовый  80 </v>
      </c>
    </row>
    <row r="2728" spans="1:8" ht="38.25" x14ac:dyDescent="0.2">
      <c r="A2728" s="31" t="s">
        <v>6329</v>
      </c>
      <c r="B2728" s="27" t="s">
        <v>6330</v>
      </c>
      <c r="C2728" s="27" t="s">
        <v>6330</v>
      </c>
      <c r="D2728" s="33" t="s">
        <v>14</v>
      </c>
      <c r="E2728" s="34">
        <v>2</v>
      </c>
      <c r="F2728" s="36">
        <v>0.16</v>
      </c>
      <c r="G2728" s="10">
        <v>4918</v>
      </c>
      <c r="H2728" s="30" t="str">
        <f ca="1">IFERROR(__xludf.DUMMYFUNCTION("LOWER(REGEXREPLACE(B2728&amp;"" ""&amp;C2728,""[^а-яa-z0-9 ]"","" ""))")," бруч гимнастический пластиковый    100 100 см   зготовлен из пластмассы   азмер  диаметр 100 см  олщина 1 8 см  бруч гимнастический пластиковый    100 100 см   зготовлен из пластмассы   азмер  диаметр 100 см  олщина 1 8 см")</f>
        <v xml:space="preserve"> бруч гимнастический пластиковый    100 100 см   зготовлен из пластмассы   азмер  диаметр 100 см  олщина 1 8 см  бруч гимнастический пластиковый    100 100 см   зготовлен из пластмассы   азмер  диаметр 100 см  олщина 1 8 см</v>
      </c>
    </row>
    <row r="2729" spans="1:8" ht="38.25" x14ac:dyDescent="0.2">
      <c r="A2729" s="31" t="s">
        <v>6331</v>
      </c>
      <c r="B2729" s="27" t="s">
        <v>6332</v>
      </c>
      <c r="C2729" s="27" t="s">
        <v>6333</v>
      </c>
      <c r="D2729" s="33" t="s">
        <v>14</v>
      </c>
      <c r="E2729" s="34">
        <v>2</v>
      </c>
      <c r="F2729" s="36">
        <v>0.14000000000000001</v>
      </c>
      <c r="G2729" s="10">
        <v>3982</v>
      </c>
      <c r="H2729" s="30" t="str">
        <f ca="1">IFERROR(__xludf.DUMMYFUNCTION("LOWER(REGEXREPLACE(B2729&amp;"" ""&amp;C2729,""[^а-яa-z0-9 ]"","" ""))")," бруч гимнастический    80  80 см   зготовлен из пластмассы   азмер  диаметр 80 см  олщина 1 8 см  бруч гимнастический    80  80 см   зготовлен из пластмассы   азмер  диаметр 80 см  олщина 1 8 см ")</f>
        <v xml:space="preserve"> бруч гимнастический    80  80 см   зготовлен из пластмассы   азмер  диаметр 80 см  олщина 1 8 см  бруч гимнастический    80  80 см   зготовлен из пластмассы   азмер  диаметр 80 см  олщина 1 8 см </v>
      </c>
    </row>
    <row r="2730" spans="1:8" ht="38.25" x14ac:dyDescent="0.2">
      <c r="A2730" s="31" t="s">
        <v>6334</v>
      </c>
      <c r="B2730" s="27" t="s">
        <v>6335</v>
      </c>
      <c r="C2730" s="27" t="s">
        <v>6336</v>
      </c>
      <c r="D2730" s="33" t="s">
        <v>14</v>
      </c>
      <c r="E2730" s="34">
        <v>2</v>
      </c>
      <c r="F2730" s="36">
        <v>0.12</v>
      </c>
      <c r="G2730" s="10">
        <v>3045</v>
      </c>
      <c r="H2730" s="30" t="str">
        <f ca="1">IFERROR(__xludf.DUMMYFUNCTION("LOWER(REGEXREPLACE(B2730&amp;"" ""&amp;C2730,""[^а-яa-z0-9 ]"","" ""))")," бруч гимнастический пластиковый    60  60 см   зготовлен из пластмассы   азмер  диаметр 60 см  олщина 1 8 см  бручгимнастический пластиковый    60  60 см   зготовлен из пластмассы   азмер  диаметр 60 см  олщина 1 8 см ")</f>
        <v xml:space="preserve"> бруч гимнастический пластиковый    60  60 см   зготовлен из пластмассы   азмер  диаметр 60 см  олщина 1 8 см  бручгимнастический пластиковый    60  60 см   зготовлен из пластмассы   азмер  диаметр 60 см  олщина 1 8 см </v>
      </c>
    </row>
    <row r="2731" spans="1:8" ht="38.25" x14ac:dyDescent="0.2">
      <c r="A2731" s="31" t="s">
        <v>6337</v>
      </c>
      <c r="B2731" s="27" t="s">
        <v>6338</v>
      </c>
      <c r="C2731" s="27" t="s">
        <v>6339</v>
      </c>
      <c r="D2731" s="33" t="s">
        <v>14</v>
      </c>
      <c r="E2731" s="34">
        <v>2</v>
      </c>
      <c r="F2731" s="35">
        <v>0.3</v>
      </c>
      <c r="G2731" s="10">
        <v>4766</v>
      </c>
      <c r="H2731" s="30" t="str">
        <f ca="1">IFERROR(__xludf.DUMMYFUNCTION("LOWER(REGEXREPLACE(B2731&amp;"" ""&amp;C2731,""[^а-яa-z0-9 ]"","" ""))")," бруч металический     80 80 см   зготовлен из легкого металла и покрыт краской   иаметр 80 см  бруч металический     80 80 см    зготовлен из легкого металла и покрыт краской   иаметр 80 см ")</f>
        <v xml:space="preserve"> бруч металический     80 80 см   зготовлен из легкого металла и покрыт краской   иаметр 80 см  бруч металический     80 80 см    зготовлен из легкого металла и покрыт краской   иаметр 80 см </v>
      </c>
    </row>
    <row r="2732" spans="1:8" ht="38.25" x14ac:dyDescent="0.2">
      <c r="A2732" s="31" t="s">
        <v>6340</v>
      </c>
      <c r="B2732" s="27" t="s">
        <v>6341</v>
      </c>
      <c r="C2732" s="27" t="s">
        <v>6342</v>
      </c>
      <c r="D2732" s="33" t="s">
        <v>14</v>
      </c>
      <c r="E2732" s="34">
        <v>2</v>
      </c>
      <c r="F2732" s="35">
        <v>0.6</v>
      </c>
      <c r="G2732" s="10">
        <v>5751</v>
      </c>
      <c r="H2732" s="30" t="str">
        <f ca="1">IFERROR(__xludf.DUMMYFUNCTION("LOWER(REGEXREPLACE(B2732&amp;"" ""&amp;C2732,""[^а-яa-z0-9 ]"","" ""))")," бруч металический     100 100 см   зготовлен из легкого металла и покрыт краской   иаметр 100 см  бруч металический     100 100 см   зготовлен из легкого металла и покрыт краской   иаметр 100 см  ")</f>
        <v xml:space="preserve"> бруч металический     100 100 см   зготовлен из легкого металла и покрыт краской   иаметр 100 см  бруч металический     100 100 см   зготовлен из легкого металла и покрыт краской   иаметр 100 см  </v>
      </c>
    </row>
    <row r="2733" spans="1:8" ht="12.75" x14ac:dyDescent="0.2">
      <c r="A2733" s="31" t="s">
        <v>6343</v>
      </c>
      <c r="B2733" s="27" t="s">
        <v>6344</v>
      </c>
      <c r="C2733" s="27"/>
      <c r="D2733" s="33" t="s">
        <v>14</v>
      </c>
      <c r="E2733" s="9"/>
      <c r="F2733" s="32"/>
      <c r="G2733" s="10"/>
      <c r="H2733" s="30" t="str">
        <f ca="1">IFERROR(__xludf.DUMMYFUNCTION("LOWER(REGEXREPLACE(B2733&amp;"" ""&amp;C2733,""[^а-яa-z0-9 ]"","" ""))")," инамометр ручной ")</f>
        <v xml:space="preserve"> инамометр ручной </v>
      </c>
    </row>
    <row r="2734" spans="1:8" ht="25.5" x14ac:dyDescent="0.2">
      <c r="A2734" s="31" t="s">
        <v>6345</v>
      </c>
      <c r="B2734" s="8" t="s">
        <v>6346</v>
      </c>
      <c r="C2734" s="27"/>
      <c r="D2734" s="33" t="s">
        <v>14</v>
      </c>
      <c r="E2734" s="9"/>
      <c r="F2734" s="32"/>
      <c r="G2734" s="10">
        <v>44643</v>
      </c>
      <c r="H2734" s="30" t="str">
        <f ca="1">IFERROR(__xludf.DUMMYFUNCTION("LOWER(REGEXREPLACE(B2734&amp;"" ""&amp;C2734,""[^а-яa-z0-9 ]"","" ""))")," инамометр медицинский электронный ручной      120 0 5     ")</f>
        <v xml:space="preserve"> инамометр медицинский электронный ручной      120 0 5     </v>
      </c>
    </row>
    <row r="2735" spans="1:8" ht="25.5" x14ac:dyDescent="0.2">
      <c r="A2735" s="31" t="s">
        <v>6347</v>
      </c>
      <c r="B2735" s="8" t="s">
        <v>6348</v>
      </c>
      <c r="C2735" s="27"/>
      <c r="D2735" s="33" t="s">
        <v>14</v>
      </c>
      <c r="E2735" s="9"/>
      <c r="F2735" s="32"/>
      <c r="G2735" s="10">
        <v>40179</v>
      </c>
      <c r="H2735" s="30" t="str">
        <f ca="1">IFERROR(__xludf.DUMMYFUNCTION("LOWER(REGEXREPLACE(B2735&amp;"" ""&amp;C2735,""[^а-яa-z0-9 ]"","" ""))")," инамометр медицинский электронный ручной      120 0 5   ")</f>
        <v xml:space="preserve"> инамометр медицинский электронный ручной      120 0 5   </v>
      </c>
    </row>
    <row r="2736" spans="1:8" ht="25.5" x14ac:dyDescent="0.2">
      <c r="A2736" s="31" t="s">
        <v>6349</v>
      </c>
      <c r="B2736" s="8" t="s">
        <v>6350</v>
      </c>
      <c r="C2736" s="27"/>
      <c r="D2736" s="33" t="s">
        <v>14</v>
      </c>
      <c r="E2736" s="9"/>
      <c r="F2736" s="32"/>
      <c r="G2736" s="10">
        <v>32143</v>
      </c>
      <c r="H2736" s="30" t="str">
        <f ca="1">IFERROR(__xludf.DUMMYFUNCTION("LOWER(REGEXREPLACE(B2736&amp;"" ""&amp;C2736,""[^а-яa-z0-9 ]"","" ""))")," инамометр медицинский электронный ручной      120 0 5 ")</f>
        <v xml:space="preserve"> инамометр медицинский электронный ручной      120 0 5 </v>
      </c>
    </row>
    <row r="2737" spans="1:8" ht="25.5" x14ac:dyDescent="0.2">
      <c r="A2737" s="31" t="s">
        <v>6351</v>
      </c>
      <c r="B2737" s="8" t="s">
        <v>6352</v>
      </c>
      <c r="C2737" s="27"/>
      <c r="D2737" s="33" t="s">
        <v>14</v>
      </c>
      <c r="E2737" s="9"/>
      <c r="F2737" s="32"/>
      <c r="G2737" s="10">
        <v>32143</v>
      </c>
      <c r="H2737" s="30" t="str">
        <f ca="1">IFERROR(__xludf.DUMMYFUNCTION("LOWER(REGEXREPLACE(B2737&amp;"" ""&amp;C2737,""[^а-яa-z0-9 ]"","" ""))")," инамометр медицинский электронный ручной      30 0 5 ")</f>
        <v xml:space="preserve"> инамометр медицинский электронный ручной      30 0 5 </v>
      </c>
    </row>
    <row r="2738" spans="1:8" ht="51" x14ac:dyDescent="0.2">
      <c r="A2738" s="31" t="s">
        <v>6353</v>
      </c>
      <c r="B2738" s="27" t="s">
        <v>6354</v>
      </c>
      <c r="C2738" s="27" t="s">
        <v>6355</v>
      </c>
      <c r="D2738" s="33" t="s">
        <v>14</v>
      </c>
      <c r="E2738" s="34">
        <v>1</v>
      </c>
      <c r="F2738" s="37">
        <v>0.35499999999999998</v>
      </c>
      <c r="G2738" s="10">
        <v>46494</v>
      </c>
      <c r="H2738" s="30" t="str">
        <f ca="1">IFERROR(__xludf.DUMMYFUNCTION("LOWER(REGEXREPLACE(B2738&amp;"" ""&amp;C2738,""[^а-яa-z0-9 ]"","" ""))")," инамометр кистевой     7002  инамометр кистевой     7002   редел измерения   90 кг   азрешение   100 г   огрешность    100 г   ысота цифр дисплея   21 мм   итание    атареи типа       1 5    2шт    абаритные размеры   195 х 130 х 36 мм   ес   355 г с бат"&amp;"ареями")</f>
        <v xml:space="preserve"> инамометр кистевой     7002  инамометр кистевой     7002   редел измерения   90 кг   азрешение   100 г   огрешность    100 г   ысота цифр дисплея   21 мм   итание    атареи типа       1 5    2шт    абаритные размеры   195 х 130 х 36 мм   ес   355 г с батареями</v>
      </c>
    </row>
    <row r="2739" spans="1:8" ht="12.75" x14ac:dyDescent="0.2">
      <c r="A2739" s="31" t="s">
        <v>6356</v>
      </c>
      <c r="B2739" s="27" t="s">
        <v>6357</v>
      </c>
      <c r="C2739" s="27"/>
      <c r="D2739" s="33" t="s">
        <v>14</v>
      </c>
      <c r="E2739" s="9"/>
      <c r="F2739" s="32"/>
      <c r="G2739" s="10"/>
      <c r="H2739" s="30" t="str">
        <f ca="1">IFERROR(__xludf.DUMMYFUNCTION("LOWER(REGEXREPLACE(B2739&amp;"" ""&amp;C2739,""[^а-яa-z0-9 ]"","" ""))")," лектромегафон ")</f>
        <v xml:space="preserve"> лектромегафон </v>
      </c>
    </row>
    <row r="2740" spans="1:8" ht="12.75" x14ac:dyDescent="0.2">
      <c r="A2740" s="31" t="s">
        <v>6358</v>
      </c>
      <c r="B2740" s="27" t="s">
        <v>6359</v>
      </c>
      <c r="C2740" s="27"/>
      <c r="D2740" s="33" t="s">
        <v>14</v>
      </c>
      <c r="E2740" s="34">
        <v>1</v>
      </c>
      <c r="F2740" s="35">
        <v>1.5</v>
      </c>
      <c r="G2740" s="10">
        <v>30236</v>
      </c>
      <c r="H2740" s="30" t="str">
        <f ca="1">IFERROR(__xludf.DUMMYFUNCTION("LOWER(REGEXREPLACE(B2740&amp;"" ""&amp;C2740,""[^а-яa-z0-9 ]"","" ""))")," лектромегафон с регулируемой громкостью ")</f>
        <v xml:space="preserve"> лектромегафон с регулируемой громкостью </v>
      </c>
    </row>
    <row r="2741" spans="1:8" ht="12.75" x14ac:dyDescent="0.2">
      <c r="A2741" s="31" t="s">
        <v>6360</v>
      </c>
      <c r="B2741" s="27" t="s">
        <v>6361</v>
      </c>
      <c r="C2741" s="27"/>
      <c r="D2741" s="33" t="s">
        <v>14</v>
      </c>
      <c r="E2741" s="9"/>
      <c r="F2741" s="32"/>
      <c r="G2741" s="10"/>
      <c r="H2741" s="30" t="str">
        <f ca="1">IFERROR(__xludf.DUMMYFUNCTION("LOWER(REGEXREPLACE(B2741&amp;"" ""&amp;C2741,""[^а-яa-z0-9 ]"","" ""))")," абло простое пластиковое ")</f>
        <v xml:space="preserve"> абло простое пластиковое </v>
      </c>
    </row>
    <row r="2742" spans="1:8" ht="25.5" x14ac:dyDescent="0.2">
      <c r="A2742" s="31" t="s">
        <v>6362</v>
      </c>
      <c r="B2742" s="27" t="s">
        <v>6363</v>
      </c>
      <c r="C2742" s="27" t="s">
        <v>6364</v>
      </c>
      <c r="D2742" s="33" t="s">
        <v>14</v>
      </c>
      <c r="E2742" s="34">
        <v>1</v>
      </c>
      <c r="F2742" s="34">
        <v>20</v>
      </c>
      <c r="G2742" s="10">
        <v>13679</v>
      </c>
      <c r="H2742" s="30" t="str">
        <f ca="1">IFERROR(__xludf.DUMMYFUNCTION("LOWER(REGEXREPLACE(B2742&amp;"" ""&amp;C2742,""[^а-яa-z0-9 ]"","" ""))")," абло пластиковое перекидное  абло перекидное на металлической подставке с пластиковыми номерами ")</f>
        <v xml:space="preserve"> абло пластиковое перекидное  абло перекидное на металлической подставке с пластиковыми номерами </v>
      </c>
    </row>
    <row r="2743" spans="1:8" ht="51" x14ac:dyDescent="0.2">
      <c r="A2743" s="31" t="s">
        <v>6365</v>
      </c>
      <c r="B2743" s="27" t="s">
        <v>6366</v>
      </c>
      <c r="C2743" s="27" t="s">
        <v>6367</v>
      </c>
      <c r="D2743" s="33" t="s">
        <v>14</v>
      </c>
      <c r="E2743" s="34">
        <v>2</v>
      </c>
      <c r="F2743" s="36">
        <v>0.95</v>
      </c>
      <c r="G2743" s="10">
        <v>30680</v>
      </c>
      <c r="H2743" s="30" t="str">
        <f ca="1">IFERROR(__xludf.DUMMYFUNCTION("LOWER(REGEXREPLACE(B2743&amp;"" ""&amp;C2743,""[^а-яa-z0-9 ]"","" ""))")," абло пластиковое  размеры  420х200х50мм   атериал изготовления  ударопрочный пластик        металлические крепления  износостойкие цифры из ламинированного пластика  удейский сч тчик для проведения соревнований по настольному теннису на высоком уровне   "&amp;"добрен      ")</f>
        <v xml:space="preserve"> абло пластиковое  размеры  420х200х50мм   атериал изготовления  ударопрочный пластик        металлические крепления  износостойкие цифры из ламинированного пластика  удейский сч тчик для проведения соревнований по настольному теннису на высоком уровне   добрен      </v>
      </c>
    </row>
    <row r="2744" spans="1:8" ht="12.75" x14ac:dyDescent="0.2">
      <c r="A2744" s="31" t="s">
        <v>6368</v>
      </c>
      <c r="B2744" s="27" t="s">
        <v>6369</v>
      </c>
      <c r="C2744" s="27"/>
      <c r="D2744" s="33" t="s">
        <v>14</v>
      </c>
      <c r="E2744" s="9"/>
      <c r="F2744" s="32"/>
      <c r="G2744" s="10"/>
      <c r="H2744" s="30" t="str">
        <f ca="1">IFERROR(__xludf.DUMMYFUNCTION("LOWER(REGEXREPLACE(B2744&amp;"" ""&amp;C2744,""[^а-яa-z0-9 ]"","" ""))")," абло электронное ")</f>
        <v xml:space="preserve"> абло электронное </v>
      </c>
    </row>
    <row r="2745" spans="1:8" ht="38.25" x14ac:dyDescent="0.2">
      <c r="A2745" s="31" t="s">
        <v>6370</v>
      </c>
      <c r="B2745" s="27" t="s">
        <v>6371</v>
      </c>
      <c r="C2745" s="27" t="s">
        <v>6372</v>
      </c>
      <c r="D2745" s="33" t="s">
        <v>14</v>
      </c>
      <c r="E2745" s="34">
        <v>1</v>
      </c>
      <c r="F2745" s="35">
        <v>1.1000000000000001</v>
      </c>
      <c r="G2745" s="10">
        <v>980819</v>
      </c>
      <c r="H2745" s="30" t="str">
        <f ca="1">IFERROR(__xludf.DUMMYFUNCTION("LOWER(REGEXREPLACE(B2745&amp;"" ""&amp;C2745,""[^а-яa-z0-9 ]"","" ""))")," абло электронное универсальное  абло электронное универсальное   тображение счет  тайм  время  фолы   правление по  i  i   азмер  1 6х0 8м   правление табло осуществляется через программу на     иные способы управления  радиопульт")</f>
        <v xml:space="preserve"> абло электронное универсальное  абло электронное универсальное   тображение счет  тайм  время  фолы   правление по  i  i   азмер  1 6х0 8м   правление табло осуществляется через программу на     иные способы управления  радиопульт</v>
      </c>
    </row>
    <row r="2746" spans="1:8" ht="12.75" x14ac:dyDescent="0.2">
      <c r="A2746" s="31" t="s">
        <v>6373</v>
      </c>
      <c r="B2746" s="27" t="s">
        <v>6374</v>
      </c>
      <c r="C2746" s="27"/>
      <c r="D2746" s="33" t="s">
        <v>14</v>
      </c>
      <c r="E2746" s="9"/>
      <c r="F2746" s="32"/>
      <c r="G2746" s="10"/>
      <c r="H2746" s="30" t="str">
        <f ca="1">IFERROR(__xludf.DUMMYFUNCTION("LOWER(REGEXREPLACE(B2746&amp;"" ""&amp;C2746,""[^а-яa-z0-9 ]"","" ""))")," улетка измерительная ")</f>
        <v xml:space="preserve"> улетка измерительная </v>
      </c>
    </row>
    <row r="2747" spans="1:8" ht="63.75" x14ac:dyDescent="0.2">
      <c r="A2747" s="31" t="s">
        <v>6375</v>
      </c>
      <c r="B2747" s="27" t="s">
        <v>6376</v>
      </c>
      <c r="C2747" s="27" t="s">
        <v>6377</v>
      </c>
      <c r="D2747" s="33" t="s">
        <v>14</v>
      </c>
      <c r="E2747" s="9"/>
      <c r="F2747" s="32"/>
      <c r="G2747" s="10">
        <v>16614</v>
      </c>
      <c r="H2747" s="30" t="str">
        <f ca="1">IFERROR(__xludf.DUMMYFUNCTION("LOWER(REGEXREPLACE(B2747&amp;"" ""&amp;C2747,""[^а-яa-z0-9 ]"","" ""))")," улетка измерительная 50 м  улетка измерительная 50 метров   азмеры  50 м х 12 5 мм х 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пласти"&amp;"ка   ргономичная рукоятка для сматывания складывается в корпус для удобства переноски и хранения ")</f>
        <v xml:space="preserve"> улетка измерительная 50 м  улетка измерительная 50 метров   азмеры  50 м х 12 5 мм х 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пластика   ргономичная рукоятка для сматывания складывается в корпус для удобства переноски и хранения </v>
      </c>
    </row>
    <row r="2748" spans="1:8" ht="63.75" x14ac:dyDescent="0.2">
      <c r="A2748" s="31" t="s">
        <v>6378</v>
      </c>
      <c r="B2748" s="27" t="s">
        <v>6379</v>
      </c>
      <c r="C2748" s="27" t="s">
        <v>6380</v>
      </c>
      <c r="D2748" s="33" t="s">
        <v>14</v>
      </c>
      <c r="E2748" s="9"/>
      <c r="F2748" s="32"/>
      <c r="G2748" s="10">
        <v>7194</v>
      </c>
      <c r="H2748" s="30" t="str">
        <f ca="1">IFERROR(__xludf.DUMMYFUNCTION("LOWER(REGEXREPLACE(B2748&amp;"" ""&amp;C2748,""[^а-яa-z0-9 ]"","" ""))")," улетка измерительная 30 метров  улетка измерительная 30 метров   азмеры  30 м х 12 5 мм х0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пл"&amp;"астика   ргономичная рукоятка для сматывания складывается в корпус для удобства переноски и хранения ")</f>
        <v xml:space="preserve"> улетка измерительная 30 метров  улетка измерительная 30 метров   азмеры  30 м х 12 5 мм х0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пластика   ргономичная рукоятка для сматывания складывается в корпус для удобства переноски и хранения </v>
      </c>
    </row>
    <row r="2749" spans="1:8" ht="25.5" x14ac:dyDescent="0.2">
      <c r="A2749" s="31" t="s">
        <v>6381</v>
      </c>
      <c r="B2749" s="27" t="s">
        <v>6382</v>
      </c>
      <c r="C2749" s="27" t="s">
        <v>6383</v>
      </c>
      <c r="D2749" s="33" t="s">
        <v>14</v>
      </c>
      <c r="E2749" s="9"/>
      <c r="F2749" s="36">
        <v>0.03</v>
      </c>
      <c r="G2749" s="10">
        <v>2583</v>
      </c>
      <c r="H2749" s="30" t="str">
        <f ca="1">IFERROR(__xludf.DUMMYFUNCTION("LOWER(REGEXREPLACE(B2749&amp;"" ""&amp;C2749,""[^а-яa-z0-9 ]"","" ""))")," улетка измерительная 2 м  лина 2 метра  ширина 13см  материал корпуса пластик  материал ленты металл")</f>
        <v xml:space="preserve"> улетка измерительная 2 м  лина 2 метра  ширина 13см  материал корпуса пластик  материал ленты металл</v>
      </c>
    </row>
    <row r="2750" spans="1:8" ht="12.75" x14ac:dyDescent="0.2">
      <c r="A2750" s="31" t="s">
        <v>6384</v>
      </c>
      <c r="B2750" s="27" t="s">
        <v>6385</v>
      </c>
      <c r="C2750" s="27"/>
      <c r="D2750" s="33" t="s">
        <v>14</v>
      </c>
      <c r="E2750" s="9"/>
      <c r="F2750" s="32"/>
      <c r="G2750" s="10"/>
      <c r="H2750" s="30" t="str">
        <f ca="1">IFERROR(__xludf.DUMMYFUNCTION("LOWER(REGEXREPLACE(B2750&amp;"" ""&amp;C2750,""[^а-яa-z0-9 ]"","" ""))")," теллаж для хранения спортивного инвентаря ")</f>
        <v xml:space="preserve"> теллаж для хранения спортивного инвентаря </v>
      </c>
    </row>
    <row r="2751" spans="1:8" ht="38.25" x14ac:dyDescent="0.2">
      <c r="A2751" s="31" t="s">
        <v>6386</v>
      </c>
      <c r="B2751" s="27" t="s">
        <v>6387</v>
      </c>
      <c r="C2751" s="27" t="s">
        <v>6388</v>
      </c>
      <c r="D2751" s="33" t="s">
        <v>14</v>
      </c>
      <c r="E2751" s="34">
        <v>1</v>
      </c>
      <c r="F2751" s="34">
        <v>28</v>
      </c>
      <c r="G2751" s="10">
        <v>204980</v>
      </c>
      <c r="H2751" s="30" t="str">
        <f ca="1">IFERROR(__xludf.DUMMYFUNCTION("LOWER(REGEXREPLACE(B2751&amp;"" ""&amp;C2751,""[^а-яa-z0-9 ]"","" ""))")," теллаж для спортивного инвентаря  размеры не менее 1800х1000х400мм  аркас изготовлен из металлического профиля 25х25мм  полки изготовлены из фанеры толщиной 10мм   агрузка на полку не более 50кг  6 полок")</f>
        <v xml:space="preserve"> теллаж для спортивного инвентаря  размеры не менее 1800х1000х400мм  аркас изготовлен из металлического профиля 25х25мм  полки изготовлены из фанеры толщиной 10мм   агрузка на полку не более 50кг  6 полок</v>
      </c>
    </row>
    <row r="2752" spans="1:8" ht="12.75" x14ac:dyDescent="0.2">
      <c r="A2752" s="31" t="s">
        <v>6389</v>
      </c>
      <c r="B2752" s="27" t="s">
        <v>6390</v>
      </c>
      <c r="C2752" s="27"/>
      <c r="D2752" s="33" t="s">
        <v>14</v>
      </c>
      <c r="E2752" s="9"/>
      <c r="F2752" s="32"/>
      <c r="G2752" s="10"/>
      <c r="H2752" s="30" t="str">
        <f ca="1">IFERROR(__xludf.DUMMYFUNCTION("LOWER(REGEXREPLACE(B2752&amp;"" ""&amp;C2752,""[^а-яa-z0-9 ]"","" ""))")," теллаж для хранения мячей ")</f>
        <v xml:space="preserve"> теллаж для хранения мячей </v>
      </c>
    </row>
    <row r="2753" spans="1:8" ht="38.25" x14ac:dyDescent="0.2">
      <c r="A2753" s="31" t="s">
        <v>6391</v>
      </c>
      <c r="B2753" s="8" t="s">
        <v>6392</v>
      </c>
      <c r="C2753" s="27" t="s">
        <v>6393</v>
      </c>
      <c r="D2753" s="33" t="s">
        <v>14</v>
      </c>
      <c r="E2753" s="34">
        <v>1</v>
      </c>
      <c r="F2753" s="34">
        <v>45</v>
      </c>
      <c r="G2753" s="10">
        <v>108121</v>
      </c>
      <c r="H2753" s="30" t="str">
        <f ca="1">IFERROR(__xludf.DUMMYFUNCTION("LOWER(REGEXREPLACE(B2753&amp;"" ""&amp;C2753,""[^а-яa-z0-9 ]"","" ""))")," теллаж для мячей  размеры не менее 2000х1250х450мм  олщина стенки профильной трубы каркаса 1 5 мм   оличество роликов с фиксаторами для перемещения 4 шт  6 полок   оличество одновременно хранимых мячей не менее 28 шт")</f>
        <v xml:space="preserve"> теллаж для мячей  размеры не менее 2000х1250х450мм  олщина стенки профильной трубы каркаса 1 5 мм   оличество роликов с фиксаторами для перемещения 4 шт  6 полок   оличество одновременно хранимых мячей не менее 28 шт</v>
      </c>
    </row>
    <row r="2754" spans="1:8" ht="25.5" x14ac:dyDescent="0.2">
      <c r="A2754" s="31" t="s">
        <v>6394</v>
      </c>
      <c r="B2754" s="27" t="s">
        <v>6395</v>
      </c>
      <c r="C2754" s="27" t="s">
        <v>6396</v>
      </c>
      <c r="D2754" s="33" t="s">
        <v>14</v>
      </c>
      <c r="E2754" s="34">
        <v>1</v>
      </c>
      <c r="F2754" s="35">
        <v>0.5</v>
      </c>
      <c r="G2754" s="10">
        <v>39044</v>
      </c>
      <c r="H2754" s="30" t="str">
        <f ca="1">IFERROR(__xludf.DUMMYFUNCTION("LOWER(REGEXREPLACE(B2754&amp;"" ""&amp;C2754,""[^а-яa-z0-9 ]"","" ""))")," одставка под мячи полотенца  атериал изготовления  плотный многослойный картон с ламинированным износостойким покрытием   азмеры  780х350х20мм   вет  синий ")</f>
        <v xml:space="preserve"> одставка под мячи полотенца  атериал изготовления  плотный многослойный картон с ламинированным износостойким покрытием   азмеры  780х350х20мм   вет  синий </v>
      </c>
    </row>
    <row r="2755" spans="1:8" ht="12.75" x14ac:dyDescent="0.2">
      <c r="A2755" s="31" t="s">
        <v>6397</v>
      </c>
      <c r="B2755" s="27" t="s">
        <v>6398</v>
      </c>
      <c r="C2755" s="27"/>
      <c r="D2755" s="33" t="s">
        <v>14</v>
      </c>
      <c r="E2755" s="34">
        <v>1</v>
      </c>
      <c r="F2755" s="32"/>
      <c r="G2755" s="10"/>
      <c r="H2755" s="30" t="str">
        <f ca="1">IFERROR(__xludf.DUMMYFUNCTION("LOWER(REGEXREPLACE(B2755&amp;"" ""&amp;C2755,""[^а-яa-z0-9 ]"","" ""))")," орзина для мячей ")</f>
        <v xml:space="preserve"> орзина для мячей </v>
      </c>
    </row>
    <row r="2756" spans="1:8" ht="25.5" x14ac:dyDescent="0.2">
      <c r="A2756" s="31" t="s">
        <v>6399</v>
      </c>
      <c r="B2756" s="27" t="s">
        <v>6400</v>
      </c>
      <c r="C2756" s="27" t="s">
        <v>6401</v>
      </c>
      <c r="D2756" s="33" t="s">
        <v>14</v>
      </c>
      <c r="E2756" s="34">
        <v>2</v>
      </c>
      <c r="F2756" s="34">
        <v>7</v>
      </c>
      <c r="G2756" s="10">
        <v>41323</v>
      </c>
      <c r="H2756" s="30" t="str">
        <f ca="1">IFERROR(__xludf.DUMMYFUNCTION("LOWER(REGEXREPLACE(B2756&amp;"" ""&amp;C2756,""[^а-яa-z0-9 ]"","" ""))")," орзина для мячей переносная   азмеры  не менее 900х800х600мм  орзина для мячей металлическая сетчатая   азмеры  не менее 900х800х600мм")</f>
        <v xml:space="preserve"> орзина для мячей переносная   азмеры  не менее 900х800х600мм  орзина для мячей металлическая сетчатая   азмеры  не менее 900х800х600мм</v>
      </c>
    </row>
    <row r="2757" spans="1:8" ht="76.5" x14ac:dyDescent="0.2">
      <c r="A2757" s="31" t="s">
        <v>6402</v>
      </c>
      <c r="B2757" s="27" t="s">
        <v>6403</v>
      </c>
      <c r="C2757" s="27" t="s">
        <v>6404</v>
      </c>
      <c r="D2757" s="33" t="s">
        <v>14</v>
      </c>
      <c r="E2757" s="34">
        <v>2</v>
      </c>
      <c r="F2757" s="34">
        <v>7</v>
      </c>
      <c r="G2757" s="10">
        <v>76970</v>
      </c>
      <c r="H2757" s="30" t="str">
        <f ca="1">IFERROR(__xludf.DUMMYFUNCTION("LOWER(REGEXREPLACE(B2757&amp;"" ""&amp;C2757,""[^а-яa-z0-9 ]"","" ""))")," орзина для мячей складная     2048   люминиевый каркас на обрезиненных колесиках   егко раскладывается и перемещается  орзина для мячей складная     2048   люминиевый каркас на обрезиненных колесиках   егко раскладывается и перемещается   ама корзина из "&amp;"нейлона с усиленным дном и двумя боковыми карманами для мелочей   омплектуется чехлом для хранения и переноски   азмер  64х64х102см   ес  3 5 кг   атериалы  нейлон  алюминий  резина  пластик")</f>
        <v xml:space="preserve"> орзина для мячей складная     2048   люминиевый каркас на обрезиненных колесиках   егко раскладывается и перемещается  орзина для мячей складная     2048   люминиевый каркас на обрезиненных колесиках   егко раскладывается и перемещается   ама корзина из нейлона с усиленным дном и двумя боковыми карманами для мелочей   омплектуется чехлом для хранения и переноски   азмер  64х64х102см   ес  3 5 кг   атериалы  нейлон  алюминий  резина  пластик</v>
      </c>
    </row>
    <row r="2758" spans="1:8" ht="12.75" x14ac:dyDescent="0.2">
      <c r="A2758" s="31" t="s">
        <v>6405</v>
      </c>
      <c r="B2758" s="27" t="s">
        <v>6406</v>
      </c>
      <c r="C2758" s="27"/>
      <c r="D2758" s="33" t="s">
        <v>14</v>
      </c>
      <c r="E2758" s="9"/>
      <c r="F2758" s="32"/>
      <c r="G2758" s="10"/>
      <c r="H2758" s="30" t="str">
        <f ca="1">IFERROR(__xludf.DUMMYFUNCTION("LOWER(REGEXREPLACE(B2758&amp;"" ""&amp;C2758,""[^а-яa-z0-9 ]"","" ""))")," асос для накачивания мячей ")</f>
        <v xml:space="preserve"> асос для накачивания мячей </v>
      </c>
    </row>
    <row r="2759" spans="1:8" ht="12.75" x14ac:dyDescent="0.2">
      <c r="A2759" s="31" t="s">
        <v>6407</v>
      </c>
      <c r="B2759" s="27" t="s">
        <v>6408</v>
      </c>
      <c r="C2759" s="27"/>
      <c r="D2759" s="33" t="s">
        <v>14</v>
      </c>
      <c r="E2759" s="34">
        <v>1</v>
      </c>
      <c r="F2759" s="35">
        <v>1.2</v>
      </c>
      <c r="G2759" s="10">
        <v>2232</v>
      </c>
      <c r="H2759" s="30" t="str">
        <f ca="1">IFERROR(__xludf.DUMMYFUNCTION("LOWER(REGEXREPLACE(B2759&amp;"" ""&amp;C2759,""[^а-яa-z0-9 ]"","" ""))")," асос малый ")</f>
        <v xml:space="preserve"> асос малый </v>
      </c>
    </row>
    <row r="2760" spans="1:8" ht="12.75" x14ac:dyDescent="0.2">
      <c r="A2760" s="31" t="s">
        <v>6409</v>
      </c>
      <c r="B2760" s="27" t="s">
        <v>6410</v>
      </c>
      <c r="C2760" s="27"/>
      <c r="D2760" s="33" t="s">
        <v>14</v>
      </c>
      <c r="E2760" s="34">
        <v>1</v>
      </c>
      <c r="F2760" s="36">
        <v>1.43</v>
      </c>
      <c r="G2760" s="10">
        <v>2500</v>
      </c>
      <c r="H2760" s="30" t="str">
        <f ca="1">IFERROR(__xludf.DUMMYFUNCTION("LOWER(REGEXREPLACE(B2760&amp;"" ""&amp;C2760,""[^а-яa-z0-9 ]"","" ""))")," асос большой ")</f>
        <v xml:space="preserve"> асос большой </v>
      </c>
    </row>
    <row r="2761" spans="1:8" ht="89.25" x14ac:dyDescent="0.2">
      <c r="A2761" s="31" t="s">
        <v>6411</v>
      </c>
      <c r="B2761" s="27" t="s">
        <v>6412</v>
      </c>
      <c r="C2761" s="27" t="s">
        <v>6413</v>
      </c>
      <c r="D2761" s="33" t="s">
        <v>14</v>
      </c>
      <c r="E2761" s="34">
        <v>2</v>
      </c>
      <c r="F2761" s="35">
        <v>0.6</v>
      </c>
      <c r="G2761" s="10">
        <v>6657</v>
      </c>
      <c r="H2761" s="30" t="str">
        <f ca="1">IFERROR(__xludf.DUMMYFUNCTION("LOWER(REGEXREPLACE(B2761&amp;"" ""&amp;C2761,""[^а-яa-z0-9 ]"","" ""))")," асос для накачивания мячей типа     4507  асос для накачивания мячей   асос ножной универсальный с манометром 55х120  габариты   х х    29x9x14   ниверсальный ножной насос поможет в считанные секунды накачать колеса велосипеда  а также подкачать шины авт"&amp;"омобиля   н имеет надежное стальное основание  широкую педаль с резиновой поверхностью  две камеры 55х120  а также манометр с двумя шкалами bar psi   езиновый шланг насоса защищен тканевой оболочкой    комплект также входит несколько дополнительных насадо"&amp;"к ")</f>
        <v xml:space="preserve"> асос для накачивания мячей типа     4507  асос для накачивания мячей   асос ножной универсальный с манометром 55х120  габариты   х х    29x9x14   ниверсальный ножной насос поможет в считанные секунды накачать колеса велосипеда  а также подкачать шины автомобиля   н имеет надежное стальное основание  широкую педаль с резиновой поверхностью  две камеры 55х120  а также манометр с двумя шкалами bar psi   езиновый шланг насоса защищен тканевой оболочкой    комплект также входит несколько дополнительных насадок </v>
      </c>
    </row>
    <row r="2762" spans="1:8" ht="12.75" x14ac:dyDescent="0.2">
      <c r="A2762" s="31" t="s">
        <v>6414</v>
      </c>
      <c r="B2762" s="27" t="s">
        <v>6415</v>
      </c>
      <c r="C2762" s="27"/>
      <c r="D2762" s="33" t="s">
        <v>14</v>
      </c>
      <c r="E2762" s="9"/>
      <c r="F2762" s="32"/>
      <c r="G2762" s="10"/>
      <c r="H2762" s="30" t="str">
        <f ca="1">IFERROR(__xludf.DUMMYFUNCTION("LOWER(REGEXREPLACE(B2762&amp;"" ""&amp;C2762,""[^а-яa-z0-9 ]"","" ""))")," озел гимнастический ")</f>
        <v xml:space="preserve"> озел гимнастический </v>
      </c>
    </row>
    <row r="2763" spans="1:8" ht="12.75" x14ac:dyDescent="0.2">
      <c r="A2763" s="31" t="s">
        <v>6416</v>
      </c>
      <c r="B2763" s="27" t="s">
        <v>6417</v>
      </c>
      <c r="C2763" s="27"/>
      <c r="D2763" s="33" t="s">
        <v>14</v>
      </c>
      <c r="E2763" s="34">
        <v>1</v>
      </c>
      <c r="F2763" s="34">
        <v>25</v>
      </c>
      <c r="G2763" s="10">
        <v>25893</v>
      </c>
      <c r="H2763" s="30" t="str">
        <f ca="1">IFERROR(__xludf.DUMMYFUNCTION("LOWER(REGEXREPLACE(B2763&amp;"" ""&amp;C2763,""[^а-яa-z0-9 ]"","" ""))")," озел гимнастический детский ")</f>
        <v xml:space="preserve"> озел гимнастический детский </v>
      </c>
    </row>
    <row r="2764" spans="1:8" ht="12.75" x14ac:dyDescent="0.2">
      <c r="A2764" s="31" t="s">
        <v>6418</v>
      </c>
      <c r="B2764" s="27" t="s">
        <v>6415</v>
      </c>
      <c r="C2764" s="27"/>
      <c r="D2764" s="33" t="s">
        <v>14</v>
      </c>
      <c r="E2764" s="34">
        <v>1</v>
      </c>
      <c r="F2764" s="34">
        <v>25</v>
      </c>
      <c r="G2764" s="10">
        <v>26786</v>
      </c>
      <c r="H2764" s="30" t="str">
        <f ca="1">IFERROR(__xludf.DUMMYFUNCTION("LOWER(REGEXREPLACE(B2764&amp;"" ""&amp;C2764,""[^а-яa-z0-9 ]"","" ""))")," озел гимнастический ")</f>
        <v xml:space="preserve"> озел гимнастический </v>
      </c>
    </row>
    <row r="2765" spans="1:8" ht="102" x14ac:dyDescent="0.2">
      <c r="A2765" s="31" t="s">
        <v>6419</v>
      </c>
      <c r="B2765" s="27" t="s">
        <v>6420</v>
      </c>
      <c r="C2765" s="27" t="s">
        <v>6421</v>
      </c>
      <c r="D2765" s="33" t="s">
        <v>14</v>
      </c>
      <c r="E2765" s="34">
        <v>2</v>
      </c>
      <c r="F2765" s="34">
        <v>36</v>
      </c>
      <c r="G2765" s="10">
        <v>117588</v>
      </c>
      <c r="H2765" s="30" t="str">
        <f ca="1">IFERROR(__xludf.DUMMYFUNCTION("LOWER(REGEXREPLACE(B2765&amp;"" ""&amp;C2765,""[^а-яa-z0-9 ]"","" ""))")," озел гимнастический  высота регулируемая   фиксаторами для регулировки нужной высоты   орпус   искусственная кожа   азмер корпуса  длина не менее 670мм  ширина не менее 350мм  высота   280мм   се края и углы корпуса имеют закругленную форму   пора телеск"&amp;"опическая и выполнена из стальных труб  окрашенных порошковой эмалью   а каждой телескопической стойке опоры установлен резиновый наконечник копыто   егулировки козла по высоте осуществляется выдвижением нижней трубы телескопической стойки опоры с шагом 5"&amp;"5мм   ысота верхней поверхности корпуса от пола  900   1350мм ")</f>
        <v xml:space="preserve"> озел гимнастический  высота регулируемая   фиксаторами для регулировки нужной высоты   орпус   искусственная кожа   азмер корпуса  длина не менее 670мм  ширина не менее 350мм  высота   280мм   се края и углы корпуса имеют закругленную форму   пора телескопическая и выполнена из стальных труб  окрашенных порошковой эмалью   а каждой телескопической стойке опоры установлен резиновый наконечник копыто   егулировки козла по высоте осуществляется выдвижением нижней трубы телескопической стойки опоры с шагом 55мм   ысота верхней поверхности корпуса от пола  900   1350мм </v>
      </c>
    </row>
    <row r="2766" spans="1:8" ht="12.75" x14ac:dyDescent="0.2">
      <c r="A2766" s="31" t="s">
        <v>6422</v>
      </c>
      <c r="B2766" s="27" t="s">
        <v>6423</v>
      </c>
      <c r="C2766" s="27"/>
      <c r="D2766" s="33" t="s">
        <v>14</v>
      </c>
      <c r="E2766" s="9"/>
      <c r="F2766" s="32"/>
      <c r="G2766" s="10"/>
      <c r="H2766" s="30" t="str">
        <f ca="1">IFERROR(__xludf.DUMMYFUNCTION("LOWER(REGEXREPLACE(B2766&amp;"" ""&amp;C2766,""[^а-яa-z0-9 ]"","" ""))")," остик гимнастический ")</f>
        <v xml:space="preserve"> остик гимнастический </v>
      </c>
    </row>
    <row r="2767" spans="1:8" ht="38.25" x14ac:dyDescent="0.2">
      <c r="A2767" s="31" t="s">
        <v>6424</v>
      </c>
      <c r="B2767" s="27" t="s">
        <v>6425</v>
      </c>
      <c r="C2767" s="27" t="s">
        <v>6426</v>
      </c>
      <c r="D2767" s="33" t="s">
        <v>14</v>
      </c>
      <c r="E2767" s="34">
        <v>1</v>
      </c>
      <c r="F2767" s="34">
        <v>25</v>
      </c>
      <c r="G2767" s="10">
        <v>41378</v>
      </c>
      <c r="H2767" s="30" t="str">
        <f ca="1">IFERROR(__xludf.DUMMYFUNCTION("LOWER(REGEXREPLACE(B2767&amp;"" ""&amp;C2767,""[^а-яa-z0-9 ]"","" ""))")," остик гимнастический пружинный с гнутой платформой  остик гимнастический  подпружиненный   анера полированная   окрыт сукном  4 стальные пружины  очень надежные   одбит резиновыми прокладками  азмеры  длина   1200мм  ширина   600мм ")</f>
        <v xml:space="preserve"> остик гимнастический пружинный с гнутой платформой  остик гимнастический  подпружиненный   анера полированная   окрыт сукном  4 стальные пружины  очень надежные   одбит резиновыми прокладками  азмеры  длина   1200мм  ширина   600мм </v>
      </c>
    </row>
    <row r="2768" spans="1:8" ht="51" x14ac:dyDescent="0.2">
      <c r="A2768" s="31" t="s">
        <v>6427</v>
      </c>
      <c r="B2768" s="27" t="s">
        <v>6428</v>
      </c>
      <c r="C2768" s="27" t="s">
        <v>6429</v>
      </c>
      <c r="D2768" s="33" t="s">
        <v>14</v>
      </c>
      <c r="E2768" s="34">
        <v>1</v>
      </c>
      <c r="F2768" s="34">
        <v>25</v>
      </c>
      <c r="G2768" s="10">
        <v>23349</v>
      </c>
      <c r="H2768" s="30" t="str">
        <f ca="1">IFERROR(__xludf.DUMMYFUNCTION("LOWER(REGEXREPLACE(B2768&amp;"" ""&amp;C2768,""[^а-яa-z0-9 ]"","" ""))")," остик гимнастический приставной  з многослойной фанеры    ерхняя платформа покрыта ковролином на резиновой основе   место пружины фанерная опора   редназначен для опорных прыжков и запрыгивания на спортивные снаряды   азмеры  длина   1200мм  ширина   600"&amp;"мм ")</f>
        <v xml:space="preserve"> остик гимнастический приставной  з многослойной фанеры    ерхняя платформа покрыта ковролином на резиновой основе   место пружины фанерная опора   редназначен для опорных прыжков и запрыгивания на спортивные снаряды   азмеры  длина   1200мм  ширина   600мм </v>
      </c>
    </row>
    <row r="2769" spans="1:8" ht="102" x14ac:dyDescent="0.2">
      <c r="A2769" s="31" t="s">
        <v>6430</v>
      </c>
      <c r="B2769" s="27" t="s">
        <v>6431</v>
      </c>
      <c r="C2769" s="27" t="s">
        <v>6432</v>
      </c>
      <c r="D2769" s="33" t="s">
        <v>14</v>
      </c>
      <c r="E2769" s="34">
        <v>2</v>
      </c>
      <c r="F2769" s="34">
        <v>20</v>
      </c>
      <c r="G2769" s="10">
        <v>73956</v>
      </c>
      <c r="H2769" s="30" t="str">
        <f ca="1">IFERROR(__xludf.DUMMYFUNCTION("LOWER(REGEXREPLACE(B2769&amp;"" ""&amp;C2769,""[^а-яa-z0-9 ]"","" ""))")," ост гимнастический подпружиненный    2215   лощадка имеет ковровое покрытие  препятствующего скольжению ног во время выполнения прыжков   лина   1200мм    ирина   600мм   ысота   230мм  ост гимнастический подпружиненный    2215   редставляет собой сборну"&amp;"ю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лощадка имеет ковровое покрытие  препятс"&amp;"твующего скольжению ног во время выполнения прыжков   лина   1200мм    ирина   600мм   ысота   230мм ")</f>
        <v xml:space="preserve"> ост гимнастический подпружиненный    2215   лощадка имеет ковровое покрытие  препятствующего скольжению ног во время выполнения прыжков   лина   1200мм    ирина   600мм   ысота   230мм  ост гимнастический подпружиненный    2215   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лощадка имеет ковровое покрытие  препятствующего скольжению ног во время выполнения прыжков   лина   1200мм    ирина   600мм   ысота   230мм </v>
      </c>
    </row>
    <row r="2770" spans="1:8" ht="76.5" x14ac:dyDescent="0.2">
      <c r="A2770" s="31" t="s">
        <v>6433</v>
      </c>
      <c r="B2770" s="8" t="s">
        <v>6434</v>
      </c>
      <c r="C2770" s="27" t="s">
        <v>6435</v>
      </c>
      <c r="D2770" s="33" t="s">
        <v>14</v>
      </c>
      <c r="E2770" s="34">
        <v>2</v>
      </c>
      <c r="F2770" s="34">
        <v>15</v>
      </c>
      <c r="G2770" s="10">
        <v>41920</v>
      </c>
      <c r="H2770" s="30" t="str">
        <f ca="1">IFERROR(__xludf.DUMMYFUNCTION("LOWER(REGEXREPLACE(B2770&amp;"" ""&amp;C2770,""[^а-яa-z0-9 ]"","" ""))")," ост гимнастический приставной     521   лощадка имеет ковровое покрытие  препятствующее скольжение ног во время выполнения прыжков   лина   1200мм   ирина   600мм   ысота   230мм  ост гимнастический приставной     521   редставляет собой сборную конструк"&amp;"цию  состоящую из верхней площадки и основания  фанера 15мм   соединенных опорой из фанеры    лощадка имеет ковровое покрытие  препятствующее скольжение ног во время выполнения прыжков   лина   1200мм    ирина   600мм   ысота   230мм ")</f>
        <v xml:space="preserve"> ост гимнастический приставной     521   лощадка имеет ковровое покрытие  препятствующее скольжение ног во время выполнения прыжков   лина   1200мм   ирина   600мм   ысота   230мм  ост гимнастический приставной     521   редставляет собой сборную конструкцию  состоящую из верхней площадки и основания  фанера 15мм   соединенных опорой из фанеры    лощадка имеет ковровое покрытие  препятствующее скольжение ног во время выполнения прыжков   лина   1200мм    ирина   600мм   ысота   230мм </v>
      </c>
    </row>
    <row r="2771" spans="1:8" ht="12.75" x14ac:dyDescent="0.2">
      <c r="A2771" s="31" t="s">
        <v>6436</v>
      </c>
      <c r="B2771" s="27" t="s">
        <v>6437</v>
      </c>
      <c r="C2771" s="27"/>
      <c r="D2771" s="33" t="s">
        <v>14</v>
      </c>
      <c r="E2771" s="9"/>
      <c r="F2771" s="32"/>
      <c r="G2771" s="10"/>
      <c r="H2771" s="30" t="str">
        <f ca="1">IFERROR(__xludf.DUMMYFUNCTION("LOWER(REGEXREPLACE(B2771&amp;"" ""&amp;C2771,""[^а-яa-z0-9 ]"","" ""))")," ланка для прыжков в высоту ")</f>
        <v xml:space="preserve"> ланка для прыжков в высоту </v>
      </c>
    </row>
    <row r="2772" spans="1:8" ht="38.25" x14ac:dyDescent="0.2">
      <c r="A2772" s="31" t="s">
        <v>6438</v>
      </c>
      <c r="B2772" s="27" t="s">
        <v>6437</v>
      </c>
      <c r="C2772" s="27" t="s">
        <v>6439</v>
      </c>
      <c r="D2772" s="33" t="s">
        <v>14</v>
      </c>
      <c r="E2772" s="34">
        <v>2</v>
      </c>
      <c r="F2772" s="35">
        <v>1.7</v>
      </c>
      <c r="G2772" s="10">
        <v>42102</v>
      </c>
      <c r="H2772" s="30" t="str">
        <f ca="1">IFERROR(__xludf.DUMMYFUNCTION("LOWER(REGEXREPLACE(B2772&amp;"" ""&amp;C2772,""[^а-яa-z0-9 ]"","" ""))")," ланка для прыжков в высоту  ланка для прыжков в высоту  для использования на занятиях легкой атлетикой   лина 4000мм  пластиковые наконечники   атериал планки  дюралюминий   а концах пластиковые наконечники   олщина стенки 2 мм ")</f>
        <v xml:space="preserve"> ланка для прыжков в высоту  ланка для прыжков в высоту  для использования на занятиях легкой атлетикой   лина 4000мм  пластиковые наконечники   атериал планки  дюралюминий   а концах пластиковые наконечники   олщина стенки 2 мм </v>
      </c>
    </row>
    <row r="2773" spans="1:8" ht="12.75" x14ac:dyDescent="0.2">
      <c r="A2773" s="31" t="s">
        <v>6440</v>
      </c>
      <c r="B2773" s="27" t="s">
        <v>6441</v>
      </c>
      <c r="C2773" s="27"/>
      <c r="D2773" s="33" t="s">
        <v>14</v>
      </c>
      <c r="E2773" s="9"/>
      <c r="F2773" s="32"/>
      <c r="G2773" s="10"/>
      <c r="H2773" s="30" t="str">
        <f ca="1">IFERROR(__xludf.DUMMYFUNCTION("LOWER(REGEXREPLACE(B2773&amp;"" ""&amp;C2773,""[^а-яa-z0-9 ]"","" ""))")," тойка для прыжков в высоту ")</f>
        <v xml:space="preserve"> тойка для прыжков в высоту </v>
      </c>
    </row>
    <row r="2774" spans="1:8" ht="51" x14ac:dyDescent="0.2">
      <c r="A2774" s="31" t="s">
        <v>6442</v>
      </c>
      <c r="B2774" s="27" t="s">
        <v>6441</v>
      </c>
      <c r="C2774" s="27" t="s">
        <v>6443</v>
      </c>
      <c r="D2774" s="33" t="s">
        <v>68</v>
      </c>
      <c r="E2774" s="34">
        <v>2</v>
      </c>
      <c r="F2774" s="34">
        <v>12</v>
      </c>
      <c r="G2774" s="10">
        <v>163035</v>
      </c>
      <c r="H2774" s="30" t="str">
        <f ca="1">IFERROR(__xludf.DUMMYFUNCTION("LOWER(REGEXREPLACE(B2774&amp;"" ""&amp;C2774,""[^а-яa-z0-9 ]"","" ""))")," тойка для прыжков в высоту  ара стоек для прыжков в высоту для использования на занятиях легкой атлетикой   тойки изготовлены из алюминиевой профильной трубы 60х30мм  вторая часть из профильной алюминиевой трубы 30х30мм  общая длина стойки 2500мм   егули"&amp;"ровка высоты  от 150мм до 2500мм ")</f>
        <v xml:space="preserve"> тойка для прыжков в высоту  ара стоек для прыжков в высоту для использования на занятиях легкой атлетикой   тойки изготовлены из алюминиевой профильной трубы 60х30мм  вторая часть из профильной алюминиевой трубы 30х30мм  общая длина стойки 2500мм   егулировка высоты  от 150мм до 2500мм </v>
      </c>
    </row>
    <row r="2775" spans="1:8" ht="25.5" x14ac:dyDescent="0.2">
      <c r="A2775" s="31" t="s">
        <v>6444</v>
      </c>
      <c r="B2775" s="27" t="s">
        <v>6445</v>
      </c>
      <c r="C2775" s="27" t="s">
        <v>6446</v>
      </c>
      <c r="D2775" s="33" t="s">
        <v>14</v>
      </c>
      <c r="E2775" s="34">
        <v>2</v>
      </c>
      <c r="F2775" s="34">
        <v>1</v>
      </c>
      <c r="G2775" s="10">
        <v>54460</v>
      </c>
      <c r="H2775" s="30" t="str">
        <f ca="1">IFERROR(__xludf.DUMMYFUNCTION("LOWER(REGEXREPLACE(B2775&amp;"" ""&amp;C2775,""[^а-яa-z0-9 ]"","" ""))")," тойка для прыжков в высоту  деревянная конструкция  тойка для прыжков в высоту детская   еревянная конструкция   иаметр опорных площадок стоек   240мм  высота стойки 800мм ")</f>
        <v xml:space="preserve"> тойка для прыжков в высоту  деревянная конструкция  тойка для прыжков в высоту детская   еревянная конструкция   иаметр опорных площадок стоек   240мм  высота стойки 800мм </v>
      </c>
    </row>
    <row r="2776" spans="1:8" ht="12.75" x14ac:dyDescent="0.2">
      <c r="A2776" s="31" t="s">
        <v>6447</v>
      </c>
      <c r="B2776" s="27" t="s">
        <v>6448</v>
      </c>
      <c r="C2776" s="27"/>
      <c r="D2776" s="32"/>
      <c r="E2776" s="9"/>
      <c r="F2776" s="32"/>
      <c r="G2776" s="10"/>
      <c r="H2776" s="30" t="str">
        <f ca="1">IFERROR(__xludf.DUMMYFUNCTION("LOWER(REGEXREPLACE(B2776&amp;"" ""&amp;C2776,""[^а-яa-z0-9 ]"","" ""))")," оньки ")</f>
        <v xml:space="preserve"> оньки </v>
      </c>
    </row>
    <row r="2777" spans="1:8" ht="12.75" x14ac:dyDescent="0.2">
      <c r="A2777" s="31" t="s">
        <v>6449</v>
      </c>
      <c r="B2777" s="27" t="s">
        <v>6450</v>
      </c>
      <c r="C2777" s="27"/>
      <c r="D2777" s="33" t="s">
        <v>68</v>
      </c>
      <c r="E2777" s="34">
        <v>1</v>
      </c>
      <c r="F2777" s="36">
        <v>0.63</v>
      </c>
      <c r="G2777" s="10">
        <v>11786</v>
      </c>
      <c r="H2777" s="30" t="str">
        <f ca="1">IFERROR(__xludf.DUMMYFUNCTION("LOWER(REGEXREPLACE(B2777&amp;"" ""&amp;C2777,""[^а-яa-z0-9 ]"","" ""))")," аздвижные ледовые коньки  anwei 31 34    ")</f>
        <v xml:space="preserve"> аздвижные ледовые коньки  anwei 31 34    </v>
      </c>
    </row>
    <row r="2778" spans="1:8" ht="38.25" x14ac:dyDescent="0.2">
      <c r="A2778" s="31" t="s">
        <v>6451</v>
      </c>
      <c r="B2778" s="27" t="s">
        <v>6452</v>
      </c>
      <c r="C2778" s="27" t="s">
        <v>6453</v>
      </c>
      <c r="D2778" s="33" t="s">
        <v>14</v>
      </c>
      <c r="E2778" s="34">
        <v>1</v>
      </c>
      <c r="F2778" s="35">
        <v>2.5</v>
      </c>
      <c r="G2778" s="10">
        <v>46142</v>
      </c>
      <c r="H2778" s="30" t="str">
        <f ca="1">IFERROR(__xludf.DUMMYFUNCTION("LOWER(REGEXREPLACE(B2778&amp;"" ""&amp;C2778,""[^а-яa-z0-9 ]"","" ""))")," оньки фигурные     200  оньки     200   азных размеров   атериал ботинка   кожа  материал лезвия   нержавеющая сталь  материал подкладки   синтетический мех  материал подошвы   полиуретан  тип коньков   фигурные  тип фиксации   шнурки")</f>
        <v xml:space="preserve"> оньки фигурные     200  оньки     200   азных размеров   атериал ботинка   кожа  материал лезвия   нержавеющая сталь  материал подкладки   синтетический мех  материал подошвы   полиуретан  тип коньков   фигурные  тип фиксации   шнурки</v>
      </c>
    </row>
    <row r="2779" spans="1:8" ht="12.75" x14ac:dyDescent="0.2">
      <c r="A2779" s="31" t="s">
        <v>6454</v>
      </c>
      <c r="B2779" s="27" t="s">
        <v>6455</v>
      </c>
      <c r="C2779" s="27"/>
      <c r="D2779" s="33" t="s">
        <v>14</v>
      </c>
      <c r="E2779" s="9"/>
      <c r="F2779" s="32"/>
      <c r="G2779" s="10"/>
      <c r="H2779" s="30" t="str">
        <f ca="1">IFERROR(__xludf.DUMMYFUNCTION("LOWER(REGEXREPLACE(B2779&amp;"" ""&amp;C2779,""[^а-яa-z0-9 ]"","" ""))")," орота для мини футбола ")</f>
        <v xml:space="preserve"> орота для мини футбола </v>
      </c>
    </row>
    <row r="2780" spans="1:8" ht="12.75" x14ac:dyDescent="0.2">
      <c r="A2780" s="31" t="s">
        <v>6456</v>
      </c>
      <c r="B2780" s="27" t="s">
        <v>6457</v>
      </c>
      <c r="C2780" s="27"/>
      <c r="D2780" s="33" t="s">
        <v>14</v>
      </c>
      <c r="E2780" s="34">
        <v>1</v>
      </c>
      <c r="F2780" s="35">
        <v>62.2</v>
      </c>
      <c r="G2780" s="10">
        <v>37500</v>
      </c>
      <c r="H2780" s="30" t="str">
        <f ca="1">IFERROR(__xludf.DUMMYFUNCTION("LOWER(REGEXREPLACE(B2780&amp;"" ""&amp;C2780,""[^а-яa-z0-9 ]"","" ""))")," орота для минифутбола  2х3м  ")</f>
        <v xml:space="preserve"> орота для минифутбола  2х3м  </v>
      </c>
    </row>
    <row r="2781" spans="1:8" ht="38.25" x14ac:dyDescent="0.2">
      <c r="A2781" s="31" t="s">
        <v>6458</v>
      </c>
      <c r="B2781" s="27" t="s">
        <v>6455</v>
      </c>
      <c r="C2781" s="27" t="s">
        <v>6459</v>
      </c>
      <c r="D2781" s="33" t="s">
        <v>14</v>
      </c>
      <c r="E2781" s="34">
        <v>1</v>
      </c>
      <c r="F2781" s="34">
        <v>55</v>
      </c>
      <c r="G2781" s="10">
        <v>74212</v>
      </c>
      <c r="H2781" s="30" t="str">
        <f ca="1">IFERROR(__xludf.DUMMYFUNCTION("LOWER(REGEXREPLACE(B2781&amp;"" ""&amp;C2781,""[^а-яa-z0-9 ]"","" ""))")," орота для мини футбола  силенная конструкция   сновные размеры   ирина   3000 мм  высота    2000 мм  глубина основания 1000 мм   ередние стойки и штанга выполнены из металлической профильной трубы 80х80мм ")</f>
        <v xml:space="preserve"> орота для мини футбола  силенная конструкция   сновные размеры   ирина   3000 мм  высота    2000 мм  глубина основания 1000 мм   ередние стойки и штанга выполнены из металлической профильной трубы 80х80мм </v>
      </c>
    </row>
    <row r="2782" spans="1:8" ht="12.75" x14ac:dyDescent="0.2">
      <c r="A2782" s="31" t="s">
        <v>6460</v>
      </c>
      <c r="B2782" s="27" t="s">
        <v>6461</v>
      </c>
      <c r="C2782" s="27"/>
      <c r="D2782" s="33" t="s">
        <v>14</v>
      </c>
      <c r="E2782" s="9"/>
      <c r="F2782" s="32"/>
      <c r="G2782" s="10"/>
      <c r="H2782" s="30" t="str">
        <f ca="1">IFERROR(__xludf.DUMMYFUNCTION("LOWER(REGEXREPLACE(B2782&amp;"" ""&amp;C2782,""[^а-яa-z0-9 ]"","" ""))")," яч гандбольный ")</f>
        <v xml:space="preserve"> яч гандбольный </v>
      </c>
    </row>
    <row r="2783" spans="1:8" ht="25.5" x14ac:dyDescent="0.2">
      <c r="A2783" s="31" t="s">
        <v>6462</v>
      </c>
      <c r="B2783" s="27" t="s">
        <v>6463</v>
      </c>
      <c r="C2783" s="27" t="s">
        <v>6464</v>
      </c>
      <c r="D2783" s="33" t="s">
        <v>14</v>
      </c>
      <c r="E2783" s="34">
        <v>2</v>
      </c>
      <c r="F2783" s="37">
        <v>0.44500000000000001</v>
      </c>
      <c r="G2783" s="10">
        <v>7691</v>
      </c>
      <c r="H2783" s="30" t="str">
        <f ca="1">IFERROR(__xludf.DUMMYFUNCTION("LOWER(REGEXREPLACE(B2783&amp;"" ""&amp;C2783,""[^а-яa-z0-9 ]"","" ""))")," яч гандбольный    9525  оличество панелей   32   пособ соединения панелей    учная сшивка   атериал покрышки   синтетическая кожа ")</f>
        <v xml:space="preserve"> яч гандбольный    9525  оличество панелей   32   пособ соединения панелей    учная сшивка   атериал покрышки   синтетическая кожа </v>
      </c>
    </row>
    <row r="2784" spans="1:8" ht="12.75" x14ac:dyDescent="0.2">
      <c r="A2784" s="31" t="s">
        <v>6465</v>
      </c>
      <c r="B2784" s="27" t="s">
        <v>6466</v>
      </c>
      <c r="C2784" s="27"/>
      <c r="D2784" s="33" t="s">
        <v>14</v>
      </c>
      <c r="E2784" s="9"/>
      <c r="F2784" s="32"/>
      <c r="G2784" s="10"/>
      <c r="H2784" s="30" t="str">
        <f ca="1">IFERROR(__xludf.DUMMYFUNCTION("LOWER(REGEXREPLACE(B2784&amp;"" ""&amp;C2784,""[^а-яa-z0-9 ]"","" ""))")," етка волейбольная ")</f>
        <v xml:space="preserve"> етка волейбольная </v>
      </c>
    </row>
    <row r="2785" spans="1:8" ht="25.5" x14ac:dyDescent="0.2">
      <c r="A2785" s="31" t="s">
        <v>6467</v>
      </c>
      <c r="B2785" s="27" t="s">
        <v>6468</v>
      </c>
      <c r="C2785" s="27"/>
      <c r="D2785" s="33" t="s">
        <v>14</v>
      </c>
      <c r="E2785" s="34">
        <v>1</v>
      </c>
      <c r="F2785" s="35">
        <v>0.9</v>
      </c>
      <c r="G2785" s="10">
        <v>3393</v>
      </c>
      <c r="H2785" s="30" t="str">
        <f ca="1">IFERROR(__xludf.DUMMYFUNCTION("LOWER(REGEXREPLACE(B2785&amp;"" ""&amp;C2785,""[^а-яa-z0-9 ]"","" ""))")," етка волейбольная  нить   2 мм  стальной трос   3 мм ")</f>
        <v xml:space="preserve"> етка волейбольная  нить   2 мм  стальной трос   3 мм </v>
      </c>
    </row>
    <row r="2786" spans="1:8" ht="25.5" x14ac:dyDescent="0.2">
      <c r="A2786" s="31" t="s">
        <v>6469</v>
      </c>
      <c r="B2786" s="27" t="s">
        <v>6470</v>
      </c>
      <c r="C2786" s="27"/>
      <c r="D2786" s="33" t="s">
        <v>14</v>
      </c>
      <c r="E2786" s="34">
        <v>1</v>
      </c>
      <c r="F2786" s="35">
        <v>1.2</v>
      </c>
      <c r="G2786" s="10">
        <v>4018</v>
      </c>
      <c r="H2786" s="30" t="str">
        <f ca="1">IFERROR(__xludf.DUMMYFUNCTION("LOWER(REGEXREPLACE(B2786&amp;"" ""&amp;C2786,""[^а-яa-z0-9 ]"","" ""))")," етка волейбольная  нить   2 5 мм  стальной трос   3 мм ")</f>
        <v xml:space="preserve"> етка волейбольная  нить   2 5 мм  стальной трос   3 мм </v>
      </c>
    </row>
    <row r="2787" spans="1:8" ht="25.5" x14ac:dyDescent="0.2">
      <c r="A2787" s="31" t="s">
        <v>6471</v>
      </c>
      <c r="B2787" s="27" t="s">
        <v>6472</v>
      </c>
      <c r="C2787" s="27" t="s">
        <v>6473</v>
      </c>
      <c r="D2787" s="33" t="s">
        <v>14</v>
      </c>
      <c r="E2787" s="34">
        <v>1</v>
      </c>
      <c r="F2787" s="34">
        <v>3</v>
      </c>
      <c r="G2787" s="10">
        <v>45134</v>
      </c>
      <c r="H2787" s="30" t="str">
        <f ca="1">IFERROR(__xludf.DUMMYFUNCTION("LOWER(REGEXREPLACE(B2787&amp;"" ""&amp;C2787,""[^а-яa-z0-9 ]"","" ""))")," етка волейбольная  размер не менее 9500х1000мм  олщина нити   2 6 мм  обшитая с 4 х сторон   парашютная стропа 50 мм   зготовлена из полимерных волокон из полипропилена")</f>
        <v xml:space="preserve"> етка волейбольная  размер не менее 9500х1000мм  олщина нити   2 6 мм  обшитая с 4 х сторон   парашютная стропа 50 мм   зготовлена из полимерных волокон из полипропилена</v>
      </c>
    </row>
    <row r="2788" spans="1:8" ht="25.5" x14ac:dyDescent="0.2">
      <c r="A2788" s="31" t="s">
        <v>6474</v>
      </c>
      <c r="B2788" s="27" t="s">
        <v>6475</v>
      </c>
      <c r="C2788" s="27" t="s">
        <v>6476</v>
      </c>
      <c r="D2788" s="33" t="s">
        <v>14</v>
      </c>
      <c r="E2788" s="34">
        <v>2</v>
      </c>
      <c r="F2788" s="34">
        <v>3</v>
      </c>
      <c r="G2788" s="10">
        <v>7206</v>
      </c>
      <c r="H2788" s="30" t="str">
        <f ca="1">IFERROR(__xludf.DUMMYFUNCTION("LOWER(REGEXREPLACE(B2788&amp;"" ""&amp;C2788,""[^а-яa-z0-9 ]"","" ""))")," рос для волейбольной сетки  сталь  длина 15 м  рос для волейбольной сетки   атериал  сталь  длина 15 м   иаметр троса   4 мм")</f>
        <v xml:space="preserve"> рос для волейбольной сетки  сталь  длина 15 м  рос для волейбольной сетки   атериал  сталь  длина 15 м   иаметр троса   4 мм</v>
      </c>
    </row>
    <row r="2789" spans="1:8" ht="63.75" x14ac:dyDescent="0.2">
      <c r="A2789" s="31" t="s">
        <v>6477</v>
      </c>
      <c r="B2789" s="27" t="s">
        <v>6478</v>
      </c>
      <c r="C2789" s="27" t="s">
        <v>6479</v>
      </c>
      <c r="D2789" s="33" t="s">
        <v>14</v>
      </c>
      <c r="E2789" s="34">
        <v>2</v>
      </c>
      <c r="F2789" s="34">
        <v>4</v>
      </c>
      <c r="G2789" s="10">
        <v>86347</v>
      </c>
      <c r="H2789" s="30" t="str">
        <f ca="1">IFERROR(__xludf.DUMMYFUNCTION("LOWER(REGEXREPLACE(B2789&amp;"" ""&amp;C2789,""[^а-яa-z0-9 ]"","" ""))")," етка волейбольная профессиональная  размер 9500х1000мм  толщина нити 3мм  етка волейбольная профессиональная  размер 9 5х1м   олщина нити   3мм   олейбольная сетка изготовлена из современных материалов по новейшим технологиям    качестве основы данной се"&amp;"тки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 ")</f>
        <v xml:space="preserve"> етка волейбольная профессиональная  размер 9500х1000мм  толщина нити 3мм  етка волейбольная профессиональная  размер 9 5х1м   олщина нити   3мм   олейбольная сетка изготовлена из современных материалов по новейшим технологиям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 </v>
      </c>
    </row>
    <row r="2790" spans="1:8" ht="12.75" x14ac:dyDescent="0.2">
      <c r="A2790" s="31" t="s">
        <v>6480</v>
      </c>
      <c r="B2790" s="27" t="s">
        <v>6481</v>
      </c>
      <c r="C2790" s="27"/>
      <c r="D2790" s="33" t="s">
        <v>14</v>
      </c>
      <c r="E2790" s="9"/>
      <c r="F2790" s="32"/>
      <c r="G2790" s="10"/>
      <c r="H2790" s="30" t="str">
        <f ca="1">IFERROR(__xludf.DUMMYFUNCTION("LOWER(REGEXREPLACE(B2790&amp;"" ""&amp;C2790,""[^а-яa-z0-9 ]"","" ""))")," етка для футбольных ворот ")</f>
        <v xml:space="preserve"> етка для футбольных ворот </v>
      </c>
    </row>
    <row r="2791" spans="1:8" ht="12.75" x14ac:dyDescent="0.2">
      <c r="A2791" s="31" t="s">
        <v>6482</v>
      </c>
      <c r="B2791" s="27" t="s">
        <v>6483</v>
      </c>
      <c r="C2791" s="27"/>
      <c r="D2791" s="33" t="s">
        <v>14</v>
      </c>
      <c r="E2791" s="34">
        <v>1</v>
      </c>
      <c r="F2791" s="35">
        <v>1.5</v>
      </c>
      <c r="G2791" s="10">
        <v>7768</v>
      </c>
      <c r="H2791" s="30" t="str">
        <f ca="1">IFERROR(__xludf.DUMMYFUNCTION("LOWER(REGEXREPLACE(B2791&amp;"" ""&amp;C2791,""[^а-яa-z0-9 ]"","" ""))")," етка для футбольных ворот  нить   3 мм  5х2 м  ")</f>
        <v xml:space="preserve"> етка для футбольных ворот  нить   3 мм  5х2 м  </v>
      </c>
    </row>
    <row r="2792" spans="1:8" ht="38.25" x14ac:dyDescent="0.2">
      <c r="A2792" s="31" t="s">
        <v>6484</v>
      </c>
      <c r="B2792" s="27" t="s">
        <v>6485</v>
      </c>
      <c r="C2792" s="27" t="s">
        <v>6486</v>
      </c>
      <c r="D2792" s="33" t="s">
        <v>14</v>
      </c>
      <c r="E2792" s="34">
        <v>1</v>
      </c>
      <c r="F2792" s="35">
        <v>2.5</v>
      </c>
      <c r="G2792" s="10">
        <v>64189</v>
      </c>
      <c r="H2792" s="30" t="str">
        <f ca="1">IFERROR(__xludf.DUMMYFUNCTION("LOWER(REGEXREPLACE(B2792&amp;"" ""&amp;C2792,""[^а-яa-z0-9 ]"","" ""))")," етка для мини футбольных ворот  етка мини футбольная  размер ячейки 100х100мм    качестве основы данной сетки используются полимерные волокна из полипропилена  дополнительно сетка пропитана септиком")</f>
        <v xml:space="preserve"> етка для мини футбольных ворот  етка мини футбольная  размер ячейки 100х100мм    качестве основы данной сетки используются полимерные волокна из полипропилена  дополнительно сетка пропитана септиком</v>
      </c>
    </row>
    <row r="2793" spans="1:8" ht="12.75" x14ac:dyDescent="0.2">
      <c r="A2793" s="31" t="s">
        <v>6487</v>
      </c>
      <c r="B2793" s="27" t="s">
        <v>6488</v>
      </c>
      <c r="C2793" s="27"/>
      <c r="D2793" s="33" t="s">
        <v>14</v>
      </c>
      <c r="E2793" s="9"/>
      <c r="F2793" s="32"/>
      <c r="G2793" s="10"/>
      <c r="H2793" s="30" t="str">
        <f ca="1">IFERROR(__xludf.DUMMYFUNCTION("LOWER(REGEXREPLACE(B2793&amp;"" ""&amp;C2793,""[^а-яa-z0-9 ]"","" ""))")," ишка разметочная ")</f>
        <v xml:space="preserve"> ишка разметочная </v>
      </c>
    </row>
    <row r="2794" spans="1:8" ht="12.75" x14ac:dyDescent="0.2">
      <c r="A2794" s="31" t="s">
        <v>6489</v>
      </c>
      <c r="B2794" s="27" t="s">
        <v>6490</v>
      </c>
      <c r="C2794" s="27"/>
      <c r="D2794" s="33" t="s">
        <v>14</v>
      </c>
      <c r="E2794" s="34">
        <v>1</v>
      </c>
      <c r="F2794" s="35">
        <v>0.1</v>
      </c>
      <c r="G2794" s="10">
        <v>179</v>
      </c>
      <c r="H2794" s="30" t="str">
        <f ca="1">IFERROR(__xludf.DUMMYFUNCTION("LOWER(REGEXREPLACE(B2794&amp;"" ""&amp;C2794,""[^а-яa-z0-9 ]"","" ""))")," ишки футбольные ")</f>
        <v xml:space="preserve"> ишки футбольные </v>
      </c>
    </row>
    <row r="2795" spans="1:8" ht="12.75" x14ac:dyDescent="0.2">
      <c r="A2795" s="31" t="s">
        <v>6491</v>
      </c>
      <c r="B2795" s="27" t="s">
        <v>6492</v>
      </c>
      <c r="C2795" s="27" t="s">
        <v>6493</v>
      </c>
      <c r="D2795" s="33" t="s">
        <v>14</v>
      </c>
      <c r="E2795" s="34">
        <v>1</v>
      </c>
      <c r="F2795" s="36">
        <v>0.08</v>
      </c>
      <c r="G2795" s="10">
        <v>300</v>
      </c>
      <c r="H2795" s="30" t="str">
        <f ca="1">IFERROR(__xludf.DUMMYFUNCTION("LOWER(REGEXREPLACE(B2795&amp;"" ""&amp;C2795,""[^а-яa-z0-9 ]"","" ""))")," ишка разметочная     2179  ишка разметочная     2179  фишка d 20см  h 5см")</f>
        <v xml:space="preserve"> ишка разметочная     2179  ишка разметочная     2179  фишка d 20см  h 5см</v>
      </c>
    </row>
    <row r="2796" spans="1:8" ht="51" x14ac:dyDescent="0.2">
      <c r="A2796" s="31" t="s">
        <v>6494</v>
      </c>
      <c r="B2796" s="27" t="s">
        <v>6495</v>
      </c>
      <c r="C2796" s="27" t="s">
        <v>6496</v>
      </c>
      <c r="D2796" s="33" t="s">
        <v>68</v>
      </c>
      <c r="E2796" s="34">
        <v>2</v>
      </c>
      <c r="F2796" s="35">
        <v>0.1</v>
      </c>
      <c r="G2796" s="10">
        <v>10951</v>
      </c>
      <c r="H2796" s="30" t="str">
        <f ca="1">IFERROR(__xludf.DUMMYFUNCTION("LOWER(REGEXREPLACE(B2796&amp;"" ""&amp;C2796,""[^а-яa-z0-9 ]"","" ""))")," ольца для координации   иаметр круга 50 см  в комплекте 12 шт 3 цвета   атериал изготовления  ударопрочный пластик  ольца футбольные идеальны для разметки поля при тренировках и во время игр    их помощью футболист отрабатывает технические приемы ведения"&amp;" мяча и получает другие разнообразные навыки   азмеры  0 5х0 5х0 01 м ")</f>
        <v xml:space="preserve"> ольца для координации   иаметр круга 50 см  в комплекте 12 шт 3 цвета   атериал изготовления  ударопрочный пластик  ольца футбольные идеальны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   азмеры  0 5х0 5х0 01 м </v>
      </c>
    </row>
    <row r="2797" spans="1:8" ht="89.25" x14ac:dyDescent="0.2">
      <c r="A2797" s="31" t="s">
        <v>6497</v>
      </c>
      <c r="B2797" s="27" t="s">
        <v>6498</v>
      </c>
      <c r="C2797" s="27" t="s">
        <v>6499</v>
      </c>
      <c r="D2797" s="33" t="s">
        <v>14</v>
      </c>
      <c r="E2797" s="34">
        <v>2</v>
      </c>
      <c r="F2797" s="34">
        <v>5</v>
      </c>
      <c r="G2797" s="10">
        <v>54771</v>
      </c>
      <c r="H2797" s="30" t="str">
        <f ca="1">IFERROR(__xludf.DUMMYFUNCTION("LOWER(REGEXREPLACE(B2797&amp;"" ""&amp;C2797,""[^а-яa-z0-9 ]"","" ""))")," утбольный манекен   атериал изготовления  металлический каркас  фигура игрока изготовлена из ударопрочного пластика  утбольный манекен имеет в нижней части 4 стальных шипа для фиксации в грунт или на транспортировочную футбольную тележку   ренировочный ф"&amp;"утбольный манекен предназначен для использования в футбольных тренировках профессионалов и любителей   анекены могут применяться для отработки свободных ударов  слалома  отбора  сближения  дриблинга  пасов  тактических приемов   утбольный манекен удобный "&amp;"и надежный в эксплуатации  гибкий  безопасный и легкий ")</f>
        <v xml:space="preserve"> утбольный манекен   атериал изготовления  металлический каркас  фигура игрока изготовлена из ударопрочного пластика  утбольный манекен имеет в нижней части 4 стальных шипа для фиксации в грунт или на транспортировочную футбольную тележку   ренировочный футбольный манекен предназначен для использования в футбольных тренировках профессионалов и любителей   анекены могут применяться для отработки свободных ударов  слалома  отбора  сближения  дриблинга  пасов  тактических приемов   утбольный манекен удобный и надежный в эксплуатации  гибкий  безопасный и легкий </v>
      </c>
    </row>
    <row r="2798" spans="1:8" ht="51" x14ac:dyDescent="0.2">
      <c r="A2798" s="31" t="s">
        <v>6500</v>
      </c>
      <c r="B2798" s="27" t="s">
        <v>6501</v>
      </c>
      <c r="C2798" s="27" t="s">
        <v>6502</v>
      </c>
      <c r="D2798" s="33" t="s">
        <v>14</v>
      </c>
      <c r="E2798" s="34">
        <v>2</v>
      </c>
      <c r="F2798" s="34">
        <v>22</v>
      </c>
      <c r="G2798" s="10">
        <v>197801</v>
      </c>
      <c r="H2798" s="30" t="str">
        <f ca="1">IFERROR(__xludf.DUMMYFUNCTION("LOWER(REGEXREPLACE(B2798&amp;"" ""&amp;C2798,""[^а-яa-z0-9 ]"","" ""))")," ележка для манекенов   мещает в себя 5 манекенов   редставляет собой разборную платформу длиной 3 м   атериал изготовления  металл  резиновые колеса  ележка для манекенов подходит для транспортировки благодаря встроенным в тележку колесам   еобходимый ак"&amp;"сессуар для манекенов  при использовании на искусственном покрытии    азмеры  1 8х0 6х0 3 м")</f>
        <v xml:space="preserve"> ележка для манекенов   мещает в себя 5 манекенов   редставляет собой разборную платформу длиной 3 м   атериал изготовления  металл  резиновые колеса  ележка для манекенов подходит для транспортировки благодаря встроенным в тележку колесам   еобходимый аксессуар для манекенов  при использовании на искусственном покрытии    азмеры  1 8х0 6х0 3 м</v>
      </c>
    </row>
    <row r="2799" spans="1:8" ht="63.75" x14ac:dyDescent="0.2">
      <c r="A2799" s="31" t="s">
        <v>6503</v>
      </c>
      <c r="B2799" s="27" t="s">
        <v>6504</v>
      </c>
      <c r="C2799" s="27" t="s">
        <v>6505</v>
      </c>
      <c r="D2799" s="33" t="s">
        <v>14</v>
      </c>
      <c r="E2799" s="34">
        <v>2</v>
      </c>
      <c r="F2799" s="34">
        <v>18</v>
      </c>
      <c r="G2799" s="10">
        <v>167368</v>
      </c>
      <c r="H2799" s="30" t="str">
        <f ca="1">IFERROR(__xludf.DUMMYFUNCTION("LOWER(REGEXREPLACE(B2799&amp;"" ""&amp;C2799,""[^а-яa-z0-9 ]"","" ""))")," ини мишень  ворота   размеры 2400 1500 650 мм   ля отработки на точность ударов по воротам в комплекте идет тент с 3 мишенями   атериал изготовления  каркас из металла или алюминия  тент из      сетка из полиэстера  орота игровые 240x150x65 см с тентом д"&amp;"ля отработки ударов   екомендованы для улицы или помещений    азборная конструкция из профильной трубы 25 х 25 мм  толщина 1 мм    комплекте 6 анкеров для крепления к земле и сетка из полиэстеровой нити ")</f>
        <v xml:space="preserve"> ини мишень  ворота   размеры 2400 1500 650 мм   ля отработки на точность ударов по воротам в комплекте идет тент с 3 мишенями   атериал изготовления  каркас из металла или алюминия  тент из      сетка из полиэстера  орота игровые 240x150x65 см с тентом для отработки ударов   екомендованы для улицы или помещений    азборная конструкция из профильной трубы 25 х 25 мм  толщина 1 мм    комплекте 6 анкеров для крепления к земле и сетка из полиэстеровой нити </v>
      </c>
    </row>
    <row r="2800" spans="1:8" ht="51" x14ac:dyDescent="0.2">
      <c r="A2800" s="31" t="s">
        <v>6506</v>
      </c>
      <c r="B2800" s="27" t="s">
        <v>6507</v>
      </c>
      <c r="C2800" s="27" t="s">
        <v>6508</v>
      </c>
      <c r="D2800" s="33" t="s">
        <v>68</v>
      </c>
      <c r="E2800" s="34">
        <v>2</v>
      </c>
      <c r="F2800" s="35">
        <v>0.3</v>
      </c>
      <c r="G2800" s="10">
        <v>14602</v>
      </c>
      <c r="H2800" s="30" t="str">
        <f ca="1">IFERROR(__xludf.DUMMYFUNCTION("LOWER(REGEXREPLACE(B2800&amp;"" ""&amp;C2800,""[^а-яa-z0-9 ]"","" ""))")," арьер для футбола 3 шт  в комплекте   атериал изготовления  ударопрочный пластик   азмеры 0 4х0 35х0 2 м  арьер тренировочный многоуровневый для футболистов   ренировочный барьер предназначен для тренировки скорости  маневренности  координации  высоты пр"&amp;"ыжка   одходит для командных видов спорта  а также легкоатлетических и фитнес тренировок ")</f>
        <v xml:space="preserve"> арьер для футбола 3 шт  в комплекте   атериал изготовления  ударопрочный пластик   азмеры 0 4х0 35х0 2 м  арьер тренировочный многоуровневый для футболистов   ренировочный барьер предназначен для тренировки скорости  маневренности  координации  высоты прыжка   одходит для командных видов спорта  а также легкоатлетических и фитнес тренировок </v>
      </c>
    </row>
    <row r="2801" spans="1:8" ht="63.75" x14ac:dyDescent="0.2">
      <c r="A2801" s="31" t="s">
        <v>6509</v>
      </c>
      <c r="B2801" s="27" t="s">
        <v>6510</v>
      </c>
      <c r="C2801" s="27" t="s">
        <v>6511</v>
      </c>
      <c r="D2801" s="33" t="s">
        <v>68</v>
      </c>
      <c r="E2801" s="34">
        <v>2</v>
      </c>
      <c r="F2801" s="35">
        <v>0.5</v>
      </c>
      <c r="G2801" s="10">
        <v>19773</v>
      </c>
      <c r="H2801" s="30" t="str">
        <f ca="1">IFERROR(__xludf.DUMMYFUNCTION("LOWER(REGEXREPLACE(B2801&amp;"" ""&amp;C2801,""[^а-яa-z0-9 ]"","" ""))")," езинки для фитнеса 5 шт  в комплекте   атериал изготовления  натуральный латекс   азмеры  0 2х0 03х0 05 м  езинки для фитнеса или ленты амортизаторы   ни используют сопротивление  чтобы привести ваши мышцы в тонус  и подходят для множества упражнений  вк"&amp;"лючая приседания  упражнения на бицепс  расширение трицепса  упражнения на мышцы груди  живота и плеч ")</f>
        <v xml:space="preserve"> езинки для фитнеса 5 шт  в комплекте   атериал изготовления  натуральный латекс   азмеры  0 2х0 03х0 05 м  езинки для фитнеса или ленты амортизаторы   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 </v>
      </c>
    </row>
    <row r="2802" spans="1:8" ht="12.75" x14ac:dyDescent="0.2">
      <c r="A2802" s="31" t="s">
        <v>6512</v>
      </c>
      <c r="B2802" s="27" t="s">
        <v>6513</v>
      </c>
      <c r="C2802" s="27"/>
      <c r="D2802" s="32"/>
      <c r="E2802" s="9"/>
      <c r="F2802" s="32"/>
      <c r="G2802" s="10"/>
      <c r="H2802" s="30" t="str">
        <f ca="1">IFERROR(__xludf.DUMMYFUNCTION("LOWER(REGEXREPLACE(B2802&amp;"" ""&amp;C2802,""[^а-яa-z0-9 ]"","" ""))")," огыз кумалак ")</f>
        <v xml:space="preserve"> огыз кумалак </v>
      </c>
    </row>
    <row r="2803" spans="1:8" ht="38.25" x14ac:dyDescent="0.2">
      <c r="A2803" s="31" t="s">
        <v>6514</v>
      </c>
      <c r="B2803" s="27" t="s">
        <v>6515</v>
      </c>
      <c r="C2803" s="27" t="s">
        <v>6516</v>
      </c>
      <c r="D2803" s="33" t="s">
        <v>14</v>
      </c>
      <c r="E2803" s="34">
        <v>1</v>
      </c>
      <c r="F2803" s="35">
        <v>0.6</v>
      </c>
      <c r="G2803" s="10">
        <v>10018</v>
      </c>
      <c r="H2803" s="30" t="str">
        <f ca="1">IFERROR(__xludf.DUMMYFUNCTION("LOWER(REGEXREPLACE(B2803&amp;"" ""&amp;C2803,""[^а-яa-z0-9 ]"","" ""))")," гра настольная   огыз кумалак   огызкумалак     863   азахская национальная игра   огыз кумалак    арактеристики  материал       размер в закрытом состоянии  44 16 см  размер в открытом состоянии  44 29 см")</f>
        <v xml:space="preserve"> гра настольная   огыз кумалак   огызкумалак     863   азахская национальная игра   огыз кумалак    арактеристики  материал       размер в закрытом состоянии  44 16 см  размер в открытом состоянии  44 29 см</v>
      </c>
    </row>
    <row r="2804" spans="1:8" ht="12.75" x14ac:dyDescent="0.2">
      <c r="A2804" s="31" t="s">
        <v>6517</v>
      </c>
      <c r="B2804" s="27" t="s">
        <v>6518</v>
      </c>
      <c r="C2804" s="27"/>
      <c r="D2804" s="33" t="s">
        <v>14</v>
      </c>
      <c r="E2804" s="9"/>
      <c r="F2804" s="32"/>
      <c r="G2804" s="10"/>
      <c r="H2804" s="30" t="str">
        <f ca="1">IFERROR(__xludf.DUMMYFUNCTION("LOWER(REGEXREPLACE(B2804&amp;"" ""&amp;C2804,""[^а-яa-z0-9 ]"","" ""))")," орота футбольные ")</f>
        <v xml:space="preserve"> орота футбольные </v>
      </c>
    </row>
    <row r="2805" spans="1:8" ht="12.75" x14ac:dyDescent="0.2">
      <c r="A2805" s="31" t="s">
        <v>6519</v>
      </c>
      <c r="B2805" s="27" t="s">
        <v>6520</v>
      </c>
      <c r="C2805" s="27"/>
      <c r="D2805" s="33" t="s">
        <v>14</v>
      </c>
      <c r="E2805" s="34">
        <v>1</v>
      </c>
      <c r="F2805" s="34">
        <v>112</v>
      </c>
      <c r="G2805" s="10">
        <v>158125</v>
      </c>
      <c r="H2805" s="30" t="str">
        <f ca="1">IFERROR(__xludf.DUMMYFUNCTION("LOWER(REGEXREPLACE(B2805&amp;"" ""&amp;C2805,""[^а-яa-z0-9 ]"","" ""))")," орота для футбола стационарные  7 32х2 44 м  ")</f>
        <v xml:space="preserve"> орота для футбола стационарные  7 32х2 44 м  </v>
      </c>
    </row>
    <row r="2806" spans="1:8" ht="12.75" x14ac:dyDescent="0.2">
      <c r="A2806" s="31" t="s">
        <v>6521</v>
      </c>
      <c r="B2806" s="27" t="s">
        <v>6522</v>
      </c>
      <c r="C2806" s="27"/>
      <c r="D2806" s="33" t="s">
        <v>14</v>
      </c>
      <c r="E2806" s="34">
        <v>1</v>
      </c>
      <c r="F2806" s="34">
        <v>52</v>
      </c>
      <c r="G2806" s="10">
        <v>58929</v>
      </c>
      <c r="H2806" s="30" t="str">
        <f ca="1">IFERROR(__xludf.DUMMYFUNCTION("LOWER(REGEXREPLACE(B2806&amp;"" ""&amp;C2806,""[^а-яa-z0-9 ]"","" ""))")," орота для футбола гандбола  5х2м  ")</f>
        <v xml:space="preserve"> орота для футбола гандбола  5х2м  </v>
      </c>
    </row>
    <row r="2807" spans="1:8" ht="127.5" x14ac:dyDescent="0.2">
      <c r="A2807" s="31" t="s">
        <v>6523</v>
      </c>
      <c r="B2807" s="27" t="s">
        <v>6524</v>
      </c>
      <c r="C2807" s="27" t="s">
        <v>6525</v>
      </c>
      <c r="D2807" s="33" t="s">
        <v>14</v>
      </c>
      <c r="E2807" s="34">
        <v>2</v>
      </c>
      <c r="F2807" s="34">
        <v>95</v>
      </c>
      <c r="G2807" s="10">
        <v>231144</v>
      </c>
      <c r="H2807" s="30" t="str">
        <f ca="1">IFERROR(__xludf.DUMMYFUNCTION("LOWER(REGEXREPLACE(B2807&amp;"" ""&amp;C2807,""[^а-яa-z0-9 ]"","" ""))")," орота для гандбола  минифутбола    3200   силенная конструкция   сновные размеры в собранном состоянии  ширина   3000 мм  высота   2000 мм  глубина основания 1000 мм  орота для гандбола  минифутбола    3200   силенная конструкция   сновные размеры в собр"&amp;"анном состоянии  ширина   3000 мм  высота   2000 мм  глубина основания 1000 мм   орота представляют собой сборную конструкцию  состоящую из правой и левой боковин  соединенных внизу горизонтальной стяжкой и вверху   штангой   ередние стойки и штанга выпол"&amp;"нены из металлической профильной трубы 80х80мм   ижняя перекладина изготовлена из трубы 80х80 мм и заполнена упершлаком   онструкция скрепляется с помощью болтов   ес противовеса 50кг  приварены ручки для переноса   ся конструкция покрыта порошковой эмаль"&amp;"ю    разметкой ")</f>
        <v xml:space="preserve"> орота для гандбола  минифутбола    3200   силенная конструкция   сновные размеры в собранном состоянии  ширина   3000 мм  высота   2000 мм  глубина основания 1000 мм  орота для гандбола  минифутбола    3200   силенная конструкция   сновные размеры в собранном состоянии  ширина   3000 мм  высота   2000 мм  глубина основания 1000 мм   орота представляют собой сборную конструкцию  состоящую из правой и левой боковин  соединенных внизу горизонтальной стяжкой и вверху   штангой   ередние стойки и штанга выполнены из металлической профильной трубы 80х80мм   ижняя перекладина изготовлена из трубы 80х80 мм и заполнена упершлаком   онструкция скрепляется с помощью болтов   ес противовеса 50кг  приварены ручки для переноса   ся конструкция покрыта порошковой эмалью    разметкой </v>
      </c>
    </row>
    <row r="2808" spans="1:8" ht="38.25" x14ac:dyDescent="0.2">
      <c r="A2808" s="31" t="s">
        <v>6526</v>
      </c>
      <c r="B2808" s="27" t="s">
        <v>6527</v>
      </c>
      <c r="C2808" s="27" t="s">
        <v>6528</v>
      </c>
      <c r="D2808" s="33" t="s">
        <v>14</v>
      </c>
      <c r="E2808" s="34">
        <v>1</v>
      </c>
      <c r="F2808" s="34">
        <v>160</v>
      </c>
      <c r="G2808" s="10">
        <v>327049</v>
      </c>
      <c r="H2808" s="30" t="str">
        <f ca="1">IFERROR(__xludf.DUMMYFUNCTION("LOWER(REGEXREPLACE(B2808&amp;"" ""&amp;C2808,""[^а-яa-z0-9 ]"","" ""))")," орота футбольные размерами 5000 х 2000 мм    520  орота футбольные    520    азмер 5х2м    иаметр штанг и перекладины 89мм  задние дуги 42мм   ысота 2000мм  длина 5000мм  глубина  2000 мм ")</f>
        <v xml:space="preserve"> орота футбольные размерами 5000 х 2000 мм    520  орота футбольные    520    азмер 5х2м    иаметр штанг и перекладины 89мм  задние дуги 42мм   ысота 2000мм  длина 5000мм  глубина  2000 мм </v>
      </c>
    </row>
    <row r="2809" spans="1:8" ht="38.25" x14ac:dyDescent="0.2">
      <c r="A2809" s="31" t="s">
        <v>6529</v>
      </c>
      <c r="B2809" s="27" t="s">
        <v>6530</v>
      </c>
      <c r="C2809" s="27" t="s">
        <v>6531</v>
      </c>
      <c r="D2809" s="33" t="s">
        <v>14</v>
      </c>
      <c r="E2809" s="34">
        <v>1</v>
      </c>
      <c r="F2809" s="34">
        <v>160</v>
      </c>
      <c r="G2809" s="10">
        <v>470978</v>
      </c>
      <c r="H2809" s="30" t="str">
        <f ca="1">IFERROR(__xludf.DUMMYFUNCTION("LOWER(REGEXREPLACE(B2809&amp;"" ""&amp;C2809,""[^а-яa-z0-9 ]"","" ""))")," орота футбольные размерами 7320 х 2440 мм    732  орота футбольные    732   азмер 7 32х2 44м   зготовлены из стальной круглой трубы диаметром 89мм   онсоль из трубы диам 42мм    краска  нитроэмаль ")</f>
        <v xml:space="preserve"> орота футбольные размерами 7320 х 2440 мм    732  орота футбольные    732   азмер 7 32х2 44м   зготовлены из стальной круглой трубы диаметром 89мм   онсоль из трубы диам 42мм    краска  нитроэмаль </v>
      </c>
    </row>
    <row r="2810" spans="1:8" ht="102" x14ac:dyDescent="0.2">
      <c r="A2810" s="31" t="s">
        <v>6532</v>
      </c>
      <c r="B2810" s="27" t="s">
        <v>6533</v>
      </c>
      <c r="C2810" s="27" t="s">
        <v>6534</v>
      </c>
      <c r="D2810" s="33" t="s">
        <v>14</v>
      </c>
      <c r="E2810" s="34">
        <v>2</v>
      </c>
      <c r="F2810" s="34">
        <v>57</v>
      </c>
      <c r="G2810" s="10">
        <v>728643</v>
      </c>
      <c r="H2810" s="30" t="str">
        <f ca="1">IFERROR(__xludf.DUMMYFUNCTION("LOWER(REGEXREPLACE(B2810&amp;"" ""&amp;C2810,""[^а-яa-z0-9 ]"","" ""))")," орота гандбольные стационарные алюминиевые 3000х2000мм  орота гандбольные стационарные алюминиевые 3х2 м для закрытых помещений   танги и перекладина ворот  изготовлены из алюминиевого профиля  секции 80х80 мм    а ворота нанесена разметка из черных поло"&amp;"с в соответствии с официальными правилами по гандболу   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комплект входят муфты стаканы глу"&amp;"биной 350 мм и съемные крышки фланцы  для предварительного монтажа в покрытие игровой площадки")</f>
        <v xml:space="preserve"> орота гандбольные стационарные алюминиевые 3000х2000мм  орота гандбольные стационарные алюминиевые 3х2 м для закрытых помещений   танги и перекладина ворот  изготовлены из алюминиевого профиля  секции 80х80 мм    а ворота нанесена разметка из черных полос в соответствии с официальными правилами по гандболу   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комплект входят муфты стаканы глубиной 350 мм и съемные крышки фланцы  для предварительного монтажа в покрытие игровой площадки</v>
      </c>
    </row>
    <row r="2811" spans="1:8" ht="12.75" x14ac:dyDescent="0.2">
      <c r="A2811" s="31" t="s">
        <v>6535</v>
      </c>
      <c r="B2811" s="27" t="s">
        <v>6536</v>
      </c>
      <c r="C2811" s="27"/>
      <c r="D2811" s="33" t="s">
        <v>14</v>
      </c>
      <c r="E2811" s="9"/>
      <c r="F2811" s="32"/>
      <c r="G2811" s="10"/>
      <c r="H2811" s="30" t="str">
        <f ca="1">IFERROR(__xludf.DUMMYFUNCTION("LOWER(REGEXREPLACE(B2811&amp;"" ""&amp;C2811,""[^а-яa-z0-9 ]"","" ""))")," тойка баскетбольная ")</f>
        <v xml:space="preserve"> тойка баскетбольная </v>
      </c>
    </row>
    <row r="2812" spans="1:8" ht="114.75" x14ac:dyDescent="0.2">
      <c r="A2812" s="31" t="s">
        <v>6537</v>
      </c>
      <c r="B2812" s="27" t="s">
        <v>6538</v>
      </c>
      <c r="C2812" s="27" t="s">
        <v>6539</v>
      </c>
      <c r="D2812" s="33" t="s">
        <v>14</v>
      </c>
      <c r="E2812" s="34">
        <v>1</v>
      </c>
      <c r="F2812" s="34">
        <v>350</v>
      </c>
      <c r="G2812" s="10">
        <v>410714</v>
      </c>
      <c r="H2812" s="30" t="str">
        <f ca="1">IFERROR(__xludf.DUMMYFUNCTION("LOWER(REGEXREPLACE(B2812&amp;"" ""&amp;C2812,""[^а-яa-z0-9 ]"","" ""))")," тойка баскетбольная профессиональная передвижная складная с защитой  тойка баскетбольная   передвижная  выносом 1 8м   ит   оргстекло  протекторы  кольцо амортизирующее  сетка мастерская   азмеры щита не менее 1050х1800мм   тойка состоит из основания на "&amp;"колесах  к которому на болтах крепятся передняя и задняя опоры стрелы крепления щита    ним крепится стрела  несущая щит с кольцом и сеткой  который крепится к стреле с помощью болтов и фиксирующийся укосинами   елескопическая тяга служит для фиксации стр"&amp;"елы в верхнем и нижнем положениях   ля исключения опрокидывания на заднюю часть стойки укладываются противовесы   ащитные панели крепятся на переднюю сторону стойки и на щит ")</f>
        <v xml:space="preserve"> тойка баскетбольная профессиональная передвижная складная с защитой  тойка баскетбольная   передвижная  выносом 1 8м   ит   оргстекло  протекторы  кольцо амортизирующее  сетка мастерская   азмеры щита не менее 1050х1800мм   тойка состоит из основания на колесах  к которому на болтах крепятся передняя и задняя опоры стрелы крепления щита    ним крепится стрела  несущая щит с кольцом и сеткой  который крепится к стреле с помощью болтов и фиксирующийся укосинами   елескопическая тяга служит для фиксации стрелы в верхнем и нижнем положениях   ля исключения опрокидывания на заднюю часть стойки укладываются противовесы   ащитные панели крепятся на переднюю сторону стойки и на щит </v>
      </c>
    </row>
    <row r="2813" spans="1:8" ht="63.75" x14ac:dyDescent="0.2">
      <c r="A2813" s="31" t="s">
        <v>6540</v>
      </c>
      <c r="B2813" s="27" t="s">
        <v>6541</v>
      </c>
      <c r="C2813" s="27" t="s">
        <v>6542</v>
      </c>
      <c r="D2813" s="33" t="s">
        <v>14</v>
      </c>
      <c r="E2813" s="34">
        <v>1</v>
      </c>
      <c r="F2813" s="34">
        <v>460</v>
      </c>
      <c r="G2813" s="10">
        <v>1709840</v>
      </c>
      <c r="H2813" s="30" t="str">
        <f ca="1">IFERROR(__xludf.DUMMYFUNCTION("LOWER(REGEXREPLACE(B2813&amp;"" ""&amp;C2813,""[^а-яa-z0-9 ]"","" ""))")," тойка баскетбольная мобильная складная    2016  тойка баскетбольная мобильная складная    2016 с выносом щита 2 05м   ит баскетбольный  игровой 1800х1050мм из орг стекла толщиной 10мм  кольцо амортизационное с трубчатой системой крепления сетки  сетка ба"&amp;"скетбольная  протектор щита  выноса  стойки   абаритные размеры  длина  со щитом  кольцом и защитой   5 08 м  ширина по раме стойки с защитой  1 28 м   ысота до кольца 3 05м")</f>
        <v xml:space="preserve"> тойка баскетбольная мобильная складная    2016  тойка баскетбольная мобильная складная    2016 с выносом щита 2 05м   ит баскетбольный  игровой 1800х1050мм из орг стекла толщиной 10мм  кольцо амортизационное с трубчатой системой крепления сетки  сетка баскетбольная  протектор щита  выноса  стойки   абаритные размеры  длина  со щитом  кольцом и защитой   5 08 м  ширина по раме стойки с защитой  1 28 м   ысота до кольца 3 05м</v>
      </c>
    </row>
    <row r="2814" spans="1:8" ht="63.75" x14ac:dyDescent="0.2">
      <c r="A2814" s="31" t="s">
        <v>6543</v>
      </c>
      <c r="B2814" s="27" t="s">
        <v>6544</v>
      </c>
      <c r="C2814" s="27" t="s">
        <v>6545</v>
      </c>
      <c r="D2814" s="33" t="s">
        <v>14</v>
      </c>
      <c r="E2814" s="34">
        <v>1</v>
      </c>
      <c r="F2814" s="34">
        <v>120</v>
      </c>
      <c r="G2814" s="10">
        <v>735972</v>
      </c>
      <c r="H2814" s="30" t="str">
        <f ca="1">IFERROR(__xludf.DUMMYFUNCTION("LOWER(REGEXREPLACE(B2814&amp;"" ""&amp;C2814,""[^а-яa-z0-9 ]"","" ""))")," тойка баскетбольная мобильная  обильная на противовесе  с регулировкой высоты   ит стритбольный из орг стекла размером 1200х800мм толщ  10мм  протектор в нижней части щита  кольцо тренировочное и сетка баскетбольная   зготовлена из металлического профиля"&amp;" 100 100мм с толщиной стенки 3 мм   оверхность рамы покрыта порошковой краской   а щите имеются посадочные отверстия под кольцо размерами 100 110 мм")</f>
        <v xml:space="preserve"> тойка баскетбольная мобильная  обильная на противовесе  с регулировкой высоты   ит стритбольный из орг стекла размером 1200х800мм толщ  10мм  протектор в нижней части щита  кольцо тренировочное и сетка баскетбольная   зготовлена из металлического профиля 100 100мм с толщиной стенки 3 мм   оверхность рамы покрыта порошковой краской   а щите имеются посадочные отверстия под кольцо размерами 100 110 мм</v>
      </c>
    </row>
    <row r="2815" spans="1:8" ht="229.5" x14ac:dyDescent="0.2">
      <c r="A2815" s="31" t="s">
        <v>6546</v>
      </c>
      <c r="B2815" s="27" t="s">
        <v>6547</v>
      </c>
      <c r="C2815" s="27" t="s">
        <v>6548</v>
      </c>
      <c r="D2815" s="33" t="s">
        <v>14</v>
      </c>
      <c r="E2815" s="34">
        <v>2</v>
      </c>
      <c r="F2815" s="34">
        <v>460</v>
      </c>
      <c r="G2815" s="10">
        <v>1503595</v>
      </c>
      <c r="H2815" s="30" t="str">
        <f ca="1">IFERROR(__xludf.DUMMYFUNCTION("LOWER(REGEXREPLACE(B2815&amp;"" ""&amp;C2815,""[^а-яa-z0-9 ]"","" ""))")," тойка баскетбольная мобильная складная с выносом щита 1 65м типа     165  тойка баскетбольная мобильная складная с выносом щита 1 65м рекомендована для проведения тренировок и соревнований в спортивных залах и на игровых уличных площадках   снование стой"&amp;"ки обеспечено колесами для перемещения  о время эксплуатации на заднюю часть стойки укладываются противовесы  в комплект не входят   что исключает опрокидывание снаряда   екомендуемый вес противовесов  265кг    комплектацию входит   ит баскетбольный  игро"&amp;"вой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обильная складная стойка снабжена поворотными и не поворотными колесами  и в сложенном состо"&amp;"янии перекатывается одним человеком    конструкции стойки используются шарнирные соединения подвижных частей   идравлический механизм подъема предусматривает возможность подъема и складывания стойки   ля этого стойку необходимо укрепить с помощью стопорны"&amp;"х выдвижных элементов в передней части основания   абаритные размеры  в свернутом положении без щита   длина 2 45 м  ширина по раме стойки 1 м  высота  без щита 1 6 м  в развернутом положении   длина  со щитом  кольцом и защитой   4 06 м  ширина по раме с"&amp;"тойки с защитой  1м  изменение высоты кольца   до 3060 мм  максимальная высота от поверхности площадки до верхнего края  щита   3 93 м  размеры игрового щита   1800х1050мм ")</f>
        <v xml:space="preserve"> тойка баскетбольная мобильная складная с выносом щита 1 65м типа     165  тойка баскетбольная мобильная складная с выносом щита 1 65м рекомендована для проведения тренировок и соревнований в спортивных залах и на игровых уличных площадках   снование стойки обеспечено колесами для перемещения  о время эксплуатации на заднюю часть стойки укладываются противовесы  в комплект не входят   что исключает опрокидывание снаряда   екомендуемый вес противовесов  265кг    комплектацию входит   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обильная складная стойка снабжена поворотными и не поворотными колесами  и в сложенном состоянии перекатывается одним человеком    конструкции стойки используются шарнирные соединения подвижных частей   идравлический механизм подъема предусматривает возможность подъема и складывания стойки   ля этого стойку необходимо укрепить с помощью стопорных выдвижных элементов в передней части основания   абаритные размеры  в свернутом положении без щита   длина 2 45 м  ширина по раме стойки 1 м  высота  без щита 1 6 м  в развернутом положении   длина  со щитом  кольцом и защитой   4 06 м  ширина по раме стойки с защитой  1м  изменение высоты кольца   до 3060 мм  максимальная высота от поверхности площадки до верхнего края  щита   3 93 м  размеры игрового щита   1800х1050мм </v>
      </c>
    </row>
    <row r="2816" spans="1:8" ht="153" x14ac:dyDescent="0.2">
      <c r="A2816" s="31" t="s">
        <v>6549</v>
      </c>
      <c r="B2816" s="27" t="s">
        <v>6550</v>
      </c>
      <c r="C2816" s="27" t="s">
        <v>6551</v>
      </c>
      <c r="D2816" s="33" t="s">
        <v>14</v>
      </c>
      <c r="E2816" s="34">
        <v>2</v>
      </c>
      <c r="F2816" s="34">
        <v>750</v>
      </c>
      <c r="G2816" s="10">
        <v>3196873</v>
      </c>
      <c r="H2816" s="30" t="str">
        <f ca="1">IFERROR(__xludf.DUMMYFUNCTION("LOWER(REGEXREPLACE(B2816&amp;"" ""&amp;C2816,""[^а-яa-z0-9 ]"","" ""))")," тойка баскетбольная мобильная с выносом 3 25 м оснащена гидравлическим ручным механизмом складывания и частичного раздвижения   атериалы конструкции  стальная рама с антикоррозийным покрытием  акриловый ударопрочный щит  стальное амортизационное кольцо  "&amp;"защитные панели из     и вспененного материала  стальные утяжелители  обильная баскетбольная стойка    1003 с выносом 3 25 м оснащена гидравлическим ручным механизмом складывания и частичного раздвижения   ит изготовлен из ударопрочного безопасного оргсте"&amp;"кла размером 1800 1050 мм  установлено амортизационное стальное кольцо с сеткой и защитные панели   онструкция соответствует требованиям       evel 1   тойка оснащена системой безопасной нагрузки на пол  ynamic  ase  rame        при которой подвижное осно"&amp;"вание рамы опускается во время поднятия стойки и равномерно распределяет нагрузку   ля устойчивости предусмотрены стальные утяжелители    нерабочем положении размеры составляют  высота   186 см  ширина   190 см   азмер основания   2600 1350 мм ")</f>
        <v xml:space="preserve"> тойка баскетбольная мобильная с выносом 3 25 м оснащена гидравлическим ручным механизмом складывания и частичного раздвижения   атериалы конструкции  стальная рама с антикоррозийным покрытием  акриловый ударопрочный щит  стальное амортизационное кольцо  защитные панели из     и вспененного материала  стальные утяжелители  обильная баскетбольная стойка    1003 с выносом 3 25 м оснащена гидравлическим ручным механизмом складывания и частичного раздвижения   ит изготовлен из ударопрочного безопасного оргстекла размером 1800 1050 мм  установлено амортизационное стальное кольцо с сеткой и защитные панели   онструкция соответствует требованиям       evel 1   тойка оснащена системой безопасной нагрузки на пол  ynamic  ase  rame        при которой подвижное основание рамы опускается во время поднятия стойки и равномерно распределяет нагрузку   ля устойчивости предусмотрены стальные утяжелители    нерабочем положении размеры составляют  высота   186 см  ширина   190 см   азмер основания   2600 1350 мм </v>
      </c>
    </row>
    <row r="2817" spans="1:8" ht="76.5" x14ac:dyDescent="0.2">
      <c r="A2817" s="31" t="s">
        <v>6552</v>
      </c>
      <c r="B2817" s="27" t="s">
        <v>6553</v>
      </c>
      <c r="C2817" s="27" t="s">
        <v>6554</v>
      </c>
      <c r="D2817" s="33" t="s">
        <v>14</v>
      </c>
      <c r="E2817" s="34">
        <v>2</v>
      </c>
      <c r="F2817" s="36">
        <v>0.75</v>
      </c>
      <c r="G2817" s="10">
        <v>11521</v>
      </c>
      <c r="H2817" s="30" t="str">
        <f ca="1">IFERROR(__xludf.DUMMYFUNCTION("LOWER(REGEXREPLACE(B2817&amp;"" ""&amp;C2817,""[^а-яa-z0-9 ]"","" ""))")," тойка обводная  состоит из конуса без отверстий высотой 35 см  втулки и пластиковой палки высотой 1 5 м   атериал изготовления  конус и стойка изготовлены из пластика с флажком из нейлона  тойка обводная используется в различных упражнениях для тренирово"&amp;"к спортсменов в футболе  баскетболе и т д   ак же стойки можно использовать в различных конкурсах  эстафетах  соревнованиях   тойка состоит из конуса без отверстий высотой 35 см  втулки и пластиковой палки высотой 1 5м   тойка быстро разбирается и собирае"&amp;"тся ")</f>
        <v xml:space="preserve"> тойка обводная  состоит из конуса без отверстий высотой 35 см  втулки и пластиковой палки высотой 1 5 м   атериал изготовления  конус и стойка изготовлены из пластика с флажком из нейлона  тойка обводная используется в различных упражнениях для тренировок спортсменов в футболе  баскетболе и т д   ак же стойки можно использовать в различных конкурсах  эстафетах  соревнованиях   тойка состоит из конуса без отверстий высотой 35 см  втулки и пластиковой палки высотой 1 5м   тойка быстро разбирается и собирается </v>
      </c>
    </row>
    <row r="2818" spans="1:8" ht="12.75" x14ac:dyDescent="0.2">
      <c r="A2818" s="31" t="s">
        <v>6555</v>
      </c>
      <c r="B2818" s="27" t="s">
        <v>6556</v>
      </c>
      <c r="C2818" s="27"/>
      <c r="D2818" s="33" t="s">
        <v>14</v>
      </c>
      <c r="E2818" s="9"/>
      <c r="F2818" s="32"/>
      <c r="G2818" s="10"/>
      <c r="H2818" s="30" t="str">
        <f ca="1">IFERROR(__xludf.DUMMYFUNCTION("LOWER(REGEXREPLACE(B2818&amp;"" ""&amp;C2818,""[^а-яa-z0-9 ]"","" ""))")," тойка волейбольная ")</f>
        <v xml:space="preserve"> тойка волейбольная </v>
      </c>
    </row>
    <row r="2819" spans="1:8" ht="12.75" x14ac:dyDescent="0.2">
      <c r="A2819" s="31" t="s">
        <v>6557</v>
      </c>
      <c r="B2819" s="27" t="s">
        <v>6558</v>
      </c>
      <c r="C2819" s="27"/>
      <c r="D2819" s="33" t="s">
        <v>14</v>
      </c>
      <c r="E2819" s="34">
        <v>1</v>
      </c>
      <c r="F2819" s="34">
        <v>45</v>
      </c>
      <c r="G2819" s="10">
        <v>33929</v>
      </c>
      <c r="H2819" s="30" t="str">
        <f ca="1">IFERROR(__xludf.DUMMYFUNCTION("LOWER(REGEXREPLACE(B2819&amp;"" ""&amp;C2819,""[^а-яa-z0-9 ]"","" ""))")," тойка волейбольная универсальная ")</f>
        <v xml:space="preserve"> тойка волейбольная универсальная </v>
      </c>
    </row>
    <row r="2820" spans="1:8" ht="12.75" x14ac:dyDescent="0.2">
      <c r="A2820" s="31" t="s">
        <v>6559</v>
      </c>
      <c r="B2820" s="27" t="s">
        <v>6560</v>
      </c>
      <c r="C2820" s="27"/>
      <c r="D2820" s="33" t="s">
        <v>14</v>
      </c>
      <c r="E2820" s="34">
        <v>1</v>
      </c>
      <c r="F2820" s="34">
        <v>36</v>
      </c>
      <c r="G2820" s="10">
        <v>33929</v>
      </c>
      <c r="H2820" s="30" t="str">
        <f ca="1">IFERROR(__xludf.DUMMYFUNCTION("LOWER(REGEXREPLACE(B2820&amp;"" ""&amp;C2820,""[^а-яa-z0-9 ]"","" ""))")," тойки волейбольные напольно пристенные ")</f>
        <v xml:space="preserve"> тойки волейбольные напольно пристенные </v>
      </c>
    </row>
    <row r="2821" spans="1:8" ht="12.75" x14ac:dyDescent="0.2">
      <c r="A2821" s="31" t="s">
        <v>6561</v>
      </c>
      <c r="B2821" s="27" t="s">
        <v>6562</v>
      </c>
      <c r="C2821" s="27"/>
      <c r="D2821" s="33" t="s">
        <v>14</v>
      </c>
      <c r="E2821" s="34">
        <v>1</v>
      </c>
      <c r="F2821" s="34">
        <v>45</v>
      </c>
      <c r="G2821" s="10">
        <v>41071</v>
      </c>
      <c r="H2821" s="30" t="str">
        <f ca="1">IFERROR(__xludf.DUMMYFUNCTION("LOWER(REGEXREPLACE(B2821&amp;"" ""&amp;C2821,""[^а-яa-z0-9 ]"","" ""))")," тойки волейбольные на растяжках ")</f>
        <v xml:space="preserve"> тойки волейбольные на растяжках </v>
      </c>
    </row>
    <row r="2822" spans="1:8" ht="89.25" x14ac:dyDescent="0.2">
      <c r="A2822" s="31" t="s">
        <v>6563</v>
      </c>
      <c r="B2822" s="27" t="s">
        <v>6564</v>
      </c>
      <c r="C2822" s="27" t="s">
        <v>6565</v>
      </c>
      <c r="D2822" s="33" t="s">
        <v>68</v>
      </c>
      <c r="E2822" s="34">
        <v>1</v>
      </c>
      <c r="F2822" s="34">
        <v>45</v>
      </c>
      <c r="G2822" s="10">
        <v>55546</v>
      </c>
      <c r="H2822" s="30" t="str">
        <f ca="1">IFERROR(__xludf.DUMMYFUNCTION("LOWER(REGEXREPLACE(B2822&amp;"" ""&amp;C2822,""[^а-яa-z0-9 ]"","" ""))")," тойки волейбольные телескопические  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добное натяжение сетки с помощью храповика   таканы со специальным"&amp;"и пазами  фиксируют от прокручивания стойки   ри необходимости стойки вынимаются и стаканы закрываются крышками    комплект волейбольных стоек телескопических входят  стойки с механизмом натяжения сетки   2шт  стаканы с крышками   2шт  в них устанавливают"&amp;"ся стойки  ")</f>
        <v xml:space="preserve"> тойки волейбольные телескопические  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добное натяжение сетки с помощью храповика   таканы со специальными пазами  фиксируют от прокручивания стойки   ри необходимости стойки вынимаются и стаканы закрываются крышками    комплект волейбольных стоек телескопических входят  стойки с механизмом натяжения сетки   2шт  стаканы с крышками   2шт  в них устанавливаются стойки  </v>
      </c>
    </row>
    <row r="2823" spans="1:8" ht="51" x14ac:dyDescent="0.2">
      <c r="A2823" s="31" t="s">
        <v>6566</v>
      </c>
      <c r="B2823" s="27" t="s">
        <v>6567</v>
      </c>
      <c r="C2823" s="27" t="s">
        <v>6568</v>
      </c>
      <c r="D2823" s="33" t="s">
        <v>14</v>
      </c>
      <c r="E2823" s="34">
        <v>1</v>
      </c>
      <c r="F2823" s="34">
        <v>40</v>
      </c>
      <c r="G2823" s="10">
        <v>1756437</v>
      </c>
      <c r="H2823" s="30" t="str">
        <f ca="1">IFERROR(__xludf.DUMMYFUNCTION("LOWER(REGEXREPLACE(B2823&amp;"" ""&amp;C2823,""[^а-яa-z0-9 ]"","" ""))")," тойка волейбольная профессиональная     2086  тойка волейбольная     2086  рофессиональная  из специально усиленного алюминиевого профиля 117 x 71 см     комплект входят  стойки алюминиевые   2 шт  из профиля овального сечения   бщий вес стоек в сборе   "&amp;"40 кг   ип защитного покрытия универсальных стоек  порошковая окраска")</f>
        <v xml:space="preserve"> тойка волейбольная профессиональная     2086  тойка волейбольная     2086  рофессиональная  из специально усиленного алюминиевого профиля 117 x 71 см     комплект входят  стойки алюминиевые   2 шт  из профиля овального сечения   бщий вес стоек в сборе   40 кг   ип защитного покрытия универсальных стоек  порошковая окраска</v>
      </c>
    </row>
    <row r="2824" spans="1:8" ht="114.75" x14ac:dyDescent="0.2">
      <c r="A2824" s="31" t="s">
        <v>6569</v>
      </c>
      <c r="B2824" s="27" t="s">
        <v>6570</v>
      </c>
      <c r="C2824" s="27" t="s">
        <v>6571</v>
      </c>
      <c r="D2824" s="33" t="s">
        <v>1477</v>
      </c>
      <c r="E2824" s="34">
        <v>2</v>
      </c>
      <c r="F2824" s="34">
        <v>67</v>
      </c>
      <c r="G2824" s="10">
        <v>490371</v>
      </c>
      <c r="H2824" s="30" t="str">
        <f ca="1">IFERROR(__xludf.DUMMYFUNCTION("LOWER(REGEXREPLACE(B2824&amp;"" ""&amp;C2824,""[^а-яa-z0-9 ]"","" ""))")," тойка волейбольная зальная со стаканами с механизмом натяжения троса  профиль круглый   регулировка от 2240мм до 2430мм  тойка волейбольная зальная со стаканами с механизмом натяжения троса  профиль круглый   регулировка от 224см до 243см   тойки устанав"&amp;"ливаются в закладные стаканы и вынимаются из них при необходимости освобождения площадки   таканы закрываются крышками   редставляют собой сборную конструкцию  состоящую из вертикальных стоек  подвижной каретки  закладных стаканов с крышками   зготовлены "&amp;"из стальной трубы 76мм   ся конструкция покрыта порошковой эмалью   бщая высота стойки 2800мм  высота стаканов 300мм  диаметр стаканов 89мм   лина подвижной каретки   1160 мм ")</f>
        <v xml:space="preserve"> тойка волейбольная зальная со стаканами с механизмом натяжения троса  профиль круглый   регулировка от 2240мм до 2430мм  тойка волейбольная зальная со стаканами с механизмом натяжения троса  профиль круглый   регулировка от 224см до 243см   тойки устанавливаются в закладные стаканы и вынимаются из них при необходимости освобождения площадки   таканы закрываются крышками   редставляют собой сборную конструкцию  состоящую из вертикальных стоек  подвижной каретки  закладных стаканов с крышками   зготовлены из стальной трубы 76мм   ся конструкция покрыта порошковой эмалью   бщая высота стойки 2800мм  высота стаканов 300мм  диаметр стаканов 89мм   лина подвижной каретки   1160 мм </v>
      </c>
    </row>
    <row r="2825" spans="1:8" ht="102" x14ac:dyDescent="0.2">
      <c r="A2825" s="31" t="s">
        <v>6572</v>
      </c>
      <c r="B2825" s="27" t="s">
        <v>6573</v>
      </c>
      <c r="C2825" s="27" t="s">
        <v>6574</v>
      </c>
      <c r="D2825" s="33" t="s">
        <v>14</v>
      </c>
      <c r="E2825" s="34">
        <v>2</v>
      </c>
      <c r="F2825" s="34">
        <v>26</v>
      </c>
      <c r="G2825" s="10">
        <v>380321</v>
      </c>
      <c r="H2825" s="30" t="str">
        <f ca="1">IFERROR(__xludf.DUMMYFUNCTION("LOWER(REGEXREPLACE(B2825&amp;"" ""&amp;C2825,""[^а-яa-z0-9 ]"","" ""))")," ренажер для отработки блока   атериал изготовления  металлический каркас покрытый порошковой краской  пластиковые планки   азмеры  3000х100х100 мм  ренажер позволяет производить атаку в зону площадки  свободную от блока   ерхняя часть тренажера подвижна "&amp;" что позволяет смягчать отскок от блока и переводить мяч на сторону соперника   егулируемая высота 2910   3600 мм  верхняя кромка щита    аркас изготовлен из металлической профильной трубы 50х50 мм  40х40 мм и 25х25 мм   ренажер оборудован транспортировоч"&amp;"ными колесиками для удобства перемещения   се детали тренажера для отработки блока окрашены порошковой краской ")</f>
        <v xml:space="preserve"> ренажер для отработки блока   атериал изготовления  металлический каркас покрытый порошковой краской  пластиковые планки   азмеры  3000х100х100 мм  ренажер позволяет производить атаку в зону площадки  свободную от блока   ерхняя часть тренажера подвижна  что позволяет смягчать отскок от блока и переводить мяч на сторону соперника   егулируемая высота 2910   3600 мм  верхняя кромка щита    аркас изготовлен из металлической профильной трубы 50х50 мм  40х40 мм и 25х25 мм   ренажер оборудован транспортировочными колесиками для удобства перемещения   се детали тренажера для отработки блока окрашены порошковой краской </v>
      </c>
    </row>
    <row r="2826" spans="1:8" ht="76.5" x14ac:dyDescent="0.2">
      <c r="A2826" s="31" t="s">
        <v>6575</v>
      </c>
      <c r="B2826" s="8" t="s">
        <v>6576</v>
      </c>
      <c r="C2826" s="27" t="s">
        <v>6577</v>
      </c>
      <c r="D2826" s="33" t="s">
        <v>14</v>
      </c>
      <c r="E2826" s="34">
        <v>2</v>
      </c>
      <c r="F2826" s="34">
        <v>30</v>
      </c>
      <c r="G2826" s="10">
        <v>249543</v>
      </c>
      <c r="H2826" s="30" t="str">
        <f ca="1">IFERROR(__xludf.DUMMYFUNCTION("LOWER(REGEXREPLACE(B2826&amp;"" ""&amp;C2826,""[^а-яa-z0-9 ]"","" ""))")," ренажер для пасующего   атериал изготовления  металлический каркас покрытый порошковой краской для защиты от коррозии  кольцо из металла или пластика  сетка из нейлона   азмеры  2000х100х100мм  редназначен для отработки точности передачи в волейболе    з"&amp;"ависимости от уровня игроков угол наклона кольца можно менять  тем самым тренировать различные виды передач   егулируемая высота тренажера позволяет настроить тренажер под необходимую высоту передачи   тяжеленное основание ")</f>
        <v xml:space="preserve"> ренажер для пасующего   атериал изготовления  металлический каркас покрытый порошковой краской для защиты от коррозии  кольцо из металла или пластика  сетка из нейлона   азмеры  2000х100х100мм  редназначен для отработки точности передачи в волейболе    зависимости от уровня игроков угол наклона кольца можно менять  тем самым тренировать различные виды передач   егулируемая высота тренажера позволяет настроить тренажер под необходимую высоту передачи   тяжеленное основание </v>
      </c>
    </row>
    <row r="2827" spans="1:8" ht="76.5" x14ac:dyDescent="0.2">
      <c r="A2827" s="31" t="s">
        <v>6578</v>
      </c>
      <c r="B2827" s="27" t="s">
        <v>6579</v>
      </c>
      <c r="C2827" s="27" t="s">
        <v>6580</v>
      </c>
      <c r="D2827" s="33" t="s">
        <v>14</v>
      </c>
      <c r="E2827" s="34">
        <v>2</v>
      </c>
      <c r="F2827" s="34">
        <v>45</v>
      </c>
      <c r="G2827" s="10">
        <v>176604</v>
      </c>
      <c r="H2827" s="30" t="str">
        <f ca="1">IFERROR(__xludf.DUMMYFUNCTION("LOWER(REGEXREPLACE(B2827&amp;"" ""&amp;C2827,""[^а-яa-z0-9 ]"","" ""))")," ренажер для замера высоты прыжка   атериал изготовления  металлический каркас покрытый порошковой краской для защиты от коррозии  планки индикаторы из пластика  ренажер предназначен для точного измерения вертикального прыжка спортсмена   одвижные вращающ"&amp;"иеся пластины с шагом 1 см позволяют точно измерить высоту прыжка в сантиметрах   тяжеленное основание  обеспечивающее стабильность конструкции  оснащено поворотными колесиками для мобильности тренажера  иапазон высот измерения прыжка  2 3 8 метра ")</f>
        <v xml:space="preserve"> ренажер для замера высоты прыжка   атериал изготовления  металлический каркас покрытый порошковой краской для защиты от коррозии  планки индикаторы из пластика  ренажер предназначен для точного измерения вертикального прыжка спортсмена   одвижные вращающиеся пластины с шагом 1 см позволяют точно измерить высоту прыжка в сантиметрах   тяжеленное основание  обеспечивающее стабильность конструкции  оснащено поворотными колесиками для мобильности тренажера  иапазон высот измерения прыжка  2 3 8 метра </v>
      </c>
    </row>
    <row r="2828" spans="1:8" ht="51" x14ac:dyDescent="0.2">
      <c r="A2828" s="31" t="s">
        <v>6581</v>
      </c>
      <c r="B2828" s="27" t="s">
        <v>6582</v>
      </c>
      <c r="C2828" s="27" t="s">
        <v>6583</v>
      </c>
      <c r="D2828" s="33" t="s">
        <v>14</v>
      </c>
      <c r="E2828" s="34">
        <v>2</v>
      </c>
      <c r="F2828" s="34">
        <v>12</v>
      </c>
      <c r="G2828" s="10">
        <v>258595</v>
      </c>
      <c r="H2828" s="30" t="str">
        <f ca="1">IFERROR(__xludf.DUMMYFUNCTION("LOWER(REGEXREPLACE(B2828&amp;"" ""&amp;C2828,""[^а-яa-z0-9 ]"","" ""))")," ренажер для отскока мяча   атериал изготовления  металлический каркас покрытый порошковой краской для защиты от коррозии  сетка из нейлона  азмеры экрана тренажера   1200х1200 мм   гол наклона по отношению к поверхности   25 110    иликоновые вставки для"&amp;" сохранения поверхности пола ")</f>
        <v xml:space="preserve"> ренажер для отскока мяча   атериал изготовления  металлический каркас покрытый порошковой краской для защиты от коррозии  сетка из нейлона  азмеры экрана тренажера   1200х1200 мм   гол наклона по отношению к поверхности   25 110    иликоновые вставки для сохранения поверхности пола </v>
      </c>
    </row>
    <row r="2829" spans="1:8" ht="51" x14ac:dyDescent="0.2">
      <c r="A2829" s="31" t="s">
        <v>6584</v>
      </c>
      <c r="B2829" s="27" t="s">
        <v>6585</v>
      </c>
      <c r="C2829" s="27" t="s">
        <v>6586</v>
      </c>
      <c r="D2829" s="33" t="s">
        <v>14</v>
      </c>
      <c r="E2829" s="34">
        <v>2</v>
      </c>
      <c r="F2829" s="34">
        <v>15</v>
      </c>
      <c r="G2829" s="10">
        <v>206898</v>
      </c>
      <c r="H2829" s="30" t="str">
        <f ca="1">IFERROR(__xludf.DUMMYFUNCTION("LOWER(REGEXREPLACE(B2829&amp;"" ""&amp;C2829,""[^а-яa-z0-9 ]"","" ""))")," ишень для мячей с регулируемым наклоном кольца   атериал изготовления  металлический каркас покрытый порошковой краской для защиты от коррозии  сетка из нейлона  иаметр кольца   60 см   егулировка угла наклона кольца   ысота тренажера 150 240 см   тяжеле"&amp;"нное основание ")</f>
        <v xml:space="preserve"> ишень для мячей с регулируемым наклоном кольца   атериал изготовления  металлический каркас покрытый порошковой краской для защиты от коррозии  сетка из нейлона  иаметр кольца   60 см   егулировка угла наклона кольца   ысота тренажера 150 240 см   тяжеленное основание </v>
      </c>
    </row>
    <row r="2830" spans="1:8" ht="63.75" x14ac:dyDescent="0.2">
      <c r="A2830" s="31" t="s">
        <v>6587</v>
      </c>
      <c r="B2830" s="8" t="s">
        <v>6588</v>
      </c>
      <c r="C2830" s="27" t="s">
        <v>6589</v>
      </c>
      <c r="D2830" s="33" t="s">
        <v>14</v>
      </c>
      <c r="E2830" s="34">
        <v>2</v>
      </c>
      <c r="F2830" s="34">
        <v>18</v>
      </c>
      <c r="G2830" s="10">
        <v>760502</v>
      </c>
      <c r="H2830" s="30" t="str">
        <f ca="1">IFERROR(__xludf.DUMMYFUNCTION("LOWER(REGEXREPLACE(B2830&amp;"" ""&amp;C2830,""[^а-яa-z0-9 ]"","" ""))")," ренажер для отработки точности при ма в волейболе   атериал изготовления  металлический каркас покрытый порошковой краской для защиты от коррозии  сетка из нейлона  азмер периметра корзины 120х120 см   ысота корзины регулируемая  160 260 см   етка безузл"&amp;"овая  п п  диаметр ячейки 100 мм  толщина нити 3 мм   олеса в основании поворотные с тормозом  4 шт  диаметр 75 мм   ележка для мячей для удобного сбора мячей опционально ")</f>
        <v xml:space="preserve"> ренажер для отработки точности при ма в волейболе   атериал изготовления  металлический каркас покрытый порошковой краской для защиты от коррозии  сетка из нейлона  азмер периметра корзины 120х120 см   ысота корзины регулируемая  160 260 см   етка безузловая  п п  диаметр ячейки 100 мм  толщина нити 3 мм   олеса в основании поворотные с тормозом  4 шт  диаметр 75 мм   ележка для мячей для удобного сбора мячей опционально </v>
      </c>
    </row>
    <row r="2831" spans="1:8" ht="12.75" x14ac:dyDescent="0.2">
      <c r="A2831" s="31" t="s">
        <v>6590</v>
      </c>
      <c r="B2831" s="27" t="s">
        <v>6591</v>
      </c>
      <c r="C2831" s="27"/>
      <c r="D2831" s="33" t="s">
        <v>14</v>
      </c>
      <c r="E2831" s="9"/>
      <c r="F2831" s="32"/>
      <c r="G2831" s="10"/>
      <c r="H2831" s="30" t="str">
        <f ca="1">IFERROR(__xludf.DUMMYFUNCTION("LOWER(REGEXREPLACE(B2831&amp;"" ""&amp;C2831,""[^а-яa-z0-9 ]"","" ""))")," русья ")</f>
        <v xml:space="preserve"> русья </v>
      </c>
    </row>
    <row r="2832" spans="1:8" ht="25.5" x14ac:dyDescent="0.2">
      <c r="A2832" s="31" t="s">
        <v>6592</v>
      </c>
      <c r="B2832" s="27" t="s">
        <v>6593</v>
      </c>
      <c r="C2832" s="27" t="s">
        <v>6594</v>
      </c>
      <c r="D2832" s="33" t="s">
        <v>14</v>
      </c>
      <c r="E2832" s="34">
        <v>1</v>
      </c>
      <c r="F2832" s="34">
        <v>170</v>
      </c>
      <c r="G2832" s="10">
        <v>178661</v>
      </c>
      <c r="H2832" s="30" t="str">
        <f ca="1">IFERROR(__xludf.DUMMYFUNCTION("LOWER(REGEXREPLACE(B2832&amp;"" ""&amp;C2832,""[^а-яa-z0-9 ]"","" ""))")," русья параллельные мужские  атериал жерди дерево с металлическим стержнем   ерди в них расположены параллельно друг другу ")</f>
        <v xml:space="preserve"> русья параллельные мужские  атериал жерди дерево с металлическим стержнем   ерди в них расположены параллельно друг другу </v>
      </c>
    </row>
    <row r="2833" spans="1:8" ht="12.75" x14ac:dyDescent="0.2">
      <c r="A2833" s="31" t="s">
        <v>6595</v>
      </c>
      <c r="B2833" s="27" t="s">
        <v>6596</v>
      </c>
      <c r="C2833" s="27"/>
      <c r="D2833" s="33" t="s">
        <v>14</v>
      </c>
      <c r="E2833" s="34">
        <v>1</v>
      </c>
      <c r="F2833" s="34">
        <v>170</v>
      </c>
      <c r="G2833" s="10">
        <v>107143</v>
      </c>
      <c r="H2833" s="30" t="str">
        <f ca="1">IFERROR(__xludf.DUMMYFUNCTION("LOWER(REGEXREPLACE(B2833&amp;"" ""&amp;C2833,""[^а-яa-z0-9 ]"","" ""))")," русья гимнастические мужские ")</f>
        <v xml:space="preserve"> русья гимнастические мужские </v>
      </c>
    </row>
    <row r="2834" spans="1:8" ht="25.5" x14ac:dyDescent="0.2">
      <c r="A2834" s="31" t="s">
        <v>6597</v>
      </c>
      <c r="B2834" s="27" t="s">
        <v>6598</v>
      </c>
      <c r="C2834" s="27" t="s">
        <v>6599</v>
      </c>
      <c r="D2834" s="33" t="s">
        <v>14</v>
      </c>
      <c r="E2834" s="34">
        <v>1</v>
      </c>
      <c r="F2834" s="34">
        <v>90</v>
      </c>
      <c r="G2834" s="10">
        <v>137782</v>
      </c>
      <c r="H2834" s="30" t="str">
        <f ca="1">IFERROR(__xludf.DUMMYFUNCTION("LOWER(REGEXREPLACE(B2834&amp;"" ""&amp;C2834,""[^а-яa-z0-9 ]"","" ""))")," русья разновысокие женские  ерди  перекладины    клееная древесина со стальным сердечником  стойки   металл ")</f>
        <v xml:space="preserve"> русья разновысокие женские  ерди  перекладины    клееная древесина со стальным сердечником  стойки   металл </v>
      </c>
    </row>
    <row r="2835" spans="1:8" ht="38.25" x14ac:dyDescent="0.2">
      <c r="A2835" s="31" t="s">
        <v>6600</v>
      </c>
      <c r="B2835" s="27" t="s">
        <v>6601</v>
      </c>
      <c r="C2835" s="27" t="s">
        <v>6602</v>
      </c>
      <c r="D2835" s="33" t="s">
        <v>14</v>
      </c>
      <c r="E2835" s="34">
        <v>2</v>
      </c>
      <c r="F2835" s="34">
        <v>160</v>
      </c>
      <c r="G2835" s="10">
        <v>587701</v>
      </c>
      <c r="H2835" s="30" t="str">
        <f ca="1">IFERROR(__xludf.DUMMYFUNCTION("LOWER(REGEXREPLACE(B2835&amp;"" ""&amp;C2835,""[^а-яa-z0-9 ]"","" ""))")," русья мужские массовые  размер не менее 3500х1500х1200 мм  егулирование расстояния между брусьями   350   650 мм   абаритные размеры   3500х1500х1200 мм   асса   до 90 кг   опустимая нагрузка   до 150 кг")</f>
        <v xml:space="preserve"> русья мужские массовые  размер не менее 3500х1500х1200 мм  егулирование расстояния между брусьями   350   650 мм   абаритные размеры   3500х1500х1200 мм   асса   до 90 кг   опустимая нагрузка   до 150 кг</v>
      </c>
    </row>
    <row r="2836" spans="1:8" ht="89.25" x14ac:dyDescent="0.2">
      <c r="A2836" s="31" t="s">
        <v>6603</v>
      </c>
      <c r="B2836" s="27" t="s">
        <v>6604</v>
      </c>
      <c r="C2836" s="27" t="s">
        <v>6605</v>
      </c>
      <c r="D2836" s="33" t="s">
        <v>14</v>
      </c>
      <c r="E2836" s="34">
        <v>2</v>
      </c>
      <c r="F2836" s="34">
        <v>80</v>
      </c>
      <c r="G2836" s="10">
        <v>887456</v>
      </c>
      <c r="H2836" s="30" t="str">
        <f ca="1">IFERROR(__xludf.DUMMYFUNCTION("LOWER(REGEXREPLACE(B2836&amp;"" ""&amp;C2836,""[^а-яa-z0-9 ]"","" ""))")," русья гимнастические женские  разновысокие  русья гимнастические женские  разновысокие состоят из высоких и низких стоек  оснований  двух стеклопластиковых жердей  механизма разведения и растяжек   иаметр жерди 42мм  длина 2300мм     асстояние между точк"&amp;"ами опоры жердей  2400мм  высота верхней поверхности жердей от пола  для низкой жерди c шагом 50мм  1400мм   1600мм   для высокой жерди с  шагом 50мм  2200мм   2400мм  асстояние между внутренними поверхностями жердей    900 1400мм   шагом 50 мм от 900 до "&amp;"1200  мм   шагом 25 мм от 1200 до 1400 мм ")</f>
        <v xml:space="preserve"> русья гимнастические женские  разновысокие  русья гимнастические женские  разновысокие состоят из высоких и низких стоек  оснований  двух стеклопластиковых жердей  механизма разведения и растяжек   иаметр жерди 42мм  длина 2300мм     асстояние между точками опоры жердей  2400мм  высота верхней поверхности жердей от пола  для низкой жерди c шагом 50мм  1400мм   1600мм   для высокой жерди с  шагом 50мм  2200мм   2400мм  асстояние между внутренними поверхностями жердей    900 1400мм   шагом 50 мм от 900 до 1200  мм   шагом 25 мм от 1200 до 1400 мм </v>
      </c>
    </row>
    <row r="2837" spans="1:8" ht="12.75" x14ac:dyDescent="0.2">
      <c r="A2837" s="31" t="s">
        <v>6606</v>
      </c>
      <c r="B2837" s="27" t="s">
        <v>6607</v>
      </c>
      <c r="C2837" s="27"/>
      <c r="D2837" s="33" t="s">
        <v>14</v>
      </c>
      <c r="E2837" s="9"/>
      <c r="F2837" s="32"/>
      <c r="G2837" s="10"/>
      <c r="H2837" s="30" t="str">
        <f ca="1">IFERROR(__xludf.DUMMYFUNCTION("LOWER(REGEXREPLACE(B2837&amp;"" ""&amp;C2837,""[^а-яa-z0-9 ]"","" ""))")," удейская вышка ")</f>
        <v xml:space="preserve"> удейская вышка </v>
      </c>
    </row>
    <row r="2838" spans="1:8" ht="12.75" x14ac:dyDescent="0.2">
      <c r="A2838" s="31" t="s">
        <v>6608</v>
      </c>
      <c r="B2838" s="27" t="s">
        <v>6609</v>
      </c>
      <c r="C2838" s="27"/>
      <c r="D2838" s="33" t="s">
        <v>14</v>
      </c>
      <c r="E2838" s="34">
        <v>1</v>
      </c>
      <c r="F2838" s="34">
        <v>55</v>
      </c>
      <c r="G2838" s="10">
        <v>50000</v>
      </c>
      <c r="H2838" s="30" t="str">
        <f ca="1">IFERROR(__xludf.DUMMYFUNCTION("LOWER(REGEXREPLACE(B2838&amp;"" ""&amp;C2838,""[^а-яa-z0-9 ]"","" ""))")," ышка судейская ")</f>
        <v xml:space="preserve"> ышка судейская </v>
      </c>
    </row>
    <row r="2839" spans="1:8" ht="63.75" x14ac:dyDescent="0.2">
      <c r="A2839" s="31" t="s">
        <v>6610</v>
      </c>
      <c r="B2839" s="8" t="s">
        <v>6611</v>
      </c>
      <c r="C2839" s="27" t="s">
        <v>6612</v>
      </c>
      <c r="D2839" s="33" t="s">
        <v>14</v>
      </c>
      <c r="E2839" s="34">
        <v>1</v>
      </c>
      <c r="F2839" s="34">
        <v>55</v>
      </c>
      <c r="G2839" s="10">
        <v>93248</v>
      </c>
      <c r="H2839" s="30" t="str">
        <f ca="1">IFERROR(__xludf.DUMMYFUNCTION("LOWER(REGEXREPLACE(B2839&amp;"" ""&amp;C2839,""[^а-яa-z0-9 ]"","" ""))")," ышка судейская универсальная  положение стоя  аркас изготовлен из металлического профиля  который окрашен методом порошкового напыления   орцы вышки облицованы фанерой с мягким протектором из поролона и винилискожи   олщина поролона составляет 50 мм  а в"&amp;"ысота протектора   2 м   порная площадка выполнена из окрашенной фанеры   бщая высота вышки составляет 2500 мм  а ширина стойки   750 мм ")</f>
        <v xml:space="preserve"> ышка судейская универсальная  положение стоя  аркас изготовлен из металлического профиля  который окрашен методом порошкового напыления   орцы вышки облицованы фанерой с мягким протектором из поролона и винилискожи   олщина поролона составляет 50 мм  а высота протектора   2 м   порная площадка выполнена из окрашенной фанеры   бщая высота вышки составляет 2500 мм  а ширина стойки   750 мм </v>
      </c>
    </row>
    <row r="2840" spans="1:8" ht="102" x14ac:dyDescent="0.2">
      <c r="A2840" s="31" t="s">
        <v>6613</v>
      </c>
      <c r="B2840" s="27" t="s">
        <v>6614</v>
      </c>
      <c r="C2840" s="27" t="s">
        <v>6615</v>
      </c>
      <c r="D2840" s="33" t="s">
        <v>14</v>
      </c>
      <c r="E2840" s="34">
        <v>2</v>
      </c>
      <c r="F2840" s="34">
        <v>30</v>
      </c>
      <c r="G2840" s="10">
        <v>196823</v>
      </c>
      <c r="H2840" s="30" t="str">
        <f ca="1">IFERROR(__xludf.DUMMYFUNCTION("LOWER(REGEXREPLACE(B2840&amp;"" ""&amp;C2840,""[^а-яa-z0-9 ]"","" ""))")," ышка судейская универсальная    0036   абаритные размеры вышки  высота 2000мм  основание 1000х1100мм  ышка судейская универсальная    0036   онструкция изделия представляет собой сборно разборную конструкцию состоящую  из фермы каркаса вышки и сидения  к"&amp;"оторые соединяются между собой с помощью крепежа   ерма каркас представляет собой разборную конструкцию из стальных труб профиль 30х30мм  которая покрыта порошковой краской   абаритные размеры вышки  высота 2000мм  основание 1000х1100мм   меются подлокотн"&amp;"ики   ля удобства передвижения установлены колеса   ластиковое сиденье размеры  высота спинки 320мм  ширина сидения 430мм  длина сидения 400мм")</f>
        <v xml:space="preserve"> ышка судейская универсальная    0036   абаритные размеры вышки  высота 2000мм  основание 1000х1100мм  ышка судейская универсальная    0036   онструкция изделия представляет собой сборно разборную конструкцию состоящую  из фермы каркаса вышки и сидения  которые соединяются между собой с помощью крепежа   ерма каркас представляет собой разборную конструкцию из стальных труб профиль 30х30мм  которая покрыта порошковой краской   абаритные размеры вышки  высота 2000мм  основание 1000х1100мм   меются подлокотники   ля удобства передвижения установлены колеса   ластиковое сиденье размеры  высота спинки 320мм  ширина сидения 430мм  длина сидения 400мм</v>
      </c>
    </row>
    <row r="2841" spans="1:8" ht="63.75" x14ac:dyDescent="0.2">
      <c r="A2841" s="31" t="s">
        <v>6616</v>
      </c>
      <c r="B2841" s="8" t="s">
        <v>6617</v>
      </c>
      <c r="C2841" s="27" t="s">
        <v>6618</v>
      </c>
      <c r="D2841" s="33" t="s">
        <v>14</v>
      </c>
      <c r="E2841" s="34">
        <v>2</v>
      </c>
      <c r="F2841" s="34">
        <v>50</v>
      </c>
      <c r="G2841" s="10">
        <v>607212</v>
      </c>
      <c r="H2841" s="30" t="str">
        <f ca="1">IFERROR(__xludf.DUMMYFUNCTION("LOWER(REGEXREPLACE(B2841&amp;"" ""&amp;C2841,""[^а-яa-z0-9 ]"","" ""))")," ышка волейбольная професиональная приставная к волейбольным стойкам  ышка волейбольная професиональная приставная к волейбольным стойкам   ышка судейская неразборная  судья находится в положении стоя   аркас вышки изготавливается из металлического профил"&amp;"я  окрашен методом порошкового напыления   порная площадка выполнена из окрашенной фанеры   бщая высота конструкции    2500 мм  ширина 750 мм ")</f>
        <v xml:space="preserve"> ышка волейбольная професиональная приставная к волейбольным стойкам  ышка волейбольная професиональная приставная к волейбольным стойкам   ышка судейская неразборная  судья находится в положении стоя   аркас вышки изготавливается из металлического профиля  окрашен методом порошкового напыления   порная площадка выполнена из окрашенной фанеры   бщая высота конструкции    2500 мм  ширина 750 мм </v>
      </c>
    </row>
    <row r="2842" spans="1:8" ht="76.5" x14ac:dyDescent="0.2">
      <c r="A2842" s="31" t="s">
        <v>6619</v>
      </c>
      <c r="B2842" s="27" t="s">
        <v>6620</v>
      </c>
      <c r="C2842" s="27" t="s">
        <v>6621</v>
      </c>
      <c r="D2842" s="33" t="s">
        <v>14</v>
      </c>
      <c r="E2842" s="34">
        <v>2</v>
      </c>
      <c r="F2842" s="34">
        <v>15</v>
      </c>
      <c r="G2842" s="10">
        <v>198370</v>
      </c>
      <c r="H2842" s="30" t="str">
        <f ca="1">IFERROR(__xludf.DUMMYFUNCTION("LOWER(REGEXREPLACE(B2842&amp;"" ""&amp;C2842,""[^а-яa-z0-9 ]"","" ""))")," тол судейский  размеры  850х110х800 мм   атериал изготовления  металлический каркас  фанера  еобходим при проведения соревнований и чемпионатов   еталлический каркас  сталь   столешница из фанеры   слоистого листового материала из тонких сло в древесного"&amp;"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   оверхность   износостойкое покрытие   вет  синий")</f>
        <v xml:space="preserve"> тол судейский  размеры  850х110х800 мм   атериал изготовления  металлический каркас  фанера  еобходим при проведения соревнований и чемпионатов   еталлический каркас  сталь   столешница из фанеры   слоистого листового материала из тонких сло в древесного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   оверхность   износостойкое покрытие   вет  синий</v>
      </c>
    </row>
    <row r="2843" spans="1:8" ht="51" x14ac:dyDescent="0.2">
      <c r="A2843" s="31" t="s">
        <v>6622</v>
      </c>
      <c r="B2843" s="27" t="s">
        <v>6623</v>
      </c>
      <c r="C2843" s="27" t="s">
        <v>6624</v>
      </c>
      <c r="D2843" s="33" t="s">
        <v>14</v>
      </c>
      <c r="E2843" s="34">
        <v>2</v>
      </c>
      <c r="F2843" s="34">
        <v>25</v>
      </c>
      <c r="G2843" s="10">
        <v>145593</v>
      </c>
      <c r="H2843" s="30" t="str">
        <f ca="1">IFERROR(__xludf.DUMMYFUNCTION("LOWER(REGEXREPLACE(B2843&amp;"" ""&amp;C2843,""[^а-яa-z0-9 ]"","" ""))")," тол судейский  размеры  1200х550х700 мм   атериал изготовления  металлический каркас  березовая фанера  толщиной не менее 18 мм  удейский стол в комплекте с сиденьями   атериал изготовления  металлический каркас  сиденья из пластика  столешница из березо"&amp;"вой фанеры  толщиной не менее 18 мм   абариты  высота стола   700 мм  габариты 550х1200 мм")</f>
        <v xml:space="preserve"> тол судейский  размеры  1200х550х700 мм   атериал изготовления  металлический каркас  березовая фанера  толщиной не менее 18 мм  удейский стол в комплекте с сиденьями   атериал изготовления  металлический каркас  сиденья из пластика  столешница из березовой фанеры  толщиной не менее 18 мм   абариты  высота стола   700 мм  габариты 550х1200 мм</v>
      </c>
    </row>
    <row r="2844" spans="1:8" ht="12.75" x14ac:dyDescent="0.2">
      <c r="A2844" s="31" t="s">
        <v>6625</v>
      </c>
      <c r="B2844" s="27" t="s">
        <v>6626</v>
      </c>
      <c r="C2844" s="27"/>
      <c r="D2844" s="33" t="s">
        <v>14</v>
      </c>
      <c r="E2844" s="9"/>
      <c r="F2844" s="32"/>
      <c r="G2844" s="10"/>
      <c r="H2844" s="30" t="str">
        <f ca="1">IFERROR(__xludf.DUMMYFUNCTION("LOWER(REGEXREPLACE(B2844&amp;"" ""&amp;C2844,""[^а-яa-z0-9 ]"","" ""))")," егкоатлетическая дорожка ")</f>
        <v xml:space="preserve"> егкоатлетическая дорожка </v>
      </c>
    </row>
    <row r="2845" spans="1:8" ht="38.25" x14ac:dyDescent="0.2">
      <c r="A2845" s="31" t="s">
        <v>6627</v>
      </c>
      <c r="B2845" s="27" t="s">
        <v>6628</v>
      </c>
      <c r="C2845" s="27" t="s">
        <v>6629</v>
      </c>
      <c r="D2845" s="33" t="s">
        <v>14</v>
      </c>
      <c r="E2845" s="34">
        <v>2</v>
      </c>
      <c r="F2845" s="34">
        <v>30</v>
      </c>
      <c r="G2845" s="10">
        <v>109587</v>
      </c>
      <c r="H2845" s="30" t="str">
        <f ca="1">IFERROR(__xludf.DUMMYFUNCTION("LOWER(REGEXREPLACE(B2845&amp;"" ""&amp;C2845,""[^а-яa-z0-9 ]"","" ""))")," орожка для разбега  длина не менее 5000мм  изготовлена из резины  орожка для разбега  5000мм   зготовлена из резины   вет черный   лина дорожки 5000 мм   ирина дорожки 1200 мм   олщина резины 3 мм ")</f>
        <v xml:space="preserve"> орожка для разбега  длина не менее 5000мм  изготовлена из резины  орожка для разбега  5000мм   зготовлена из резины   вет черный   лина дорожки 5000 мм   ирина дорожки 1200 мм   олщина резины 3 мм </v>
      </c>
    </row>
    <row r="2846" spans="1:8" ht="25.5" x14ac:dyDescent="0.2">
      <c r="A2846" s="31" t="s">
        <v>6630</v>
      </c>
      <c r="B2846" s="27" t="s">
        <v>6631</v>
      </c>
      <c r="C2846" s="27"/>
      <c r="D2846" s="33" t="s">
        <v>14</v>
      </c>
      <c r="E2846" s="34">
        <v>2</v>
      </c>
      <c r="F2846" s="34">
        <v>1</v>
      </c>
      <c r="G2846" s="10">
        <v>5582</v>
      </c>
      <c r="H2846" s="30" t="str">
        <f ca="1">IFERROR(__xludf.DUMMYFUNCTION("LOWER(REGEXREPLACE(B2846&amp;"" ""&amp;C2846,""[^а-яa-z0-9 ]"","" ""))")," дро для толкания  1 кг  материал изготовления  чугун ")</f>
        <v xml:space="preserve"> дро для толкания  1 кг  материал изготовления  чугун </v>
      </c>
    </row>
    <row r="2847" spans="1:8" ht="25.5" x14ac:dyDescent="0.2">
      <c r="A2847" s="31" t="s">
        <v>6632</v>
      </c>
      <c r="B2847" s="27" t="s">
        <v>6633</v>
      </c>
      <c r="C2847" s="27"/>
      <c r="D2847" s="33" t="s">
        <v>14</v>
      </c>
      <c r="E2847" s="34">
        <v>2</v>
      </c>
      <c r="F2847" s="34">
        <v>2</v>
      </c>
      <c r="G2847" s="10">
        <v>5586</v>
      </c>
      <c r="H2847" s="30" t="str">
        <f ca="1">IFERROR(__xludf.DUMMYFUNCTION("LOWER(REGEXREPLACE(B2847&amp;"" ""&amp;C2847,""[^а-яa-z0-9 ]"","" ""))")," дро для толкания  2 кг  материал изготовления  чугун ")</f>
        <v xml:space="preserve"> дро для толкания  2 кг  материал изготовления  чугун </v>
      </c>
    </row>
    <row r="2848" spans="1:8" ht="25.5" x14ac:dyDescent="0.2">
      <c r="A2848" s="31" t="s">
        <v>6634</v>
      </c>
      <c r="B2848" s="27" t="s">
        <v>6635</v>
      </c>
      <c r="C2848" s="27"/>
      <c r="D2848" s="33" t="s">
        <v>14</v>
      </c>
      <c r="E2848" s="34">
        <v>2</v>
      </c>
      <c r="F2848" s="34">
        <v>3</v>
      </c>
      <c r="G2848" s="10">
        <v>7759</v>
      </c>
      <c r="H2848" s="30" t="str">
        <f ca="1">IFERROR(__xludf.DUMMYFUNCTION("LOWER(REGEXREPLACE(B2848&amp;"" ""&amp;C2848,""[^а-яa-z0-9 ]"","" ""))")," дро для толкания  3 кг  материал изготовления  чугун ")</f>
        <v xml:space="preserve"> дро для толкания  3 кг  материал изготовления  чугун </v>
      </c>
    </row>
    <row r="2849" spans="1:8" ht="25.5" x14ac:dyDescent="0.2">
      <c r="A2849" s="31" t="s">
        <v>6636</v>
      </c>
      <c r="B2849" s="27" t="s">
        <v>6637</v>
      </c>
      <c r="C2849" s="27"/>
      <c r="D2849" s="33" t="s">
        <v>14</v>
      </c>
      <c r="E2849" s="34">
        <v>2</v>
      </c>
      <c r="F2849" s="34">
        <v>4</v>
      </c>
      <c r="G2849" s="10">
        <v>10861</v>
      </c>
      <c r="H2849" s="30" t="str">
        <f ca="1">IFERROR(__xludf.DUMMYFUNCTION("LOWER(REGEXREPLACE(B2849&amp;"" ""&amp;C2849,""[^а-яa-z0-9 ]"","" ""))")," дро для толкания  4 кг  материал изготовления  чугун ")</f>
        <v xml:space="preserve"> дро для толкания  4 кг  материал изготовления  чугун </v>
      </c>
    </row>
    <row r="2850" spans="1:8" ht="25.5" x14ac:dyDescent="0.2">
      <c r="A2850" s="31" t="s">
        <v>6638</v>
      </c>
      <c r="B2850" s="27" t="s">
        <v>6639</v>
      </c>
      <c r="C2850" s="27"/>
      <c r="D2850" s="33" t="s">
        <v>14</v>
      </c>
      <c r="E2850" s="34">
        <v>2</v>
      </c>
      <c r="F2850" s="34">
        <v>5</v>
      </c>
      <c r="G2850" s="10">
        <v>12415</v>
      </c>
      <c r="H2850" s="30" t="str">
        <f ca="1">IFERROR(__xludf.DUMMYFUNCTION("LOWER(REGEXREPLACE(B2850&amp;"" ""&amp;C2850,""[^а-яa-z0-9 ]"","" ""))")," дро для толкания  5 кг  материал изготовления  чугун ")</f>
        <v xml:space="preserve"> дро для толкания  5 кг  материал изготовления  чугун </v>
      </c>
    </row>
    <row r="2851" spans="1:8" ht="25.5" x14ac:dyDescent="0.2">
      <c r="A2851" s="31" t="s">
        <v>6640</v>
      </c>
      <c r="B2851" s="27" t="s">
        <v>6641</v>
      </c>
      <c r="C2851" s="27"/>
      <c r="D2851" s="33" t="s">
        <v>14</v>
      </c>
      <c r="E2851" s="34">
        <v>2</v>
      </c>
      <c r="F2851" s="34">
        <v>6</v>
      </c>
      <c r="G2851" s="10">
        <v>14898</v>
      </c>
      <c r="H2851" s="30" t="str">
        <f ca="1">IFERROR(__xludf.DUMMYFUNCTION("LOWER(REGEXREPLACE(B2851&amp;"" ""&amp;C2851,""[^а-яa-z0-9 ]"","" ""))")," дро для толкания  6 кг  материал изготовления  чугун ")</f>
        <v xml:space="preserve"> дро для толкания  6 кг  материал изготовления  чугун </v>
      </c>
    </row>
    <row r="2852" spans="1:8" ht="25.5" x14ac:dyDescent="0.2">
      <c r="A2852" s="31" t="s">
        <v>6642</v>
      </c>
      <c r="B2852" s="27" t="s">
        <v>6643</v>
      </c>
      <c r="C2852" s="27"/>
      <c r="D2852" s="33" t="s">
        <v>14</v>
      </c>
      <c r="E2852" s="34">
        <v>2</v>
      </c>
      <c r="F2852" s="36">
        <v>7.26</v>
      </c>
      <c r="G2852" s="10">
        <v>18311</v>
      </c>
      <c r="H2852" s="30" t="str">
        <f ca="1">IFERROR(__xludf.DUMMYFUNCTION("LOWER(REGEXREPLACE(B2852&amp;"" ""&amp;C2852,""[^а-яa-z0-9 ]"","" ""))")," дро для толкания  7 26 кг  материал изготовления  чугун ")</f>
        <v xml:space="preserve"> дро для толкания  7 26 кг  материал изготовления  чугун </v>
      </c>
    </row>
    <row r="2853" spans="1:8" ht="12.75" x14ac:dyDescent="0.2">
      <c r="A2853" s="31" t="s">
        <v>6644</v>
      </c>
      <c r="B2853" s="27" t="s">
        <v>6645</v>
      </c>
      <c r="C2853" s="27"/>
      <c r="D2853" s="33" t="s">
        <v>14</v>
      </c>
      <c r="E2853" s="9"/>
      <c r="F2853" s="32"/>
      <c r="G2853" s="10"/>
      <c r="H2853" s="30" t="str">
        <f ca="1">IFERROR(__xludf.DUMMYFUNCTION("LOWER(REGEXREPLACE(B2853&amp;"" ""&amp;C2853,""[^а-яa-z0-9 ]"","" ""))")," екундомер ")</f>
        <v xml:space="preserve"> екундомер </v>
      </c>
    </row>
    <row r="2854" spans="1:8" ht="38.25" x14ac:dyDescent="0.2">
      <c r="A2854" s="31" t="s">
        <v>6646</v>
      </c>
      <c r="B2854" s="27" t="s">
        <v>6647</v>
      </c>
      <c r="C2854" s="27" t="s">
        <v>6648</v>
      </c>
      <c r="D2854" s="33" t="s">
        <v>14</v>
      </c>
      <c r="E2854" s="34">
        <v>1</v>
      </c>
      <c r="F2854" s="36">
        <v>0.09</v>
      </c>
      <c r="G2854" s="10">
        <v>26203</v>
      </c>
      <c r="H2854" s="30" t="str">
        <f ca="1">IFERROR(__xludf.DUMMYFUNCTION("LOWER(REGEXREPLACE(B2854&amp;"" ""&amp;C2854,""[^а-яa-z0-9 ]"","" ""))")," екундомер цифровой     930  екундомер     930   атериал корпуса   пластик   атериал стекла   стеклополимер   собенности   таймер   иферблат   цифровой   азмер упаковки   15 5 см   9 см   2 5 см")</f>
        <v xml:space="preserve"> екундомер цифровой     930  екундомер     930   атериал корпуса   пластик   атериал стекла   стеклополимер   собенности   таймер   иферблат   цифровой   азмер упаковки   15 5 см   9 см   2 5 см</v>
      </c>
    </row>
    <row r="2855" spans="1:8" ht="51" x14ac:dyDescent="0.2">
      <c r="A2855" s="31" t="s">
        <v>6649</v>
      </c>
      <c r="B2855" s="8" t="s">
        <v>6650</v>
      </c>
      <c r="C2855" s="27"/>
      <c r="D2855" s="33" t="s">
        <v>14</v>
      </c>
      <c r="E2855" s="34">
        <v>1</v>
      </c>
      <c r="F2855" s="37">
        <v>4.4999999999999998E-2</v>
      </c>
      <c r="G2855" s="10">
        <v>2583</v>
      </c>
      <c r="H2855" s="30" t="str">
        <f ca="1">IFERROR(__xludf.DUMMYFUNCTION("LOWER(REGEXREPLACE(B2855&amp;"" ""&amp;C2855,""[^а-яa-z0-9 ]"","" ""))")," екундомер цифровой   тображает часы  минуты  секунды        индикатор  месяц и день недели   атериал      пластик   очность  0 01сек ")</f>
        <v xml:space="preserve"> екундомер цифровой   тображает часы  минуты  секунды        индикатор  месяц и день недели   атериал      пластик   очность  0 01сек </v>
      </c>
    </row>
    <row r="2856" spans="1:8" ht="38.25" x14ac:dyDescent="0.2">
      <c r="A2856" s="31" t="s">
        <v>6651</v>
      </c>
      <c r="B2856" s="27" t="s">
        <v>6652</v>
      </c>
      <c r="C2856" s="27" t="s">
        <v>6653</v>
      </c>
      <c r="D2856" s="33" t="s">
        <v>14</v>
      </c>
      <c r="E2856" s="34">
        <v>2</v>
      </c>
      <c r="F2856" s="36">
        <v>0.38</v>
      </c>
      <c r="G2856" s="10">
        <v>5627</v>
      </c>
      <c r="H2856" s="30" t="str">
        <f ca="1">IFERROR(__xludf.DUMMYFUNCTION("LOWER(REGEXREPLACE(B2856&amp;"" ""&amp;C2856,""[^а-яa-z0-9 ]"","" ""))")," екундомер детский   орпус изготовлен из прочного безопасного пластика  устойчивого к ударам и падениям  екундомер детский  л гкий и удобный в использовании   азмеры 0 1х0 1х0 03 м")</f>
        <v xml:space="preserve"> екундомер детский   орпус изготовлен из прочного безопасного пластика  устойчивого к ударам и падениям  екундомер детский  л гкий и удобный в использовании   азмеры 0 1х0 1х0 03 м</v>
      </c>
    </row>
    <row r="2857" spans="1:8" ht="12.75" x14ac:dyDescent="0.2">
      <c r="A2857" s="31" t="s">
        <v>6654</v>
      </c>
      <c r="B2857" s="27" t="s">
        <v>6655</v>
      </c>
      <c r="C2857" s="27"/>
      <c r="D2857" s="33" t="s">
        <v>14</v>
      </c>
      <c r="E2857" s="34">
        <v>1</v>
      </c>
      <c r="F2857" s="35">
        <v>0.2</v>
      </c>
      <c r="G2857" s="10">
        <v>714</v>
      </c>
      <c r="H2857" s="30" t="str">
        <f ca="1">IFERROR(__xludf.DUMMYFUNCTION("LOWER(REGEXREPLACE(B2857&amp;"" ""&amp;C2857,""[^а-яa-z0-9 ]"","" ""))")," алочка эстафетная ")</f>
        <v xml:space="preserve"> алочка эстафетная </v>
      </c>
    </row>
    <row r="2858" spans="1:8" ht="12.75" x14ac:dyDescent="0.2">
      <c r="A2858" s="31" t="s">
        <v>6656</v>
      </c>
      <c r="B2858" s="27" t="s">
        <v>6657</v>
      </c>
      <c r="C2858" s="27"/>
      <c r="D2858" s="33" t="s">
        <v>14</v>
      </c>
      <c r="E2858" s="9"/>
      <c r="F2858" s="32"/>
      <c r="G2858" s="10"/>
      <c r="H2858" s="30" t="str">
        <f ca="1">IFERROR(__xludf.DUMMYFUNCTION("LOWER(REGEXREPLACE(B2858&amp;"" ""&amp;C2858,""[^а-яa-z0-9 ]"","" ""))")," ревно гимнастическое ")</f>
        <v xml:space="preserve"> ревно гимнастическое </v>
      </c>
    </row>
    <row r="2859" spans="1:8" ht="12.75" x14ac:dyDescent="0.2">
      <c r="A2859" s="31" t="s">
        <v>6658</v>
      </c>
      <c r="B2859" s="27" t="s">
        <v>6659</v>
      </c>
      <c r="C2859" s="27" t="s">
        <v>6660</v>
      </c>
      <c r="D2859" s="33" t="s">
        <v>14</v>
      </c>
      <c r="E2859" s="34">
        <v>1</v>
      </c>
      <c r="F2859" s="34">
        <v>20</v>
      </c>
      <c r="G2859" s="10">
        <v>20982</v>
      </c>
      <c r="H2859" s="30" t="str">
        <f ca="1">IFERROR(__xludf.DUMMYFUNCTION("LOWER(REGEXREPLACE(B2859&amp;"" ""&amp;C2859,""[^а-яa-z0-9 ]"","" ""))")," ревно гимнастическое напольное 3м  ревно напольное  длина 3000мм")</f>
        <v xml:space="preserve"> ревно гимнастическое напольное 3м  ревно напольное  длина 3000мм</v>
      </c>
    </row>
    <row r="2860" spans="1:8" ht="12.75" x14ac:dyDescent="0.2">
      <c r="A2860" s="31" t="s">
        <v>6661</v>
      </c>
      <c r="B2860" s="27" t="s">
        <v>6662</v>
      </c>
      <c r="C2860" s="27"/>
      <c r="D2860" s="33" t="s">
        <v>14</v>
      </c>
      <c r="E2860" s="34">
        <v>1</v>
      </c>
      <c r="F2860" s="34">
        <v>22</v>
      </c>
      <c r="G2860" s="10">
        <v>33036</v>
      </c>
      <c r="H2860" s="30" t="str">
        <f ca="1">IFERROR(__xludf.DUMMYFUNCTION("LOWER(REGEXREPLACE(B2860&amp;"" ""&amp;C2860,""[^а-яa-z0-9 ]"","" ""))")," ревно гимнастическое напольное 5м ")</f>
        <v xml:space="preserve"> ревно гимнастическое напольное 5м </v>
      </c>
    </row>
    <row r="2861" spans="1:8" ht="38.25" x14ac:dyDescent="0.2">
      <c r="A2861" s="31" t="s">
        <v>6663</v>
      </c>
      <c r="B2861" s="8" t="s">
        <v>6664</v>
      </c>
      <c r="C2861" s="27" t="s">
        <v>6665</v>
      </c>
      <c r="D2861" s="33" t="s">
        <v>14</v>
      </c>
      <c r="E2861" s="34">
        <v>2</v>
      </c>
      <c r="F2861" s="34">
        <v>15</v>
      </c>
      <c r="G2861" s="10">
        <v>131368</v>
      </c>
      <c r="H2861" s="30" t="str">
        <f ca="1">IFERROR(__xludf.DUMMYFUNCTION("LOWER(REGEXREPLACE(B2861&amp;"" ""&amp;C2861,""[^а-яa-z0-9 ]"","" ""))")," ревно гимнастическое 2 м круглое     2000 напольное  ревно гимнастическое 2 м круглое     2000 напольное  зготовлен из кле ного бруса хвойных пород древисины  обтянут изолоном и обшит искусственной кожей  лина 2м  ширина бруса 170 мм  высота бруса 140 мм"&amp;" ")</f>
        <v xml:space="preserve"> ревно гимнастическое 2 м круглое     2000 напольное  ревно гимнастическое 2 м круглое     2000 напольное  зготовлен из кле ного бруса хвойных пород древисины  обтянут изолоном и обшит искусственной кожей  лина 2м  ширина бруса 170 мм  высота бруса 140 мм </v>
      </c>
    </row>
    <row r="2862" spans="1:8" ht="51" x14ac:dyDescent="0.2">
      <c r="A2862" s="31" t="s">
        <v>6666</v>
      </c>
      <c r="B2862" s="8" t="s">
        <v>6667</v>
      </c>
      <c r="C2862" s="27" t="s">
        <v>6668</v>
      </c>
      <c r="D2862" s="33" t="s">
        <v>14</v>
      </c>
      <c r="E2862" s="34">
        <v>2</v>
      </c>
      <c r="F2862" s="34">
        <v>20</v>
      </c>
      <c r="G2862" s="10">
        <v>178641</v>
      </c>
      <c r="H2862" s="30" t="str">
        <f ca="1">IFERROR(__xludf.DUMMYFUNCTION("LOWER(REGEXREPLACE(B2862&amp;"" ""&amp;C2862,""[^а-яa-z0-9 ]"","" ""))")," ревно гимнастическое тренировочное напольное  длина не менее 3000мм  ревно гимнастическое тренировочное напольное изготовлено из клееной древисины хвойных пород   азмеры   лина  не менее 3000 мм   ирина бруса  не менее 130 мм   ирина рабочей поверхности "&amp;" не менее 100 мм   ысота не менее 150 мм ")</f>
        <v xml:space="preserve"> ревно гимнастическое тренировочное напольное  длина не менее 3000мм  ревно гимнастическое тренировочное напольное изготовлено из клееной древисины хвойных пород   азмеры   лина  не менее 3000 мм   ирина бруса  не менее 130 мм   ирина рабочей поверхности  не менее 100 мм   ысота не менее 150 мм </v>
      </c>
    </row>
    <row r="2863" spans="1:8" ht="51" x14ac:dyDescent="0.2">
      <c r="A2863" s="31" t="s">
        <v>6669</v>
      </c>
      <c r="B2863" s="8" t="s">
        <v>6670</v>
      </c>
      <c r="C2863" s="27" t="s">
        <v>6671</v>
      </c>
      <c r="D2863" s="33" t="s">
        <v>14</v>
      </c>
      <c r="E2863" s="34">
        <v>2</v>
      </c>
      <c r="F2863" s="35">
        <v>46.5</v>
      </c>
      <c r="G2863" s="10">
        <v>288224</v>
      </c>
      <c r="H2863" s="30" t="str">
        <f ca="1">IFERROR(__xludf.DUMMYFUNCTION("LOWER(REGEXREPLACE(B2863&amp;"" ""&amp;C2863,""[^а-яa-z0-9 ]"","" ""))")," ревно гимнастическое тренировочное напольное  длина не менее 5000мм  ревно гимнастическое тренировочное напольное изготовлено из клееной древисины хвойных пород  снаряд покрыт лаком   лина не менее 500мм   азмеры   лина  не менее 5000 мм   ирина бруса  н"&amp;"е менее 130 мм   ирина рабочей поверхности  не менее 100 мм   ысота не менее 150 мм ")</f>
        <v xml:space="preserve"> ревно гимнастическое тренировочное напольное  длина не менее 5000мм  ревно гимнастическое тренировочное напольное изготовлено из клееной древисины хвойных пород  снаряд покрыт лаком   лина не менее 500мм   азмеры   лина  не менее 5000 мм   ирина бруса  не менее 130 мм   ирина рабочей поверхности  не менее 100 мм   ысота не менее 150 мм </v>
      </c>
    </row>
    <row r="2864" spans="1:8" ht="63.75" x14ac:dyDescent="0.2">
      <c r="A2864" s="31" t="s">
        <v>6672</v>
      </c>
      <c r="B2864" s="8" t="s">
        <v>6673</v>
      </c>
      <c r="C2864" s="27" t="s">
        <v>6674</v>
      </c>
      <c r="D2864" s="33" t="s">
        <v>14</v>
      </c>
      <c r="E2864" s="34">
        <v>2</v>
      </c>
      <c r="F2864" s="34">
        <v>40</v>
      </c>
      <c r="G2864" s="10">
        <v>181640</v>
      </c>
      <c r="H2864" s="30" t="str">
        <f ca="1">IFERROR(__xludf.DUMMYFUNCTION("LOWER(REGEXREPLACE(B2864&amp;"" ""&amp;C2864,""[^а-яa-z0-9 ]"","" ""))")," ревно гимнастическое    0073 на низкой опоре  высота 800мм     3000 м  ревно гимнастическое    0073 на низкой опоре  высота 800мм     3000 м   зготовлен из клееного бруса хвойных пород древесины   оверхность бревна покрыта тр хкомпонентным лаком в два сл"&amp;"оя    азмеры   лина  3000 мм   ирина бруса  130 мм   ирина рабочей поверхности  100 мм   ысота 800 мм ")</f>
        <v xml:space="preserve"> ревно гимнастическое    0073 на низкой опоре  высота 800мм     3000 м  ревно гимнастическое    0073 на низкой опоре  высота 800мм     3000 м   зготовлен из клееного бруса хвойных пород древесины   оверхность бревна покрыта тр хкомпонентным лаком в два слоя    азмеры   лина  3000 мм   ирина бруса  130 мм   ирина рабочей поверхности  100 мм   ысота 800 мм </v>
      </c>
    </row>
    <row r="2865" spans="1:8" ht="63.75" x14ac:dyDescent="0.2">
      <c r="A2865" s="31" t="s">
        <v>6675</v>
      </c>
      <c r="B2865" s="8" t="s">
        <v>6676</v>
      </c>
      <c r="C2865" s="27" t="s">
        <v>6677</v>
      </c>
      <c r="D2865" s="33" t="s">
        <v>14</v>
      </c>
      <c r="E2865" s="34">
        <v>2</v>
      </c>
      <c r="F2865" s="34">
        <v>47</v>
      </c>
      <c r="G2865" s="10">
        <v>193376</v>
      </c>
      <c r="H2865" s="30" t="str">
        <f ca="1">IFERROR(__xludf.DUMMYFUNCTION("LOWER(REGEXREPLACE(B2865&amp;"" ""&amp;C2865,""[^а-яa-z0-9 ]"","" ""))")," ревно гимнастическое на высокой опоре     12300  высота 1200мм     3000 м  ревно гимнастическое на высокой опоре     12300  высота 1200мм     3000 м    зготовлен из клееного бруса хвойных пород древесины   оверхность бревна покрыта тр хкомпонентным лаком"&amp;" в два слоя    азмеры   лина  3000 мм   ирина бруса  130 мм   ирина рабочей поверхности  100 мм   ысота 1200 мм ")</f>
        <v xml:space="preserve"> ревно гимнастическое на высокой опоре     12300  высота 1200мм     3000 м  ревно гимнастическое на высокой опоре     12300  высота 1200мм     3000 м    зготовлен из клееного бруса хвойных пород древесины   оверхность бревна покрыта тр хкомпонентным лаком в два слоя    азмеры   лина  3000 мм   ирина бруса  130 мм   ирина рабочей поверхности  100 мм   ысота 1200 мм </v>
      </c>
    </row>
    <row r="2866" spans="1:8" ht="63.75" x14ac:dyDescent="0.2">
      <c r="A2866" s="31" t="s">
        <v>6678</v>
      </c>
      <c r="B2866" s="8" t="s">
        <v>6679</v>
      </c>
      <c r="C2866" s="27" t="s">
        <v>6680</v>
      </c>
      <c r="D2866" s="33" t="s">
        <v>14</v>
      </c>
      <c r="E2866" s="34">
        <v>2</v>
      </c>
      <c r="F2866" s="34">
        <v>53</v>
      </c>
      <c r="G2866" s="10">
        <v>284539</v>
      </c>
      <c r="H2866" s="30" t="str">
        <f ca="1">IFERROR(__xludf.DUMMYFUNCTION("LOWER(REGEXREPLACE(B2866&amp;"" ""&amp;C2866,""[^а-яa-z0-9 ]"","" ""))")," ревно гимнастическое на низкой опоре      80500  высота 800мм     5000 м  ревно гимнастическое на низкой опоре      80500  высота 800мм     5000 м   зготовлен из кле ного бруса хвойных пород древесины   оверхность бревна покрыта тр хкомпонентным лаком в "&amp;"два слоя   азмеры   лина  5000 мм   ирина бруса  130 мм   ирина рабочей поверхности  100 мм   ысота 800 мм ")</f>
        <v xml:space="preserve"> ревно гимнастическое на низкой опоре      80500  высота 800мм     5000 м  ревно гимнастическое на низкой опоре      80500  высота 800мм     5000 м   зготовлен из кле ного бруса хвойных пород древесины   оверхность бревна покрыта тр хкомпонентным лаком в два слоя   азмеры   лина  5000 мм   ирина бруса  130 мм   ирина рабочей поверхности  100 мм   ысота 800 мм </v>
      </c>
    </row>
    <row r="2867" spans="1:8" ht="38.25" x14ac:dyDescent="0.2">
      <c r="A2867" s="31" t="s">
        <v>6681</v>
      </c>
      <c r="B2867" s="27" t="s">
        <v>6682</v>
      </c>
      <c r="C2867" s="27" t="s">
        <v>6683</v>
      </c>
      <c r="D2867" s="33" t="s">
        <v>14</v>
      </c>
      <c r="E2867" s="34">
        <v>2</v>
      </c>
      <c r="F2867" s="34">
        <v>60</v>
      </c>
      <c r="G2867" s="10">
        <v>296098</v>
      </c>
      <c r="H2867" s="30" t="str">
        <f ca="1">IFERROR(__xludf.DUMMYFUNCTION("LOWER(REGEXREPLACE(B2867&amp;"" ""&amp;C2867,""[^а-яa-z0-9 ]"","" ""))")," ревно гимнастическое высокое  ысота 1200мм  длина 5000 мм  ширина бруса  130 мм   зготовлен из клееного бруса хвойных пород древесины   оверхность бревна покрыта высококачественным тр хкомпонентным лаком в два слоя ")</f>
        <v xml:space="preserve"> ревно гимнастическое высокое  ысота 1200мм  длина 5000 мм  ширина бруса  130 мм   зготовлен из клееного бруса хвойных пород древесины   оверхность бревна покрыта высококачественным тр хкомпонентным лаком в два слоя </v>
      </c>
    </row>
    <row r="2868" spans="1:8" ht="38.25" x14ac:dyDescent="0.2">
      <c r="A2868" s="31" t="s">
        <v>6684</v>
      </c>
      <c r="B2868" s="27" t="s">
        <v>6685</v>
      </c>
      <c r="C2868" s="27" t="s">
        <v>6686</v>
      </c>
      <c r="D2868" s="33" t="s">
        <v>14</v>
      </c>
      <c r="E2868" s="34">
        <v>2</v>
      </c>
      <c r="F2868" s="34">
        <v>50</v>
      </c>
      <c r="G2868" s="10">
        <v>226248</v>
      </c>
      <c r="H2868" s="30" t="str">
        <f ca="1">IFERROR(__xludf.DUMMYFUNCTION("LOWER(REGEXREPLACE(B2868&amp;"" ""&amp;C2868,""[^а-яa-z0-9 ]"","" ""))")," ревно гимнастическое тренировочное переменной высоты     30812      3 м     0 8   1 2м  ревно гимнастическое тренировочное переменной высоты     30812      3 м     0 8   1 2м   зготовлен из клееного бруса    варные опоры окрашены порошковой краской ")</f>
        <v xml:space="preserve"> ревно гимнастическое тренировочное переменной высоты     30812      3 м     0 8   1 2м  ревно гимнастическое тренировочное переменной высоты     30812      3 м     0 8   1 2м   зготовлен из клееного бруса    варные опоры окрашены порошковой краской </v>
      </c>
    </row>
    <row r="2869" spans="1:8" ht="38.25" x14ac:dyDescent="0.2">
      <c r="A2869" s="31" t="s">
        <v>6687</v>
      </c>
      <c r="B2869" s="8" t="s">
        <v>6688</v>
      </c>
      <c r="C2869" s="27" t="s">
        <v>6689</v>
      </c>
      <c r="D2869" s="33" t="s">
        <v>14</v>
      </c>
      <c r="E2869" s="34">
        <v>2</v>
      </c>
      <c r="F2869" s="34">
        <v>57</v>
      </c>
      <c r="G2869" s="10">
        <v>350963</v>
      </c>
      <c r="H2869" s="30" t="str">
        <f ca="1">IFERROR(__xludf.DUMMYFUNCTION("LOWER(REGEXREPLACE(B2869&amp;"" ""&amp;C2869,""[^а-яa-z0-9 ]"","" ""))")," ревно гимнастическое тренировочное  длина не менее 5000мм  ревно гимнастическое тренировочное изготовлено из клееного бруса   лина не менее 5000мм  переменной высотыт h   0 8   1 2 м   варные опоры окрашены порошковой краской ")</f>
        <v xml:space="preserve"> ревно гимнастическое тренировочное  длина не менее 5000мм  ревно гимнастическое тренировочное изготовлено из клееного бруса   лина не менее 5000мм  переменной высотыт h   0 8   1 2 м   варные опоры окрашены порошковой краской </v>
      </c>
    </row>
    <row r="2870" spans="1:8" ht="12.75" x14ac:dyDescent="0.2">
      <c r="A2870" s="31" t="s">
        <v>6690</v>
      </c>
      <c r="B2870" s="27" t="s">
        <v>6691</v>
      </c>
      <c r="C2870" s="27" t="s">
        <v>6691</v>
      </c>
      <c r="D2870" s="33" t="s">
        <v>14</v>
      </c>
      <c r="E2870" s="34">
        <v>1</v>
      </c>
      <c r="F2870" s="35">
        <v>0.5</v>
      </c>
      <c r="G2870" s="10">
        <v>1786</v>
      </c>
      <c r="H2870" s="30" t="str">
        <f ca="1">IFERROR(__xludf.DUMMYFUNCTION("LOWER(REGEXREPLACE(B2870&amp;"" ""&amp;C2870,""[^а-яa-z0-9 ]"","" ""))")," репление для каната  репление для каната")</f>
        <v xml:space="preserve"> репление для каната  репление для каната</v>
      </c>
    </row>
    <row r="2871" spans="1:8" ht="12.75" x14ac:dyDescent="0.2">
      <c r="A2871" s="31" t="s">
        <v>6692</v>
      </c>
      <c r="B2871" s="27" t="s">
        <v>6693</v>
      </c>
      <c r="C2871" s="27"/>
      <c r="D2871" s="33" t="s">
        <v>14</v>
      </c>
      <c r="E2871" s="9"/>
      <c r="F2871" s="32"/>
      <c r="G2871" s="10"/>
      <c r="H2871" s="30" t="str">
        <f ca="1">IFERROR(__xludf.DUMMYFUNCTION("LOWER(REGEXREPLACE(B2871&amp;"" ""&amp;C2871,""[^а-яa-z0-9 ]"","" ""))")," ат спортивный ")</f>
        <v xml:space="preserve"> ат спортивный </v>
      </c>
    </row>
    <row r="2872" spans="1:8" ht="12.75" x14ac:dyDescent="0.2">
      <c r="A2872" s="31" t="s">
        <v>6694</v>
      </c>
      <c r="B2872" s="27" t="s">
        <v>6695</v>
      </c>
      <c r="C2872" s="27"/>
      <c r="D2872" s="33" t="s">
        <v>14</v>
      </c>
      <c r="E2872" s="34">
        <v>1</v>
      </c>
      <c r="F2872" s="35">
        <v>2.4</v>
      </c>
      <c r="G2872" s="10">
        <v>15893</v>
      </c>
      <c r="H2872" s="30" t="str">
        <f ca="1">IFERROR(__xludf.DUMMYFUNCTION("LOWER(REGEXREPLACE(B2872&amp;"" ""&amp;C2872,""[^а-яa-z0-9 ]"","" ""))")," имнастические маты 200см х 100см х 5см ")</f>
        <v xml:space="preserve"> имнастические маты 200см х 100см х 5см </v>
      </c>
    </row>
    <row r="2873" spans="1:8" ht="51" x14ac:dyDescent="0.2">
      <c r="A2873" s="31" t="s">
        <v>6696</v>
      </c>
      <c r="B2873" s="27" t="s">
        <v>6697</v>
      </c>
      <c r="C2873" s="27" t="s">
        <v>6698</v>
      </c>
      <c r="D2873" s="33" t="s">
        <v>14</v>
      </c>
      <c r="E2873" s="34">
        <v>1</v>
      </c>
      <c r="F2873" s="35">
        <v>2.7</v>
      </c>
      <c r="G2873" s="10">
        <v>19649</v>
      </c>
      <c r="H2873" s="30" t="str">
        <f ca="1">IFERROR(__xludf.DUMMYFUNCTION("LOWER(REGEXREPLACE(B2873&amp;"" ""&amp;C2873,""[^а-яa-z0-9 ]"","" ""))")," ат гимнастический с гигиеническим покрытием  размер не менее 1000х2000мм  ат настенный  напольный   олщина не менее 100 мм   атериалы для изготовления должны соответствовать санитарным и экологическим характеристикам безопасности  не токсичные  антиванда"&amp;"льные  с высоким процентом износоустойчивости ")</f>
        <v xml:space="preserve"> ат гимнастический с гигиеническим покрытием  размер не менее 1000х2000мм  ат настенный  напольный   олщина не менее 100 мм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v>
      </c>
    </row>
    <row r="2874" spans="1:8" ht="51" x14ac:dyDescent="0.2">
      <c r="A2874" s="31" t="s">
        <v>6699</v>
      </c>
      <c r="B2874" s="27" t="s">
        <v>6700</v>
      </c>
      <c r="C2874" s="27" t="s">
        <v>6701</v>
      </c>
      <c r="D2874" s="33" t="s">
        <v>14</v>
      </c>
      <c r="E2874" s="34">
        <v>2</v>
      </c>
      <c r="F2874" s="35">
        <v>6.1</v>
      </c>
      <c r="G2874" s="10">
        <v>55055</v>
      </c>
      <c r="H2874" s="30" t="str">
        <f ca="1">IFERROR(__xludf.DUMMYFUNCTION("LOWER(REGEXREPLACE(B2874&amp;"" ""&amp;C2874,""[^а-яa-z0-9 ]"","" ""))")," ат гимнастический  размер не менее 2000х1000х100мм  материал кожзам  атериал кожзам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выполне"&amp;"нии различных гимнастических упражнений ")</f>
        <v xml:space="preserve"> ат гимнастический  размер не менее 2000х1000х100мм  материал кожзам  атериал кожзам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v>
      </c>
    </row>
    <row r="2875" spans="1:8" ht="76.5" x14ac:dyDescent="0.2">
      <c r="A2875" s="31" t="s">
        <v>6702</v>
      </c>
      <c r="B2875" s="27" t="s">
        <v>6703</v>
      </c>
      <c r="C2875" s="27" t="s">
        <v>6704</v>
      </c>
      <c r="D2875" s="33" t="s">
        <v>14</v>
      </c>
      <c r="E2875" s="34">
        <v>2</v>
      </c>
      <c r="F2875" s="34">
        <v>4</v>
      </c>
      <c r="G2875" s="10">
        <v>47918</v>
      </c>
      <c r="H2875" s="30" t="str">
        <f ca="1">IFERROR(__xludf.DUMMYFUNCTION("LOWER(REGEXREPLACE(B2875&amp;"" ""&amp;C2875,""[^а-яa-z0-9 ]"","" ""))")," ат гимнастический    0121   азмеры 2х1х0 05м   атериал кожзам  ат гимнастический    0121   азмеры 2х1х0 05м   атериал кожзам   ехол мата съемный и легко моется  выполнен из высококачественной винилискожи  на молнии    качестве наполнителя служит пенополи"&amp;"уретан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f>
        <v xml:space="preserve"> ат гимнастический    0121   азмеры 2х1х0 05м   атериал кожзам  ат гимнастический    0121   азмеры 2х1х0 05м   атериал кожзам   ехол мата съемный и легко моется  выполнен из высококачественной винилискожи  на молнии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v>
      </c>
    </row>
    <row r="2876" spans="1:8" ht="76.5" x14ac:dyDescent="0.2">
      <c r="A2876" s="31" t="s">
        <v>6705</v>
      </c>
      <c r="B2876" s="27" t="s">
        <v>6706</v>
      </c>
      <c r="C2876" s="27" t="s">
        <v>6707</v>
      </c>
      <c r="D2876" s="33" t="s">
        <v>14</v>
      </c>
      <c r="E2876" s="34">
        <v>2</v>
      </c>
      <c r="F2876" s="35">
        <v>4.5</v>
      </c>
      <c r="G2876" s="10">
        <v>41042</v>
      </c>
      <c r="H2876" s="30" t="str">
        <f ca="1">IFERROR(__xludf.DUMMYFUNCTION("LOWER(REGEXREPLACE(B2876&amp;"" ""&amp;C2876,""[^а-яa-z0-9 ]"","" ""))")," ат гимнастический    21005   азмеры 2х1х0 05м   атериал брезент  наполнитель вспененный полиэтилен сшитого вида  ат гимнастический    21005   азмеры 2х1х0 05м   атериал брезент  наполнитель вспененный полиэтилен сшитого вида   ехол мата съемный и легко м"&amp;"оется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f>
        <v xml:space="preserve"> ат гимнастический    21005   азмеры 2х1х0 05м   атериал брезент  наполнитель вспененный полиэтилен сшитого вида  ат гимнастический    21005   азмеры 2х1х0 05м   атериал брезент  наполнитель вспененный полиэтилен сшитого вида   ехол мата съемный и легко моется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v>
      </c>
    </row>
    <row r="2877" spans="1:8" ht="76.5" x14ac:dyDescent="0.2">
      <c r="A2877" s="31" t="s">
        <v>6708</v>
      </c>
      <c r="B2877" s="27" t="s">
        <v>6709</v>
      </c>
      <c r="C2877" s="27" t="s">
        <v>6710</v>
      </c>
      <c r="D2877" s="33" t="s">
        <v>14</v>
      </c>
      <c r="E2877" s="34">
        <v>2</v>
      </c>
      <c r="F2877" s="35">
        <v>6.5</v>
      </c>
      <c r="G2877" s="10">
        <v>47112</v>
      </c>
      <c r="H2877" s="30" t="str">
        <f ca="1">IFERROR(__xludf.DUMMYFUNCTION("LOWER(REGEXREPLACE(B2877&amp;"" ""&amp;C2877,""[^а-яa-z0-9 ]"","" ""))")," ат гимнастический    2101   азмеры 2х1х0 1 м   атериал брезент  наполнитель вспененный полиэтилен сшитого вида  ат гимнастический    2101   азмеры 2х1х0 1 м   атериал брезент  наполнитель вспененный полиэтилен сшитого вида   ехол мата съемный и легко мое"&amp;"тся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f>
        <v xml:space="preserve"> ат гимнастический    2101   азмеры 2х1х0 1 м   атериал брезент  наполнитель вспененный полиэтилен сшитого вида  ат гимнастический    2101   азмеры 2х1х0 1 м   атериал брезент  наполнитель вспененный полиэтилен сшитого вида   ехол мата съемный и легко моется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v>
      </c>
    </row>
    <row r="2878" spans="1:8" ht="38.25" x14ac:dyDescent="0.2">
      <c r="A2878" s="31" t="s">
        <v>6711</v>
      </c>
      <c r="B2878" s="27" t="s">
        <v>6712</v>
      </c>
      <c r="C2878" s="27" t="s">
        <v>6713</v>
      </c>
      <c r="D2878" s="33" t="s">
        <v>68</v>
      </c>
      <c r="E2878" s="34">
        <v>2</v>
      </c>
      <c r="F2878" s="34">
        <v>61</v>
      </c>
      <c r="G2878" s="10">
        <v>444938</v>
      </c>
      <c r="H2878" s="30" t="str">
        <f ca="1">IFERROR(__xludf.DUMMYFUNCTION("LOWER(REGEXREPLACE(B2878&amp;"" ""&amp;C2878,""[^а-яa-z0-9 ]"","" ""))")," она приземления  размер не менее 2000х2000х500мм  она приземления состоит из 2 матов  размер не менее 2000х1000х500мм   зготовлена из     2000х2000мм   атериал наполнителя пенополиуретан")</f>
        <v xml:space="preserve"> она приземления  размер не менее 2000х2000х500мм  она приземления состоит из 2 матов  размер не менее 2000х1000х500мм   зготовлена из     2000х2000мм   атериал наполнителя пенополиуретан</v>
      </c>
    </row>
    <row r="2879" spans="1:8" ht="51" x14ac:dyDescent="0.2">
      <c r="A2879" s="31" t="s">
        <v>6714</v>
      </c>
      <c r="B2879" s="27" t="s">
        <v>6715</v>
      </c>
      <c r="C2879" s="27" t="s">
        <v>6716</v>
      </c>
      <c r="D2879" s="33" t="s">
        <v>68</v>
      </c>
      <c r="E2879" s="34">
        <v>2</v>
      </c>
      <c r="F2879" s="34">
        <v>503</v>
      </c>
      <c r="G2879" s="10">
        <v>3315643</v>
      </c>
      <c r="H2879" s="30" t="str">
        <f ca="1">IFERROR(__xludf.DUMMYFUNCTION("LOWER(REGEXREPLACE(B2879&amp;"" ""&amp;C2879,""[^а-яa-z0-9 ]"","" ""))")," овер борцовский трехцветный 6000х6000мм  толщина 50мм  плотность 160 кг м3  овер борцовский трехцветный 6000х6000мм  маты 2000х1000мм толщиной 50мм в количестве 18шт   покрытие изготовлена из     покрытия  предназначен для проведения тренировок и сорвено"&amp;"ваний по вольной и греко римской борьбе   лотность  160 кг м3")</f>
        <v xml:space="preserve"> овер борцовский трехцветный 6000х6000мм  толщина 50мм  плотность 160 кг м3  овер борцовский трехцветный 6000х6000мм  маты 2000х1000мм толщиной 50мм в количестве 18шт   покрытие изготовлена из     покрытия  предназначен для проведения тренировок и сорвенований по вольной и греко римской борьбе   лотность  160 кг м3</v>
      </c>
    </row>
    <row r="2880" spans="1:8" ht="38.25" x14ac:dyDescent="0.2">
      <c r="A2880" s="31" t="s">
        <v>6717</v>
      </c>
      <c r="B2880" s="27" t="s">
        <v>6718</v>
      </c>
      <c r="C2880" s="27" t="s">
        <v>6719</v>
      </c>
      <c r="D2880" s="33" t="s">
        <v>14</v>
      </c>
      <c r="E2880" s="34">
        <v>2</v>
      </c>
      <c r="F2880" s="34">
        <v>8</v>
      </c>
      <c r="G2880" s="10">
        <v>73761</v>
      </c>
      <c r="H2880" s="30" t="str">
        <f ca="1">IFERROR(__xludf.DUMMYFUNCTION("LOWER(REGEXREPLACE(B2880&amp;"" ""&amp;C2880,""[^а-яa-z0-9 ]"","" ""))")," ат борцовский    2105  размер 2000мм х 1000мм  ат борцовский    2105  разм  2000мм х 1000мм  толщина 50мм   аполнитель вспененный полиэтилен  плотностью 180 кг м2  покрытие  тент кожзам ")</f>
        <v xml:space="preserve"> ат борцовский    2105  размер 2000мм х 1000мм  ат борцовский    2105  разм  2000мм х 1000мм  толщина 50мм   аполнитель вспененный полиэтилен  плотностью 180 кг м2  покрытие  тент кожзам </v>
      </c>
    </row>
    <row r="2881" spans="1:8" ht="38.25" x14ac:dyDescent="0.2">
      <c r="A2881" s="31" t="s">
        <v>6720</v>
      </c>
      <c r="B2881" s="27" t="s">
        <v>6721</v>
      </c>
      <c r="C2881" s="27" t="s">
        <v>6722</v>
      </c>
      <c r="D2881" s="33" t="s">
        <v>14</v>
      </c>
      <c r="E2881" s="34">
        <v>2</v>
      </c>
      <c r="F2881" s="34">
        <v>20</v>
      </c>
      <c r="G2881" s="10">
        <v>82138</v>
      </c>
      <c r="H2881" s="30" t="str">
        <f ca="1">IFERROR(__xludf.DUMMYFUNCTION("LOWER(REGEXREPLACE(B2881&amp;"" ""&amp;C2881,""[^а-яa-z0-9 ]"","" ""))")," атами для дзюдо  размер 1000х2000мм  плотность 220 кг м3  толщина 40мм  ицевая поверхность      ткань   из татами anti slip  ромб    аполнитель      плотностью   220 кг м3   азмер листа   1000мм х 2000мм  толщина листа   40мм   вет  синий  красный  ж лты"&amp;"й  зел ный ")</f>
        <v xml:space="preserve"> атами для дзюдо  размер 1000х2000мм  плотность 220 кг м3  толщина 40мм  ицевая поверхность      ткань   из татами anti slip  ромб    аполнитель      плотностью   220 кг м3   азмер листа   1000мм х 2000мм  толщина листа   40мм   вет  синий  красный  ж лтый  зел ный </v>
      </c>
    </row>
    <row r="2882" spans="1:8" ht="38.25" x14ac:dyDescent="0.2">
      <c r="A2882" s="31" t="s">
        <v>6723</v>
      </c>
      <c r="B2882" s="27" t="s">
        <v>6724</v>
      </c>
      <c r="C2882" s="27" t="s">
        <v>6725</v>
      </c>
      <c r="D2882" s="33" t="s">
        <v>14</v>
      </c>
      <c r="E2882" s="34">
        <v>2</v>
      </c>
      <c r="F2882" s="35">
        <v>2.5</v>
      </c>
      <c r="G2882" s="10">
        <v>14060</v>
      </c>
      <c r="H2882" s="30" t="str">
        <f ca="1">IFERROR(__xludf.DUMMYFUNCTION("LOWER(REGEXREPLACE(B2882&amp;"" ""&amp;C2882,""[^а-яa-z0-9 ]"","" ""))")," оянг для каратэ и таэквондо     0256  размер 1000мм х 1000мм  оянг для каратэ и таэквондо     0256   репление ласточкин хвост   азмер 1000мм х 1000мм  толщина 25мм   зготавливаются из микропористого полимерного материала     ")</f>
        <v xml:space="preserve"> оянг для каратэ и таэквондо     0256  размер 1000мм х 1000мм  оянг для каратэ и таэквондо     0256   репление ласточкин хвост   азмер 1000мм х 1000мм  толщина 25мм   зготавливаются из микропористого полимерного материала     </v>
      </c>
    </row>
    <row r="2883" spans="1:8" ht="63.75" x14ac:dyDescent="0.2">
      <c r="A2883" s="31" t="s">
        <v>6726</v>
      </c>
      <c r="B2883" s="27" t="s">
        <v>6727</v>
      </c>
      <c r="C2883" s="27" t="s">
        <v>6728</v>
      </c>
      <c r="D2883" s="33" t="s">
        <v>14</v>
      </c>
      <c r="E2883" s="34">
        <v>2</v>
      </c>
      <c r="F2883" s="34">
        <v>12</v>
      </c>
      <c r="G2883" s="10">
        <v>16234</v>
      </c>
      <c r="H2883" s="30" t="str">
        <f ca="1">IFERROR(__xludf.DUMMYFUNCTION("LOWER(REGEXREPLACE(B2883&amp;"" ""&amp;C2883,""[^а-яa-z0-9 ]"","" ""))")," ат напольный 1000 1000 40мм  редставляет собой поролон плотностью 25 кг м3 со съемным чехлом   лина  1000мм  ширина  1000мм  толщина 40мм     качестве наполнителя служит пенополиуретан с оптимальным соотношением показателей плотности и жесткости  плотнос"&amp;"ть    25кг м3   аты обеспечивают безопасность при выполнении различных гимнастических упражнений ")</f>
        <v xml:space="preserve"> ат напольный 1000 1000 40мм  редставляет собой поролон плотностью 25 кг м3 со съемным чехлом   лина  1000мм  ширина  1000мм  толщина 40мм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v>
      </c>
    </row>
    <row r="2884" spans="1:8" ht="38.25" x14ac:dyDescent="0.2">
      <c r="A2884" s="31" t="s">
        <v>6729</v>
      </c>
      <c r="B2884" s="27" t="s">
        <v>6730</v>
      </c>
      <c r="C2884" s="27" t="s">
        <v>6731</v>
      </c>
      <c r="D2884" s="33" t="s">
        <v>14</v>
      </c>
      <c r="E2884" s="34">
        <v>2</v>
      </c>
      <c r="F2884" s="34">
        <v>20</v>
      </c>
      <c r="G2884" s="10">
        <v>29287</v>
      </c>
      <c r="H2884" s="30" t="str">
        <f ca="1">IFERROR(__xludf.DUMMYFUNCTION("LOWER(REGEXREPLACE(B2884&amp;"" ""&amp;C2884,""[^а-яa-z0-9 ]"","" ""))")," атами для дзюдо  размер 1000х2000мм  плотность 180 кг м3  толщина 40мм  ицевая поверхность      ткань   из татами anti slip  ромб    аполнитель      плотностью   180 кг м3   азмер листа   1000мм х 2000мм  толщина листа   40мм   вет  синий  красный  ж лты"&amp;"й  зел ный ")</f>
        <v xml:space="preserve"> атами для дзюдо  размер 1000х2000мм  плотность 180 кг м3  толщина 40мм  ицевая поверхность      ткань   из татами anti slip  ромб    аполнитель      плотностью   180 кг м3   азмер листа   1000мм х 2000мм  толщина листа   40мм   вет  синий  красный  ж лтый  зел ный </v>
      </c>
    </row>
    <row r="2885" spans="1:8" ht="38.25" x14ac:dyDescent="0.2">
      <c r="A2885" s="31" t="s">
        <v>6732</v>
      </c>
      <c r="B2885" s="27" t="s">
        <v>6733</v>
      </c>
      <c r="C2885" s="27" t="s">
        <v>6734</v>
      </c>
      <c r="D2885" s="33" t="s">
        <v>14</v>
      </c>
      <c r="E2885" s="34">
        <v>2</v>
      </c>
      <c r="F2885" s="34">
        <v>20</v>
      </c>
      <c r="G2885" s="10">
        <v>32308</v>
      </c>
      <c r="H2885" s="30" t="str">
        <f ca="1">IFERROR(__xludf.DUMMYFUNCTION("LOWER(REGEXREPLACE(B2885&amp;"" ""&amp;C2885,""[^а-яa-z0-9 ]"","" ""))")," атами для дзюдо  размер 1000х2000мм  плотность 180 кг м3  толщина 50мм  ицевая поверхность      ткань   из татами anti slip  ромб    аполнитель      плотностью   180 кг м3   азмер листа   1000мм х 2000мм  толщина листа   50мм   вет  синий  красный  ж лты"&amp;"й  зел ный ")</f>
        <v xml:space="preserve"> атами для дзюдо  размер 1000х2000мм  плотность 180 кг м3  толщина 50мм  ицевая поверхность      ткань   из татами anti slip  ромб    аполнитель      плотностью   180 кг м3   азмер листа   1000мм х 2000мм  толщина листа   50мм   вет  синий  красный  ж лтый  зел ный </v>
      </c>
    </row>
    <row r="2886" spans="1:8" ht="51" x14ac:dyDescent="0.2">
      <c r="A2886" s="31" t="s">
        <v>6735</v>
      </c>
      <c r="B2886" s="27" t="s">
        <v>6736</v>
      </c>
      <c r="C2886" s="27" t="s">
        <v>6737</v>
      </c>
      <c r="D2886" s="33" t="s">
        <v>68</v>
      </c>
      <c r="E2886" s="34">
        <v>2</v>
      </c>
      <c r="F2886" s="34">
        <v>985</v>
      </c>
      <c r="G2886" s="10">
        <v>6298828</v>
      </c>
      <c r="H2886" s="30" t="str">
        <f ca="1">IFERROR(__xludf.DUMMYFUNCTION("LOWER(REGEXREPLACE(B2886&amp;"" ""&amp;C2886,""[^а-яa-z0-9 ]"","" ""))")," овер борцовский трехцветный 12000х12000мм  толщина 50мм  плотность 160 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сор"&amp;"венований по вольной и греко римской борьбе   лотность  160 кг м3")</f>
        <v xml:space="preserve"> овер борцовский трехцветный 12000х12000мм  толщина 50мм  плотность 160 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сорвенований по вольной и греко римской борьбе   лотность  160 кг м3</v>
      </c>
    </row>
    <row r="2887" spans="1:8" ht="51" x14ac:dyDescent="0.2">
      <c r="A2887" s="31" t="s">
        <v>6738</v>
      </c>
      <c r="B2887" s="27" t="s">
        <v>6739</v>
      </c>
      <c r="C2887" s="27" t="s">
        <v>6740</v>
      </c>
      <c r="D2887" s="33" t="s">
        <v>68</v>
      </c>
      <c r="E2887" s="34">
        <v>2</v>
      </c>
      <c r="F2887" s="34">
        <v>985</v>
      </c>
      <c r="G2887" s="10">
        <v>920380</v>
      </c>
      <c r="H2887" s="30" t="str">
        <f ca="1">IFERROR(__xludf.DUMMYFUNCTION("LOWER(REGEXREPLACE(B2887&amp;"" ""&amp;C2887,""[^а-яa-z0-9 ]"","" ""))")," овер борцовский трехцветный 12000х12000мм  толщина 50мм  плотность 140кг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сорв"&amp;"енований по вольной и греко римской борьбе   аполнитель      плотность 140кг м3")</f>
        <v xml:space="preserve"> овер борцовский трехцветный 12000х12000мм  толщина 50мм  плотность 140кг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сорвенований по вольной и греко римской борьбе   аполнитель      плотность 140кг м3</v>
      </c>
    </row>
    <row r="2888" spans="1:8" ht="38.25" x14ac:dyDescent="0.2">
      <c r="A2888" s="31" t="s">
        <v>6741</v>
      </c>
      <c r="B2888" s="27" t="s">
        <v>6742</v>
      </c>
      <c r="C2888" s="27" t="s">
        <v>6743</v>
      </c>
      <c r="D2888" s="33" t="s">
        <v>14</v>
      </c>
      <c r="E2888" s="34">
        <v>2</v>
      </c>
      <c r="F2888" s="34">
        <v>14</v>
      </c>
      <c r="G2888" s="10">
        <v>444124</v>
      </c>
      <c r="H2888" s="30" t="str">
        <f ca="1">IFERROR(__xludf.DUMMYFUNCTION("LOWER(REGEXREPLACE(B2888&amp;"" ""&amp;C2888,""[^а-яa-z0-9 ]"","" ""))")," овер для национальных игр не менее 3000х2000мм  толщина не менее 20мм  овер для национальных игр   екемет с традиционными национальными орнаментами   родукция исключительно из шерсти   азмер не менее 3000х2000мм  толщина не менее 20мм ")</f>
        <v xml:space="preserve"> овер для национальных игр не менее 3000х2000мм  толщина не менее 20мм  овер для национальных игр   екемет с традиционными национальными орнаментами   родукция исключительно из шерсти   азмер не менее 3000х2000мм  толщина не менее 20мм </v>
      </c>
    </row>
    <row r="2889" spans="1:8" ht="51" x14ac:dyDescent="0.2">
      <c r="A2889" s="31" t="s">
        <v>6744</v>
      </c>
      <c r="B2889" s="27" t="s">
        <v>6745</v>
      </c>
      <c r="C2889" s="27" t="s">
        <v>6746</v>
      </c>
      <c r="D2889" s="33" t="s">
        <v>68</v>
      </c>
      <c r="E2889" s="34">
        <v>2</v>
      </c>
      <c r="F2889" s="34">
        <v>1080</v>
      </c>
      <c r="G2889" s="10">
        <v>5912504</v>
      </c>
      <c r="H2889" s="30" t="str">
        <f ca="1">IFERROR(__xludf.DUMMYFUNCTION("LOWER(REGEXREPLACE(B2889&amp;"" ""&amp;C2889,""[^а-яa-z0-9 ]"","" ""))")," атами для дзюдо  размер 12000х12000мм  атами для дзюдо   азмер 12000х12000мм    комплекте 72 шт   ицевая поверхность      ткань   из татами anti slip  ромб    аполнитель       лотность       220 кг м3   азмер листа   1000 х 2000мм   олщина листа   40мм  "&amp;" вет  синий  красный  ж лтый  зел ный ")</f>
        <v xml:space="preserve"> атами для дзюдо  размер 12000х12000мм  атами для дзюдо   азмер 12000х12000мм    комплекте 72 шт   ицевая поверхность      ткань   из татами anti slip  ромб    аполнитель       лотность       220 кг м3   азмер листа   1000 х 2000мм   олщина листа   40мм   вет  синий  красный  ж лтый  зел ный </v>
      </c>
    </row>
    <row r="2890" spans="1:8" ht="51" x14ac:dyDescent="0.2">
      <c r="A2890" s="31" t="s">
        <v>6747</v>
      </c>
      <c r="B2890" s="27" t="s">
        <v>6748</v>
      </c>
      <c r="C2890" s="27" t="s">
        <v>6749</v>
      </c>
      <c r="D2890" s="33" t="s">
        <v>68</v>
      </c>
      <c r="E2890" s="34">
        <v>2</v>
      </c>
      <c r="F2890" s="34">
        <v>540</v>
      </c>
      <c r="G2890" s="10">
        <v>1736130</v>
      </c>
      <c r="H2890" s="30" t="str">
        <f ca="1">IFERROR(__xludf.DUMMYFUNCTION("LOWER(REGEXREPLACE(B2890&amp;"" ""&amp;C2890,""[^а-яa-z0-9 ]"","" ""))")," атами для дзюдо  размер 6000х6000мм  атами для дзюдо   азмер 6000х6000мм    комплекте 18 шт   ицевая поверхность      ткань   из татами anti slip  ромб    аполнитель       лотность       220 кг м3   азмер листа   1000 х 2000мм   олщина листа   40мм   вет"&amp;"  синий  красный  ж лтый  зел ный ")</f>
        <v xml:space="preserve"> атами для дзюдо  размер 6000х6000мм  атами для дзюдо   азмер 6000х6000мм    комплекте 18 шт   ицевая поверхность      ткань   из татами anti slip  ромб    аполнитель       лотность       220 кг м3   азмер листа   1000 х 2000мм   олщина листа   40мм   вет  синий  красный  ж лтый  зел ный </v>
      </c>
    </row>
    <row r="2891" spans="1:8" ht="51" x14ac:dyDescent="0.2">
      <c r="A2891" s="31" t="s">
        <v>6750</v>
      </c>
      <c r="B2891" s="27" t="s">
        <v>6751</v>
      </c>
      <c r="C2891" s="27" t="s">
        <v>6752</v>
      </c>
      <c r="D2891" s="33" t="s">
        <v>6753</v>
      </c>
      <c r="E2891" s="34">
        <v>2</v>
      </c>
      <c r="F2891" s="36">
        <v>0.56999999999999995</v>
      </c>
      <c r="G2891" s="10">
        <v>18594</v>
      </c>
      <c r="H2891" s="30" t="str">
        <f ca="1">IFERROR(__xludf.DUMMYFUNCTION("LOWER(REGEXREPLACE(B2891&amp;"" ""&amp;C2891,""[^а-яa-z0-9 ]"","" ""))")," ат рулонный   олщина 10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10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2" spans="1:8" ht="51" x14ac:dyDescent="0.2">
      <c r="A2892" s="31" t="s">
        <v>6754</v>
      </c>
      <c r="B2892" s="27" t="s">
        <v>6755</v>
      </c>
      <c r="C2892" s="27" t="s">
        <v>6752</v>
      </c>
      <c r="D2892" s="33" t="s">
        <v>6753</v>
      </c>
      <c r="E2892" s="34">
        <v>2</v>
      </c>
      <c r="F2892" s="36">
        <v>1.1499999999999999</v>
      </c>
      <c r="G2892" s="10">
        <v>21075</v>
      </c>
      <c r="H2892" s="30" t="str">
        <f ca="1">IFERROR(__xludf.DUMMYFUNCTION("LOWER(REGEXREPLACE(B2892&amp;"" ""&amp;C2892,""[^а-яa-z0-9 ]"","" ""))")," ат рулонный   олщина 20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20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3" spans="1:8" ht="51" x14ac:dyDescent="0.2">
      <c r="A2893" s="31" t="s">
        <v>6756</v>
      </c>
      <c r="B2893" s="27" t="s">
        <v>6757</v>
      </c>
      <c r="C2893" s="27" t="s">
        <v>6752</v>
      </c>
      <c r="D2893" s="33" t="s">
        <v>6753</v>
      </c>
      <c r="E2893" s="34">
        <v>2</v>
      </c>
      <c r="F2893" s="35">
        <v>1.7</v>
      </c>
      <c r="G2893" s="10">
        <v>25725</v>
      </c>
      <c r="H2893" s="30" t="str">
        <f ca="1">IFERROR(__xludf.DUMMYFUNCTION("LOWER(REGEXREPLACE(B2893&amp;"" ""&amp;C2893,""[^а-яa-z0-9 ]"","" ""))")," ат рулонный   олщина 30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30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4" spans="1:8" ht="51" x14ac:dyDescent="0.2">
      <c r="A2894" s="31" t="s">
        <v>6758</v>
      </c>
      <c r="B2894" s="27" t="s">
        <v>6759</v>
      </c>
      <c r="C2894" s="27" t="s">
        <v>6752</v>
      </c>
      <c r="D2894" s="33" t="s">
        <v>6753</v>
      </c>
      <c r="E2894" s="34">
        <v>2</v>
      </c>
      <c r="F2894" s="35">
        <v>2.2999999999999998</v>
      </c>
      <c r="G2894" s="10">
        <v>29446</v>
      </c>
      <c r="H2894" s="30" t="str">
        <f ca="1">IFERROR(__xludf.DUMMYFUNCTION("LOWER(REGEXREPLACE(B2894&amp;"" ""&amp;C2894,""[^а-яa-z0-9 ]"","" ""))")," ат рулонный   олщина 40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40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5" spans="1:8" ht="51" x14ac:dyDescent="0.2">
      <c r="A2895" s="31" t="s">
        <v>6760</v>
      </c>
      <c r="B2895" s="27" t="s">
        <v>6761</v>
      </c>
      <c r="C2895" s="27" t="s">
        <v>6752</v>
      </c>
      <c r="D2895" s="33" t="s">
        <v>6753</v>
      </c>
      <c r="E2895" s="34">
        <v>2</v>
      </c>
      <c r="F2895" s="36">
        <v>2.87</v>
      </c>
      <c r="G2895" s="10">
        <v>31617</v>
      </c>
      <c r="H2895" s="30" t="str">
        <f ca="1">IFERROR(__xludf.DUMMYFUNCTION("LOWER(REGEXREPLACE(B2895&amp;"" ""&amp;C2895,""[^а-яa-z0-9 ]"","" ""))")," ат рулонный   олщина 50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площадь"&amp;" спортзала   атериал изготовления  вспененный     или полиэтилен  покрытый     для защиты")</f>
        <v xml:space="preserve"> ат рулонный   олщина 50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v>
      </c>
    </row>
    <row r="2896" spans="1:8" ht="12.75" x14ac:dyDescent="0.2">
      <c r="A2896" s="31" t="s">
        <v>6762</v>
      </c>
      <c r="B2896" s="27" t="s">
        <v>6763</v>
      </c>
      <c r="C2896" s="27"/>
      <c r="D2896" s="33" t="s">
        <v>14</v>
      </c>
      <c r="E2896" s="9"/>
      <c r="F2896" s="32"/>
      <c r="G2896" s="10"/>
      <c r="H2896" s="30" t="str">
        <f ca="1">IFERROR(__xludf.DUMMYFUNCTION("LOWER(REGEXREPLACE(B2896&amp;"" ""&amp;C2896,""[^а-яa-z0-9 ]"","" ""))")," антели ")</f>
        <v xml:space="preserve"> антели </v>
      </c>
    </row>
    <row r="2897" spans="1:8" ht="12.75" x14ac:dyDescent="0.2">
      <c r="A2897" s="31" t="s">
        <v>6764</v>
      </c>
      <c r="B2897" s="27" t="s">
        <v>6765</v>
      </c>
      <c r="C2897" s="27"/>
      <c r="D2897" s="33" t="s">
        <v>14</v>
      </c>
      <c r="E2897" s="34">
        <v>1</v>
      </c>
      <c r="F2897" s="35">
        <v>1.5</v>
      </c>
      <c r="G2897" s="10">
        <v>2679</v>
      </c>
      <c r="H2897" s="30" t="str">
        <f ca="1">IFERROR(__xludf.DUMMYFUNCTION("LOWER(REGEXREPLACE(B2897&amp;"" ""&amp;C2897,""[^а-яa-z0-9 ]"","" ""))")," антели 1 5кг ")</f>
        <v xml:space="preserve"> антели 1 5кг </v>
      </c>
    </row>
    <row r="2898" spans="1:8" ht="12.75" x14ac:dyDescent="0.2">
      <c r="A2898" s="31" t="s">
        <v>6766</v>
      </c>
      <c r="B2898" s="27" t="s">
        <v>6767</v>
      </c>
      <c r="C2898" s="27"/>
      <c r="D2898" s="33" t="s">
        <v>14</v>
      </c>
      <c r="E2898" s="34">
        <v>1</v>
      </c>
      <c r="F2898" s="34">
        <v>2</v>
      </c>
      <c r="G2898" s="10">
        <v>3571</v>
      </c>
      <c r="H2898" s="30" t="str">
        <f ca="1">IFERROR(__xludf.DUMMYFUNCTION("LOWER(REGEXREPLACE(B2898&amp;"" ""&amp;C2898,""[^а-яa-z0-9 ]"","" ""))")," антели 2кг ")</f>
        <v xml:space="preserve"> антели 2кг </v>
      </c>
    </row>
    <row r="2899" spans="1:8" ht="12.75" x14ac:dyDescent="0.2">
      <c r="A2899" s="31" t="s">
        <v>6768</v>
      </c>
      <c r="B2899" s="27" t="s">
        <v>6769</v>
      </c>
      <c r="C2899" s="27"/>
      <c r="D2899" s="33" t="s">
        <v>14</v>
      </c>
      <c r="E2899" s="34">
        <v>1</v>
      </c>
      <c r="F2899" s="34">
        <v>3</v>
      </c>
      <c r="G2899" s="10">
        <v>5357</v>
      </c>
      <c r="H2899" s="30" t="str">
        <f ca="1">IFERROR(__xludf.DUMMYFUNCTION("LOWER(REGEXREPLACE(B2899&amp;"" ""&amp;C2899,""[^а-яa-z0-9 ]"","" ""))")," антели 3кг ")</f>
        <v xml:space="preserve"> антели 3кг </v>
      </c>
    </row>
    <row r="2900" spans="1:8" ht="38.25" x14ac:dyDescent="0.2">
      <c r="A2900" s="31" t="s">
        <v>6770</v>
      </c>
      <c r="B2900" s="8" t="s">
        <v>6771</v>
      </c>
      <c r="C2900" s="27" t="s">
        <v>6772</v>
      </c>
      <c r="D2900" s="33" t="s">
        <v>14</v>
      </c>
      <c r="E2900" s="34">
        <v>2</v>
      </c>
      <c r="F2900" s="34">
        <v>1</v>
      </c>
      <c r="G2900" s="10">
        <v>4886</v>
      </c>
      <c r="H2900" s="30" t="str">
        <f ca="1">IFERROR(__xludf.DUMMYFUNCTION("LOWER(REGEXREPLACE(B2900&amp;"" ""&amp;C2900,""[^а-яa-z0-9 ]"","" ""))")," антель     001 профессиональная шестигранная обрезиненная  1 кг  антели     001 профессиональные шестигранные  обрезиненные   ромированные ручки с мягкой насечкой     вет   ром черный   остав  сталь  резина  вес 1 кг ")</f>
        <v xml:space="preserve"> антель     001 профессиональная шестигранная обрезиненная  1 кг  антели     001 профессиональные шестигранные  обрезиненные   ромированные ручки с мягкой насечкой     вет   ром черный   остав  сталь  резина  вес 1 кг </v>
      </c>
    </row>
    <row r="2901" spans="1:8" ht="38.25" x14ac:dyDescent="0.2">
      <c r="A2901" s="31" t="s">
        <v>6773</v>
      </c>
      <c r="B2901" s="8" t="s">
        <v>6774</v>
      </c>
      <c r="C2901" s="27" t="s">
        <v>6775</v>
      </c>
      <c r="D2901" s="33" t="s">
        <v>14</v>
      </c>
      <c r="E2901" s="34">
        <v>2</v>
      </c>
      <c r="F2901" s="34">
        <v>2</v>
      </c>
      <c r="G2901" s="10">
        <v>9877</v>
      </c>
      <c r="H2901" s="30" t="str">
        <f ca="1">IFERROR(__xludf.DUMMYFUNCTION("LOWER(REGEXREPLACE(B2901&amp;"" ""&amp;C2901,""[^а-яa-z0-9 ]"","" ""))")," антель     002 профессиональная шестигранная обрезиненная  2 кг  антели     002 профессиональные шестигранные обрезиненные   ромированные ручки с мягкой насечкой    вет   ром черный   остав  сталь  резина  вес 2 кг ")</f>
        <v xml:space="preserve"> антель     002 профессиональная шестигранная обрезиненная  2 кг  антели     002 профессиональные шестигранные обрезиненные   ромированные ручки с мягкой насечкой    вет   ром черный   остав  сталь  резина  вес 2 кг </v>
      </c>
    </row>
    <row r="2902" spans="1:8" ht="38.25" x14ac:dyDescent="0.2">
      <c r="A2902" s="31" t="s">
        <v>6776</v>
      </c>
      <c r="B2902" s="8" t="s">
        <v>6777</v>
      </c>
      <c r="C2902" s="27" t="s">
        <v>6778</v>
      </c>
      <c r="D2902" s="33" t="s">
        <v>14</v>
      </c>
      <c r="E2902" s="34">
        <v>2</v>
      </c>
      <c r="F2902" s="34">
        <v>3</v>
      </c>
      <c r="G2902" s="10">
        <v>14974</v>
      </c>
      <c r="H2902" s="30" t="str">
        <f ca="1">IFERROR(__xludf.DUMMYFUNCTION("LOWER(REGEXREPLACE(B2902&amp;"" ""&amp;C2902,""[^а-яa-z0-9 ]"","" ""))")," антель     003 профессиональная шестигранная обрезиненная  3 кг  антели     003 профессиональные шестигранные обрезиненные   ромированные ручки с мягкой насечкой    вет   ром черный   остав  сталь  резина  вес 3 кг ")</f>
        <v xml:space="preserve"> антель     003 профессиональная шестигранная обрезиненная  3 кг  антели     003 профессиональные шестигранные обрезиненные   ромированные ручки с мягкой насечкой    вет   ром черный   остав  сталь  резина  вес 3 кг </v>
      </c>
    </row>
    <row r="2903" spans="1:8" ht="38.25" x14ac:dyDescent="0.2">
      <c r="A2903" s="31" t="s">
        <v>6779</v>
      </c>
      <c r="B2903" s="8" t="s">
        <v>6780</v>
      </c>
      <c r="C2903" s="27" t="s">
        <v>6781</v>
      </c>
      <c r="D2903" s="33" t="s">
        <v>14</v>
      </c>
      <c r="E2903" s="34">
        <v>2</v>
      </c>
      <c r="F2903" s="34">
        <v>4</v>
      </c>
      <c r="G2903" s="10">
        <v>19756</v>
      </c>
      <c r="H2903" s="30" t="str">
        <f ca="1">IFERROR(__xludf.DUMMYFUNCTION("LOWER(REGEXREPLACE(B2903&amp;"" ""&amp;C2903,""[^а-яa-z0-9 ]"","" ""))")," антель     004 профессиональная шестигранная обрезиненная  4 кг  антели     004 профессиональные шестигранные обрезиненные   ромированные ручки с мягкой насечкой    вет   ром черный   остав  сталь  резина  вес 4 кг ")</f>
        <v xml:space="preserve"> антель     004 профессиональная шестигранная обрезиненная  4 кг  антели     004 профессиональные шестигранные обрезиненные   ромированные ручки с мягкой насечкой    вет   ром черный   остав  сталь  резина  вес 4 кг </v>
      </c>
    </row>
    <row r="2904" spans="1:8" ht="25.5" x14ac:dyDescent="0.2">
      <c r="A2904" s="31" t="s">
        <v>6782</v>
      </c>
      <c r="B2904" s="8" t="s">
        <v>6783</v>
      </c>
      <c r="C2904" s="27"/>
      <c r="D2904" s="33" t="s">
        <v>14</v>
      </c>
      <c r="E2904" s="34">
        <v>2</v>
      </c>
      <c r="F2904" s="34">
        <v>5</v>
      </c>
      <c r="G2904" s="10">
        <v>24564</v>
      </c>
      <c r="H2904" s="30" t="str">
        <f ca="1">IFERROR(__xludf.DUMMYFUNCTION("LOWER(REGEXREPLACE(B2904&amp;"" ""&amp;C2904,""[^а-яa-z0-9 ]"","" ""))")," антель    005 профессиональная шестигранная обрезиненная  5 кг ")</f>
        <v xml:space="preserve"> антель    005 профессиональная шестигранная обрезиненная  5 кг </v>
      </c>
    </row>
    <row r="2905" spans="1:8" ht="38.25" x14ac:dyDescent="0.2">
      <c r="A2905" s="31" t="s">
        <v>6784</v>
      </c>
      <c r="B2905" s="27" t="s">
        <v>6785</v>
      </c>
      <c r="C2905" s="27" t="s">
        <v>6786</v>
      </c>
      <c r="D2905" s="33" t="s">
        <v>14</v>
      </c>
      <c r="E2905" s="34">
        <v>2</v>
      </c>
      <c r="F2905" s="34">
        <v>6</v>
      </c>
      <c r="G2905" s="10">
        <v>29633</v>
      </c>
      <c r="H2905" s="30" t="str">
        <f ca="1">IFERROR(__xludf.DUMMYFUNCTION("LOWER(REGEXREPLACE(B2905&amp;"" ""&amp;C2905,""[^а-яa-z0-9 ]"","" ""))")," антель     006 профессиональная шестигранная обрезиненная  6 кг  антели     006 профессиональные шестигранные обрезиненные   ромированные ручки с мягкой насечкой    вет   ром черный   остав  сталь  резина  вес 6 кг ")</f>
        <v xml:space="preserve"> антель     006 профессиональная шестигранная обрезиненная  6 кг  антели     006 профессиональные шестигранные обрезиненные   ромированные ручки с мягкой насечкой    вет   ром черный   остав  сталь  резина  вес 6 кг </v>
      </c>
    </row>
    <row r="2906" spans="1:8" ht="38.25" x14ac:dyDescent="0.2">
      <c r="A2906" s="31" t="s">
        <v>6787</v>
      </c>
      <c r="B2906" s="27" t="s">
        <v>6788</v>
      </c>
      <c r="C2906" s="27" t="s">
        <v>6789</v>
      </c>
      <c r="D2906" s="33" t="s">
        <v>14</v>
      </c>
      <c r="E2906" s="34">
        <v>2</v>
      </c>
      <c r="F2906" s="34">
        <v>7</v>
      </c>
      <c r="G2906" s="10">
        <v>34756</v>
      </c>
      <c r="H2906" s="30" t="str">
        <f ca="1">IFERROR(__xludf.DUMMYFUNCTION("LOWER(REGEXREPLACE(B2906&amp;"" ""&amp;C2906,""[^а-яa-z0-9 ]"","" ""))")," антель     007 профессиональная шестигранная обрезиненная  7 кг  антели     007 профессиональные шестигранные обрезиненные   ромированные ручки с мягкой насечкой    вет   ром черный   остав  сталь  резина  вес 7 кг ")</f>
        <v xml:space="preserve"> антель     007 профессиональная шестигранная обрезиненная  7 кг  антели     007 профессиональные шестигранные обрезиненные   ромированные ручки с мягкой насечкой    вет   ром черный   остав  сталь  резина  вес 7 кг </v>
      </c>
    </row>
    <row r="2907" spans="1:8" ht="38.25" x14ac:dyDescent="0.2">
      <c r="A2907" s="31" t="s">
        <v>6790</v>
      </c>
      <c r="B2907" s="27" t="s">
        <v>6791</v>
      </c>
      <c r="C2907" s="27" t="s">
        <v>6792</v>
      </c>
      <c r="D2907" s="33" t="s">
        <v>14</v>
      </c>
      <c r="E2907" s="34">
        <v>2</v>
      </c>
      <c r="F2907" s="34">
        <v>8</v>
      </c>
      <c r="G2907" s="10">
        <v>39512</v>
      </c>
      <c r="H2907" s="30" t="str">
        <f ca="1">IFERROR(__xludf.DUMMYFUNCTION("LOWER(REGEXREPLACE(B2907&amp;"" ""&amp;C2907,""[^а-яa-z0-9 ]"","" ""))")," антель     008 профессиональная шестигранная обрезиненная  8 кг  антели     008 профессиональные шестигранные обрезиненные   ромированные ручки с мягкой насечкой    вет   ром черный   остав  сталь  резина  вес 8 кг ")</f>
        <v xml:space="preserve"> антель     008 профессиональная шестигранная обрезиненная  8 кг  антели     008 профессиональные шестигранные обрезиненные   ромированные ручки с мягкой насечкой    вет   ром черный   остав  сталь  резина  вес 8 кг </v>
      </c>
    </row>
    <row r="2908" spans="1:8" ht="38.25" x14ac:dyDescent="0.2">
      <c r="A2908" s="31" t="s">
        <v>6793</v>
      </c>
      <c r="B2908" s="27" t="s">
        <v>6794</v>
      </c>
      <c r="C2908" s="27" t="s">
        <v>6795</v>
      </c>
      <c r="D2908" s="33" t="s">
        <v>14</v>
      </c>
      <c r="E2908" s="34">
        <v>2</v>
      </c>
      <c r="F2908" s="34">
        <v>9</v>
      </c>
      <c r="G2908" s="10">
        <v>44309</v>
      </c>
      <c r="H2908" s="30" t="str">
        <f ca="1">IFERROR(__xludf.DUMMYFUNCTION("LOWER(REGEXREPLACE(B2908&amp;"" ""&amp;C2908,""[^а-яa-z0-9 ]"","" ""))")," антель     009 профессиональная шестигранная обрезиненная  9 кг  антели     009 профессиональные шестигранные обрезиненные   ромированные ручки с мягкой насечкой    вет   ром черный   остав  сталь  резина  вес 9 кг ")</f>
        <v xml:space="preserve"> антель     009 профессиональная шестигранная обрезиненная  9 кг  антели     009 профессиональные шестигранные обрезиненные   ромированные ручки с мягкой насечкой    вет   ром черный   остав  сталь  резина  вес 9 кг </v>
      </c>
    </row>
    <row r="2909" spans="1:8" ht="38.25" x14ac:dyDescent="0.2">
      <c r="A2909" s="31" t="s">
        <v>6796</v>
      </c>
      <c r="B2909" s="27" t="s">
        <v>6797</v>
      </c>
      <c r="C2909" s="27" t="s">
        <v>6798</v>
      </c>
      <c r="D2909" s="33" t="s">
        <v>14</v>
      </c>
      <c r="E2909" s="34">
        <v>2</v>
      </c>
      <c r="F2909" s="34">
        <v>10</v>
      </c>
      <c r="G2909" s="10">
        <v>49389</v>
      </c>
      <c r="H2909" s="30" t="str">
        <f ca="1">IFERROR(__xludf.DUMMYFUNCTION("LOWER(REGEXREPLACE(B2909&amp;"" ""&amp;C2909,""[^а-яa-z0-9 ]"","" ""))")," антель     010 профессиональная шестигранная обрезиненная  10 кг  антели     010 профессиональные шестигранные обрезиненные   ромированные ручки с мягкой насечкой    вет   ром черный   остав  сталь  резина  вес 10 кг ")</f>
        <v xml:space="preserve"> антель     010 профессиональная шестигранная обрезиненная  10 кг  антели     010 профессиональные шестигранные обрезиненные   ромированные ручки с мягкой насечкой    вет   ром черный   остав  сталь  резина  вес 10 кг </v>
      </c>
    </row>
    <row r="2910" spans="1:8" ht="38.25" x14ac:dyDescent="0.2">
      <c r="A2910" s="31" t="s">
        <v>6799</v>
      </c>
      <c r="B2910" s="27" t="s">
        <v>6800</v>
      </c>
      <c r="C2910" s="27" t="s">
        <v>6801</v>
      </c>
      <c r="D2910" s="33" t="s">
        <v>14</v>
      </c>
      <c r="E2910" s="34">
        <v>2</v>
      </c>
      <c r="F2910" s="35">
        <v>12.5</v>
      </c>
      <c r="G2910" s="10">
        <v>61409</v>
      </c>
      <c r="H2910" s="30" t="str">
        <f ca="1">IFERROR(__xludf.DUMMYFUNCTION("LOWER(REGEXREPLACE(B2910&amp;"" ""&amp;C2910,""[^а-яa-z0-9 ]"","" ""))")," антель     125 профессиональная шестигранная обрезиненная  12 5 кг  антели     125 профессиональные шестигранные обрезиненные   ромированные ручки с мягкой насечкой    вет   ром черный   остав  сталь  резина  вес 12 5 кг ")</f>
        <v xml:space="preserve"> антель     125 профессиональная шестигранная обрезиненная  12 5 кг  антели     125 профессиональные шестигранные обрезиненные   ромированные ручки с мягкой насечкой    вет   ром черный   остав  сталь  резина  вес 12 5 кг </v>
      </c>
    </row>
    <row r="2911" spans="1:8" ht="38.25" x14ac:dyDescent="0.2">
      <c r="A2911" s="31" t="s">
        <v>6802</v>
      </c>
      <c r="B2911" s="27" t="s">
        <v>6803</v>
      </c>
      <c r="C2911" s="27" t="s">
        <v>6804</v>
      </c>
      <c r="D2911" s="33" t="s">
        <v>14</v>
      </c>
      <c r="E2911" s="34">
        <v>2</v>
      </c>
      <c r="F2911" s="34">
        <v>15</v>
      </c>
      <c r="G2911" s="10">
        <v>73296</v>
      </c>
      <c r="H2911" s="30" t="str">
        <f ca="1">IFERROR(__xludf.DUMMYFUNCTION("LOWER(REGEXREPLACE(B2911&amp;"" ""&amp;C2911,""[^а-яa-z0-9 ]"","" ""))")," антель     015 профессиональная шестигранная обрезиненная  15 кг  антели     015 профессиональные шестигранные обрезиненные   ромированные ручки с мягкой насечкой    вет   ром черный   остав  сталь  резина  вес 15 кг ")</f>
        <v xml:space="preserve"> антель     015 профессиональная шестигранная обрезиненная  15 кг  антели     015 профессиональные шестигранные обрезиненные   ромированные ручки с мягкой насечкой    вет   ром черный   остав  сталь  резина  вес 15 кг </v>
      </c>
    </row>
    <row r="2912" spans="1:8" ht="38.25" x14ac:dyDescent="0.2">
      <c r="A2912" s="31" t="s">
        <v>6805</v>
      </c>
      <c r="B2912" s="27" t="s">
        <v>6806</v>
      </c>
      <c r="C2912" s="27" t="s">
        <v>6807</v>
      </c>
      <c r="D2912" s="33" t="s">
        <v>14</v>
      </c>
      <c r="E2912" s="34">
        <v>2</v>
      </c>
      <c r="F2912" s="35">
        <v>17.5</v>
      </c>
      <c r="G2912" s="10">
        <v>85513</v>
      </c>
      <c r="H2912" s="30" t="str">
        <f ca="1">IFERROR(__xludf.DUMMYFUNCTION("LOWER(REGEXREPLACE(B2912&amp;"" ""&amp;C2912,""[^а-яa-z0-9 ]"","" ""))")," антель     175 профессиональная шестигранная обрезиненная  17 5 кг  антели     175 профессиональные шестигранные обрезиненные   ромированные ручки с мягкой насечкой    вет   ром черный   остав  сталь  резина  вес 17 5 кг ")</f>
        <v xml:space="preserve"> антель     175 профессиональная шестигранная обрезиненная  17 5 кг  антели     175 профессиональные шестигранные обрезиненные   ромированные ручки с мягкой насечкой    вет   ром черный   остав  сталь  резина  вес 17 5 кг </v>
      </c>
    </row>
    <row r="2913" spans="1:8" ht="38.25" x14ac:dyDescent="0.2">
      <c r="A2913" s="31" t="s">
        <v>6808</v>
      </c>
      <c r="B2913" s="27" t="s">
        <v>6809</v>
      </c>
      <c r="C2913" s="27" t="s">
        <v>6810</v>
      </c>
      <c r="D2913" s="33" t="s">
        <v>14</v>
      </c>
      <c r="E2913" s="34">
        <v>2</v>
      </c>
      <c r="F2913" s="34">
        <v>20</v>
      </c>
      <c r="G2913" s="10">
        <v>98778</v>
      </c>
      <c r="H2913" s="30" t="str">
        <f ca="1">IFERROR(__xludf.DUMMYFUNCTION("LOWER(REGEXREPLACE(B2913&amp;"" ""&amp;C2913,""[^а-яa-z0-9 ]"","" ""))")," антель     020 профессиональная шестигранная обрезиненная  20 кг  антели     020 профессиональные шестигранные обрезиненные   ромированные ручки с мягкой насечкой    вет   ром черный   остав  сталь  резина  вес 20 кг ")</f>
        <v xml:space="preserve"> антель     020 профессиональная шестигранная обрезиненная  20 кг  антели     020 профессиональные шестигранные обрезиненные   ромированные ручки с мягкой насечкой    вет   ром черный   остав  сталь  резина  вес 20 кг </v>
      </c>
    </row>
    <row r="2914" spans="1:8" ht="38.25" x14ac:dyDescent="0.2">
      <c r="A2914" s="31" t="s">
        <v>6811</v>
      </c>
      <c r="B2914" s="27" t="s">
        <v>6812</v>
      </c>
      <c r="C2914" s="27" t="s">
        <v>6813</v>
      </c>
      <c r="D2914" s="33" t="s">
        <v>14</v>
      </c>
      <c r="E2914" s="34">
        <v>2</v>
      </c>
      <c r="F2914" s="34">
        <v>25</v>
      </c>
      <c r="G2914" s="10">
        <v>122161</v>
      </c>
      <c r="H2914" s="30" t="str">
        <f ca="1">IFERROR(__xludf.DUMMYFUNCTION("LOWER(REGEXREPLACE(B2914&amp;"" ""&amp;C2914,""[^а-яa-z0-9 ]"","" ""))")," антель     025 профессиональная шестигранная обрезиненная  25 кг  антели     025 профессиональные шестигранные обрезиненные   ромированные ручки с мягкой насечкой    вет   ром черный   остав  сталь  резина  вес 25 кг ")</f>
        <v xml:space="preserve"> антель     025 профессиональная шестигранная обрезиненная  25 кг  антели     025 профессиональные шестигранные обрезиненные   ромированные ручки с мягкой насечкой    вет   ром черный   остав  сталь  резина  вес 25 кг </v>
      </c>
    </row>
    <row r="2915" spans="1:8" ht="38.25" x14ac:dyDescent="0.2">
      <c r="A2915" s="31" t="s">
        <v>6814</v>
      </c>
      <c r="B2915" s="27" t="s">
        <v>6815</v>
      </c>
      <c r="C2915" s="27" t="s">
        <v>6816</v>
      </c>
      <c r="D2915" s="33" t="s">
        <v>14</v>
      </c>
      <c r="E2915" s="34">
        <v>2</v>
      </c>
      <c r="F2915" s="35">
        <v>0.5</v>
      </c>
      <c r="G2915" s="10">
        <v>1348</v>
      </c>
      <c r="H2915" s="30" t="str">
        <f ca="1">IFERROR(__xludf.DUMMYFUNCTION("LOWER(REGEXREPLACE(B2915&amp;"" ""&amp;C2915,""[^а-яa-z0-9 ]"","" ""))")," антель для фитнеса      005  в виниловой оболочке   0 5 кг  антели для фитнеса      005  в виниловой оболочке форма шестигранник   ехнические характеристики   ес  0 5 кг   иаметр рукояти  25 мм ")</f>
        <v xml:space="preserve"> антель для фитнеса      005  в виниловой оболочке   0 5 кг  антели для фитнеса      005  в виниловой оболочке форма шестигранник   ехнические характеристики   ес  0 5 кг   иаметр рукояти  25 мм </v>
      </c>
    </row>
    <row r="2916" spans="1:8" ht="38.25" x14ac:dyDescent="0.2">
      <c r="A2916" s="31" t="s">
        <v>6817</v>
      </c>
      <c r="B2916" s="27" t="s">
        <v>6818</v>
      </c>
      <c r="C2916" s="27" t="s">
        <v>6819</v>
      </c>
      <c r="D2916" s="33" t="s">
        <v>14</v>
      </c>
      <c r="E2916" s="34">
        <v>2</v>
      </c>
      <c r="F2916" s="34">
        <v>1</v>
      </c>
      <c r="G2916" s="10">
        <v>2726</v>
      </c>
      <c r="H2916" s="30" t="str">
        <f ca="1">IFERROR(__xludf.DUMMYFUNCTION("LOWER(REGEXREPLACE(B2916&amp;"" ""&amp;C2916,""[^а-яa-z0-9 ]"","" ""))")," антель для фитнеса      001  в виниловой оболочке  1 кг  антели для фитнеса      001  в виниловой оболочке форма шестигранник   ехнические характеристики   ес 1 кг   иаметр рукояти  25 мм ")</f>
        <v xml:space="preserve"> антель для фитнеса      001  в виниловой оболочке  1 кг  антели для фитнеса      001  в виниловой оболочке форма шестигранник   ехнические характеристики   ес 1 кг   иаметр рукояти  25 мм </v>
      </c>
    </row>
    <row r="2917" spans="1:8" ht="38.25" x14ac:dyDescent="0.2">
      <c r="A2917" s="31" t="s">
        <v>6820</v>
      </c>
      <c r="B2917" s="27" t="s">
        <v>6821</v>
      </c>
      <c r="C2917" s="27" t="s">
        <v>6822</v>
      </c>
      <c r="D2917" s="33" t="s">
        <v>14</v>
      </c>
      <c r="E2917" s="34">
        <v>2</v>
      </c>
      <c r="F2917" s="34">
        <v>2</v>
      </c>
      <c r="G2917" s="10">
        <v>5452</v>
      </c>
      <c r="H2917" s="30" t="str">
        <f ca="1">IFERROR(__xludf.DUMMYFUNCTION("LOWER(REGEXREPLACE(B2917&amp;"" ""&amp;C2917,""[^а-яa-z0-9 ]"","" ""))")," антель для фитнеса      002  в виниловой оболочке  2 кг  антели для фитнеса      002  в виниловой оболочке форма шестигранник   ехнические характеристики   ес  2 кг   иаметр рукояти  25 мм ")</f>
        <v xml:space="preserve"> антель для фитнеса      002  в виниловой оболочке  2 кг  антели для фитнеса      002  в виниловой оболочке форма шестигранник   ехнические характеристики   ес  2 кг   иаметр рукояти  25 мм </v>
      </c>
    </row>
    <row r="2918" spans="1:8" ht="25.5" x14ac:dyDescent="0.2">
      <c r="A2918" s="31" t="s">
        <v>6823</v>
      </c>
      <c r="B2918" s="27" t="s">
        <v>6824</v>
      </c>
      <c r="C2918" s="27" t="s">
        <v>6825</v>
      </c>
      <c r="D2918" s="33" t="s">
        <v>14</v>
      </c>
      <c r="E2918" s="34">
        <v>2</v>
      </c>
      <c r="F2918" s="34">
        <v>3</v>
      </c>
      <c r="G2918" s="10">
        <v>8229</v>
      </c>
      <c r="H2918" s="30" t="str">
        <f ca="1">IFERROR(__xludf.DUMMYFUNCTION("LOWER(REGEXREPLACE(B2918&amp;"" ""&amp;C2918,""[^а-яa-z0-9 ]"","" ""))")," антель для фитнеса      003 в виниловой оболочке  3 кг  антели для фитнеса      003 в виниловой оболочке форма шестигранник   ехнические характеристики   ес  3 кг   иаметр рукояти  25 мм ")</f>
        <v xml:space="preserve"> антель для фитнеса      003 в виниловой оболочке  3 кг  антели для фитнеса      003 в виниловой оболочке форма шестигранник   ехнические характеристики   ес  3 кг   иаметр рукояти  25 мм </v>
      </c>
    </row>
    <row r="2919" spans="1:8" ht="25.5" x14ac:dyDescent="0.2">
      <c r="A2919" s="31" t="s">
        <v>6826</v>
      </c>
      <c r="B2919" s="27" t="s">
        <v>6827</v>
      </c>
      <c r="C2919" s="27"/>
      <c r="D2919" s="33" t="s">
        <v>14</v>
      </c>
      <c r="E2919" s="34">
        <v>1</v>
      </c>
      <c r="F2919" s="34">
        <v>25</v>
      </c>
      <c r="G2919" s="10">
        <v>14732</v>
      </c>
      <c r="H2919" s="30" t="str">
        <f ca="1">IFERROR(__xludf.DUMMYFUNCTION("LOWER(REGEXREPLACE(B2919&amp;"" ""&amp;C2919,""[^а-яa-z0-9 ]"","" ""))")," емпионский набор детский тренажер для баскетбола с дартсом ")</f>
        <v xml:space="preserve"> емпионский набор детский тренажер для баскетбола с дартсом </v>
      </c>
    </row>
    <row r="2920" spans="1:8" ht="12.75" x14ac:dyDescent="0.2">
      <c r="A2920" s="31" t="s">
        <v>6828</v>
      </c>
      <c r="B2920" s="27" t="s">
        <v>6829</v>
      </c>
      <c r="C2920" s="27"/>
      <c r="D2920" s="33" t="s">
        <v>68</v>
      </c>
      <c r="E2920" s="34">
        <v>1</v>
      </c>
      <c r="F2920" s="32"/>
      <c r="G2920" s="10"/>
      <c r="H2920" s="30" t="str">
        <f ca="1">IFERROR(__xludf.DUMMYFUNCTION("LOWER(REGEXREPLACE(B2920&amp;"" ""&amp;C2920,""[^а-яa-z0-9 ]"","" ""))")," тойка для бадминтона ")</f>
        <v xml:space="preserve"> тойка для бадминтона </v>
      </c>
    </row>
    <row r="2921" spans="1:8" ht="12.75" x14ac:dyDescent="0.2">
      <c r="A2921" s="31" t="s">
        <v>6830</v>
      </c>
      <c r="B2921" s="27" t="s">
        <v>6831</v>
      </c>
      <c r="C2921" s="27"/>
      <c r="D2921" s="33" t="s">
        <v>68</v>
      </c>
      <c r="E2921" s="34">
        <v>1</v>
      </c>
      <c r="F2921" s="34">
        <v>30</v>
      </c>
      <c r="G2921" s="10">
        <v>33036</v>
      </c>
      <c r="H2921" s="30" t="str">
        <f ca="1">IFERROR(__xludf.DUMMYFUNCTION("LOWER(REGEXREPLACE(B2921&amp;"" ""&amp;C2921,""[^а-яa-z0-9 ]"","" ""))")," тойка для бадминтона мобильная ")</f>
        <v xml:space="preserve"> тойка для бадминтона мобильная </v>
      </c>
    </row>
    <row r="2922" spans="1:8" ht="102" x14ac:dyDescent="0.2">
      <c r="A2922" s="31" t="s">
        <v>6832</v>
      </c>
      <c r="B2922" s="27" t="s">
        <v>6833</v>
      </c>
      <c r="C2922" s="27" t="s">
        <v>6834</v>
      </c>
      <c r="D2922" s="33" t="s">
        <v>68</v>
      </c>
      <c r="E2922" s="34">
        <v>2</v>
      </c>
      <c r="F2922" s="34">
        <v>80</v>
      </c>
      <c r="G2922" s="10">
        <v>164671</v>
      </c>
      <c r="H2922" s="30" t="str">
        <f ca="1">IFERROR(__xludf.DUMMYFUNCTION("LOWER(REGEXREPLACE(B2922&amp;"" ""&amp;C2922,""[^а-яa-z0-9 ]"","" ""))")," тойка бадминтонная мобильная  на обрезиненных колесах  на каждой стойке имеется наборный противовес 70кг   ысота стойки  155 см  тойки бадминтонные мобильные на обрезиненных колесах  на каждой стойке имеется наборный противовес 70кг   ысота стойки  155 с"&amp;"м   варные швы и поверхность обработана качественной полимерно порошковой краской   рорезиненные колеса с подшипниковым механизмом легко перемещаются по покрытию любого типа   еталлический ролик для натяжения троса  прослужит долго и подойдет для сеток со"&amp;" стальным тросом   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 ")</f>
        <v xml:space="preserve"> тойка бадминтонная мобильная  на обрезиненных колесах  на каждой стойке имеется наборный противовес 70кг   ысота стойки  155 см  тойки бадминтонные мобильные на обрезиненных колесах  на каждой стойке имеется наборный противовес 70кг   ысота стойки  155 см   варные швы и поверхность обработана качественной полимерно порошковой краской   рорезиненные колеса с подшипниковым механизмом легко перемещаются по покрытию любого типа   еталлический ролик для натяжения троса  прослужит долго и подойдет для сеток со стальным тросом   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 </v>
      </c>
    </row>
    <row r="2923" spans="1:8" ht="12.75" x14ac:dyDescent="0.2">
      <c r="A2923" s="31" t="s">
        <v>6835</v>
      </c>
      <c r="B2923" s="27" t="s">
        <v>6836</v>
      </c>
      <c r="C2923" s="27"/>
      <c r="D2923" s="33" t="s">
        <v>14</v>
      </c>
      <c r="E2923" s="34">
        <v>1</v>
      </c>
      <c r="F2923" s="36">
        <v>0.43</v>
      </c>
      <c r="G2923" s="10"/>
      <c r="H2923" s="30" t="str">
        <f ca="1">IFERROR(__xludf.DUMMYFUNCTION("LOWER(REGEXREPLACE(B2923&amp;"" ""&amp;C2923,""[^а-яa-z0-9 ]"","" ""))")," етка для бадминтона ")</f>
        <v xml:space="preserve"> етка для бадминтона </v>
      </c>
    </row>
    <row r="2924" spans="1:8" ht="25.5" x14ac:dyDescent="0.2">
      <c r="A2924" s="31" t="s">
        <v>6837</v>
      </c>
      <c r="B2924" s="27" t="s">
        <v>6838</v>
      </c>
      <c r="C2924" s="27"/>
      <c r="D2924" s="33" t="s">
        <v>14</v>
      </c>
      <c r="E2924" s="34">
        <v>2</v>
      </c>
      <c r="F2924" s="36">
        <v>0.43</v>
      </c>
      <c r="G2924" s="10">
        <v>2430</v>
      </c>
      <c r="H2924" s="30" t="str">
        <f ca="1">IFERROR(__xludf.DUMMYFUNCTION("LOWER(REGEXREPLACE(B2924&amp;"" ""&amp;C2924,""[^а-яa-z0-9 ]"","" ""))")," етка для бадминтона   олщина нити 1 6мм  материал нити сетки полипропилен ")</f>
        <v xml:space="preserve"> етка для бадминтона   олщина нити 1 6мм  материал нити сетки полипропилен </v>
      </c>
    </row>
    <row r="2925" spans="1:8" ht="38.25" x14ac:dyDescent="0.2">
      <c r="A2925" s="31" t="s">
        <v>6839</v>
      </c>
      <c r="B2925" s="27" t="s">
        <v>6840</v>
      </c>
      <c r="C2925" s="27" t="s">
        <v>6841</v>
      </c>
      <c r="D2925" s="33" t="s">
        <v>14</v>
      </c>
      <c r="E2925" s="34">
        <v>2</v>
      </c>
      <c r="F2925" s="35">
        <v>0.5</v>
      </c>
      <c r="G2925" s="10">
        <v>7178</v>
      </c>
      <c r="H2925" s="30" t="str">
        <f ca="1">IFERROR(__xludf.DUMMYFUNCTION("LOWER(REGEXREPLACE(B2925&amp;"" ""&amp;C2925,""[^а-яa-z0-9 ]"","" ""))")," етка для бадминтона  материал изготовления нейлон  зготовлен из нейлона   азмеры  610 см   ирина 76 см   иаметр нити 1 6 мм    атериал троса   полипропилен   азмеры верхней ленты 4х35 мм   азмеры нижней нейлоновой ленты диам  3 мм ")</f>
        <v xml:space="preserve"> етка для бадминтона  материал изготовления нейлон  зготовлен из нейлона   азмеры  610 см   ирина 76 см   иаметр нити 1 6 мм    атериал троса   полипропилен   азмеры верхней ленты 4х35 мм   азмеры нижней нейлоновой ленты диам  3 мм </v>
      </c>
    </row>
    <row r="2926" spans="1:8" ht="12.75" x14ac:dyDescent="0.2">
      <c r="A2926" s="31" t="s">
        <v>6842</v>
      </c>
      <c r="B2926" s="27" t="s">
        <v>6843</v>
      </c>
      <c r="C2926" s="27"/>
      <c r="D2926" s="33" t="s">
        <v>14</v>
      </c>
      <c r="E2926" s="9"/>
      <c r="F2926" s="32"/>
      <c r="G2926" s="10"/>
      <c r="H2926" s="30" t="str">
        <f ca="1">IFERROR(__xludf.DUMMYFUNCTION("LOWER(REGEXREPLACE(B2926&amp;"" ""&amp;C2926,""[^а-яa-z0-9 ]"","" ""))")," ерекладина гимнастическая ")</f>
        <v xml:space="preserve"> ерекладина гимнастическая </v>
      </c>
    </row>
    <row r="2927" spans="1:8" ht="25.5" x14ac:dyDescent="0.2">
      <c r="A2927" s="31" t="s">
        <v>6844</v>
      </c>
      <c r="B2927" s="27" t="s">
        <v>6845</v>
      </c>
      <c r="C2927" s="27" t="s">
        <v>6846</v>
      </c>
      <c r="D2927" s="33" t="s">
        <v>14</v>
      </c>
      <c r="E2927" s="34">
        <v>1</v>
      </c>
      <c r="F2927" s="34">
        <v>55</v>
      </c>
      <c r="G2927" s="10">
        <v>44600</v>
      </c>
      <c r="H2927" s="30" t="str">
        <f ca="1">IFERROR(__xludf.DUMMYFUNCTION("LOWER(REGEXREPLACE(B2927&amp;"" ""&amp;C2927,""[^а-яa-z0-9 ]"","" ""))")," ерекладина универсальная гимнастическая  ерекладина гимнастическая универсальная   росс 3000мм ")</f>
        <v xml:space="preserve"> ерекладина универсальная гимнастическая  ерекладина гимнастическая универсальная   росс 3000мм </v>
      </c>
    </row>
    <row r="2928" spans="1:8" ht="12.75" x14ac:dyDescent="0.2">
      <c r="A2928" s="31" t="s">
        <v>6847</v>
      </c>
      <c r="B2928" s="27" t="s">
        <v>6848</v>
      </c>
      <c r="C2928" s="27"/>
      <c r="D2928" s="33" t="s">
        <v>14</v>
      </c>
      <c r="E2928" s="34">
        <v>1</v>
      </c>
      <c r="F2928" s="34">
        <v>55</v>
      </c>
      <c r="G2928" s="10">
        <v>35714</v>
      </c>
      <c r="H2928" s="30" t="str">
        <f ca="1">IFERROR(__xludf.DUMMYFUNCTION("LOWER(REGEXREPLACE(B2928&amp;"" ""&amp;C2928,""[^а-яa-z0-9 ]"","" ""))")," ерекладина гимнастическая пристенная ")</f>
        <v xml:space="preserve"> ерекладина гимнастическая пристенная </v>
      </c>
    </row>
    <row r="2929" spans="1:8" ht="76.5" x14ac:dyDescent="0.2">
      <c r="A2929" s="31" t="s">
        <v>6849</v>
      </c>
      <c r="B2929" s="27" t="s">
        <v>6850</v>
      </c>
      <c r="C2929" s="27" t="s">
        <v>6851</v>
      </c>
      <c r="D2929" s="33" t="s">
        <v>14</v>
      </c>
      <c r="E2929" s="34">
        <v>2</v>
      </c>
      <c r="F2929" s="34">
        <v>100</v>
      </c>
      <c r="G2929" s="10">
        <v>339462</v>
      </c>
      <c r="H2929" s="30" t="str">
        <f ca="1">IFERROR(__xludf.DUMMYFUNCTION("LOWER(REGEXREPLACE(B2929&amp;"" ""&amp;C2929,""[^а-яa-z0-9 ]"","" ""))")," ерекладина гимнастическая универсальная  редставляет собой сборную металлическую конструкцию  состоящую из стержня  двух стоек и четыр х растяжек   тержень изготовлен из высокопрочной стали  и обладает высокой упругостью   ысота верхней образующей стержн"&amp;"я от пола   наименьшая   1450мм  наибольшая   2550мм   егулировка по высоте с интервалом   50   200   лина стержня между головками стоек   2400мм   иаметр стержня   28мм ")</f>
        <v xml:space="preserve"> ерекладина гимнастическая универсальная  редставляет собой сборную металлическую конструкцию  состоящую из стержня  двух стоек и четыр х растяжек   тержень изготовлен из высокопрочной стали  и обладает высокой упругостью   ысота верхней образующей стержня от пола   наименьшая   1450мм  наибольшая   2550мм   егулировка по высоте с интервалом   50   200   лина стержня между головками стоек   2400мм   иаметр стержня   28мм </v>
      </c>
    </row>
    <row r="2930" spans="1:8" ht="76.5" x14ac:dyDescent="0.2">
      <c r="A2930" s="31" t="s">
        <v>6852</v>
      </c>
      <c r="B2930" s="27" t="s">
        <v>6853</v>
      </c>
      <c r="C2930" s="27" t="s">
        <v>6854</v>
      </c>
      <c r="D2930" s="33" t="s">
        <v>14</v>
      </c>
      <c r="E2930" s="34">
        <v>2</v>
      </c>
      <c r="F2930" s="34">
        <v>75</v>
      </c>
      <c r="G2930" s="10">
        <v>267501</v>
      </c>
      <c r="H2930" s="30" t="str">
        <f ca="1">IFERROR(__xludf.DUMMYFUNCTION("LOWER(REGEXREPLACE(B2930&amp;"" ""&amp;C2930,""[^а-яa-z0-9 ]"","" ""))")," ерекладина гимнастическая пристенная    0118   ерекладина гимнастическая на растяжках  пристенная  ерекладина гимнастическая пристенная    0118   ерекладина гимнастическая на растяжках  пристенная   ыполнена из 1 й телескопической стойки и 1 й пристенной"&amp;" планки  перекладины  2 х растяжек и 2 х закладных элементов  с прячущимся крючком для крепления растяжек к полу    егулируемая высота  от 1450 до 2550 мм   егулировка с интервалом 100 мм   лина стержня  2400 мм    28 мм   атериал стержня  высокопрочная л"&amp;"егированная сталь ")</f>
        <v xml:space="preserve"> ерекладина гимнастическая пристенная    0118   ерекладина гимнастическая на растяжках  пристенная  ерекладина гимнастическая пристенная    0118   ерекладина гимнастическая на растяжках  пристенная   ыполнена из 1 й телескопической стойки и 1 й пристенной планки  перекладины  2 х растяжек и 2 х закладных элементов  с прячущимся крючком для крепления растяжек к полу    егулируемая высота  от 1450 до 2550 мм   егулировка с интервалом 100 мм   лина стержня  2400 мм    28 мм   атериал стержня  высокопрочная легированная сталь </v>
      </c>
    </row>
    <row r="2931" spans="1:8" ht="89.25" x14ac:dyDescent="0.2">
      <c r="A2931" s="31" t="s">
        <v>6855</v>
      </c>
      <c r="B2931" s="27" t="s">
        <v>6856</v>
      </c>
      <c r="C2931" s="27" t="s">
        <v>6857</v>
      </c>
      <c r="D2931" s="33" t="s">
        <v>14</v>
      </c>
      <c r="E2931" s="34">
        <v>2</v>
      </c>
      <c r="F2931" s="34">
        <v>8</v>
      </c>
      <c r="G2931" s="10">
        <v>46104</v>
      </c>
      <c r="H2931" s="30" t="str">
        <f ca="1">IFERROR(__xludf.DUMMYFUNCTION("LOWER(REGEXREPLACE(B2931&amp;"" ""&amp;C2931,""[^а-яa-z0-9 ]"","" ""))")," ренажер  перекладина  навесная с широким хватом     5130   редставляет собой цельно сварную конструкцию   лина перекладины 1180мм  высота 540 мм  вынос 600мм  ренажер  перекладина  навесная с широким хватом     5130   ерекладина навесная предназначена дл"&amp;"я навешивания на гимнастическую стенку   редставляет собой цельно сварную конструкцию   оверхность тренажера перекладины окрашена порошковой эмалью   меются крючки для навешивания на стенку   лина перекладины 1180мм  высота 540 мм  вынос 600мм   аркас изг"&amp;"отовлен из профильной трубы 30 30мм  перекладина изготовлена из трубы диам  30мм ")</f>
        <v xml:space="preserve"> ренажер  перекладина  навесная с широким хватом     5130   редставляет собой цельно сварную конструкцию   лина перекладины 1180мм  высота 540 мм  вынос 600мм  ренажер  перекладина  навесная с широким хватом     5130   ерекладина навесная предназначена для навешивания на гимнастическую стенку   редставляет собой цельно сварную конструкцию   оверхность тренажера перекладины окрашена порошковой эмалью   меются крючки для навешивания на стенку   лина перекладины 1180мм  высота 540 мм  вынос 600мм   аркас изготовлен из профильной трубы 30 30мм  перекладина изготовлена из трубы диам  30мм </v>
      </c>
    </row>
    <row r="2932" spans="1:8" ht="12.75" x14ac:dyDescent="0.2">
      <c r="A2932" s="31" t="s">
        <v>6858</v>
      </c>
      <c r="B2932" s="27" t="s">
        <v>6859</v>
      </c>
      <c r="C2932" s="27"/>
      <c r="D2932" s="33" t="s">
        <v>14</v>
      </c>
      <c r="E2932" s="9"/>
      <c r="F2932" s="32"/>
      <c r="G2932" s="10"/>
      <c r="H2932" s="30" t="str">
        <f ca="1">IFERROR(__xludf.DUMMYFUNCTION("LOWER(REGEXREPLACE(B2932&amp;"" ""&amp;C2932,""[^а-яa-z0-9 ]"","" ""))")," раната для метания ")</f>
        <v xml:space="preserve"> раната для метания </v>
      </c>
    </row>
    <row r="2933" spans="1:8" ht="25.5" x14ac:dyDescent="0.2">
      <c r="A2933" s="31" t="s">
        <v>6860</v>
      </c>
      <c r="B2933" s="27" t="s">
        <v>6861</v>
      </c>
      <c r="C2933" s="27" t="s">
        <v>6862</v>
      </c>
      <c r="D2933" s="33" t="s">
        <v>14</v>
      </c>
      <c r="E2933" s="34">
        <v>1</v>
      </c>
      <c r="F2933" s="35">
        <v>0.5</v>
      </c>
      <c r="G2933" s="10">
        <v>5943</v>
      </c>
      <c r="H2933" s="30" t="str">
        <f ca="1">IFERROR(__xludf.DUMMYFUNCTION("LOWER(REGEXREPLACE(B2933&amp;"" ""&amp;C2933,""[^а-яa-z0-9 ]"","" ""))")," ранаты для метания 500 гр  раната состоит из деревянной ручки и металлического стакана с эмалевым покрытием черного цвета  диаметром 48мм   ес 500 грамм")</f>
        <v xml:space="preserve"> ранаты для метания 500 гр  раната состоит из деревянной ручки и металлического стакана с эмалевым покрытием черного цвета  диаметром 48мм   ес 500 грамм</v>
      </c>
    </row>
    <row r="2934" spans="1:8" ht="25.5" x14ac:dyDescent="0.2">
      <c r="A2934" s="31" t="s">
        <v>6863</v>
      </c>
      <c r="B2934" s="27" t="s">
        <v>6864</v>
      </c>
      <c r="C2934" s="27" t="s">
        <v>6865</v>
      </c>
      <c r="D2934" s="33" t="s">
        <v>14</v>
      </c>
      <c r="E2934" s="34">
        <v>1</v>
      </c>
      <c r="F2934" s="35">
        <v>0.7</v>
      </c>
      <c r="G2934" s="10">
        <v>6793</v>
      </c>
      <c r="H2934" s="30" t="str">
        <f ca="1">IFERROR(__xludf.DUMMYFUNCTION("LOWER(REGEXREPLACE(B2934&amp;"" ""&amp;C2934,""[^а-яa-z0-9 ]"","" ""))")," ранаты для метания 700 гр  раната состоит из деревянной ручки и металлического стакана с эмалевым покрытием черного цвета  диаметром 48мм   ес 700 грамм")</f>
        <v xml:space="preserve"> ранаты для метания 700 гр  раната состоит из деревянной ручки и металлического стакана с эмалевым покрытием черного цвета  диаметром 48мм   ес 700 грамм</v>
      </c>
    </row>
    <row r="2935" spans="1:8" ht="25.5" x14ac:dyDescent="0.2">
      <c r="A2935" s="31" t="s">
        <v>6866</v>
      </c>
      <c r="B2935" s="27" t="s">
        <v>6867</v>
      </c>
      <c r="C2935" s="27" t="s">
        <v>6868</v>
      </c>
      <c r="D2935" s="33" t="s">
        <v>14</v>
      </c>
      <c r="E2935" s="34">
        <v>1</v>
      </c>
      <c r="F2935" s="35">
        <v>0.3</v>
      </c>
      <c r="G2935" s="10">
        <v>5383</v>
      </c>
      <c r="H2935" s="30" t="str">
        <f ca="1">IFERROR(__xludf.DUMMYFUNCTION("LOWER(REGEXREPLACE(B2935&amp;"" ""&amp;C2935,""[^а-яa-z0-9 ]"","" ""))")," раната для метания 300 гр  раната состоит из деревянной ручки и металлического стакана с эмалевым покрытием черного цвета  диаметром 48мм   ес 300 грамм")</f>
        <v xml:space="preserve"> раната для метания 300 гр  раната состоит из деревянной ручки и металлического стакана с эмалевым покрытием черного цвета  диаметром 48мм   ес 300 грамм</v>
      </c>
    </row>
    <row r="2936" spans="1:8" ht="12.75" x14ac:dyDescent="0.2">
      <c r="A2936" s="31" t="s">
        <v>6869</v>
      </c>
      <c r="B2936" s="27" t="s">
        <v>6870</v>
      </c>
      <c r="C2936" s="27"/>
      <c r="D2936" s="33" t="s">
        <v>14</v>
      </c>
      <c r="E2936" s="9"/>
      <c r="F2936" s="32"/>
      <c r="G2936" s="10"/>
      <c r="H2936" s="30" t="str">
        <f ca="1">IFERROR(__xludf.DUMMYFUNCTION("LOWER(REGEXREPLACE(B2936&amp;"" ""&amp;C2936,""[^а-яa-z0-9 ]"","" ""))")," ольцо баскетбольное ")</f>
        <v xml:space="preserve"> ольцо баскетбольное </v>
      </c>
    </row>
    <row r="2937" spans="1:8" ht="12.75" x14ac:dyDescent="0.2">
      <c r="A2937" s="31" t="s">
        <v>6871</v>
      </c>
      <c r="B2937" s="27" t="s">
        <v>6872</v>
      </c>
      <c r="C2937" s="27"/>
      <c r="D2937" s="33" t="s">
        <v>14</v>
      </c>
      <c r="E2937" s="34">
        <v>1</v>
      </c>
      <c r="F2937" s="35">
        <v>4.5</v>
      </c>
      <c r="G2937" s="10">
        <v>4911</v>
      </c>
      <c r="H2937" s="30" t="str">
        <f ca="1">IFERROR(__xludf.DUMMYFUNCTION("LOWER(REGEXREPLACE(B2937&amp;"" ""&amp;C2937,""[^а-яa-z0-9 ]"","" ""))")," аскетбольное кольцо ")</f>
        <v xml:space="preserve"> аскетбольное кольцо </v>
      </c>
    </row>
    <row r="2938" spans="1:8" ht="12.75" x14ac:dyDescent="0.2">
      <c r="A2938" s="31" t="s">
        <v>6873</v>
      </c>
      <c r="B2938" s="27" t="s">
        <v>6874</v>
      </c>
      <c r="C2938" s="27"/>
      <c r="D2938" s="33" t="s">
        <v>14</v>
      </c>
      <c r="E2938" s="34">
        <v>1</v>
      </c>
      <c r="F2938" s="35">
        <v>4.5</v>
      </c>
      <c r="G2938" s="10">
        <v>8482</v>
      </c>
      <c r="H2938" s="30" t="str">
        <f ca="1">IFERROR(__xludf.DUMMYFUNCTION("LOWER(REGEXREPLACE(B2938&amp;"" ""&amp;C2938,""[^а-яa-z0-9 ]"","" ""))")," аскетбольное кольцо на оргстекло ")</f>
        <v xml:space="preserve"> аскетбольное кольцо на оргстекло </v>
      </c>
    </row>
    <row r="2939" spans="1:8" ht="25.5" x14ac:dyDescent="0.2">
      <c r="A2939" s="31" t="s">
        <v>6875</v>
      </c>
      <c r="B2939" s="27" t="s">
        <v>6876</v>
      </c>
      <c r="C2939" s="27"/>
      <c r="D2939" s="33" t="s">
        <v>14</v>
      </c>
      <c r="E2939" s="34">
        <v>1</v>
      </c>
      <c r="F2939" s="35">
        <v>4.5999999999999996</v>
      </c>
      <c r="G2939" s="10">
        <v>11607</v>
      </c>
      <c r="H2939" s="30" t="str">
        <f ca="1">IFERROR(__xludf.DUMMYFUNCTION("LOWER(REGEXREPLACE(B2939&amp;"" ""&amp;C2939,""[^а-яa-z0-9 ]"","" ""))")," аскетбольное кольцо на оргстекло с амортизатором ")</f>
        <v xml:space="preserve"> аскетбольное кольцо на оргстекло с амортизатором </v>
      </c>
    </row>
    <row r="2940" spans="1:8" ht="51" x14ac:dyDescent="0.2">
      <c r="A2940" s="31" t="s">
        <v>6877</v>
      </c>
      <c r="B2940" s="27" t="s">
        <v>6878</v>
      </c>
      <c r="C2940" s="27" t="s">
        <v>6879</v>
      </c>
      <c r="D2940" s="33" t="s">
        <v>14</v>
      </c>
      <c r="E2940" s="34">
        <v>2</v>
      </c>
      <c r="F2940" s="34">
        <v>7</v>
      </c>
      <c r="G2940" s="10">
        <v>22509</v>
      </c>
      <c r="H2940" s="30" t="str">
        <f ca="1">IFERROR(__xludf.DUMMYFUNCTION("LOWER(REGEXREPLACE(B2940&amp;"" ""&amp;C2940,""[^а-яa-z0-9 ]"","" ""))")," ольцо баскетбольное тренировочное  7  диаметр кольца   450 мм  аскетбольное кольцо тренировочное  7   иаметр кольца   450 мм   иаметр трубы   15 мм   рисоединительный размер под болты   100х80мм   оличество крючков   12 шт")</f>
        <v xml:space="preserve"> ольцо баскетбольное тренировочное  7  диаметр кольца   450 мм  аскетбольное кольцо тренировочное  7   иаметр кольца   450 мм   иаметр трубы   15 мм   рисоединительный размер под болты   100х80мм   оличество крючков   12 шт</v>
      </c>
    </row>
    <row r="2941" spans="1:8" ht="76.5" x14ac:dyDescent="0.2">
      <c r="A2941" s="31" t="s">
        <v>6880</v>
      </c>
      <c r="B2941" s="27" t="s">
        <v>6881</v>
      </c>
      <c r="C2941" s="27" t="s">
        <v>6882</v>
      </c>
      <c r="D2941" s="33" t="s">
        <v>14</v>
      </c>
      <c r="E2941" s="34">
        <v>2</v>
      </c>
      <c r="F2941" s="34">
        <v>12</v>
      </c>
      <c r="G2941" s="10">
        <v>37817</v>
      </c>
      <c r="H2941" s="30" t="str">
        <f ca="1">IFERROR(__xludf.DUMMYFUNCTION("LOWER(REGEXREPLACE(B2941&amp;"" ""&amp;C2941,""[^а-яa-z0-9 ]"","" ""))")," ольцо баскетбольное амортизационное соревновательное  7   атериал  металл   иаметр кольца 450мм  аскетбольное кольцо амортизационное  соревновательное  7   атериал   еталл   иаметр кольца   45см   иаметр прутка   2см   осадочные отверстия на щит   10х11с"&amp;"м   аскетбольное кольцо предназначено для проведения спортивных занятий в школах  спортивных секциях и на уличных тренировочных площадках   ольцо крепится к баскетбольному щиту   мортизирующий механизм снижает высокие нагрузки на кольцо ")</f>
        <v xml:space="preserve"> ольцо баскетбольное амортизационное соревновательное  7   атериал  металл   иаметр кольца 450мм  аскетбольное кольцо амортизационное  соревновательное  7   атериал   еталл   иаметр кольца   45см   иаметр прутка   2см   осадочные отверстия на щит   10х11см   аскетбольное кольцо предназначено для проведения спортивных занятий в школах  спортивных секциях и на уличных тренировочных площадках   ольцо крепится к баскетбольному щиту   мортизирующий механизм снижает высокие нагрузки на кольцо </v>
      </c>
    </row>
    <row r="2942" spans="1:8" ht="12.75" x14ac:dyDescent="0.2">
      <c r="A2942" s="31" t="s">
        <v>6883</v>
      </c>
      <c r="B2942" s="27" t="s">
        <v>6884</v>
      </c>
      <c r="C2942" s="27"/>
      <c r="D2942" s="33" t="s">
        <v>14</v>
      </c>
      <c r="E2942" s="9"/>
      <c r="F2942" s="32"/>
      <c r="G2942" s="10"/>
      <c r="H2942" s="30" t="str">
        <f ca="1">IFERROR(__xludf.DUMMYFUNCTION("LOWER(REGEXREPLACE(B2942&amp;"" ""&amp;C2942,""[^а-яa-z0-9 ]"","" ""))")," етка баскетбольная ")</f>
        <v xml:space="preserve"> етка баскетбольная </v>
      </c>
    </row>
    <row r="2943" spans="1:8" ht="12.75" x14ac:dyDescent="0.2">
      <c r="A2943" s="31" t="s">
        <v>6885</v>
      </c>
      <c r="B2943" s="27" t="s">
        <v>6886</v>
      </c>
      <c r="C2943" s="27"/>
      <c r="D2943" s="33" t="s">
        <v>14</v>
      </c>
      <c r="E2943" s="34">
        <v>1</v>
      </c>
      <c r="F2943" s="35">
        <v>0.4</v>
      </c>
      <c r="G2943" s="10">
        <v>536</v>
      </c>
      <c r="H2943" s="30" t="str">
        <f ca="1">IFERROR(__xludf.DUMMYFUNCTION("LOWER(REGEXREPLACE(B2943&amp;"" ""&amp;C2943,""[^а-яa-z0-9 ]"","" ""))")," етка для баскетбола ")</f>
        <v xml:space="preserve"> етка для баскетбола </v>
      </c>
    </row>
    <row r="2944" spans="1:8" ht="25.5" x14ac:dyDescent="0.2">
      <c r="A2944" s="31" t="s">
        <v>6887</v>
      </c>
      <c r="B2944" s="27" t="s">
        <v>6888</v>
      </c>
      <c r="C2944" s="27" t="s">
        <v>6889</v>
      </c>
      <c r="D2944" s="33" t="s">
        <v>14</v>
      </c>
      <c r="E2944" s="34">
        <v>2</v>
      </c>
      <c r="F2944" s="35">
        <v>0.1</v>
      </c>
      <c r="G2944" s="10">
        <v>3598</v>
      </c>
      <c r="H2944" s="30" t="str">
        <f ca="1">IFERROR(__xludf.DUMMYFUNCTION("LOWER(REGEXREPLACE(B2944&amp;"" ""&amp;C2944,""[^а-яa-z0-9 ]"","" ""))")," етка баскетбольная  длина 400мм  ячейка 50х50мм  етка баскетбольная   ить   3мм  12 петель   лина   400мм   нутренний диаметр   450 мм    чейка   50х50")</f>
        <v xml:space="preserve"> етка баскетбольная  длина 400мм  ячейка 50х50мм  етка баскетбольная   ить   3мм  12 петель   лина   400мм   нутренний диаметр   450 мм    чейка   50х50</v>
      </c>
    </row>
    <row r="2945" spans="1:8" ht="12.75" x14ac:dyDescent="0.2">
      <c r="A2945" s="31" t="s">
        <v>6890</v>
      </c>
      <c r="B2945" s="27" t="s">
        <v>6891</v>
      </c>
      <c r="C2945" s="27"/>
      <c r="D2945" s="32"/>
      <c r="E2945" s="9"/>
      <c r="F2945" s="32"/>
      <c r="G2945" s="10"/>
      <c r="H2945" s="30" t="str">
        <f ca="1">IFERROR(__xludf.DUMMYFUNCTION("LOWER(REGEXREPLACE(B2945&amp;"" ""&amp;C2945,""[^а-яa-z0-9 ]"","" ""))")," ахматы и шашки ")</f>
        <v xml:space="preserve"> ахматы и шашки </v>
      </c>
    </row>
    <row r="2946" spans="1:8" ht="12.75" x14ac:dyDescent="0.2">
      <c r="A2946" s="31" t="s">
        <v>6892</v>
      </c>
      <c r="B2946" s="27" t="s">
        <v>6893</v>
      </c>
      <c r="C2946" s="27"/>
      <c r="D2946" s="33" t="s">
        <v>14</v>
      </c>
      <c r="E2946" s="34">
        <v>1</v>
      </c>
      <c r="F2946" s="36">
        <v>0.68</v>
      </c>
      <c r="G2946" s="10">
        <v>2143</v>
      </c>
      <c r="H2946" s="30" t="str">
        <f ca="1">IFERROR(__xludf.DUMMYFUNCTION("LOWER(REGEXREPLACE(B2946&amp;"" ""&amp;C2946,""[^а-яa-z0-9 ]"","" ""))")," ахматы 3в 1  340мм х 340 мм  ")</f>
        <v xml:space="preserve"> ахматы 3в 1  340мм х 340 мм  </v>
      </c>
    </row>
    <row r="2947" spans="1:8" ht="12.75" x14ac:dyDescent="0.2">
      <c r="A2947" s="31" t="s">
        <v>6894</v>
      </c>
      <c r="B2947" s="27" t="s">
        <v>6895</v>
      </c>
      <c r="C2947" s="27"/>
      <c r="D2947" s="33" t="s">
        <v>14</v>
      </c>
      <c r="E2947" s="34">
        <v>1</v>
      </c>
      <c r="F2947" s="35">
        <v>0.7</v>
      </c>
      <c r="G2947" s="10">
        <v>10089</v>
      </c>
      <c r="H2947" s="30" t="str">
        <f ca="1">IFERROR(__xludf.DUMMYFUNCTION("LOWER(REGEXREPLACE(B2947&amp;"" ""&amp;C2947,""[^а-яa-z0-9 ]"","" ""))")," ахматы 3в 1  390мм х 390 мм  ")</f>
        <v xml:space="preserve"> ахматы 3в 1  390мм х 390 мм  </v>
      </c>
    </row>
    <row r="2948" spans="1:8" ht="38.25" x14ac:dyDescent="0.2">
      <c r="A2948" s="31" t="s">
        <v>6896</v>
      </c>
      <c r="B2948" s="8" t="s">
        <v>6897</v>
      </c>
      <c r="C2948" s="27" t="s">
        <v>6898</v>
      </c>
      <c r="D2948" s="33" t="s">
        <v>14</v>
      </c>
      <c r="E2948" s="34">
        <v>1</v>
      </c>
      <c r="F2948" s="34">
        <v>1</v>
      </c>
      <c r="G2948" s="10">
        <v>10127</v>
      </c>
      <c r="H2948" s="30" t="str">
        <f ca="1">IFERROR(__xludf.DUMMYFUNCTION("LOWER(REGEXREPLACE(B2948&amp;"" ""&amp;C2948,""[^а-яa-z0-9 ]"","" ""))")," ахматы размерами 440 х 440 х 30 мм     182  ахматы     182   абариты в закрытом виде  длина   44 см  ширина   22 см  высота   6 см   абариты в открытом виде  длина   44 см   ширина   44 см  высота   3 см")</f>
        <v xml:space="preserve"> ахматы размерами 440 х 440 х 30 мм     182  ахматы     182   абариты в закрытом виде  длина   44 см  ширина   22 см  высота   6 см   абариты в открытом виде  длина   44 см   ширина   44 см  высота   3 см</v>
      </c>
    </row>
    <row r="2949" spans="1:8" ht="38.25" x14ac:dyDescent="0.2">
      <c r="A2949" s="31" t="s">
        <v>6899</v>
      </c>
      <c r="B2949" s="8" t="s">
        <v>6900</v>
      </c>
      <c r="C2949" s="27" t="s">
        <v>6901</v>
      </c>
      <c r="D2949" s="33" t="s">
        <v>14</v>
      </c>
      <c r="E2949" s="34">
        <v>1</v>
      </c>
      <c r="F2949" s="34">
        <v>1</v>
      </c>
      <c r="G2949" s="10">
        <v>5858</v>
      </c>
      <c r="H2949" s="30" t="str">
        <f ca="1">IFERROR(__xludf.DUMMYFUNCTION("LOWER(REGEXREPLACE(B2949&amp;"" ""&amp;C2949,""[^а-яa-z0-9 ]"","" ""))")," ашки размерами 480 х 500 х 30 мм     214  ашки     214   абариты в закрытом виде  длина   48 см  ширина   25 см  высота   6 см   абариты в открытом виде  длина   48 см   ширина   50 см  высота   3 см")</f>
        <v xml:space="preserve"> ашки размерами 480 х 500 х 30 мм     214  ашки     214   абариты в закрытом виде  длина   48 см  ширина   25 см  высота   6 см   абариты в открытом виде  длина   48 см   ширина   50 см  высота   3 см</v>
      </c>
    </row>
    <row r="2950" spans="1:8" ht="25.5" x14ac:dyDescent="0.2">
      <c r="A2950" s="31" t="s">
        <v>6902</v>
      </c>
      <c r="B2950" s="27" t="s">
        <v>6903</v>
      </c>
      <c r="C2950" s="27"/>
      <c r="D2950" s="33" t="s">
        <v>68</v>
      </c>
      <c r="E2950" s="34">
        <v>1</v>
      </c>
      <c r="F2950" s="35">
        <v>0.6</v>
      </c>
      <c r="G2950" s="10">
        <v>7264</v>
      </c>
      <c r="H2950" s="30" t="str">
        <f ca="1">IFERROR(__xludf.DUMMYFUNCTION("LOWER(REGEXREPLACE(B2950&amp;"" ""&amp;C2950,""[^а-яa-z0-9 ]"","" ""))")," ахматная доска складная виниловая размерами 510 мм х 510 мм с фигурами     200 ")</f>
        <v xml:space="preserve"> ахматная доска складная виниловая размерами 510 мм х 510 мм с фигурами     200 </v>
      </c>
    </row>
    <row r="2951" spans="1:8" ht="12.75" x14ac:dyDescent="0.2">
      <c r="A2951" s="31" t="s">
        <v>6904</v>
      </c>
      <c r="B2951" s="27" t="s">
        <v>6905</v>
      </c>
      <c r="C2951" s="27"/>
      <c r="D2951" s="33" t="s">
        <v>14</v>
      </c>
      <c r="E2951" s="9"/>
      <c r="F2951" s="32"/>
      <c r="G2951" s="10"/>
      <c r="H2951" s="30" t="str">
        <f ca="1">IFERROR(__xludf.DUMMYFUNCTION("LOWER(REGEXREPLACE(B2951&amp;"" ""&amp;C2951,""[^а-яa-z0-9 ]"","" ""))")," алик массажный ")</f>
        <v xml:space="preserve"> алик массажный </v>
      </c>
    </row>
    <row r="2952" spans="1:8" ht="12.75" x14ac:dyDescent="0.2">
      <c r="A2952" s="31" t="s">
        <v>6906</v>
      </c>
      <c r="B2952" s="27" t="s">
        <v>6907</v>
      </c>
      <c r="C2952" s="27"/>
      <c r="D2952" s="33" t="s">
        <v>14</v>
      </c>
      <c r="E2952" s="34">
        <v>1</v>
      </c>
      <c r="F2952" s="35">
        <v>0.8</v>
      </c>
      <c r="G2952" s="10">
        <v>3839</v>
      </c>
      <c r="H2952" s="30" t="str">
        <f ca="1">IFERROR(__xludf.DUMMYFUNCTION("LOWER(REGEXREPLACE(B2952&amp;"" ""&amp;C2952,""[^а-яa-z0-9 ]"","" ""))")," ассажные валики  ролики  для фитнеса 45см ")</f>
        <v xml:space="preserve"> ассажные валики  ролики  для фитнеса 45см </v>
      </c>
    </row>
    <row r="2953" spans="1:8" ht="12.75" x14ac:dyDescent="0.2">
      <c r="A2953" s="31" t="s">
        <v>6908</v>
      </c>
      <c r="B2953" s="27" t="s">
        <v>6909</v>
      </c>
      <c r="C2953" s="27"/>
      <c r="D2953" s="33" t="s">
        <v>14</v>
      </c>
      <c r="E2953" s="34">
        <v>1</v>
      </c>
      <c r="F2953" s="35">
        <v>0.5</v>
      </c>
      <c r="G2953" s="10">
        <v>2589</v>
      </c>
      <c r="H2953" s="30" t="str">
        <f ca="1">IFERROR(__xludf.DUMMYFUNCTION("LOWER(REGEXREPLACE(B2953&amp;"" ""&amp;C2953,""[^а-яa-z0-9 ]"","" ""))")," ассажные валики  ролики  для фитнеса 30см ")</f>
        <v xml:space="preserve"> ассажные валики  ролики  для фитнеса 30см </v>
      </c>
    </row>
    <row r="2954" spans="1:8" ht="12.75" x14ac:dyDescent="0.2">
      <c r="A2954" s="31" t="s">
        <v>6910</v>
      </c>
      <c r="B2954" s="27" t="s">
        <v>6911</v>
      </c>
      <c r="C2954" s="27"/>
      <c r="D2954" s="33" t="s">
        <v>14</v>
      </c>
      <c r="E2954" s="34">
        <v>1</v>
      </c>
      <c r="F2954" s="36">
        <v>0.55000000000000004</v>
      </c>
      <c r="G2954" s="10">
        <v>2857</v>
      </c>
      <c r="H2954" s="30" t="str">
        <f ca="1">IFERROR(__xludf.DUMMYFUNCTION("LOWER(REGEXREPLACE(B2954&amp;"" ""&amp;C2954,""[^а-яa-z0-9 ]"","" ""))")," ассажные валики  ролики  для фитнеса 33см ")</f>
        <v xml:space="preserve"> ассажные валики  ролики  для фитнеса 33см </v>
      </c>
    </row>
    <row r="2955" spans="1:8" ht="12.75" x14ac:dyDescent="0.2">
      <c r="A2955" s="31" t="s">
        <v>6912</v>
      </c>
      <c r="B2955" s="27" t="s">
        <v>6913</v>
      </c>
      <c r="C2955" s="27"/>
      <c r="D2955" s="33" t="s">
        <v>14</v>
      </c>
      <c r="E2955" s="34">
        <v>1</v>
      </c>
      <c r="F2955" s="36">
        <v>0.86</v>
      </c>
      <c r="G2955" s="10">
        <v>4911</v>
      </c>
      <c r="H2955" s="30" t="str">
        <f ca="1">IFERROR(__xludf.DUMMYFUNCTION("LOWER(REGEXREPLACE(B2955&amp;"" ""&amp;C2955,""[^а-яa-z0-9 ]"","" ""))")," ассажные валики  ролики  для фитнеса 60см ")</f>
        <v xml:space="preserve"> ассажные валики  ролики  для фитнеса 60см </v>
      </c>
    </row>
    <row r="2956" spans="1:8" ht="12.75" x14ac:dyDescent="0.2">
      <c r="A2956" s="31" t="s">
        <v>6914</v>
      </c>
      <c r="B2956" s="27" t="s">
        <v>6915</v>
      </c>
      <c r="C2956" s="27"/>
      <c r="D2956" s="33" t="s">
        <v>14</v>
      </c>
      <c r="E2956" s="34">
        <v>1</v>
      </c>
      <c r="F2956" s="36">
        <v>0.92</v>
      </c>
      <c r="G2956" s="10">
        <v>7500</v>
      </c>
      <c r="H2956" s="30" t="str">
        <f ca="1">IFERROR(__xludf.DUMMYFUNCTION("LOWER(REGEXREPLACE(B2956&amp;"" ""&amp;C2956,""[^а-яa-z0-9 ]"","" ""))")," ассажные валики  ролики  для фитнеса 90см ")</f>
        <v xml:space="preserve"> ассажные валики  ролики  для фитнеса 90см </v>
      </c>
    </row>
    <row r="2957" spans="1:8" ht="12.75" x14ac:dyDescent="0.2">
      <c r="A2957" s="31" t="s">
        <v>6916</v>
      </c>
      <c r="B2957" s="27" t="s">
        <v>6917</v>
      </c>
      <c r="C2957" s="27"/>
      <c r="D2957" s="33" t="s">
        <v>14</v>
      </c>
      <c r="E2957" s="9"/>
      <c r="F2957" s="32"/>
      <c r="G2957" s="10"/>
      <c r="H2957" s="30" t="str">
        <f ca="1">IFERROR(__xludf.DUMMYFUNCTION("LOWER(REGEXREPLACE(B2957&amp;"" ""&amp;C2957,""[^а-яa-z0-9 ]"","" ""))")," ит баскетбольный ")</f>
        <v xml:space="preserve"> ит баскетбольный </v>
      </c>
    </row>
    <row r="2958" spans="1:8" ht="38.25" x14ac:dyDescent="0.2">
      <c r="A2958" s="31" t="s">
        <v>6918</v>
      </c>
      <c r="B2958" s="8" t="s">
        <v>6919</v>
      </c>
      <c r="C2958" s="27" t="s">
        <v>6920</v>
      </c>
      <c r="D2958" s="33" t="s">
        <v>14</v>
      </c>
      <c r="E2958" s="34">
        <v>1</v>
      </c>
      <c r="F2958" s="34">
        <v>18</v>
      </c>
      <c r="G2958" s="10">
        <v>18750</v>
      </c>
      <c r="H2958" s="30" t="str">
        <f ca="1">IFERROR(__xludf.DUMMYFUNCTION("LOWER(REGEXREPLACE(B2958&amp;"" ""&amp;C2958,""[^а-яa-z0-9 ]"","" ""))")," ит баскетбольный 1200х800см из влагостойкой фанеры  ит изготовлен из высококачественной влагостойкой фанеры   ит имеет размеры не менее 1200 мм  ширина  х 800 мм  высота   что соответствует стандартным размерам для баскетбольных щитов ")</f>
        <v xml:space="preserve"> ит баскетбольный 1200х800см из влагостойкой фанеры  ит изготовлен из высококачественной влагостойкой фанеры   ит имеет размеры не менее 1200 мм  ширина  х 800 мм  высота   что соответствует стандартным размерам для баскетбольных щитов </v>
      </c>
    </row>
    <row r="2959" spans="1:8" ht="25.5" x14ac:dyDescent="0.2">
      <c r="A2959" s="31" t="s">
        <v>6921</v>
      </c>
      <c r="B2959" s="8" t="s">
        <v>6922</v>
      </c>
      <c r="C2959" s="27"/>
      <c r="D2959" s="33" t="s">
        <v>14</v>
      </c>
      <c r="E2959" s="34">
        <v>1</v>
      </c>
      <c r="F2959" s="35">
        <v>18.5</v>
      </c>
      <c r="G2959" s="10">
        <v>38393</v>
      </c>
      <c r="H2959" s="30" t="str">
        <f ca="1">IFERROR(__xludf.DUMMYFUNCTION("LOWER(REGEXREPLACE(B2959&amp;"" ""&amp;C2959,""[^а-яa-z0-9 ]"","" ""))")," ит баскетбольный 1800 1050 из влагостойкой фанеры ")</f>
        <v xml:space="preserve"> ит баскетбольный 1800 1050 из влагостойкой фанеры </v>
      </c>
    </row>
    <row r="2960" spans="1:8" ht="63.75" x14ac:dyDescent="0.2">
      <c r="A2960" s="31" t="s">
        <v>6923</v>
      </c>
      <c r="B2960" s="8" t="s">
        <v>6924</v>
      </c>
      <c r="C2960" s="27" t="s">
        <v>6925</v>
      </c>
      <c r="D2960" s="33" t="s">
        <v>14</v>
      </c>
      <c r="E2960" s="34">
        <v>1</v>
      </c>
      <c r="F2960" s="34">
        <v>60</v>
      </c>
      <c r="G2960" s="10">
        <v>316910</v>
      </c>
      <c r="H2960" s="30" t="str">
        <f ca="1">IFERROR(__xludf.DUMMYFUNCTION("LOWER(REGEXREPLACE(B2960&amp;"" ""&amp;C2960,""[^а-яa-z0-9 ]"","" ""))")," ит баскетбольный игровой  размеры 1800х1050х100мм  ит баскетбольный тренировочный  орг стекло 1200 800 мм  толщина 10 мм  дюралевая рама  комплектация  ферма для крепления щита к стене с выносом 1000мм  кольцо баскетбольное амортизационное  сетка  мягкий"&amp;" протектор в нижней части   олщина щита 10 мм  размер 1800х1200мм   а щит нанесена разметка белого цвета шириной 50мм")</f>
        <v xml:space="preserve"> ит баскетбольный игровой  размеры 1800х1050х100мм  ит баскетбольный тренировочный  орг стекло 1200 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олщина щита 10 мм  размер 1800х1200мм   а щит нанесена разметка белого цвета шириной 50мм</v>
      </c>
    </row>
    <row r="2961" spans="1:8" ht="63.75" x14ac:dyDescent="0.2">
      <c r="A2961" s="31" t="s">
        <v>6926</v>
      </c>
      <c r="B2961" s="27" t="s">
        <v>6927</v>
      </c>
      <c r="C2961" s="27" t="s">
        <v>6928</v>
      </c>
      <c r="D2961" s="33" t="s">
        <v>14</v>
      </c>
      <c r="E2961" s="34">
        <v>1</v>
      </c>
      <c r="F2961" s="34">
        <v>45</v>
      </c>
      <c r="G2961" s="10">
        <v>253047</v>
      </c>
      <c r="H2961" s="30" t="str">
        <f ca="1">IFERROR(__xludf.DUMMYFUNCTION("LOWER(REGEXREPLACE(B2961&amp;"" ""&amp;C2961,""[^а-яa-z0-9 ]"","" ""))")," ит баскетбольный учебный  ит баскетбольный игровой  размеры не менее 1800х1050х100мм   омплектация  ферма для крепления щита к стене с выносом 1200мм  кольцо баскетбольное амортизационное  сетка  протектор щита   олщина щита 10 мм  размер 1800х1050мм   и"&amp;"т закреплен на стальной раме   ама щита изготовлена из профильной трубы 40х40х1 5мм  стяжки рамы из трубы 40х25х2мм ")</f>
        <v xml:space="preserve"> ит баскетбольный учебный  ит баскетбольный игровой  размеры не менее 1800х1050х100мм   омплектация  ферма для крепления щита к стене с выносом 1200мм  кольцо баскетбольное амортизационное  сетка  протектор щита   олщина щита 10 мм  размер 1800х1050мм   ит закреплен на стальной раме   ама щита изготовлена из профильной трубы 40х40х1 5мм  стяжки рамы из трубы 40х25х2мм </v>
      </c>
    </row>
    <row r="2962" spans="1:8" ht="76.5" x14ac:dyDescent="0.2">
      <c r="A2962" s="31" t="s">
        <v>6929</v>
      </c>
      <c r="B2962" s="8" t="s">
        <v>6930</v>
      </c>
      <c r="C2962" s="27" t="s">
        <v>6931</v>
      </c>
      <c r="D2962" s="33" t="s">
        <v>14</v>
      </c>
      <c r="E2962" s="34">
        <v>2</v>
      </c>
      <c r="F2962" s="34">
        <v>35</v>
      </c>
      <c r="G2962" s="10">
        <v>182511</v>
      </c>
      <c r="H2962" s="30" t="str">
        <f ca="1">IFERROR(__xludf.DUMMYFUNCTION("LOWER(REGEXREPLACE(B2962&amp;"" ""&amp;C2962,""[^а-яa-z0-9 ]"","" ""))")," ит баскетбольный игровой орг стекло 1800 1050 мм    1800  ит баскетбольный игровой орг стекло 1800 1050 мм  толщина оргстекла 10 мм  посадочные отверстия под кольцо 100х80 мм  дюралевая рама  мягкий протектор в нижней части   а щит нанесена разметка бело"&amp;"го цвета шириной 50мм   ит закреплен на раму  на раме имеются крепления на стойку или на ферму   ама щита изготовлена из профильной трубы 35х35мм  окрашена методом порошкового напыления ")</f>
        <v xml:space="preserve"> ит баскетбольный игровой орг стекло 1800 1050 мм    1800  ит баскетбольный игровой орг стекло 1800 1050 мм  толщина оргстекла 10 мм  посадочные отверстия под кольцо 100х80 мм  дюралевая рама  мягкий протектор в нижней части   а щит нанесена разметка белого цвета шириной 50мм   ит закреплен на раму  на раме имеются крепления на стойку или на ферму   ама щита изготовлена из профильной трубы 35х35мм  окрашена методом порошкового напыления </v>
      </c>
    </row>
    <row r="2963" spans="1:8" ht="63.75" x14ac:dyDescent="0.2">
      <c r="A2963" s="31" t="s">
        <v>6932</v>
      </c>
      <c r="B2963" s="8" t="s">
        <v>6933</v>
      </c>
      <c r="C2963" s="27" t="s">
        <v>6934</v>
      </c>
      <c r="D2963" s="33" t="s">
        <v>14</v>
      </c>
      <c r="E2963" s="34">
        <v>2</v>
      </c>
      <c r="F2963" s="35">
        <v>26.7</v>
      </c>
      <c r="G2963" s="10">
        <v>130410</v>
      </c>
      <c r="H2963" s="30" t="str">
        <f ca="1">IFERROR(__xludf.DUMMYFUNCTION("LOWER(REGEXREPLACE(B2963&amp;"" ""&amp;C2963,""[^а-яa-z0-9 ]"","" ""))")," ит баскетбольный тренировочный орг стекло 1200 800 мм    1200  ит баскетбольный тренировочный орг стекло 1200 800 мм  толщина оргстекла 10 мм  посадочные отверстия под кольцо 100х80 мм  дюралевая рама  мягкий протектор в нижней части   а щит нанесена раз"&amp;"метка белого цвета шириной 50мм   ит закреплен на раму  на раме имеются крепления на стену или на ферму   ама щита окрашена методом порошкового напыления ")</f>
        <v xml:space="preserve"> ит баскетбольный тренировочный орг стекло 1200 800 мм    1200  ит баскетбольный тренировочный орг стекло 1200 800 мм  толщина оргстекла 10 мм  посадочные отверстия под кольцо 100х80 мм  дюралевая рама  мягкий протектор в нижней части   а щит нанесена разметка белого цвета шириной 50мм   ит закреплен на раму  на раме имеются крепления на стену или на ферму   ама щита окрашена методом порошкового напыления </v>
      </c>
    </row>
    <row r="2964" spans="1:8" ht="89.25" x14ac:dyDescent="0.2">
      <c r="A2964" s="31" t="s">
        <v>6935</v>
      </c>
      <c r="B2964" s="27" t="s">
        <v>6936</v>
      </c>
      <c r="C2964" s="27" t="s">
        <v>6937</v>
      </c>
      <c r="D2964" s="33" t="s">
        <v>14</v>
      </c>
      <c r="E2964" s="34">
        <v>2</v>
      </c>
      <c r="F2964" s="34">
        <v>13</v>
      </c>
      <c r="G2964" s="10">
        <v>63001</v>
      </c>
      <c r="H2964" s="30" t="str">
        <f ca="1">IFERROR(__xludf.DUMMYFUNCTION("LOWER(REGEXREPLACE(B2964&amp;"" ""&amp;C2964,""[^а-яa-z0-9 ]"","" ""))")," ерма баскетбольная стационарная  изготовлена из стальной трубы  крепление к стене  вынос от стены 1000мм  ерма баскетбольная стационарная для тренировочного  щита  крепление к стене   ынос 100см   редназначена для крепления тренировочного щита   ерма име"&amp;"ет вынос от стены 1м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порошко"&amp;"вая краска")</f>
        <v xml:space="preserve"> ерма баскетбольная стационарная  изготовлена из стальной трубы  крепление к стене  вынос от стены 1000мм  ерма баскетбольная стационарная для тренировочного  щита  крепление к стене   ынос 100см   редназначена для крепления тренировочного щита   ерма имеет вынос от стены 1м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v>
      </c>
    </row>
    <row r="2965" spans="1:8" ht="76.5" x14ac:dyDescent="0.2">
      <c r="A2965" s="31" t="s">
        <v>6938</v>
      </c>
      <c r="B2965" s="27" t="s">
        <v>6939</v>
      </c>
      <c r="C2965" s="27" t="s">
        <v>6940</v>
      </c>
      <c r="D2965" s="33" t="s">
        <v>14</v>
      </c>
      <c r="E2965" s="34">
        <v>2</v>
      </c>
      <c r="F2965" s="34">
        <v>15</v>
      </c>
      <c r="G2965" s="10">
        <v>74699</v>
      </c>
      <c r="H2965" s="30" t="str">
        <f ca="1">IFERROR(__xludf.DUMMYFUNCTION("LOWER(REGEXREPLACE(B2965&amp;"" ""&amp;C2965,""[^а-яa-z0-9 ]"","" ""))")," ерма баскетбольная стационарная  изготовлена из стальной трубы  крепление к стене  вынос от стены 1200мм  ерма баскетбольная стационарная для игрового щита  крепление к стене   ынос 120см   редназначена для крепления игрового щита   ерма имеет вынос от с"&amp;"тены 1 2м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f>
        <v xml:space="preserve"> ерма баскетбольная стационарная  изготовлена из стальной трубы  крепление к стене  вынос от стены 1200мм  ерма баскетбольная стационарная для игрового щита  крепление к стене   ынос 120см   редназначена для крепления игрового щита   ерма имеет вынос от стены 1 2м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v>
      </c>
    </row>
    <row r="2966" spans="1:8" ht="12.75" x14ac:dyDescent="0.2">
      <c r="A2966" s="31" t="s">
        <v>6941</v>
      </c>
      <c r="B2966" s="27" t="s">
        <v>6942</v>
      </c>
      <c r="C2966" s="27"/>
      <c r="D2966" s="33" t="s">
        <v>14</v>
      </c>
      <c r="E2966" s="9"/>
      <c r="F2966" s="32"/>
      <c r="G2966" s="10"/>
      <c r="H2966" s="30" t="str">
        <f ca="1">IFERROR(__xludf.DUMMYFUNCTION("LOWER(REGEXREPLACE(B2966&amp;"" ""&amp;C2966,""[^а-яa-z0-9 ]"","" ""))")," ама для баскетбольного щита ")</f>
        <v xml:space="preserve"> ама для баскетбольного щита </v>
      </c>
    </row>
    <row r="2967" spans="1:8" ht="12.75" x14ac:dyDescent="0.2">
      <c r="A2967" s="31" t="s">
        <v>6943</v>
      </c>
      <c r="B2967" s="27" t="s">
        <v>6944</v>
      </c>
      <c r="C2967" s="27"/>
      <c r="D2967" s="33" t="s">
        <v>14</v>
      </c>
      <c r="E2967" s="34">
        <v>1</v>
      </c>
      <c r="F2967" s="34">
        <v>12</v>
      </c>
      <c r="G2967" s="10">
        <v>17857</v>
      </c>
      <c r="H2967" s="30" t="str">
        <f ca="1">IFERROR(__xludf.DUMMYFUNCTION("LOWER(REGEXREPLACE(B2967&amp;"" ""&amp;C2967,""[^а-яa-z0-9 ]"","" ""))")," ама для баскетбольного щита 180 105см ")</f>
        <v xml:space="preserve"> ама для баскетбольного щита 180 105см </v>
      </c>
    </row>
    <row r="2968" spans="1:8" ht="12.75" x14ac:dyDescent="0.2">
      <c r="A2968" s="31" t="s">
        <v>6945</v>
      </c>
      <c r="B2968" s="27" t="s">
        <v>6946</v>
      </c>
      <c r="C2968" s="27"/>
      <c r="D2968" s="33" t="s">
        <v>14</v>
      </c>
      <c r="E2968" s="34">
        <v>1</v>
      </c>
      <c r="F2968" s="35">
        <v>11.5</v>
      </c>
      <c r="G2968" s="10">
        <v>15179</v>
      </c>
      <c r="H2968" s="30" t="str">
        <f ca="1">IFERROR(__xludf.DUMMYFUNCTION("LOWER(REGEXREPLACE(B2968&amp;"" ""&amp;C2968,""[^а-яa-z0-9 ]"","" ""))")," ама для баскетбольного щита 120 80см ")</f>
        <v xml:space="preserve"> ама для баскетбольного щита 120 80см </v>
      </c>
    </row>
    <row r="2969" spans="1:8" ht="12.75" x14ac:dyDescent="0.2">
      <c r="A2969" s="31" t="s">
        <v>6947</v>
      </c>
      <c r="B2969" s="27" t="s">
        <v>931</v>
      </c>
      <c r="C2969" s="27"/>
      <c r="D2969" s="33" t="s">
        <v>14</v>
      </c>
      <c r="E2969" s="9"/>
      <c r="F2969" s="32"/>
      <c r="G2969" s="10"/>
      <c r="H2969" s="30" t="str">
        <f ca="1">IFERROR(__xludf.DUMMYFUNCTION("LOWER(REGEXREPLACE(B2969&amp;"" ""&amp;C2969,""[^а-яa-z0-9 ]"","" ""))")," анки ")</f>
        <v xml:space="preserve"> анки </v>
      </c>
    </row>
    <row r="2970" spans="1:8" ht="12.75" x14ac:dyDescent="0.2">
      <c r="A2970" s="31" t="s">
        <v>6948</v>
      </c>
      <c r="B2970" s="27" t="s">
        <v>6949</v>
      </c>
      <c r="C2970" s="27"/>
      <c r="D2970" s="33" t="s">
        <v>14</v>
      </c>
      <c r="E2970" s="34">
        <v>1</v>
      </c>
      <c r="F2970" s="35">
        <v>1.5</v>
      </c>
      <c r="G2970" s="10">
        <v>2679</v>
      </c>
      <c r="H2970" s="30" t="str">
        <f ca="1">IFERROR(__xludf.DUMMYFUNCTION("LOWER(REGEXREPLACE(B2970&amp;"" ""&amp;C2970,""[^а-яa-z0-9 ]"","" ""))")," анки снеголет 80 х 30 см ")</f>
        <v xml:space="preserve"> анки снеголет 80 х 30 см </v>
      </c>
    </row>
    <row r="2971" spans="1:8" ht="12.75" x14ac:dyDescent="0.2">
      <c r="A2971" s="31" t="s">
        <v>6950</v>
      </c>
      <c r="B2971" s="27" t="s">
        <v>6951</v>
      </c>
      <c r="C2971" s="27"/>
      <c r="D2971" s="32"/>
      <c r="E2971" s="9"/>
      <c r="F2971" s="32"/>
      <c r="G2971" s="10"/>
      <c r="H2971" s="30" t="str">
        <f ca="1">IFERROR(__xludf.DUMMYFUNCTION("LOWER(REGEXREPLACE(B2971&amp;"" ""&amp;C2971,""[^а-яa-z0-9 ]"","" ""))")," онь гимнастический ")</f>
        <v xml:space="preserve"> онь гимнастический </v>
      </c>
    </row>
    <row r="2972" spans="1:8" ht="127.5" x14ac:dyDescent="0.2">
      <c r="A2972" s="31" t="s">
        <v>6952</v>
      </c>
      <c r="B2972" s="27" t="s">
        <v>6953</v>
      </c>
      <c r="C2972" s="27" t="s">
        <v>6954</v>
      </c>
      <c r="D2972" s="33" t="s">
        <v>14</v>
      </c>
      <c r="E2972" s="34">
        <v>2</v>
      </c>
      <c r="F2972" s="34">
        <v>49</v>
      </c>
      <c r="G2972" s="10">
        <v>162578</v>
      </c>
      <c r="H2972" s="30" t="str">
        <f ca="1">IFERROR(__xludf.DUMMYFUNCTION("LOWER(REGEXREPLACE(B2972&amp;"" ""&amp;C2972,""[^а-яa-z0-9 ]"","" ""))")," онь гимнастический прыжковый переменной высоты  высота регулируемая  репления к полу   онструкция коня представляет собой сборно разборную конструкцию  состоящую из  корпуса и двух опор   орпус выполнен из дерева  обклеен изолоном и покрыт чехлом  из иск"&amp;"усственной кожи   азмер корпуса  длина   1500 1600мм  ширина 350мм  высота   280мм   се края и углы корпуса имеют закругленную форму   поры коня телескопические и выполнены из стальных труб  окрашенных порошковой эмалью   а каждой телескопической стойке о"&amp;"поры установлен резиновый наконечник копыто   егулировки коня по высоте осуществляется выдвижением нижней трубы телескопической стойки опоры с шагом 50мм   ысота верхней поверхности корпуса от пола  910   1350мм ")</f>
        <v xml:space="preserve"> онь гимнастический прыжковый переменной высоты  высота регулируемая  репления к полу   онструкция коня представляет собой сборно разборную конструкцию  состоящую из  корпуса и двух опор   орпус выполнен из дерева  обклеен изолоном и покрыт чехлом  из искусственной кожи   азмер корпуса  длина   1500 1600мм  ширина 350мм  высота   280мм   се края и углы корпуса имеют закругленную форму   поры коня телескопические и выполнены из стальных труб  окрашенных порошковой эмалью   а каждой телескопической стойке опоры установлен резиновый наконечник копыто   егулировки коня по высоте осуществляется выдвижением нижней трубы телескопической стойки опоры с шагом 50мм   ысота верхней поверхности корпуса от пола  910   1350мм </v>
      </c>
    </row>
    <row r="2973" spans="1:8" ht="89.25" x14ac:dyDescent="0.2">
      <c r="A2973" s="31" t="s">
        <v>6955</v>
      </c>
      <c r="B2973" s="27" t="s">
        <v>6956</v>
      </c>
      <c r="C2973" s="27" t="s">
        <v>6957</v>
      </c>
      <c r="D2973" s="33" t="s">
        <v>14</v>
      </c>
      <c r="E2973" s="34">
        <v>2</v>
      </c>
      <c r="F2973" s="34">
        <v>51</v>
      </c>
      <c r="G2973" s="10">
        <v>220536</v>
      </c>
      <c r="H2973" s="30" t="str">
        <f ca="1">IFERROR(__xludf.DUMMYFUNCTION("LOWER(REGEXREPLACE(B2973&amp;"" ""&amp;C2973,""[^а-яa-z0-9 ]"","" ""))")," онь гимнастический  высота регулируемая  ысота регулируемая   азмер корпуса  длина   1580мм  ширина   360мм  высота   270мм   ысота корпуса над полом 900 1350мм с интервалом 50мм   наряд представляет собой сборную конструкцию  состоящую из корпуса  2 х н"&amp;"еподвижных опор  4 х выдвижных опор   орпус коня гимнастического имеет плотное упругое покрытие   се края и углы корпуса имеют закругленную форму   поры представляют собой телескопическую пару   еобходимая высота достигается выдвижными опорами ")</f>
        <v xml:space="preserve"> онь гимнастический  высота регулируемая  ысота регулируемая   азмер корпуса  длина   1580мм  ширина   360мм  высота   270мм   ысота корпуса над полом 900 1350мм с интервалом 50мм   наряд представляет собой сборную конструкцию  состоящую из корпуса  2 х неподвижных опор  4 х выдвижных опор   орпус коня гимнастического имеет плотное упругое покрытие   се края и углы корпуса имеют закругленную форму   поры представляют собой телескопическую пару   еобходимая высота достигается выдвижными опорами </v>
      </c>
    </row>
    <row r="2974" spans="1:8" ht="12.75" x14ac:dyDescent="0.2">
      <c r="A2974" s="31" t="s">
        <v>6958</v>
      </c>
      <c r="B2974" s="27" t="s">
        <v>6959</v>
      </c>
      <c r="C2974" s="27"/>
      <c r="D2974" s="32"/>
      <c r="E2974" s="9"/>
      <c r="F2974" s="32"/>
      <c r="G2974" s="10"/>
      <c r="H2974" s="30" t="str">
        <f ca="1">IFERROR(__xludf.DUMMYFUNCTION("LOWER(REGEXREPLACE(B2974&amp;"" ""&amp;C2974,""[^а-яa-z0-9 ]"","" ""))")," танок хореографический ")</f>
        <v xml:space="preserve"> танок хореографический </v>
      </c>
    </row>
    <row r="2975" spans="1:8" ht="89.25" x14ac:dyDescent="0.2">
      <c r="A2975" s="31" t="s">
        <v>6960</v>
      </c>
      <c r="B2975" s="8" t="s">
        <v>6961</v>
      </c>
      <c r="C2975" s="27" t="s">
        <v>6962</v>
      </c>
      <c r="D2975" s="33" t="s">
        <v>14</v>
      </c>
      <c r="E2975" s="34">
        <v>2</v>
      </c>
      <c r="F2975" s="34">
        <v>35</v>
      </c>
      <c r="G2975" s="10">
        <v>106921</v>
      </c>
      <c r="H2975" s="30" t="str">
        <f ca="1">IFERROR(__xludf.DUMMYFUNCTION("LOWER(REGEXREPLACE(B2975&amp;"" ""&amp;C2975,""[^а-яa-z0-9 ]"","" ""))")," танок хореографический однорядный     20501   ве стойки  деревянная жердь склеенная из березы  толщиной 50мм   лина 2 м   репление  пол  танок хореографический однорядный     20501   ве стойки  деревянная жердь склеенная из березы  толщиной 50мм   лина 2"&amp;" м   репление  пол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лин"&amp;"а жерди 2000 мм   олимерное покрытие")</f>
        <v xml:space="preserve"> танок хореографический однорядный     20501   ве стойки  деревянная жердь склеенная из березы  толщиной 50мм   лина 2 м   репление  пол  танок хореографический однорядный     20501   ве стойки  деревянная жердь склеенная из березы  толщиной 50мм   лина 2 м   репление  пол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2000 мм   олимерное покрытие</v>
      </c>
    </row>
    <row r="2976" spans="1:8" ht="102" x14ac:dyDescent="0.2">
      <c r="A2976" s="31" t="s">
        <v>6963</v>
      </c>
      <c r="B2976" s="8" t="s">
        <v>6964</v>
      </c>
      <c r="C2976" s="27" t="s">
        <v>6965</v>
      </c>
      <c r="D2976" s="33" t="s">
        <v>14</v>
      </c>
      <c r="E2976" s="34">
        <v>2</v>
      </c>
      <c r="F2976" s="34">
        <v>45</v>
      </c>
      <c r="G2976" s="10">
        <v>142505</v>
      </c>
      <c r="H2976" s="30" t="str">
        <f ca="1">IFERROR(__xludf.DUMMYFUNCTION("LOWER(REGEXREPLACE(B2976&amp;"" ""&amp;C2976,""[^а-яa-z0-9 ]"","" ""))"),"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танок хореографический двухрядный     20502   ве стойки  деревянная жердь "&amp;"склеенная из березы  толщиной 50мм   лина 2 м   репление пол   асстояние от пола до поручней 85 и 110 см     редусматривает использование в помещениях   ополнительно в комплекте идут саморезы для крепления жерди в муфтах кронштейнов   азборная конструкция"&amp;"   ысота не регулируется   атериал опоры   ч рная сталь    атериал поручня   береза   лина жерди 2000 мм   олимерное покрытие")</f>
        <v xml:space="preserve">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2000 мм   олимерное покрытие</v>
      </c>
    </row>
    <row r="2977" spans="1:8" ht="76.5" x14ac:dyDescent="0.2">
      <c r="A2977" s="31" t="s">
        <v>6966</v>
      </c>
      <c r="B2977" s="27" t="s">
        <v>6967</v>
      </c>
      <c r="C2977" s="27" t="s">
        <v>6968</v>
      </c>
      <c r="D2977" s="33" t="s">
        <v>14</v>
      </c>
      <c r="E2977" s="34">
        <v>2</v>
      </c>
      <c r="F2977" s="34">
        <v>40</v>
      </c>
      <c r="G2977" s="10">
        <v>132656</v>
      </c>
      <c r="H2977" s="30" t="str">
        <f ca="1">IFERROR(__xludf.DUMMYFUNCTION("LOWER(REGEXREPLACE(B2977&amp;"" ""&amp;C2977,""[^а-яa-z0-9 ]"","" ""))")," танок хореографический однорядный     250501   ве стойки  деревянная жердь толщиной 50мм   лина 2 5 м  танок хореографический однорядный     250501   ве стойки  деревянная жердь толщиной 50мм   лина 2 5 м   редусматривает использование в помещениях   опо"&amp;"лнительно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f>
        <v xml:space="preserve"> танок хореографический однорядный     250501   ве стойки  деревянная жердь толщиной 50мм   лина 2 5 м  танок хореографический однорядный     250501   ве стойки  деревянная жердь толщиной 50мм   лина 2 5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v>
      </c>
    </row>
    <row r="2978" spans="1:8" ht="76.5" x14ac:dyDescent="0.2">
      <c r="A2978" s="31" t="s">
        <v>6969</v>
      </c>
      <c r="B2978" s="27" t="s">
        <v>6970</v>
      </c>
      <c r="C2978" s="27" t="s">
        <v>6971</v>
      </c>
      <c r="D2978" s="33" t="s">
        <v>14</v>
      </c>
      <c r="E2978" s="34">
        <v>2</v>
      </c>
      <c r="F2978" s="34">
        <v>50</v>
      </c>
      <c r="G2978" s="10">
        <v>178107</v>
      </c>
      <c r="H2978" s="30" t="str">
        <f ca="1">IFERROR(__xludf.DUMMYFUNCTION("LOWER(REGEXREPLACE(B2978&amp;"" ""&amp;C2978,""[^а-яa-z0-9 ]"","" ""))")," танок хореографический двухрядный     250502   ве стойки  деревянная жердь толщиной 50мм   лина 2 5 м  танок хореографический двухрядный     250502   ве стойки  деревянная жердь толщиной 50мм   лина 2 5 м   редусматривает использование в помещениях   опо"&amp;"лнительно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f>
        <v xml:space="preserve"> танок хореографический двухрядный     250502   ве стойки  деревянная жердь толщиной 50мм   лина 2 5 м  танок хореографический двухрядный     250502   ве стойки  деревянная жердь толщиной 50мм   лина 2 5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v>
      </c>
    </row>
    <row r="2979" spans="1:8" ht="76.5" x14ac:dyDescent="0.2">
      <c r="A2979" s="31" t="s">
        <v>6972</v>
      </c>
      <c r="B2979" s="27" t="s">
        <v>6973</v>
      </c>
      <c r="C2979" s="27" t="s">
        <v>6974</v>
      </c>
      <c r="D2979" s="33" t="s">
        <v>14</v>
      </c>
      <c r="E2979" s="34">
        <v>2</v>
      </c>
      <c r="F2979" s="34">
        <v>50</v>
      </c>
      <c r="G2979" s="10">
        <v>159641</v>
      </c>
      <c r="H2979" s="30" t="str">
        <f ca="1">IFERROR(__xludf.DUMMYFUNCTION("LOWER(REGEXREPLACE(B2979&amp;"" ""&amp;C2979,""[^а-яa-z0-9 ]"","" ""))")," танок хореографический однорядный     3050   ве стойки  деревянная жердь толщиной 50мм   лина 3 м  танок хореографический однорядный     3050   ве стойки  деревянная жердь толщиной 50мм   лина 3 м   редусматривает использование в помещениях   ополнительн"&amp;"о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f>
        <v xml:space="preserve"> танок хореографический однорядный     3050   ве стойки  деревянная жердь толщиной 50мм   лина 3 м  танок хореографический однорядный     3050   ве стойки  деревянная жердь толщиной 50мм   лина 3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v>
      </c>
    </row>
    <row r="2980" spans="1:8" ht="76.5" x14ac:dyDescent="0.2">
      <c r="A2980" s="31" t="s">
        <v>6975</v>
      </c>
      <c r="B2980" s="27" t="s">
        <v>6976</v>
      </c>
      <c r="C2980" s="27" t="s">
        <v>6977</v>
      </c>
      <c r="D2980" s="33" t="s">
        <v>14</v>
      </c>
      <c r="E2980" s="34">
        <v>2</v>
      </c>
      <c r="F2980" s="34">
        <v>60</v>
      </c>
      <c r="G2980" s="10">
        <v>212829</v>
      </c>
      <c r="H2980" s="30" t="str">
        <f ca="1">IFERROR(__xludf.DUMMYFUNCTION("LOWER(REGEXREPLACE(B2980&amp;"" ""&amp;C2980,""[^а-яa-z0-9 ]"","" ""))")," танок хореографический двухрядный     30502   ве стойки  деревянная жердь толщиной 50мм   лина 3 м  танок хореографический двухрядный     30502   ве стойки  деревянная жердь толщиной 50мм   лина 3 м   редусматривает использование в помещениях   ополнител"&amp;"ьно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f>
        <v xml:space="preserve"> танок хореографический двухрядный     30502   ве стойки  деревянная жердь толщиной 50мм   лина 3 м  танок хореографический двухрядный     30502   ве стойки  деревянная жердь толщиной 50мм   лина 3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v>
      </c>
    </row>
    <row r="2981" spans="1:8" ht="12.75" x14ac:dyDescent="0.2">
      <c r="A2981" s="31" t="s">
        <v>6978</v>
      </c>
      <c r="B2981" s="27" t="s">
        <v>6979</v>
      </c>
      <c r="C2981" s="27"/>
      <c r="D2981" s="32"/>
      <c r="E2981" s="9"/>
      <c r="F2981" s="32"/>
      <c r="G2981" s="10"/>
      <c r="H2981" s="30" t="str">
        <f ca="1">IFERROR(__xludf.DUMMYFUNCTION("LOWER(REGEXREPLACE(B2981&amp;"" ""&amp;C2981,""[^а-яa-z0-9 ]"","" ""))")," ест ")</f>
        <v xml:space="preserve"> ест </v>
      </c>
    </row>
    <row r="2982" spans="1:8" ht="63.75" x14ac:dyDescent="0.2">
      <c r="A2982" s="31" t="s">
        <v>6980</v>
      </c>
      <c r="B2982" s="27" t="s">
        <v>6981</v>
      </c>
      <c r="C2982" s="27" t="s">
        <v>6982</v>
      </c>
      <c r="D2982" s="33" t="s">
        <v>14</v>
      </c>
      <c r="E2982" s="34">
        <v>2</v>
      </c>
      <c r="F2982" s="34">
        <v>17</v>
      </c>
      <c r="G2982" s="10">
        <v>86616</v>
      </c>
      <c r="H2982" s="30" t="str">
        <f ca="1">IFERROR(__xludf.DUMMYFUNCTION("LOWER(REGEXREPLACE(B2982&amp;"" ""&amp;C2982,""[^а-яa-z0-9 ]"","" ""))")," ест для лазания разборный металлический    2430    еталлический шест имеет разборную конструкцию   атериал  сталь   лина  в собранном состоянии  5000мм  ест для лазания разборный металлический    2430    еталлический шест имеет разборную конструкцию   ат"&amp;"ериал  сталь   лина  в собранном состоянии  5000мм   лина  в разобранном состоянии  2500мм  иаметр  50мм")</f>
        <v xml:space="preserve"> ест для лазания разборный металлический    2430    еталлический шест имеет разборную конструкцию   атериал  сталь   лина  в собранном состоянии  5000мм  ест для лазания разборный металлический    2430    еталлический шест имеет разборную конструкцию   атериал  сталь   лина  в собранном состоянии  5000мм   лина  в разобранном состоянии  2500мм  иаметр  50мм</v>
      </c>
    </row>
    <row r="2983" spans="1:8" ht="12.75" x14ac:dyDescent="0.2">
      <c r="A2983" s="31" t="s">
        <v>6983</v>
      </c>
      <c r="B2983" s="27" t="s">
        <v>6984</v>
      </c>
      <c r="C2983" s="27"/>
      <c r="D2983" s="32"/>
      <c r="E2983" s="9"/>
      <c r="F2983" s="32"/>
      <c r="G2983" s="10"/>
      <c r="H2983" s="30" t="str">
        <f ca="1">IFERROR(__xludf.DUMMYFUNCTION("LOWER(REGEXREPLACE(B2983&amp;"" ""&amp;C2983,""[^а-яa-z0-9 ]"","" ""))")," онсоль ")</f>
        <v xml:space="preserve"> онсоль </v>
      </c>
    </row>
    <row r="2984" spans="1:8" ht="76.5" x14ac:dyDescent="0.2">
      <c r="A2984" s="31" t="s">
        <v>6985</v>
      </c>
      <c r="B2984" s="27" t="s">
        <v>6986</v>
      </c>
      <c r="C2984" s="27" t="s">
        <v>6987</v>
      </c>
      <c r="D2984" s="33" t="s">
        <v>14</v>
      </c>
      <c r="E2984" s="34">
        <v>2</v>
      </c>
      <c r="F2984" s="34">
        <v>25</v>
      </c>
      <c r="G2984" s="10">
        <v>47436</v>
      </c>
      <c r="H2984" s="30" t="str">
        <f ca="1">IFERROR(__xludf.DUMMYFUNCTION("LOWER(REGEXREPLACE(B2984&amp;"" ""&amp;C2984,""[^а-яa-z0-9 ]"","" ""))")," онсоль для подвесного снаряда усиленная    6419   онструкция выполнена из профильной трубы 60х60мм  цельносварная  онсоль для подвесного снаряда усиленная    6419   онструкция выполнена из профильной трубы 60х60мм  цельносварная   ля закрепления спортивн"&amp;"ых снарядов консоль имеет точки подвеса  винт с кольцом   вынос от стены 550 и 950мм   бщие размеры   длина консоли 1000мм  ширина крепежной части 260мм  высота 650мм   есущая способность конструкции консоли   160 кг   краска   порошковое напыление ")</f>
        <v xml:space="preserve"> онсоль для подвесного снаряда усиленная    6419   онструкция выполнена из профильной трубы 60х60мм  цельносварная  онсоль для подвесного снаряда усиленная    6419   онструкция выполнена из профильной трубы 60х60мм  цельносварная   ля закрепления спортивных снарядов консоль имеет точки подвеса  винт с кольцом   вынос от стены 550 и 950мм   бщие размеры   длина консоли 1000мм  ширина крепежной части 260мм  высота 650мм   есущая способность конструкции консоли   160 кг   краска   порошковое напыление </v>
      </c>
    </row>
    <row r="2985" spans="1:8" ht="89.25" x14ac:dyDescent="0.2">
      <c r="A2985" s="31" t="s">
        <v>6988</v>
      </c>
      <c r="B2985" s="27" t="s">
        <v>6989</v>
      </c>
      <c r="C2985" s="27" t="s">
        <v>6990</v>
      </c>
      <c r="D2985" s="33" t="s">
        <v>14</v>
      </c>
      <c r="E2985" s="34">
        <v>2</v>
      </c>
      <c r="F2985" s="34">
        <v>35</v>
      </c>
      <c r="G2985" s="10">
        <v>124081</v>
      </c>
      <c r="H2985" s="30" t="str">
        <f ca="1">IFERROR(__xludf.DUMMYFUNCTION("LOWER(REGEXREPLACE(B2985&amp;"" ""&amp;C2985,""[^а-яa-z0-9 ]"","" ""))")," онсоль для подвесного снаряда для 3 х предметов    10708   редставляет сборную конструкцию из  цельносварной опоры с площадками для крепления к стене  онсоль для подвесного снаряда для 3 х предметов    10708   редставляет сборную конструкцию из  цельносв"&amp;"арной опоры с площадками для крепления к стене   2 шт  перекладина к которой крепятся снаряды   1 шт   атериал перекладины   металлический профиль 50х50х3мм   краска   порошковое напыление черного цвета    стене консоль крепится черех фланцы  выполненные "&amp;"из полосы толщиной 6мм ")</f>
        <v xml:space="preserve"> онсоль для подвесного снаряда для 3 х предметов    10708   редставляет сборную конструкцию из  цельносварной опоры с площадками для крепления к стене  онсоль для подвесного снаряда для 3 х предметов    10708   редставляет сборную конструкцию из  цельносварной опоры с площадками для крепления к стене   2 шт  перекладина к которой крепятся снаряды   1 шт   атериал перекладины   металлический профиль 50х50х3мм   краска   порошковое напыление черного цвета    стене консоль крепится черех фланцы  выполненные из полосы толщиной 6мм </v>
      </c>
    </row>
    <row r="2986" spans="1:8" ht="12.75" x14ac:dyDescent="0.2">
      <c r="A2986" s="31" t="s">
        <v>6991</v>
      </c>
      <c r="B2986" s="27" t="s">
        <v>6992</v>
      </c>
      <c r="C2986" s="27"/>
      <c r="D2986" s="32"/>
      <c r="E2986" s="9"/>
      <c r="F2986" s="32"/>
      <c r="G2986" s="10"/>
      <c r="H2986" s="30" t="str">
        <f ca="1">IFERROR(__xludf.DUMMYFUNCTION("LOWER(REGEXREPLACE(B2986&amp;"" ""&amp;C2986,""[^а-яa-z0-9 ]"","" ""))")," арьер ")</f>
        <v xml:space="preserve"> арьер </v>
      </c>
    </row>
    <row r="2987" spans="1:8" ht="51" x14ac:dyDescent="0.2">
      <c r="A2987" s="31" t="s">
        <v>6993</v>
      </c>
      <c r="B2987" s="27" t="s">
        <v>6994</v>
      </c>
      <c r="C2987" s="27"/>
      <c r="D2987" s="33" t="s">
        <v>14</v>
      </c>
      <c r="E2987" s="34">
        <v>2</v>
      </c>
      <c r="F2987" s="35">
        <v>5.5</v>
      </c>
      <c r="G2987" s="10">
        <v>38660</v>
      </c>
      <c r="H2987" s="30" t="str">
        <f ca="1">IFERROR(__xludf.DUMMYFUNCTION("LOWER(REGEXREPLACE(B2987&amp;"" ""&amp;C2987,""[^а-яa-z0-9 ]"","" ""))"),"  гкоатлетический барьер    2106  регулируемый  имеет набор фиксированных высот   арьер легкоатлетический с противовесом состоит из ножек и барьерной планки ")</f>
        <v xml:space="preserve">  гкоатлетический барьер    2106  регулируемый  имеет набор фиксированных высот   арьер легкоатлетический с противовесом состоит из ножек и барьерной планки </v>
      </c>
    </row>
    <row r="2988" spans="1:8" ht="51" x14ac:dyDescent="0.2">
      <c r="A2988" s="31" t="s">
        <v>6995</v>
      </c>
      <c r="B2988" s="27" t="s">
        <v>6996</v>
      </c>
      <c r="C2988" s="27" t="s">
        <v>6997</v>
      </c>
      <c r="D2988" s="33" t="s">
        <v>14</v>
      </c>
      <c r="E2988" s="34">
        <v>2</v>
      </c>
      <c r="F2988" s="34">
        <v>3</v>
      </c>
      <c r="G2988" s="10">
        <v>44942</v>
      </c>
      <c r="H2988" s="30" t="str">
        <f ca="1">IFERROR(__xludf.DUMMYFUNCTION("LOWER(REGEXREPLACE(B2988&amp;"" ""&amp;C2988,""[^а-яa-z0-9 ]"","" ""))")," арьер разделительный  размеры  1400х750х30мм   атериал изготовления  металл       азделительный барьер для настольного тенниса   редназначен для разграничения игровых зон и безопасности игроков   зготовлен из прочного металлического каркаса и износостойк"&amp;"ого     полотна    гкий  устойчивый  легко складывается и транспортируется ")</f>
        <v xml:space="preserve"> арьер разделительный  размеры  1400х750х30мм   атериал изготовления  металл       азделительный барьер для настольного тенниса   редназначен для разграничения игровых зон и безопасности игроков   зготовлен из прочного металлического каркаса и износостойкого     полотна    гкий  устойчивый  легко складывается и транспортируется </v>
      </c>
    </row>
    <row r="2989" spans="1:8" ht="38.25" x14ac:dyDescent="0.2">
      <c r="A2989" s="31" t="s">
        <v>6998</v>
      </c>
      <c r="B2989" s="27" t="s">
        <v>6999</v>
      </c>
      <c r="C2989" s="27" t="s">
        <v>7000</v>
      </c>
      <c r="D2989" s="33" t="s">
        <v>14</v>
      </c>
      <c r="E2989" s="34">
        <v>2</v>
      </c>
      <c r="F2989" s="36">
        <v>0.17</v>
      </c>
      <c r="G2989" s="10">
        <v>1583</v>
      </c>
      <c r="H2989" s="30" t="str">
        <f ca="1">IFERROR(__xludf.DUMMYFUNCTION("LOWER(REGEXREPLACE(B2989&amp;"" ""&amp;C2989,""[^а-яa-z0-9 ]"","" ""))")," онус игровой   атериал изготовления      пластик   азмеры  380х200х200мм  онус футбольный идеален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навыки"&amp;" ")</f>
        <v xml:space="preserve"> онус игровой   атериал изготовления      пластик   азмеры  380х200х200мм  онус футбольный идеален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 </v>
      </c>
    </row>
    <row r="2990" spans="1:8" ht="63.75" x14ac:dyDescent="0.2">
      <c r="A2990" s="31" t="s">
        <v>7001</v>
      </c>
      <c r="B2990" s="27" t="s">
        <v>7002</v>
      </c>
      <c r="C2990" s="27" t="s">
        <v>7003</v>
      </c>
      <c r="D2990" s="33" t="s">
        <v>14</v>
      </c>
      <c r="E2990" s="34">
        <v>2</v>
      </c>
      <c r="F2990" s="35">
        <v>0.2</v>
      </c>
      <c r="G2990" s="10">
        <v>1522</v>
      </c>
      <c r="H2990" s="30" t="str">
        <f ca="1">IFERROR(__xludf.DUMMYFUNCTION("LOWER(REGEXREPLACE(B2990&amp;"" ""&amp;C2990,""[^а-яa-z0-9 ]"","" ""))")," очка массажная   атериал изготовления  ударопрочный пластик         азмеры  0 28х0 28х0 1 м  ягкая  кочка  с массажной поверхностью представляет собой балансировочную полусферу   а сферической поверхности расположены  шипы    атериал прочная резина   ыпо"&amp;"лнена в виде полусферы  внутри полая и заполненная воздухом   редназначена для упражнений на балансировку  развитие движений и тактильного восприятия детей ")</f>
        <v xml:space="preserve"> очка массажная   атериал изготовления  ударопрочный пластик         азмеры  0 28х0 28х0 1 м  ягкая  кочка  с массажной поверхностью представляет собой балансировочную полусферу   а сферической поверхности расположены  шипы    атериал прочная резина   ыполнена в виде полусферы  внутри полая и заполненная воздухом   редназначена для упражнений на балансировку  развитие движений и тактильного восприятия детей </v>
      </c>
    </row>
    <row r="2991" spans="1:8" ht="89.25" x14ac:dyDescent="0.2">
      <c r="A2991" s="31" t="s">
        <v>7004</v>
      </c>
      <c r="B2991" s="27" t="s">
        <v>7005</v>
      </c>
      <c r="C2991" s="27" t="s">
        <v>7006</v>
      </c>
      <c r="D2991" s="33" t="s">
        <v>68</v>
      </c>
      <c r="E2991" s="34">
        <v>2</v>
      </c>
      <c r="F2991" s="35">
        <v>0.3</v>
      </c>
      <c r="G2991" s="10">
        <v>21049</v>
      </c>
      <c r="H2991" s="30" t="str">
        <f ca="1">IFERROR(__xludf.DUMMYFUNCTION("LOWER(REGEXREPLACE(B2991&amp;"" ""&amp;C2991,""[^а-яa-z0-9 ]"","" ""))")," нтенна волейбольная в комплекте с карманами   атериал изготовления  стеклопластик  нтенны для волейбола крепятся к сетке путем размещения их в специальных карманах   нтенна   гибкий стержень длиной 1 8 м и диаметром 10 мм  сделанный из стекловолокна   ве"&amp;" антенны прикрепляются с внешнего края ограничительных лент на противоположных сторонах сетки   нтенна возвышается над сеткой на 80 см и окрашена полосами контрастных цветов шириной 10 см  предпочтительно красного и белого   арманы для антенн   это специа"&amp;"льные чехлы  выполненные из     для крепления антенн к волейбольным сеткам ")</f>
        <v xml:space="preserve"> нтенна волейбольная в комплекте с карманами   атериал изготовления  стеклопластик  нтенны для волейбола крепятся к сетке путем размещения их в специальных карманах   нтенна   гибкий стержень длиной 1 8 м и диаметром 10 мм  сделанный из стекловолокна   ве антенны прикрепляются с внешнего края ограничительных лент на противоположных сторонах сетки   нтенна возвышается над сеткой на 80 см и окрашена полосами контрастных цветов шириной 10 см  предпочтительно красного и белого   арманы для антенн   это специальные чехлы  выполненные из     для крепления антенн к волейбольным сеткам </v>
      </c>
    </row>
    <row r="2992" spans="1:8" ht="63.75" x14ac:dyDescent="0.2">
      <c r="A2992" s="31" t="s">
        <v>7007</v>
      </c>
      <c r="B2992" s="27" t="s">
        <v>7008</v>
      </c>
      <c r="C2992" s="27" t="s">
        <v>7009</v>
      </c>
      <c r="D2992" s="33" t="s">
        <v>14</v>
      </c>
      <c r="E2992" s="34">
        <v>2</v>
      </c>
      <c r="F2992" s="35">
        <v>1.2</v>
      </c>
      <c r="G2992" s="10">
        <v>6940</v>
      </c>
      <c r="H2992" s="30" t="str">
        <f ca="1">IFERROR(__xludf.DUMMYFUNCTION("LOWER(REGEXREPLACE(B2992&amp;"" ""&amp;C2992,""[^а-яa-z0-9 ]"","" ""))")," естница веревочная 8 м   атериал изготовления  пластиковые перекладины  ленты из нейлона  оординационная лестница 8 м   естницы представляют собой прочные на разрыв нейлоновые ленты  между которыми на расстоянии в 40 см установлено 12 или 20 гибких плано"&amp;"к    зависимости от количества поперечен  длина лестницы колеблется от 6 до 10 метров   ирина лестницы неизменна   50 см ")</f>
        <v xml:space="preserve"> естница веревочная 8 м   атериал изготовления  пластиковые перекладины  ленты из нейлона  оординационная лестница 8 м   естницы представляют собой прочные на разрыв нейлоновые ленты  между которыми на расстоянии в 40 см установлено 12 или 20 гибких планок    зависимости от количества поперечен  длина лестницы колеблется от 6 до 10 метров   ирина лестницы неизменна   50 см </v>
      </c>
    </row>
    <row r="2993" spans="1:8" ht="12.75" x14ac:dyDescent="0.2">
      <c r="A2993" s="31" t="s">
        <v>7010</v>
      </c>
      <c r="B2993" s="27" t="s">
        <v>7011</v>
      </c>
      <c r="C2993" s="27"/>
      <c r="D2993" s="33" t="s">
        <v>14</v>
      </c>
      <c r="E2993" s="9"/>
      <c r="F2993" s="32"/>
      <c r="G2993" s="10"/>
      <c r="H2993" s="30" t="str">
        <f ca="1">IFERROR(__xludf.DUMMYFUNCTION("LOWER(REGEXREPLACE(B2993&amp;"" ""&amp;C2993,""[^а-яa-z0-9 ]"","" ""))")," ешок боксерский  груша ")</f>
        <v xml:space="preserve"> ешок боксерский  груша </v>
      </c>
    </row>
    <row r="2994" spans="1:8" ht="63.75" x14ac:dyDescent="0.2">
      <c r="A2994" s="31" t="s">
        <v>7012</v>
      </c>
      <c r="B2994" s="27" t="s">
        <v>7013</v>
      </c>
      <c r="C2994" s="27" t="s">
        <v>7014</v>
      </c>
      <c r="D2994" s="33" t="s">
        <v>14</v>
      </c>
      <c r="E2994" s="34">
        <v>2</v>
      </c>
      <c r="F2994" s="34">
        <v>40</v>
      </c>
      <c r="G2994" s="10">
        <v>89859</v>
      </c>
      <c r="H2994" s="30" t="str">
        <f ca="1">IFERROR(__xludf.DUMMYFUNCTION("LOWER(REGEXREPLACE(B2994&amp;"" ""&amp;C2994,""[^а-яa-z0-9 ]"","" ""))")," ешок боксерский     12   азмер мешка  120 х 40 см   ес мешка  40 кг   атериал  натуральная кожа 2 5 мм и      ешок боксерский     12   азмер мешка  120 х 40 см   ес мешка  40 кг   атериал  натуральная кожа 2 5 мм и       аполнитель мешка  резиновая крошк"&amp;"а  мелкий трикотажный лоскут   азмер 120 см  диаметр 40 см    мешок крепится подвесное устройство  состоящее из металлического круга   3 цепи для подвешивания ")</f>
        <v xml:space="preserve"> ешок боксерский     12   азмер мешка  120 х 40 см   ес мешка  40 кг   атериал  натуральная кожа 2 5 мм и      ешок боксерский     12   азмер мешка  120 х 40 см   ес мешка  40 кг   атериал  натуральная кожа 2 5 мм и       аполнитель мешка  резиновая крошка  мелкий трикотажный лоскут   азмер 120 см  диаметр 40 см    мешок крепится подвесное устройство  состоящее из металлического круга   3 цепи для подвешивания </v>
      </c>
    </row>
    <row r="2995" spans="1:8" ht="63.75" x14ac:dyDescent="0.2">
      <c r="A2995" s="31" t="s">
        <v>7015</v>
      </c>
      <c r="B2995" s="27" t="s">
        <v>7016</v>
      </c>
      <c r="C2995" s="27" t="s">
        <v>7017</v>
      </c>
      <c r="D2995" s="33" t="s">
        <v>14</v>
      </c>
      <c r="E2995" s="34">
        <v>2</v>
      </c>
      <c r="F2995" s="34">
        <v>45</v>
      </c>
      <c r="G2995" s="10">
        <v>99586</v>
      </c>
      <c r="H2995" s="30" t="str">
        <f ca="1">IFERROR(__xludf.DUMMYFUNCTION("LOWER(REGEXREPLACE(B2995&amp;"" ""&amp;C2995,""[^а-яa-z0-9 ]"","" ""))")," ешок боксерский    2328   азмер мешка  150 х 40 см   ес мешка  45 кг   атериал  натуральная кожа 2 5 мм и      ешок боксерский    2328   азмер мешка  150 х 40 см   ес мешка  45 кг   атериал  натуральная кожа 2 5 мм и       аполнитель мешка  резиновая кро"&amp;"шка  мелкий трикотажный лоскут   азмер 150 см  диаметр 40 см    мешок крепится подвесное устройство  состоящее из металлического круга   3 цепи для подвешивания ")</f>
        <v xml:space="preserve"> ешок боксерский    2328   азмер мешка  150 х 40 см   ес мешка  45 кг   атериал  натуральная кожа 2 5 мм и      ешок боксерский    2328   азмер мешка  150 х 40 см   ес мешка  45 кг   атериал  натуральная кожа 2 5 мм и       аполнитель мешка  резиновая крошка  мелкий трикотажный лоскут   азмер 150 см  диаметр 40 см    мешок крепится подвесное устройство  состоящее из металлического круга   3 цепи для подвешивания </v>
      </c>
    </row>
    <row r="2996" spans="1:8" ht="63.75" x14ac:dyDescent="0.2">
      <c r="A2996" s="31" t="s">
        <v>7018</v>
      </c>
      <c r="B2996" s="27" t="s">
        <v>7019</v>
      </c>
      <c r="C2996" s="27" t="s">
        <v>7020</v>
      </c>
      <c r="D2996" s="33" t="s">
        <v>14</v>
      </c>
      <c r="E2996" s="34">
        <v>2</v>
      </c>
      <c r="F2996" s="34">
        <v>65</v>
      </c>
      <c r="G2996" s="10">
        <v>121736</v>
      </c>
      <c r="H2996" s="30" t="str">
        <f ca="1">IFERROR(__xludf.DUMMYFUNCTION("LOWER(REGEXREPLACE(B2996&amp;"" ""&amp;C2996,""[^а-яa-z0-9 ]"","" ""))")," ешок боксерский     18   азмер мешка  180 х 40 см   ес мешка  65 75 кг   атериал  натуральная кожа 2 5 мм и      ешок боксерский     18   азмер мешка  180 х 40 см   ес мешка  65 75 кг   атериал  натуральная кожа 2 5 мм и       аполнитель мешка  резиновая"&amp;" крошка  мелкий трикотажный лоскут   азмер 180 см  диаметр 40 см    мешок крепится подвесное устройство  состоящее из металлического круга   3 цепи для подвешивания ")</f>
        <v xml:space="preserve"> ешок боксерский     18   азмер мешка  180 х 40 см   ес мешка  65 75 кг   атериал  натуральная кожа 2 5 мм и      ешок боксерский     18   азмер мешка  180 х 40 см   ес мешка  65 75 кг   атериал  натуральная кожа 2 5 мм и       аполнитель мешка  резиновая крошка  мелкий трикотажный лоскут   азмер 180 см  диаметр 40 см    мешок крепится подвесное устройство  состоящее из металлического круга   3 цепи для подвешивания </v>
      </c>
    </row>
    <row r="2997" spans="1:8" ht="38.25" x14ac:dyDescent="0.2">
      <c r="A2997" s="31" t="s">
        <v>7021</v>
      </c>
      <c r="B2997" s="27" t="s">
        <v>7022</v>
      </c>
      <c r="C2997" s="27" t="s">
        <v>7023</v>
      </c>
      <c r="D2997" s="33" t="s">
        <v>14</v>
      </c>
      <c r="E2997" s="34">
        <v>2</v>
      </c>
      <c r="F2997" s="34">
        <v>17</v>
      </c>
      <c r="G2997" s="10">
        <v>119359</v>
      </c>
      <c r="H2997" s="30" t="str">
        <f ca="1">IFERROR(__xludf.DUMMYFUNCTION("LOWER(REGEXREPLACE(B2997&amp;"" ""&amp;C2997,""[^а-яa-z0-9 ]"","" ""))")," латформа с пневматической грушей    01   зготовлена из кожзама  латформа с пневматической грушей    01    зготовлена из кожзама  длина основания 650мм  ширина 600мм  регулировка по высоте 30см  вес снаряда 1 5кг")</f>
        <v xml:space="preserve"> латформа с пневматической грушей    01   зготовлена из кожзама  латформа с пневматической грушей    01    зготовлена из кожзама  длина основания 650мм  ширина 600мм  регулировка по высоте 30см  вес снаряда 1 5кг</v>
      </c>
    </row>
    <row r="2998" spans="1:8" ht="76.5" x14ac:dyDescent="0.2">
      <c r="A2998" s="31" t="s">
        <v>7024</v>
      </c>
      <c r="B2998" s="27" t="s">
        <v>7025</v>
      </c>
      <c r="C2998" s="27" t="s">
        <v>7026</v>
      </c>
      <c r="D2998" s="33" t="s">
        <v>14</v>
      </c>
      <c r="E2998" s="34">
        <v>2</v>
      </c>
      <c r="F2998" s="34">
        <v>45</v>
      </c>
      <c r="G2998" s="10">
        <v>119330</v>
      </c>
      <c r="H2998" s="30" t="str">
        <f ca="1">IFERROR(__xludf.DUMMYFUNCTION("LOWER(REGEXREPLACE(B2998&amp;"" ""&amp;C2998,""[^а-яa-z0-9 ]"","" ""))")," орцовский снаряд одноногий 160см  орцовский снаряд одноногий 160см   дноногий борцовский снаряд   это классический снаряд для борьбы  предназначенный для отработки захватов и бросков   ожзам с дополнительной разбивкой   абивка резиновая и     крошка  тек"&amp;"стильные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f>
        <v xml:space="preserve"> орцовский снаряд одноногий 160см  орцовский снаряд одноногий 160см   дноногий борцовский снаряд   это классический снаряд для борьбы  предназначенный для отработки захватов и бросков   ожзам с дополнительной разбивкой   абивка резиновая и     крошка  текстильные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v>
      </c>
    </row>
    <row r="2999" spans="1:8" ht="89.25" x14ac:dyDescent="0.2">
      <c r="A2999" s="31" t="s">
        <v>7027</v>
      </c>
      <c r="B2999" s="27" t="s">
        <v>7028</v>
      </c>
      <c r="C2999" s="27" t="s">
        <v>7029</v>
      </c>
      <c r="D2999" s="33" t="s">
        <v>14</v>
      </c>
      <c r="E2999" s="34">
        <v>2</v>
      </c>
      <c r="F2999" s="34">
        <v>55</v>
      </c>
      <c r="G2999" s="10">
        <v>126114</v>
      </c>
      <c r="H2999" s="30" t="str">
        <f ca="1">IFERROR(__xludf.DUMMYFUNCTION("LOWER(REGEXREPLACE(B2999&amp;"" ""&amp;C2999,""[^а-яa-z0-9 ]"","" ""))")," орцовский снаряд двуногий 160см  орцовский снаряд двуногий 160см   вуногий борцовский снаряд   это классический манекен для борьбы  предназначенный для отработки захватов и бросков   ожзам с дополнительной разбивкой   абивка резиновая и     крошка  текст"&amp;"ильные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f>
        <v xml:space="preserve"> орцовский снаряд двуногий 160см  орцовский снаряд двуногий 160см   вуногий борцовский снаряд   это классический манекен для борьбы  предназначенный для отработки захватов и бросков   ожзам с дополнительной разбивкой   абивка резиновая и     крошка  текстильные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v>
      </c>
    </row>
    <row r="3000" spans="1:8" ht="102" x14ac:dyDescent="0.2">
      <c r="A3000" s="31" t="s">
        <v>7030</v>
      </c>
      <c r="B3000" s="27" t="s">
        <v>7031</v>
      </c>
      <c r="C3000" s="27" t="s">
        <v>7032</v>
      </c>
      <c r="D3000" s="33" t="s">
        <v>14</v>
      </c>
      <c r="E3000" s="34">
        <v>2</v>
      </c>
      <c r="F3000" s="34">
        <v>14</v>
      </c>
      <c r="G3000" s="10">
        <v>130197</v>
      </c>
      <c r="H3000" s="30" t="str">
        <f ca="1">IFERROR(__xludf.DUMMYFUNCTION("LOWER(REGEXREPLACE(B3000&amp;"" ""&amp;C3000,""[^а-яa-z0-9 ]"","" ""))")," ренажер водоналивной для отработки реакции  одоналивной тренажер для отработки реакции   ренажер позволит вам улучшить свою скорость  точность  уклоны  блокировку  защиту  удары   оставляется в комплекте с резиновыми присосками в нижней части основания д"&amp;"ля дополнительной устойчивости   снование не заполнено   бщий размер  регулируется от 150 см до 198см в высоту   атериал изготовления   орпус и основание из прочного ударостойкого пластика            стойка из металлической трубы  присоски из резины  внут"&amp;"ренний резервуар для заполнения водой или песком ")</f>
        <v xml:space="preserve"> ренажер водоналивной для отработки реакции  одоналивной тренажер для отработки реакции   ренажер позволит вам улучшить свою скорость  точность  уклоны  блокировку  защиту  удары   оставляется в комплекте с резиновыми присосками в нижней части основания для дополнительной устойчивости   снование не заполнено   бщий размер  регулируется от 150 см до 198см в высоту   атериал изготовления   орпус и основание из прочного ударостойкого пластика            стойка из металлической трубы  присоски из резины  внутренний резервуар для заполнения водой или песком </v>
      </c>
    </row>
    <row r="3001" spans="1:8" ht="38.25" x14ac:dyDescent="0.2">
      <c r="A3001" s="31" t="s">
        <v>7033</v>
      </c>
      <c r="B3001" s="27" t="s">
        <v>7034</v>
      </c>
      <c r="C3001" s="27" t="s">
        <v>7035</v>
      </c>
      <c r="D3001" s="33" t="s">
        <v>14</v>
      </c>
      <c r="E3001" s="34">
        <v>2</v>
      </c>
      <c r="F3001" s="34">
        <v>15</v>
      </c>
      <c r="G3001" s="10">
        <v>139497</v>
      </c>
      <c r="H3001" s="30" t="str">
        <f ca="1">IFERROR(__xludf.DUMMYFUNCTION("LOWER(REGEXREPLACE(B3001&amp;"" ""&amp;C3001,""[^а-яa-z0-9 ]"","" ""))")," ешок боксерский водоналивной  напольный  кожзам  ешок боксерский водоналивной  напольный   атериал изготовления   руша   кожзам  искусственная кожа   основание   ударопрочный пластик с водоналивным баком на 35 литров ")</f>
        <v xml:space="preserve"> ешок боксерский водоналивной  напольный  кожзам  ешок боксерский водоналивной  напольный   атериал изготовления   руша   кожзам  искусственная кожа   основание   ударопрочный пластик с водоналивным баком на 35 литров </v>
      </c>
    </row>
    <row r="3002" spans="1:8" ht="76.5" x14ac:dyDescent="0.2">
      <c r="A3002" s="31" t="s">
        <v>7036</v>
      </c>
      <c r="B3002" s="27" t="s">
        <v>7037</v>
      </c>
      <c r="C3002" s="27" t="s">
        <v>7038</v>
      </c>
      <c r="D3002" s="33" t="s">
        <v>14</v>
      </c>
      <c r="E3002" s="34">
        <v>2</v>
      </c>
      <c r="F3002" s="35">
        <v>0.6</v>
      </c>
      <c r="G3002" s="10">
        <v>49580</v>
      </c>
      <c r="H3002" s="30" t="str">
        <f ca="1">IFERROR(__xludf.DUMMYFUNCTION("LOWER(REGEXREPLACE(B3002&amp;"" ""&amp;C3002,""[^а-яa-z0-9 ]"","" ""))")," руша на растяжках  кожа  руша на растяжках   ожа  цвет ч рный   окс рская груша на растяжках позволяет отрабатывать удары в движении   ри отработке вырабатывается чувство дистанции  умение наносить ч ткие акцентированные удары и отрабатывать защитные дей"&amp;"ствия   руша выполнена из высококачественной натуральной кожи   нутри расположена латексная камера   руша крепится к растяжкам с помощью двух крюков   астяжки входят в комплект   азмеры  100х120х120мм ")</f>
        <v xml:space="preserve"> руша на растяжках  кожа  руша на растяжках   ожа  цвет ч рный   окс рская груша на растяжках позволяет отрабатывать удары в движении   ри отработке вырабатывается чувство дистанции  умение наносить ч ткие акцентированные удары и отрабатывать защитные действия   руша выполнена из высококачественной натуральной кожи   нутри расположена латексная камера   руша крепится к растяжкам с помощью двух крюков   астяжки входят в комплект   азмеры  100х120х120мм </v>
      </c>
    </row>
    <row r="3003" spans="1:8" ht="63.75" x14ac:dyDescent="0.2">
      <c r="A3003" s="31" t="s">
        <v>7039</v>
      </c>
      <c r="B3003" s="27" t="s">
        <v>7040</v>
      </c>
      <c r="C3003" s="27" t="s">
        <v>7041</v>
      </c>
      <c r="D3003" s="33" t="s">
        <v>14</v>
      </c>
      <c r="E3003" s="34">
        <v>2</v>
      </c>
      <c r="F3003" s="34">
        <v>5</v>
      </c>
      <c r="G3003" s="10">
        <v>52696</v>
      </c>
      <c r="H3003" s="30" t="str">
        <f ca="1">IFERROR(__xludf.DUMMYFUNCTION("LOWER(REGEXREPLACE(B3003&amp;"" ""&amp;C3003,""[^а-яa-z0-9 ]"","" ""))")," ешок болгарский 5 кг  кожзам  олгарский мешок    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изг"&amp;"отовления   рочный кожзам  искусственная кожа   наполнитель   смесь резиновой крошки и песка  над жные нейлоновые ручки ")</f>
        <v xml:space="preserve"> ешок болгарский 5 кг  кожзам  олгарский мешок    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4" spans="1:8" ht="63.75" x14ac:dyDescent="0.2">
      <c r="A3004" s="31" t="s">
        <v>7042</v>
      </c>
      <c r="B3004" s="27" t="s">
        <v>7043</v>
      </c>
      <c r="C3004" s="27" t="s">
        <v>7044</v>
      </c>
      <c r="D3004" s="33" t="s">
        <v>14</v>
      </c>
      <c r="E3004" s="34">
        <v>2</v>
      </c>
      <c r="F3004" s="34">
        <v>10</v>
      </c>
      <c r="G3004" s="10">
        <v>62012</v>
      </c>
      <c r="H3004" s="30" t="str">
        <f ca="1">IFERROR(__xludf.DUMMYFUNCTION("LOWER(REGEXREPLACE(B3004&amp;"" ""&amp;C3004,""[^а-яa-z0-9 ]"","" ""))")," ешок болгарский 10 кг  кожзам  олгарский мешок    10кг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xml:space="preserve"> ешок болгарский 10 кг  кожзам  олгарский мешок    10кг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5" spans="1:8" ht="63.75" x14ac:dyDescent="0.2">
      <c r="A3005" s="31" t="s">
        <v>7045</v>
      </c>
      <c r="B3005" s="27" t="s">
        <v>7046</v>
      </c>
      <c r="C3005" s="27" t="s">
        <v>7047</v>
      </c>
      <c r="D3005" s="33" t="s">
        <v>14</v>
      </c>
      <c r="E3005" s="34">
        <v>2</v>
      </c>
      <c r="F3005" s="34">
        <v>15</v>
      </c>
      <c r="G3005" s="10">
        <v>72878</v>
      </c>
      <c r="H3005" s="30" t="str">
        <f ca="1">IFERROR(__xludf.DUMMYFUNCTION("LOWER(REGEXREPLACE(B3005&amp;"" ""&amp;C3005,""[^а-яa-z0-9 ]"","" ""))")," ешок болгарский 15 кг  кожзам  олгарский мешок   15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xml:space="preserve"> ешок болгарский 15 кг  кожзам  олгарский мешок   15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6" spans="1:8" ht="63.75" x14ac:dyDescent="0.2">
      <c r="A3006" s="31" t="s">
        <v>7048</v>
      </c>
      <c r="B3006" s="27" t="s">
        <v>7049</v>
      </c>
      <c r="C3006" s="27" t="s">
        <v>7050</v>
      </c>
      <c r="D3006" s="33" t="s">
        <v>14</v>
      </c>
      <c r="E3006" s="34">
        <v>2</v>
      </c>
      <c r="F3006" s="34">
        <v>20</v>
      </c>
      <c r="G3006" s="10">
        <v>86842</v>
      </c>
      <c r="H3006" s="30" t="str">
        <f ca="1">IFERROR(__xludf.DUMMYFUNCTION("LOWER(REGEXREPLACE(B3006&amp;"" ""&amp;C3006,""[^а-яa-z0-9 ]"","" ""))")," ешок болгарский 20 кг  кожзам  олгарский мешок   20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xml:space="preserve"> ешок болгарский 20 кг  кожзам  олгарский мешок   20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7" spans="1:8" ht="63.75" x14ac:dyDescent="0.2">
      <c r="A3007" s="31" t="s">
        <v>7051</v>
      </c>
      <c r="B3007" s="27" t="s">
        <v>7052</v>
      </c>
      <c r="C3007" s="27" t="s">
        <v>7053</v>
      </c>
      <c r="D3007" s="33" t="s">
        <v>14</v>
      </c>
      <c r="E3007" s="34">
        <v>2</v>
      </c>
      <c r="F3007" s="34">
        <v>25</v>
      </c>
      <c r="G3007" s="10">
        <v>99257</v>
      </c>
      <c r="H3007" s="30" t="str">
        <f ca="1">IFERROR(__xludf.DUMMYFUNCTION("LOWER(REGEXREPLACE(B3007&amp;"" ""&amp;C3007,""[^а-яa-z0-9 ]"","" ""))")," ешок болгарский 25 кг  кожзам  олгарский мешок   25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из"&amp;"готовления   рочный кожзам  искусственная кожа   наполнитель   смесь резиновой крошки и песка  над жные нейлоновые ручки ")</f>
        <v xml:space="preserve"> ешок болгарский 25 кг  кожзам  олгарский мешок   25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v>
      </c>
    </row>
    <row r="3008" spans="1:8" ht="63.75" x14ac:dyDescent="0.2">
      <c r="A3008" s="31" t="s">
        <v>7054</v>
      </c>
      <c r="B3008" s="27" t="s">
        <v>7055</v>
      </c>
      <c r="C3008" s="27" t="s">
        <v>7056</v>
      </c>
      <c r="D3008" s="33" t="s">
        <v>7057</v>
      </c>
      <c r="E3008" s="34">
        <v>2</v>
      </c>
      <c r="F3008" s="35">
        <v>1.8</v>
      </c>
      <c r="G3008" s="10">
        <v>5342</v>
      </c>
      <c r="H3008" s="30" t="str">
        <f ca="1">IFERROR(__xludf.DUMMYFUNCTION("LOWER(REGEXREPLACE(B3008&amp;"" ""&amp;C3008,""[^а-яa-z0-9 ]"","" ""))")," гут борцовский резиновый 1 м с ручками и креплениями  диаметром 250 мм  гут борцовский 1 метр   редназначен для отработки борцовской техники  выносливости  скорости и взрывной силы   одойдет для тренировок по различным спортивным дисциплинам  таких как с"&amp;"амбо  бокс  карате  борьба и др    рочный эластичный латекс  резина   нейлоновые ручки и крепления    250мм")</f>
        <v xml:space="preserve"> гут борцовский резиновый 1 м с ручками и креплениями  диаметром 250 мм  гут борцовский 1 метр   редназначен для отработки борцовской техники  выносливости  скорости и взрывной силы   одойдет для тренировок по различным спортивным дисциплинам  таких как самбо  бокс  карате  борьба и др    рочный эластичный латекс  резина   нейлоновые ручки и крепления    250мм</v>
      </c>
    </row>
    <row r="3009" spans="1:8" ht="12.75" x14ac:dyDescent="0.2">
      <c r="A3009" s="31" t="s">
        <v>7058</v>
      </c>
      <c r="B3009" s="27" t="s">
        <v>7059</v>
      </c>
      <c r="C3009" s="27"/>
      <c r="D3009" s="32"/>
      <c r="E3009" s="9"/>
      <c r="F3009" s="32"/>
      <c r="G3009" s="10"/>
      <c r="H3009" s="30" t="str">
        <f ca="1">IFERROR(__xludf.DUMMYFUNCTION("LOWER(REGEXREPLACE(B3009&amp;"" ""&amp;C3009,""[^а-яa-z0-9 ]"","" ""))")," тойка для гантелей ")</f>
        <v xml:space="preserve"> тойка для гантелей </v>
      </c>
    </row>
    <row r="3010" spans="1:8" ht="51" x14ac:dyDescent="0.2">
      <c r="A3010" s="31" t="s">
        <v>7060</v>
      </c>
      <c r="B3010" s="27" t="s">
        <v>7061</v>
      </c>
      <c r="C3010" s="27" t="s">
        <v>7062</v>
      </c>
      <c r="D3010" s="33" t="s">
        <v>14</v>
      </c>
      <c r="E3010" s="34">
        <v>2</v>
      </c>
      <c r="F3010" s="34">
        <v>133</v>
      </c>
      <c r="G3010" s="10">
        <v>297918</v>
      </c>
      <c r="H3010" s="30" t="str">
        <f ca="1">IFERROR(__xludf.DUMMYFUNCTION("LOWER(REGEXREPLACE(B3010&amp;"" ""&amp;C3010,""[^а-яa-z0-9 ]"","" ""))")," тойка для гантелей 3х рядная     003   ама  стальной профиль прямоугольного сечения   азмер в рабочем состоянии  габариты 1750мм х 850мм х 1000мм  тойка для гантелей 3х рядная     003   ама  стальной профиль прямоугольного сечения   азмер в рабочем состо"&amp;"янии   лина 175см  ширина 85см  высота 100см   аксимальная нагрузка 700кг ")</f>
        <v xml:space="preserve"> тойка для гантелей 3х рядная     003   ама  стальной профиль прямоугольного сечения   азмер в рабочем состоянии  габариты 1750мм х 850мм х 1000мм  тойка для гантелей 3х рядная     003   ама  стальной профиль прямоугольного сечения   азмер в рабочем состоянии   лина 175см  ширина 85см  высота 100см   аксимальная нагрузка 700кг </v>
      </c>
    </row>
    <row r="3011" spans="1:8" ht="38.25" x14ac:dyDescent="0.2">
      <c r="A3011" s="31" t="s">
        <v>7063</v>
      </c>
      <c r="B3011" s="27" t="s">
        <v>7064</v>
      </c>
      <c r="C3011" s="27" t="s">
        <v>7065</v>
      </c>
      <c r="D3011" s="33" t="s">
        <v>14</v>
      </c>
      <c r="E3011" s="34">
        <v>2</v>
      </c>
      <c r="F3011" s="34">
        <v>52</v>
      </c>
      <c r="G3011" s="10">
        <v>286297</v>
      </c>
      <c r="H3011" s="30" t="str">
        <f ca="1">IFERROR(__xludf.DUMMYFUNCTION("LOWER(REGEXREPLACE(B3011&amp;"" ""&amp;C3011,""[^а-яa-z0-9 ]"","" ""))")," тойка для гантелей горизонтальная  2 х рядная на 10 пар    54  габариты  2000мм х 650мм х 670мм  тойка под гантели горизонтальная  двухъярусная на 10 пар     54  габариты  2000мм 650мм 670мм   одставка под гантели на 10 пар  основа стоек выполнена из ста"&amp;"льного профиля ")</f>
        <v xml:space="preserve"> тойка для гантелей горизонтальная  2 х рядная на 10 пар    54  габариты  2000мм х 650мм х 670мм  тойка под гантели горизонтальная  двухъярусная на 10 пар     54  габариты  2000мм 650мм 670мм   одставка под гантели на 10 пар  основа стоек выполнена из стального профиля </v>
      </c>
    </row>
    <row r="3012" spans="1:8" ht="51" x14ac:dyDescent="0.2">
      <c r="A3012" s="31" t="s">
        <v>7066</v>
      </c>
      <c r="B3012" s="8" t="s">
        <v>7067</v>
      </c>
      <c r="C3012" s="27" t="s">
        <v>7068</v>
      </c>
      <c r="D3012" s="33" t="s">
        <v>14</v>
      </c>
      <c r="E3012" s="34">
        <v>2</v>
      </c>
      <c r="F3012" s="34">
        <v>49</v>
      </c>
      <c r="G3012" s="10">
        <v>193331</v>
      </c>
      <c r="H3012" s="30" t="str">
        <f ca="1">IFERROR(__xludf.DUMMYFUNCTION("LOWER(REGEXREPLACE(B3012&amp;"" ""&amp;C3012,""[^а-яa-z0-9 ]"","" ""))")," тойка под гантели горизонтальная  2 рядная на 5 пар    54   габариты  1000мм х 650мм х 670мм  тойка под гантели горизонтальная  двухъярусная на 5 пар    54    зготовленная из профилированной трубы большого сечения и утолщенной стенкой   абариты 1000мм 65"&amp;"0мм 670мм")</f>
        <v xml:space="preserve"> тойка под гантели горизонтальная  2 рядная на 5 пар    54   габариты  1000мм х 650мм х 670мм  тойка под гантели горизонтальная  двухъярусная на 5 пар    54    зготовленная из профилированной трубы большого сечения и утолщенной стенкой   абариты 1000мм 650мм 670мм</v>
      </c>
    </row>
    <row r="3013" spans="1:8" ht="38.25" x14ac:dyDescent="0.2">
      <c r="A3013" s="31" t="s">
        <v>7069</v>
      </c>
      <c r="B3013" s="27" t="s">
        <v>7070</v>
      </c>
      <c r="C3013" s="27" t="s">
        <v>7071</v>
      </c>
      <c r="D3013" s="33" t="s">
        <v>14</v>
      </c>
      <c r="E3013" s="34">
        <v>2</v>
      </c>
      <c r="F3013" s="34">
        <v>27</v>
      </c>
      <c r="G3013" s="10">
        <v>289580</v>
      </c>
      <c r="H3013" s="30" t="str">
        <f ca="1">IFERROR(__xludf.DUMMYFUNCTION("LOWER(REGEXREPLACE(B3013&amp;"" ""&amp;C3013,""[^а-яa-z0-9 ]"","" ""))")," одставка для гантелей  umbbell  ush  he  houlder    62  габариты  960мм х 700мм х 1450мм   одставка для гантелей  umbbell  ush  he  houlder    62   снова стоек выполнена из стального профиля  окрашенного методом трибостатического напыления   абариты 960м"&amp;"м  700мм  1450мм  ")</f>
        <v xml:space="preserve"> одставка для гантелей  umbbell  ush  he  houlder    62  габариты  960мм х 700мм х 1450мм   одставка для гантелей  umbbell  ush  he  houlder    62   снова стоек выполнена из стального профиля  окрашенного методом трибостатического напыления   абариты 960мм  700мм  1450мм  </v>
      </c>
    </row>
    <row r="3014" spans="1:8" ht="51" x14ac:dyDescent="0.2">
      <c r="A3014" s="31" t="s">
        <v>7072</v>
      </c>
      <c r="B3014" s="27" t="s">
        <v>7073</v>
      </c>
      <c r="C3014" s="27" t="s">
        <v>7074</v>
      </c>
      <c r="D3014" s="33" t="s">
        <v>14</v>
      </c>
      <c r="E3014" s="34">
        <v>2</v>
      </c>
      <c r="F3014" s="34">
        <v>36</v>
      </c>
      <c r="G3014" s="10">
        <v>162879</v>
      </c>
      <c r="H3014" s="30" t="str">
        <f ca="1">IFERROR(__xludf.DUMMYFUNCTION("LOWER(REGEXREPLACE(B3014&amp;"" ""&amp;C3014,""[^а-яa-z0-9 ]"","" ""))")," тойка для гирь   атериал изготовления  сталь с антикорозийным покрытием  резиновые накладки с антискользящим покрытием   азмеры  1030х690х170мм  тойка для гирь выполнена из металокаркаса  покрытие порошковая краска   олки оснащены резиновым антискользящи"&amp;"м покрытием ")</f>
        <v xml:space="preserve"> тойка для гирь   атериал изготовления  сталь с антикорозийным покрытием  резиновые накладки с антискользящим покрытием   азмеры  1030х690х170мм  тойка для гирь выполнена из металокаркаса  покрытие порошковая краска   олки оснащены резиновым антискользящим покрытием </v>
      </c>
    </row>
    <row r="3015" spans="1:8" ht="12.75" x14ac:dyDescent="0.2">
      <c r="A3015" s="31" t="s">
        <v>7075</v>
      </c>
      <c r="B3015" s="27" t="s">
        <v>7076</v>
      </c>
      <c r="C3015" s="27"/>
      <c r="D3015" s="32"/>
      <c r="E3015" s="9"/>
      <c r="F3015" s="32"/>
      <c r="G3015" s="10"/>
      <c r="H3015" s="30" t="str">
        <f ca="1">IFERROR(__xludf.DUMMYFUNCTION("LOWER(REGEXREPLACE(B3015&amp;"" ""&amp;C3015,""[^а-яa-z0-9 ]"","" ""))")," тойка для дисков ")</f>
        <v xml:space="preserve"> тойка для дисков </v>
      </c>
    </row>
    <row r="3016" spans="1:8" ht="51" x14ac:dyDescent="0.2">
      <c r="A3016" s="31" t="s">
        <v>7077</v>
      </c>
      <c r="B3016" s="27" t="s">
        <v>7078</v>
      </c>
      <c r="C3016" s="27" t="s">
        <v>7079</v>
      </c>
      <c r="D3016" s="33" t="s">
        <v>14</v>
      </c>
      <c r="E3016" s="34">
        <v>2</v>
      </c>
      <c r="F3016" s="34">
        <v>16</v>
      </c>
      <c r="G3016" s="10">
        <v>147592</v>
      </c>
      <c r="H3016" s="30" t="str">
        <f ca="1">IFERROR(__xludf.DUMMYFUNCTION("LOWER(REGEXREPLACE(B3016&amp;"" ""&amp;C3016,""[^а-яa-z0-9 ]"","" ""))")," тойка для дисков     680   ама  холоднокатанная профильная сталь 5 х 5 см   орошковая окраска стойки   абариты  680 650 1250мм  тойка для дисков     680   ама  холоднокатанная профильная сталь 5 х 5 см   орошковая окраска стойки   рофиль рамы усиленный  "&amp;"способен выдержать нагрузку до 450 кг   абариты  680 650 1250мм ")</f>
        <v xml:space="preserve"> тойка для дисков     680   ама  холоднокатанная профильная сталь 5 х 5 см   орошковая окраска стойки   абариты  680 650 1250мм  тойка для дисков     680   ама  холоднокатанная профильная сталь 5 х 5 см   орошковая окраска стойки   рофиль рамы усиленный  способен выдержать нагрузку до 450 кг   абариты  680 650 1250мм </v>
      </c>
    </row>
    <row r="3017" spans="1:8" ht="51" x14ac:dyDescent="0.2">
      <c r="A3017" s="31" t="s">
        <v>7080</v>
      </c>
      <c r="B3017" s="27" t="s">
        <v>7081</v>
      </c>
      <c r="C3017" s="27" t="s">
        <v>7082</v>
      </c>
      <c r="D3017" s="33" t="s">
        <v>14</v>
      </c>
      <c r="E3017" s="34">
        <v>2</v>
      </c>
      <c r="F3017" s="34">
        <v>23</v>
      </c>
      <c r="G3017" s="10">
        <v>155517</v>
      </c>
      <c r="H3017" s="30" t="str">
        <f ca="1">IFERROR(__xludf.DUMMYFUNCTION("LOWER(REGEXREPLACE(B3017&amp;"" ""&amp;C3017,""[^а-яa-z0-9 ]"","" ""))")," тойка для дисков  arbell  isc  ack    63  габариты  680мм х 650мм х 1250мм  тойка для дисков  arbell  isc  ack    63   есущая конструкция   круглая труба сечения 60х60х2 мм   ренажер покрашен с применением порошковой покраски   аксимальная нагрузка   500"&amp;"кг   абариты  680мм 650мм 1250мм ")</f>
        <v xml:space="preserve"> тойка для дисков  arbell  isc  ack    63  габариты  680мм х 650мм х 1250мм  тойка для дисков  arbell  isc  ack    63   есущая конструкция   круглая труба сечения 60х60х2 мм   ренажер покрашен с применением порошковой покраски   аксимальная нагрузка   500кг   абариты  680мм 650мм 1250мм </v>
      </c>
    </row>
    <row r="3018" spans="1:8" ht="12.75" x14ac:dyDescent="0.2">
      <c r="A3018" s="31" t="s">
        <v>7083</v>
      </c>
      <c r="B3018" s="27" t="s">
        <v>7084</v>
      </c>
      <c r="C3018" s="27"/>
      <c r="D3018" s="32"/>
      <c r="E3018" s="9"/>
      <c r="F3018" s="32"/>
      <c r="G3018" s="10"/>
      <c r="H3018" s="30" t="str">
        <f ca="1">IFERROR(__xludf.DUMMYFUNCTION("LOWER(REGEXREPLACE(B3018&amp;"" ""&amp;C3018,""[^а-яa-z0-9 ]"","" ""))")," ележка ")</f>
        <v xml:space="preserve"> ележка </v>
      </c>
    </row>
    <row r="3019" spans="1:8" ht="76.5" x14ac:dyDescent="0.2">
      <c r="A3019" s="31" t="s">
        <v>7085</v>
      </c>
      <c r="B3019" s="27" t="s">
        <v>7086</v>
      </c>
      <c r="C3019" s="27" t="s">
        <v>7087</v>
      </c>
      <c r="D3019" s="33" t="s">
        <v>14</v>
      </c>
      <c r="E3019" s="34">
        <v>2</v>
      </c>
      <c r="F3019" s="34">
        <v>18</v>
      </c>
      <c r="G3019" s="10">
        <v>125655</v>
      </c>
      <c r="H3019" s="30" t="str">
        <f ca="1">IFERROR(__xludf.DUMMYFUNCTION("LOWER(REGEXREPLACE(B3019&amp;"" ""&amp;C3019,""[^а-яa-z0-9 ]"","" ""))")," ележка для матов     2001   азмеры 1000х2000мм   ележка для перевозки матов предназначена для перевозки гимнастических матов  ележка для матов     2001   азмеры 1000х2000мм   ележка для перевозки матов предназначена для перевозки гимнастических матов   е"&amp;"лежка для перевозки матов изготовлена из металлического профиля 40х40 мм   се детали тележки для перевозки матов окрашены порошковой краской   ля удобства перемещения оснащена съемной ручкой   иаметр ручки   20 мм   рофиль стоек ручки   30х30 мм ")</f>
        <v xml:space="preserve"> ележка для матов     2001   азмеры 1000х2000мм   ележка для перевозки матов предназначена для перевозки гимнастических матов  ележка для матов     2001   азмеры 1000х2000мм   ележка для перевозки матов предназначена для перевозки гимнастических матов   ележка для перевозки матов изготовлена из металлического профиля 40х40 мм   се детали тележки для перевозки матов окрашены порошковой краской   ля удобства перемещения оснащена съемной ручкой   иаметр ручки   20 мм   рофиль стоек ручки   30х30 мм </v>
      </c>
    </row>
    <row r="3020" spans="1:8" ht="12.75" x14ac:dyDescent="0.2">
      <c r="A3020" s="31" t="s">
        <v>7088</v>
      </c>
      <c r="B3020" s="27" t="s">
        <v>7089</v>
      </c>
      <c r="C3020" s="27"/>
      <c r="D3020" s="33" t="s">
        <v>14</v>
      </c>
      <c r="E3020" s="9"/>
      <c r="F3020" s="32"/>
      <c r="G3020" s="10"/>
      <c r="H3020" s="30" t="str">
        <f ca="1">IFERROR(__xludf.DUMMYFUNCTION("LOWER(REGEXREPLACE(B3020&amp;"" ""&amp;C3020,""[^а-яa-z0-9 ]"","" ""))")," етка для настольного тенниса ")</f>
        <v xml:space="preserve"> етка для настольного тенниса </v>
      </c>
    </row>
    <row r="3021" spans="1:8" ht="38.25" x14ac:dyDescent="0.2">
      <c r="A3021" s="31" t="s">
        <v>7090</v>
      </c>
      <c r="B3021" s="27" t="s">
        <v>7091</v>
      </c>
      <c r="C3021" s="27" t="s">
        <v>7092</v>
      </c>
      <c r="D3021" s="33" t="s">
        <v>14</v>
      </c>
      <c r="E3021" s="34">
        <v>2</v>
      </c>
      <c r="F3021" s="36">
        <v>0.54</v>
      </c>
      <c r="G3021" s="10">
        <v>8076</v>
      </c>
      <c r="H3021" s="30" t="str">
        <f ca="1">IFERROR(__xludf.DUMMYFUNCTION("LOWER(REGEXREPLACE(B3021&amp;"" ""&amp;C3021,""[^а-яa-z0-9 ]"","" ""))")," етка для настольного тенниса sd 100  крепление винт   зготовлена из нейлона  азмеры сетки   лина  183 см     1 см   ысота  15 25 см  етка для настольного тенниса sd 100  крепление винт   зготовлена из нейлона   азмеры сетки   лина  183 см     1 см   ысот"&amp;"а  15 25 см ")</f>
        <v xml:space="preserve"> етка для настольного тенниса sd 100  крепление винт   зготовлена из нейлона  азмеры сетки   лина  183 см     1 см   ысота  15 25 см  етка для настольного тенниса sd 100  крепление винт   зготовлена из нейлона   азмеры сетки   лина  183 см     1 см   ысота  15 25 см </v>
      </c>
    </row>
    <row r="3022" spans="1:8" ht="12.75" x14ac:dyDescent="0.2">
      <c r="A3022" s="31" t="s">
        <v>7093</v>
      </c>
      <c r="B3022" s="27" t="s">
        <v>7094</v>
      </c>
      <c r="C3022" s="27"/>
      <c r="D3022" s="33" t="s">
        <v>14</v>
      </c>
      <c r="E3022" s="9"/>
      <c r="F3022" s="32"/>
      <c r="G3022" s="10"/>
      <c r="H3022" s="30" t="str">
        <f ca="1">IFERROR(__xludf.DUMMYFUNCTION("LOWER(REGEXREPLACE(B3022&amp;"" ""&amp;C3022,""[^а-яa-z0-9 ]"","" ""))")," олодка стартовая ")</f>
        <v xml:space="preserve"> олодка стартовая </v>
      </c>
    </row>
    <row r="3023" spans="1:8" ht="76.5" x14ac:dyDescent="0.2">
      <c r="A3023" s="31" t="s">
        <v>7095</v>
      </c>
      <c r="B3023" s="27" t="s">
        <v>7096</v>
      </c>
      <c r="C3023" s="27" t="s">
        <v>7097</v>
      </c>
      <c r="D3023" s="33" t="s">
        <v>14</v>
      </c>
      <c r="E3023" s="34">
        <v>2</v>
      </c>
      <c r="F3023" s="35">
        <v>4.0999999999999996</v>
      </c>
      <c r="G3023" s="10">
        <v>38360</v>
      </c>
      <c r="H3023" s="30" t="str">
        <f ca="1">IFERROR(__xludf.DUMMYFUNCTION("LOWER(REGEXREPLACE(B3023&amp;"" ""&amp;C3023,""[^а-яa-z0-9 ]"","" ""))")," олодка стартовая    2126  с возможностью регулировки угла наклона и длины  шаг регулировки   25 мм  длина   до 550 мм   олодка стартовая    2126   тальная основа выполнена из квадратного профиля   озможность регулировки угла наклона и длины  шаг регулиро"&amp;"вки   25 мм  длина   до 550 мм    оверхность опор колодок покрыта специальным анти скользящим резиновым слоем   еталлические опоры изготовлены из стали  обработаны гальваническим покрытием   се металлические элементы оцинкованные ")</f>
        <v xml:space="preserve"> олодка стартовая    2126  с возможностью регулировки угла наклона и длины  шаг регулировки   25 мм  длина   до 550 мм   олодка стартовая    2126   тальная основа выполнена из квадратного профиля   озможность регулировки угла наклона и длины  шаг регулировки   25 мм  длина   до 550 мм    оверхность опор колодок покрыта специальным анти скользящим резиновым слоем   еталлические опоры изготовлены из стали  обработаны гальваническим покрытием   се металлические элементы оцинкованные </v>
      </c>
    </row>
    <row r="3024" spans="1:8" ht="12.75" x14ac:dyDescent="0.2">
      <c r="A3024" s="31" t="s">
        <v>7098</v>
      </c>
      <c r="B3024" s="27" t="s">
        <v>7099</v>
      </c>
      <c r="C3024" s="27"/>
      <c r="D3024" s="33" t="s">
        <v>14</v>
      </c>
      <c r="E3024" s="9"/>
      <c r="F3024" s="32"/>
      <c r="G3024" s="10"/>
      <c r="H3024" s="30" t="str">
        <f ca="1">IFERROR(__xludf.DUMMYFUNCTION("LOWER(REGEXREPLACE(B3024&amp;"" ""&amp;C3024,""[^а-яa-z0-9 ]"","" ""))")," ерчатки  боксерские  лапы  шлем ")</f>
        <v xml:space="preserve"> ерчатки  боксерские  лапы  шлем </v>
      </c>
    </row>
    <row r="3025" spans="1:8" ht="38.25" x14ac:dyDescent="0.2">
      <c r="A3025" s="31" t="s">
        <v>7100</v>
      </c>
      <c r="B3025" s="27" t="s">
        <v>7101</v>
      </c>
      <c r="C3025" s="27" t="s">
        <v>7102</v>
      </c>
      <c r="D3025" s="33" t="s">
        <v>14</v>
      </c>
      <c r="E3025" s="34">
        <v>2</v>
      </c>
      <c r="F3025" s="35">
        <v>0.7</v>
      </c>
      <c r="G3025" s="10">
        <v>17755</v>
      </c>
      <c r="H3025" s="30" t="str">
        <f ca="1">IFERROR(__xludf.DUMMYFUNCTION("LOWER(REGEXREPLACE(B3025&amp;"" ""&amp;C3025,""[^а-яa-z0-9 ]"","" ""))")," ерчатки боксерские тренировочные     2369   зготовлены из кожзама  ерчатки боксерские тренировочные     2369   зготовлены из кожзама  застежка  липучки либо на резинке  вес от 4 18 унций    азмеры  18 31 см   аполнитель  гель  полиуретан")</f>
        <v xml:space="preserve"> ерчатки боксерские тренировочные     2369   зготовлены из кожзама  ерчатки боксерские тренировочные     2369   зготовлены из кожзама  застежка  липучки либо на резинке  вес от 4 18 унций    азмеры  18 31 см   аполнитель  гель  полиуретан</v>
      </c>
    </row>
    <row r="3026" spans="1:8" ht="38.25" x14ac:dyDescent="0.2">
      <c r="A3026" s="31" t="s">
        <v>7103</v>
      </c>
      <c r="B3026" s="27" t="s">
        <v>7104</v>
      </c>
      <c r="C3026" s="27" t="s">
        <v>7105</v>
      </c>
      <c r="D3026" s="33" t="s">
        <v>14</v>
      </c>
      <c r="E3026" s="34">
        <v>2</v>
      </c>
      <c r="F3026" s="36">
        <v>0.85</v>
      </c>
      <c r="G3026" s="10">
        <v>51856</v>
      </c>
      <c r="H3026" s="30" t="str">
        <f ca="1">IFERROR(__xludf.DUMMYFUNCTION("LOWER(REGEXREPLACE(B3026&amp;"" ""&amp;C3026,""[^а-яa-z0-9 ]"","" ""))")," ерчатки боксерские     2371   зготовлены из натуральной кожи  ерчатки боксерские кожаные     2371   зготовлены из натуральной кожи  застежка  на шнуровке либо на липучке  вес от 4 18 унций   азмеры по охвату кисти  18 31 см   аполнитель  гель  полиуретан")</f>
        <v xml:space="preserve"> ерчатки боксерские     2371   зготовлены из натуральной кожи  ерчатки боксерские кожаные     2371   зготовлены из натуральной кожи  застежка  на шнуровке либо на липучке  вес от 4 18 унций   азмеры по охвату кисти  18 31 см   аполнитель  гель  полиуретан</v>
      </c>
    </row>
    <row r="3027" spans="1:8" ht="25.5" x14ac:dyDescent="0.2">
      <c r="A3027" s="31" t="s">
        <v>7106</v>
      </c>
      <c r="B3027" s="27" t="s">
        <v>7107</v>
      </c>
      <c r="C3027" s="27" t="s">
        <v>7108</v>
      </c>
      <c r="D3027" s="33" t="s">
        <v>14</v>
      </c>
      <c r="E3027" s="34">
        <v>2</v>
      </c>
      <c r="F3027" s="36">
        <v>0.55000000000000004</v>
      </c>
      <c r="G3027" s="10">
        <v>13545</v>
      </c>
      <c r="H3027" s="30" t="str">
        <f ca="1">IFERROR(__xludf.DUMMYFUNCTION("LOWER(REGEXREPLACE(B3027&amp;"" ""&amp;C3027,""[^а-яa-z0-9 ]"","" ""))")," апы боксерские    001  апы боксерские    001   азмеры 32см x 21см   атериал верха   искусственная кожа  материал наполнителя   пенополиуретан ")</f>
        <v xml:space="preserve"> апы боксерские    001  апы боксерские    001   азмеры 32см x 21см   атериал верха   искусственная кожа  материал наполнителя   пенополиуретан </v>
      </c>
    </row>
    <row r="3028" spans="1:8" ht="25.5" x14ac:dyDescent="0.2">
      <c r="A3028" s="31" t="s">
        <v>7109</v>
      </c>
      <c r="B3028" s="27" t="s">
        <v>7110</v>
      </c>
      <c r="C3028" s="27" t="s">
        <v>7111</v>
      </c>
      <c r="D3028" s="33" t="s">
        <v>14</v>
      </c>
      <c r="E3028" s="34">
        <v>2</v>
      </c>
      <c r="F3028" s="36">
        <v>0.48</v>
      </c>
      <c r="G3028" s="10">
        <v>17565</v>
      </c>
      <c r="H3028" s="30" t="str">
        <f ca="1">IFERROR(__xludf.DUMMYFUNCTION("LOWER(REGEXREPLACE(B3028&amp;"" ""&amp;C3028,""[^а-яa-z0-9 ]"","" ""))")," лем боксерский     0238  из синтетической кожи  лем боксерский     0238   зготовлен из синтетической кожи ")</f>
        <v xml:space="preserve"> лем боксерский     0238  из синтетической кожи  лем боксерский     0238   зготовлен из синтетической кожи </v>
      </c>
    </row>
    <row r="3029" spans="1:8" ht="38.25" x14ac:dyDescent="0.2">
      <c r="A3029" s="31" t="s">
        <v>7112</v>
      </c>
      <c r="B3029" s="27" t="s">
        <v>7113</v>
      </c>
      <c r="C3029" s="27" t="s">
        <v>7114</v>
      </c>
      <c r="D3029" s="33" t="s">
        <v>14</v>
      </c>
      <c r="E3029" s="34">
        <v>2</v>
      </c>
      <c r="F3029" s="35">
        <v>0.3</v>
      </c>
      <c r="G3029" s="10">
        <v>8197</v>
      </c>
      <c r="H3029" s="30" t="str">
        <f ca="1">IFERROR(__xludf.DUMMYFUNCTION("LOWER(REGEXREPLACE(B3029&amp;"" ""&amp;C3029,""[^а-яa-z0-9 ]"","" ""))"),"  апы для таэквондо    2372  изготовлены из натуральной кожи     апы для таэквондо    2372  хлопушка     азмеры  длина 400мм  ширина 230мм  толщина 50мм    зготовлены из натуральной кожи   ")</f>
        <v xml:space="preserve">  апы для таэквондо    2372  изготовлены из натуральной кожи     апы для таэквондо    2372  хлопушка     азмеры  длина 400мм  ширина 230мм  толщина 50мм    зготовлены из натуральной кожи   </v>
      </c>
    </row>
    <row r="3030" spans="1:8" ht="25.5" x14ac:dyDescent="0.2">
      <c r="A3030" s="31" t="s">
        <v>7115</v>
      </c>
      <c r="B3030" s="27" t="s">
        <v>7116</v>
      </c>
      <c r="C3030" s="27" t="s">
        <v>7117</v>
      </c>
      <c r="D3030" s="33" t="s">
        <v>14</v>
      </c>
      <c r="E3030" s="34">
        <v>2</v>
      </c>
      <c r="F3030" s="34">
        <v>1</v>
      </c>
      <c r="G3030" s="10">
        <v>29276</v>
      </c>
      <c r="H3030" s="30" t="str">
        <f ca="1">IFERROR(__xludf.DUMMYFUNCTION("LOWER(REGEXREPLACE(B3030&amp;"" ""&amp;C3030,""[^а-яa-z0-9 ]"","" ""))")," лем для рукопашного боя     001  лем для рукопашного боя     001   нутренняя сторона изготовлена из искусственной замши  внешняя из искусственной кожи ")</f>
        <v xml:space="preserve"> лем для рукопашного боя     001  лем для рукопашного боя     001   нутренняя сторона изготовлена из искусственной замши  внешняя из искусственной кожи </v>
      </c>
    </row>
    <row r="3031" spans="1:8" ht="38.25" x14ac:dyDescent="0.2">
      <c r="A3031" s="31" t="s">
        <v>7118</v>
      </c>
      <c r="B3031" s="27" t="s">
        <v>7119</v>
      </c>
      <c r="C3031" s="27" t="s">
        <v>7120</v>
      </c>
      <c r="D3031" s="33" t="s">
        <v>14</v>
      </c>
      <c r="E3031" s="34">
        <v>2</v>
      </c>
      <c r="F3031" s="34">
        <v>4</v>
      </c>
      <c r="G3031" s="10">
        <v>49045</v>
      </c>
      <c r="H3031" s="30" t="str">
        <f ca="1">IFERROR(__xludf.DUMMYFUNCTION("LOWER(REGEXREPLACE(B3031&amp;"" ""&amp;C3031,""[^а-яa-z0-9 ]"","" ""))")," акивара большая    003 из искусственной кожи  акивара большая    003   атериал   искусственная кожа  полиуретан    аполнитель поролон 22кг м    азмеры  680мм х 400мм х 100 мм ")</f>
        <v xml:space="preserve"> акивара большая    003 из искусственной кожи  акивара большая    003   атериал   искусственная кожа  полиуретан    аполнитель поролон 22кг м    азмеры  680мм х 400мм х 100 мм </v>
      </c>
    </row>
    <row r="3032" spans="1:8" ht="38.25" x14ac:dyDescent="0.2">
      <c r="A3032" s="31" t="s">
        <v>7121</v>
      </c>
      <c r="B3032" s="27" t="s">
        <v>7122</v>
      </c>
      <c r="C3032" s="27" t="s">
        <v>7123</v>
      </c>
      <c r="D3032" s="33" t="s">
        <v>14</v>
      </c>
      <c r="E3032" s="34">
        <v>2</v>
      </c>
      <c r="F3032" s="34">
        <v>2</v>
      </c>
      <c r="G3032" s="10">
        <v>26072</v>
      </c>
      <c r="H3032" s="30" t="str">
        <f ca="1">IFERROR(__xludf.DUMMYFUNCTION("LOWER(REGEXREPLACE(B3032&amp;"" ""&amp;C3032,""[^а-яa-z0-9 ]"","" ""))")," акивара    002 из искусственной кожи  акивара    002   атериал   искусственная кожа  полиуретан     войное крепление руки    ренажер наполнен пенополиуретаном   азмеры  450мм х 250мм х 150мм")</f>
        <v xml:space="preserve"> акивара    002 из искусственной кожи  акивара    002   атериал   искусственная кожа  полиуретан     войное крепление руки    ренажер наполнен пенополиуретаном   азмеры  450мм х 250мм х 150мм</v>
      </c>
    </row>
    <row r="3033" spans="1:8" ht="25.5" x14ac:dyDescent="0.2">
      <c r="A3033" s="31" t="s">
        <v>7124</v>
      </c>
      <c r="B3033" s="27" t="s">
        <v>7125</v>
      </c>
      <c r="C3033" s="27" t="s">
        <v>7126</v>
      </c>
      <c r="D3033" s="33" t="s">
        <v>14</v>
      </c>
      <c r="E3033" s="34">
        <v>2</v>
      </c>
      <c r="F3033" s="34">
        <v>10</v>
      </c>
      <c r="G3033" s="10">
        <v>94879</v>
      </c>
      <c r="H3033" s="30" t="str">
        <f ca="1">IFERROR(__xludf.DUMMYFUNCTION("LOWER(REGEXREPLACE(B3033&amp;"" ""&amp;C3033,""[^а-яa-z0-9 ]"","" ""))")," акивара апперкотная настенная     084  из натуральной кожи  акивара апперкотная настенная     084   атериал  натуральная кожа   абивка  изолон  синтипон  лоскут ")</f>
        <v xml:space="preserve"> акивара апперкотная настенная     084  из натуральной кожи  акивара апперкотная настенная     084   атериал  натуральная кожа   абивка  изолон  синтипон  лоскут </v>
      </c>
    </row>
    <row r="3034" spans="1:8" ht="12.75" x14ac:dyDescent="0.2">
      <c r="A3034" s="31" t="s">
        <v>7127</v>
      </c>
      <c r="B3034" s="27" t="s">
        <v>7128</v>
      </c>
      <c r="C3034" s="27"/>
      <c r="D3034" s="33" t="s">
        <v>14</v>
      </c>
      <c r="E3034" s="9"/>
      <c r="F3034" s="32"/>
      <c r="G3034" s="10"/>
      <c r="H3034" s="30" t="str">
        <f ca="1">IFERROR(__xludf.DUMMYFUNCTION("LOWER(REGEXREPLACE(B3034&amp;"" ""&amp;C3034,""[^а-яa-z0-9 ]"","" ""))")," ренажер спортивный ")</f>
        <v xml:space="preserve"> ренажер спортивный </v>
      </c>
    </row>
    <row r="3035" spans="1:8" ht="38.25" x14ac:dyDescent="0.2">
      <c r="A3035" s="31" t="s">
        <v>7129</v>
      </c>
      <c r="B3035" s="27" t="s">
        <v>7130</v>
      </c>
      <c r="C3035" s="27" t="s">
        <v>7131</v>
      </c>
      <c r="D3035" s="33" t="s">
        <v>14</v>
      </c>
      <c r="E3035" s="34">
        <v>2</v>
      </c>
      <c r="F3035" s="34">
        <v>170</v>
      </c>
      <c r="G3035" s="10">
        <v>1273163</v>
      </c>
      <c r="H3035" s="30" t="str">
        <f ca="1">IFERROR(__xludf.DUMMYFUNCTION("LOWER(REGEXREPLACE(B3035&amp;"" ""&amp;C3035,""[^а-яa-z0-9 ]"","" ""))")," ренажер  иловая рама для приседаний    01  габариты  2170мм х 1350мм х 2200мм  ренажер  иловая рама для приседаний     01   абариты  2170мм  1350мм  2200мм   ечение трубы профиля  7 х 5 см   олщина трубы профиля  3 мм")</f>
        <v xml:space="preserve"> ренажер  иловая рама для приседаний    01  габариты  2170мм х 1350мм х 2200мм  ренажер  иловая рама для приседаний     01   абариты  2170мм  1350мм  2200мм   ечение трубы профиля  7 х 5 см   олщина трубы профиля  3 мм</v>
      </c>
    </row>
    <row r="3036" spans="1:8" ht="38.25" x14ac:dyDescent="0.2">
      <c r="A3036" s="31" t="s">
        <v>7132</v>
      </c>
      <c r="B3036" s="8" t="s">
        <v>7133</v>
      </c>
      <c r="C3036" s="27" t="s">
        <v>7134</v>
      </c>
      <c r="D3036" s="33" t="s">
        <v>14</v>
      </c>
      <c r="E3036" s="34">
        <v>2</v>
      </c>
      <c r="F3036" s="34">
        <v>150</v>
      </c>
      <c r="G3036" s="10">
        <v>1105494</v>
      </c>
      <c r="H3036" s="30" t="str">
        <f ca="1">IFERROR(__xludf.DUMMYFUNCTION("LOWER(REGEXREPLACE(B3036&amp;"" ""&amp;C3036,""[^а-яa-z0-9 ]"","" ""))")," ренажер  азгибание ног сидя    02  габариты  1500мм х 1200мм х 1650мм  ренажер  азгибание ног сидя     02  абариты  1500мм  1200мм  1650мм   иденье тренажера изготовлено из многослойной фанеры толщиной 15 мм   скусственная кожа 18 группы толщины ")</f>
        <v xml:space="preserve"> ренажер  азгибание ног сидя    02  габариты  1500мм х 1200мм х 1650мм  ренажер  азгибание ног сидя     02  абариты  1500мм  1200мм  1650мм   иденье тренажера изготовлено из многослойной фанеры толщиной 15 мм   скусственная кожа 18 группы толщины </v>
      </c>
    </row>
    <row r="3037" spans="1:8" ht="25.5" x14ac:dyDescent="0.2">
      <c r="A3037" s="31" t="s">
        <v>7135</v>
      </c>
      <c r="B3037" s="8" t="s">
        <v>7136</v>
      </c>
      <c r="C3037" s="27" t="s">
        <v>7137</v>
      </c>
      <c r="D3037" s="33" t="s">
        <v>14</v>
      </c>
      <c r="E3037" s="34">
        <v>2</v>
      </c>
      <c r="F3037" s="34">
        <v>140</v>
      </c>
      <c r="G3037" s="10">
        <v>1036131</v>
      </c>
      <c r="H3037" s="30" t="str">
        <f ca="1">IFERROR(__xludf.DUMMYFUNCTION("LOWER(REGEXREPLACE(B3037&amp;"" ""&amp;C3037,""[^а-яa-z0-9 ]"","" ""))")," ренажер  гибание ног лежа    03  габариты  1600мм х 1200мм х 1650мм  ренажер  гибание ног лежа    03   абариты 1600мм 1200мм 1650мм  искусственная кожа 18 группы толщины ")</f>
        <v xml:space="preserve"> ренажер  гибание ног лежа    03  габариты  1600мм х 1200мм х 1650мм  ренажер  гибание ног лежа    03   абариты 1600мм 1200мм 1650мм  искусственная кожа 18 группы толщины </v>
      </c>
    </row>
    <row r="3038" spans="1:8" ht="38.25" x14ac:dyDescent="0.2">
      <c r="A3038" s="31" t="s">
        <v>7138</v>
      </c>
      <c r="B3038" s="27" t="s">
        <v>7139</v>
      </c>
      <c r="C3038" s="27" t="s">
        <v>7140</v>
      </c>
      <c r="D3038" s="33" t="s">
        <v>14</v>
      </c>
      <c r="E3038" s="34">
        <v>2</v>
      </c>
      <c r="F3038" s="34">
        <v>165</v>
      </c>
      <c r="G3038" s="10">
        <v>1131979</v>
      </c>
      <c r="H3038" s="30" t="str">
        <f ca="1">IFERROR(__xludf.DUMMYFUNCTION("LOWER(REGEXREPLACE(B3038&amp;"" ""&amp;C3038,""[^а-яa-z0-9 ]"","" ""))")," ренежер  ведение рук перед грудью    04  габариты  1600мм х 1200мм х 1650мм  ренежер  ведение рук перед грудью     04   абариты тренажера  1600мм 1200мм 1650мм  материал  металл  кожзам  параллон ")</f>
        <v xml:space="preserve"> ренежер  ведение рук перед грудью    04  габариты  1600мм х 1200мм х 1650мм  ренежер  ведение рук перед грудью     04   абариты тренажера  1600мм 1200мм 1650мм  материал  металл  кожзам  параллон </v>
      </c>
    </row>
    <row r="3039" spans="1:8" ht="25.5" x14ac:dyDescent="0.2">
      <c r="A3039" s="31" t="s">
        <v>7141</v>
      </c>
      <c r="B3039" s="8" t="s">
        <v>7142</v>
      </c>
      <c r="C3039" s="27" t="s">
        <v>7143</v>
      </c>
      <c r="D3039" s="33" t="s">
        <v>14</v>
      </c>
      <c r="E3039" s="34">
        <v>2</v>
      </c>
      <c r="F3039" s="34">
        <v>165</v>
      </c>
      <c r="G3039" s="10">
        <v>1138085</v>
      </c>
      <c r="H3039" s="30" t="str">
        <f ca="1">IFERROR(__xludf.DUMMYFUNCTION("LOWER(REGEXREPLACE(B3039&amp;"" ""&amp;C3039,""[^а-яa-z0-9 ]"","" ""))")," ренажер  им сидя от груди    05габариты  950мм х 1500мм х 1650мм   ренажер  им сидя от груди    05   абариты тренажера  950мм 1500мм 1650мм  материал  металл  кожзам  параллон   ")</f>
        <v xml:space="preserve"> ренажер  им сидя от груди    05габариты  950мм х 1500мм х 1650мм   ренажер  им сидя от груди    05   абариты тренажера  950мм 1500мм 1650мм  материал  металл  кожзам  параллон   </v>
      </c>
    </row>
    <row r="3040" spans="1:8" ht="38.25" x14ac:dyDescent="0.2">
      <c r="A3040" s="31" t="s">
        <v>7144</v>
      </c>
      <c r="B3040" s="8" t="s">
        <v>7145</v>
      </c>
      <c r="C3040" s="27" t="s">
        <v>7146</v>
      </c>
      <c r="D3040" s="33" t="s">
        <v>14</v>
      </c>
      <c r="E3040" s="34">
        <v>2</v>
      </c>
      <c r="F3040" s="34">
        <v>250</v>
      </c>
      <c r="G3040" s="10">
        <v>1683636</v>
      </c>
      <c r="H3040" s="30" t="str">
        <f ca="1">IFERROR(__xludf.DUMMYFUNCTION("LOWER(REGEXREPLACE(B3040&amp;"" ""&amp;C3040,""[^а-яa-z0-9 ]"","" ""))")," ренажер  россовер    06  габариты  3800мм х 830мм х 2300мм  ренажер  россовер    06  габариты тренажера  3800мм 830мм 2300мм   рузоблочные плитки стальные весом 71кг х 2  грузоблочная нагрузка 76кг х 2 ")</f>
        <v xml:space="preserve"> ренажер  россовер    06  габариты  3800мм х 830мм х 2300мм  ренажер  россовер    06  габариты тренажера  3800мм 830мм 2300мм   рузоблочные плитки стальные весом 71кг х 2  грузоблочная нагрузка 76кг х 2 </v>
      </c>
    </row>
    <row r="3041" spans="1:8" ht="51" x14ac:dyDescent="0.2">
      <c r="A3041" s="31" t="s">
        <v>7147</v>
      </c>
      <c r="B3041" s="27" t="s">
        <v>7148</v>
      </c>
      <c r="C3041" s="27" t="s">
        <v>7149</v>
      </c>
      <c r="D3041" s="33" t="s">
        <v>14</v>
      </c>
      <c r="E3041" s="34">
        <v>2</v>
      </c>
      <c r="F3041" s="34">
        <v>130</v>
      </c>
      <c r="G3041" s="10">
        <v>1036092</v>
      </c>
      <c r="H3041" s="30" t="str">
        <f ca="1">IFERROR(__xludf.DUMMYFUNCTION("LOWER(REGEXREPLACE(B3041&amp;"" ""&amp;C3041,""[^а-яa-z0-9 ]"","" ""))")," ренажер  оворот туловища  для косых мышц живота     08  габариты  1200мм х 720мм х 1650мм  ренажер  оворот туловища  для косых мышц живота     08  габариты тренажера 1200мм 720мм 1650мм   оленные валики упоры подойдут  для пользователей разной комплекции"&amp;"   оковые упоры обеспечивают достаточную стабильность и устойчивость ")</f>
        <v xml:space="preserve"> ренажер  оворот туловища  для косых мышц живота     08  габариты  1200мм х 720мм х 1650мм  ренажер  оворот туловища  для косых мышц живота     08  габариты тренажера 1200мм 720мм 1650мм   оленные валики упоры подойдут  для пользователей разной комплекции   оковые упоры обеспечивают достаточную стабильность и устойчивость </v>
      </c>
    </row>
    <row r="3042" spans="1:8" ht="25.5" x14ac:dyDescent="0.2">
      <c r="A3042" s="31" t="s">
        <v>7150</v>
      </c>
      <c r="B3042" s="8" t="s">
        <v>7151</v>
      </c>
      <c r="C3042" s="27" t="s">
        <v>7152</v>
      </c>
      <c r="D3042" s="33" t="s">
        <v>14</v>
      </c>
      <c r="E3042" s="34">
        <v>2</v>
      </c>
      <c r="F3042" s="34">
        <v>137</v>
      </c>
      <c r="G3042" s="10">
        <v>1068396</v>
      </c>
      <c r="H3042" s="30" t="str">
        <f ca="1">IFERROR(__xludf.DUMMYFUNCTION("LOWER(REGEXREPLACE(B3042&amp;"" ""&amp;C3042,""[^а-яa-z0-9 ]"","" ""))")," ренажер  азгибание спины    09  габариты  1200мм х 720мм х 1650мм  ренажер  азгибание спины    09  габариты тренажера  1200мм 720мм 1650мм  противовес составляет 54 кг ")</f>
        <v xml:space="preserve"> ренажер  азгибание спины    09  габариты  1200мм х 720мм х 1650мм  ренажер  азгибание спины    09  габариты тренажера  1200мм 720мм 1650мм  противовес составляет 54 кг </v>
      </c>
    </row>
    <row r="3043" spans="1:8" ht="38.25" x14ac:dyDescent="0.2">
      <c r="A3043" s="31" t="s">
        <v>7153</v>
      </c>
      <c r="B3043" s="8" t="s">
        <v>7154</v>
      </c>
      <c r="C3043" s="27" t="s">
        <v>7155</v>
      </c>
      <c r="D3043" s="33" t="s">
        <v>14</v>
      </c>
      <c r="E3043" s="34">
        <v>2</v>
      </c>
      <c r="F3043" s="34">
        <v>140</v>
      </c>
      <c r="G3043" s="10">
        <v>1061635</v>
      </c>
      <c r="H3043" s="30" t="str">
        <f ca="1">IFERROR(__xludf.DUMMYFUNCTION("LOWER(REGEXREPLACE(B3043&amp;"" ""&amp;C3043,""[^а-яa-z0-9 ]"","" ""))")," ренажер   кручивание  азгибание спины   ack  xtension     10  габариты  1500мм х 1500мм х 1650мм  ренажер   кручивание  азгибание спины  ack  xtension    10  габариты тренажера  1500мм 1500мм 1650мм  противовес составляет 54 кг ")</f>
        <v xml:space="preserve"> ренажер   кручивание  азгибание спины   ack  xtension     10  габариты  1500мм х 1500мм х 1650мм  ренажер   кручивание  азгибание спины  ack  xtension    10  габариты тренажера  1500мм 1500мм 1650мм  противовес составляет 54 кг </v>
      </c>
    </row>
    <row r="3044" spans="1:8" ht="76.5" x14ac:dyDescent="0.2">
      <c r="A3044" s="31" t="s">
        <v>7156</v>
      </c>
      <c r="B3044" s="27" t="s">
        <v>7157</v>
      </c>
      <c r="C3044" s="27" t="s">
        <v>7158</v>
      </c>
      <c r="D3044" s="33" t="s">
        <v>14</v>
      </c>
      <c r="E3044" s="34">
        <v>2</v>
      </c>
      <c r="F3044" s="34">
        <v>135</v>
      </c>
      <c r="G3044" s="10">
        <v>1082175</v>
      </c>
      <c r="H3044" s="30" t="str">
        <f ca="1">IFERROR(__xludf.DUMMYFUNCTION("LOWER(REGEXREPLACE(B3044&amp;"" ""&amp;C3044,""[^а-яa-z0-9 ]"","" ""))")," ренажер  им вверх от плеч    11  габариты  950мм х 1500мм х 1650мм  ренажер  им вверх от плеч    11  габариты тренажера  950мм 1500мм 1650мм    остав  металл  пластик  экокожа        атериал рамы   тальной профиль 100мм х 50мм  толщиной 3мм   еталлически"&amp;"й трос с полиуретановым покрытием  максимальная нагрузка   1000кг   окрытие рамы   орошковая покраска  наполнение подушек      ")</f>
        <v xml:space="preserve"> ренажер  им вверх от плеч    11  габариты  950мм х 1500мм х 1650мм  ренажер  им вверх от плеч    11  габариты тренажера  950мм 1500мм 1650мм    остав  металл  пластик  экокожа        атериал рамы   тальной профиль 100мм х 50мм  толщиной 3мм   еталлический трос с полиуретановым покрытием  максимальная нагрузка   1000кг   окрытие рамы   орошковая покраска  наполнение подушек      </v>
      </c>
    </row>
    <row r="3045" spans="1:8" ht="25.5" x14ac:dyDescent="0.2">
      <c r="A3045" s="31" t="s">
        <v>7159</v>
      </c>
      <c r="B3045" s="8" t="s">
        <v>7160</v>
      </c>
      <c r="C3045" s="27" t="s">
        <v>7161</v>
      </c>
      <c r="D3045" s="33" t="s">
        <v>14</v>
      </c>
      <c r="E3045" s="34">
        <v>2</v>
      </c>
      <c r="F3045" s="34">
        <v>150</v>
      </c>
      <c r="G3045" s="10">
        <v>1126053</v>
      </c>
      <c r="H3045" s="30" t="str">
        <f ca="1">IFERROR(__xludf.DUMMYFUNCTION("LOWER(REGEXREPLACE(B3045&amp;"" ""&amp;C3045,""[^а-яa-z0-9 ]"","" ""))")," ренажер  иловой тренажер  ulti  ip    12  габариты  950мм х 1500мм х 1650мм  ренажер  иловой тренажер  ulti  ip    12  габариты тренажера  950мм 1500мм 1650мм  вес стека  77 кг ")</f>
        <v xml:space="preserve"> ренажер  иловой тренажер  ulti  ip    12  габариты  950мм х 1500мм х 1650мм  ренажер  иловой тренажер  ulti  ip    12  габариты тренажера  950мм 1500мм 1650мм  вес стека  77 кг </v>
      </c>
    </row>
    <row r="3046" spans="1:8" ht="38.25" x14ac:dyDescent="0.2">
      <c r="A3046" s="31" t="s">
        <v>7162</v>
      </c>
      <c r="B3046" s="27" t="s">
        <v>7163</v>
      </c>
      <c r="C3046" s="27" t="s">
        <v>7164</v>
      </c>
      <c r="D3046" s="33" t="s">
        <v>14</v>
      </c>
      <c r="E3046" s="34">
        <v>2</v>
      </c>
      <c r="F3046" s="34">
        <v>140</v>
      </c>
      <c r="G3046" s="10">
        <v>1137988</v>
      </c>
      <c r="H3046" s="30" t="str">
        <f ca="1">IFERROR(__xludf.DUMMYFUNCTION("LOWER(REGEXREPLACE(B3046&amp;"" ""&amp;C3046,""[^а-яa-z0-9 ]"","" ""))")," ренажер  тведение бедра сидя    13  габариты  1800мм х 1600мм х 1650мм  ренажер  тведение бедра сидя    13  габариты тренажера  1800мм 1600мм 1650мм   зготовлен из искусственной кожи на натуральной подложке регулируется по вертикали  вес стека  80 кг ")</f>
        <v xml:space="preserve"> ренажер  тведение бедра сидя    13  габариты  1800мм х 1600мм х 1650мм  ренажер  тведение бедра сидя    13  габариты тренажера  1800мм 1600мм 1650мм   зготовлен из искусственной кожи на натуральной подложке регулируется по вертикали  вес стека  80 кг </v>
      </c>
    </row>
    <row r="3047" spans="1:8" ht="38.25" x14ac:dyDescent="0.2">
      <c r="A3047" s="31" t="s">
        <v>7165</v>
      </c>
      <c r="B3047" s="27" t="s">
        <v>7166</v>
      </c>
      <c r="C3047" s="27" t="s">
        <v>7167</v>
      </c>
      <c r="D3047" s="33" t="s">
        <v>14</v>
      </c>
      <c r="E3047" s="34">
        <v>2</v>
      </c>
      <c r="F3047" s="34">
        <v>150</v>
      </c>
      <c r="G3047" s="10">
        <v>1139223</v>
      </c>
      <c r="H3047" s="30" t="str">
        <f ca="1">IFERROR(__xludf.DUMMYFUNCTION("LOWER(REGEXREPLACE(B3047&amp;"" ""&amp;C3047,""[^а-яa-z0-9 ]"","" ""))")," ренажер   равитрон  турник брусья     14  габариты  1800мм х 600мм хм1650мм  ренажер  равитрон  турник брусья     14  габариты тренажера  1800мм 1600мм 1650мм   аксимальный вес пользователя  150 кг  рама  стальной профиль 50мм х 100мм  толщина стенки 3мм"&amp;" 2 5 мм ")</f>
        <v xml:space="preserve"> ренажер   равитрон  турник брусья     14  габариты  1800мм х 600мм хм1650мм  ренажер  равитрон  турник брусья     14  габариты тренажера  1800мм 1600мм 1650мм   аксимальный вес пользователя  150 кг  рама  стальной профиль 50мм х 100мм  толщина стенки 3мм 2 5 мм </v>
      </c>
    </row>
    <row r="3048" spans="1:8" ht="25.5" x14ac:dyDescent="0.2">
      <c r="A3048" s="31" t="s">
        <v>7168</v>
      </c>
      <c r="B3048" s="27" t="s">
        <v>7169</v>
      </c>
      <c r="C3048" s="27" t="s">
        <v>7170</v>
      </c>
      <c r="D3048" s="33" t="s">
        <v>14</v>
      </c>
      <c r="E3048" s="34">
        <v>2</v>
      </c>
      <c r="F3048" s="34">
        <v>180</v>
      </c>
      <c r="G3048" s="10">
        <v>1462990</v>
      </c>
      <c r="H3048" s="30" t="str">
        <f ca="1">IFERROR(__xludf.DUMMYFUNCTION("LOWER(REGEXREPLACE(B3048&amp;"" ""&amp;C3048,""[^а-яa-z0-9 ]"","" ""))")," ренажер  ыгибание ног    15  габариты  1800мм х 1600мм х 1650мм  ренажер  ыгибание ног    15  габариты тренажера  1800мм х 1600мм х 1650мм  максимальный вес пользователя 180 кг")</f>
        <v xml:space="preserve"> ренажер  ыгибание ног    15  габариты  1800мм х 1600мм х 1650мм  ренажер  ыгибание ног    15  габариты тренажера  1800мм х 1600мм х 1650мм  максимальный вес пользователя 180 кг</v>
      </c>
    </row>
    <row r="3049" spans="1:8" ht="25.5" x14ac:dyDescent="0.2">
      <c r="A3049" s="31" t="s">
        <v>7171</v>
      </c>
      <c r="B3049" s="27" t="s">
        <v>7172</v>
      </c>
      <c r="C3049" s="27" t="s">
        <v>7173</v>
      </c>
      <c r="D3049" s="33" t="s">
        <v>14</v>
      </c>
      <c r="E3049" s="34">
        <v>2</v>
      </c>
      <c r="F3049" s="34">
        <v>115</v>
      </c>
      <c r="G3049" s="10">
        <v>1061538</v>
      </c>
      <c r="H3049" s="30" t="str">
        <f ca="1">IFERROR(__xludf.DUMMYFUNCTION("LOWER(REGEXREPLACE(B3049&amp;"" ""&amp;C3049,""[^а-яa-z0-9 ]"","" ""))")," ренажер  ицепс машина    16  габариты  950мм х 1200мм х 1650мм  ренажер  ицепс машина    16  абариты тренажера  950мм 1200мм 1650мм  максимальный вес пользователя  200 кг ")</f>
        <v xml:space="preserve"> ренажер  ицепс машина    16  габариты  950мм х 1200мм х 1650мм  ренажер  ицепс машина    16  абариты тренажера  950мм 1200мм 1650мм  максимальный вес пользователя  200 кг </v>
      </c>
    </row>
    <row r="3050" spans="1:8" ht="51" x14ac:dyDescent="0.2">
      <c r="A3050" s="31" t="s">
        <v>7174</v>
      </c>
      <c r="B3050" s="27" t="s">
        <v>7175</v>
      </c>
      <c r="C3050" s="27" t="s">
        <v>7176</v>
      </c>
      <c r="D3050" s="33" t="s">
        <v>14</v>
      </c>
      <c r="E3050" s="34">
        <v>2</v>
      </c>
      <c r="F3050" s="34">
        <v>135</v>
      </c>
      <c r="G3050" s="10">
        <v>1088687</v>
      </c>
      <c r="H3050" s="30" t="str">
        <f ca="1">IFERROR(__xludf.DUMMYFUNCTION("LOWER(REGEXREPLACE(B3050&amp;"" ""&amp;C3050,""[^а-яa-z0-9 ]"","" ""))")," ренажер  ведение и разведение рук    17  габариты  1340мм х 1600мм х 2010мм  ренажер  ведение и разведение рук    17  габариты тренажера  1340мм 1600мм 2010мм   онструктивные элементы рамы изготовлены из высококачественной стали  покрытых высокопрочной и"&amp;"зносостойкой двухслойной полимерной краской ")</f>
        <v xml:space="preserve"> ренажер  ведение и разведение рук    17  габариты  1340мм х 1600мм х 2010мм  ренажер  ведение и разведение рук    17  габариты тренажера  1340мм 1600мм 2010мм   онструктивные элементы рамы изготовлены из высококачественной стали  покрытых высокопрочной износостойкой двухслойной полимерной краской </v>
      </c>
    </row>
    <row r="3051" spans="1:8" ht="51" x14ac:dyDescent="0.2">
      <c r="A3051" s="31" t="s">
        <v>7177</v>
      </c>
      <c r="B3051" s="27" t="s">
        <v>7178</v>
      </c>
      <c r="C3051" s="27" t="s">
        <v>7179</v>
      </c>
      <c r="D3051" s="33" t="s">
        <v>14</v>
      </c>
      <c r="E3051" s="34">
        <v>2</v>
      </c>
      <c r="F3051" s="34">
        <v>115</v>
      </c>
      <c r="G3051" s="10">
        <v>1061538</v>
      </c>
      <c r="H3051" s="30" t="str">
        <f ca="1">IFERROR(__xludf.DUMMYFUNCTION("LOWER(REGEXREPLACE(B3051&amp;"" ""&amp;C3051,""[^а-яa-z0-9 ]"","" ""))")," ренажер для трицепсов    18  габариты тренажера  950 1200 1650мм  ренажер для трицепсов    18  габариты тренажера  950мм 1200мм 1650мм   ама изготовлена из сверхпрочных труб с профилем 100мм x 50мм  толщиной 2 5 мм  с применением высококачественной двухс"&amp;"лойной порошковой окраски деталей ")</f>
        <v xml:space="preserve"> ренажер для трицепсов    18  габариты тренажера  950 1200 1650мм  ренажер для трицепсов    18  габариты тренажера  950мм 1200мм 1650мм   ама изготовлена из сверхпрочных труб с профилем 100мм x 50мм  толщиной 2 5 мм  с применением высококачественной двухслойной порошковой окраски деталей </v>
      </c>
    </row>
    <row r="3052" spans="1:8" ht="38.25" x14ac:dyDescent="0.2">
      <c r="A3052" s="31" t="s">
        <v>7180</v>
      </c>
      <c r="B3052" s="27" t="s">
        <v>7181</v>
      </c>
      <c r="C3052" s="27" t="s">
        <v>7182</v>
      </c>
      <c r="D3052" s="33" t="s">
        <v>14</v>
      </c>
      <c r="E3052" s="34">
        <v>2</v>
      </c>
      <c r="F3052" s="34">
        <v>150</v>
      </c>
      <c r="G3052" s="10">
        <v>1100842</v>
      </c>
      <c r="H3052" s="30" t="str">
        <f ca="1">IFERROR(__xludf.DUMMYFUNCTION("LOWER(REGEXREPLACE(B3052&amp;"" ""&amp;C3052,""[^а-яa-z0-9 ]"","" ""))")," лок для мышц спины  верхняя тяга     19  габариты тренажера  1200мм х 1200мм х 2100мм  лок для мышц спины  верхняя тяга     19  габариты тренажера  1200мм 1200мм 2100мм   ес стека наращивается до 141 кг   аправляющие хромированные   идение  утолщенное 50"&amp;" мм ")</f>
        <v xml:space="preserve"> лок для мышц спины  верхняя тяга     19  габариты тренажера  1200мм х 1200мм х 2100мм  лок для мышц спины  верхняя тяга     19  габариты тренажера  1200мм 1200мм 2100мм   ес стека наращивается до 141 кг   аправляющие хромированные   идение  утолщенное 50 мм </v>
      </c>
    </row>
    <row r="3053" spans="1:8" ht="38.25" x14ac:dyDescent="0.2">
      <c r="A3053" s="31" t="s">
        <v>7183</v>
      </c>
      <c r="B3053" s="27" t="s">
        <v>7184</v>
      </c>
      <c r="C3053" s="27" t="s">
        <v>7185</v>
      </c>
      <c r="D3053" s="33" t="s">
        <v>14</v>
      </c>
      <c r="E3053" s="34">
        <v>2</v>
      </c>
      <c r="F3053" s="34">
        <v>140</v>
      </c>
      <c r="G3053" s="10">
        <v>1105455</v>
      </c>
      <c r="H3053" s="30" t="str">
        <f ca="1">IFERROR(__xludf.DUMMYFUNCTION("LOWER(REGEXREPLACE(B3053&amp;"" ""&amp;C3053,""[^а-яa-z0-9 ]"","" ""))")," ренажер в нижнем ряду сидения    20  габариты тренажера  1500мм х 750мм х 2100мм  ренажер в нижнем ряду сидения    20  габариты тренажера  1500мм 750мм 2100мм  тренируемые группы мышц  бицепсы трицепсы ")</f>
        <v xml:space="preserve"> ренажер в нижнем ряду сидения    20  габариты тренажера  1500мм х 750мм х 2100мм  ренажер в нижнем ряду сидения    20  габариты тренажера  1500мм 750мм 2100мм  тренируемые группы мышц  бицепсы трицепсы </v>
      </c>
    </row>
    <row r="3054" spans="1:8" ht="38.25" x14ac:dyDescent="0.2">
      <c r="A3054" s="31" t="s">
        <v>7186</v>
      </c>
      <c r="B3054" s="27" t="s">
        <v>7187</v>
      </c>
      <c r="C3054" s="27" t="s">
        <v>7188</v>
      </c>
      <c r="D3054" s="33" t="s">
        <v>14</v>
      </c>
      <c r="E3054" s="34">
        <v>2</v>
      </c>
      <c r="F3054" s="34">
        <v>130</v>
      </c>
      <c r="G3054" s="10">
        <v>1133159</v>
      </c>
      <c r="H3054" s="30" t="str">
        <f ca="1">IFERROR(__xludf.DUMMYFUNCTION("LOWER(REGEXREPLACE(B3054&amp;"" ""&amp;C3054,""[^а-яa-z0-9 ]"","" ""))")," ребной тренажер для сидения    22  габариты  1500мм х 750мм х 2100мм  ребной тренажер для сидения    22  габариты тренажера  1500 750 2100мм  рама  стальной профиль 50мм х 100 мм  толщина стенки 3 2 5 мм  максимальный вес пользователя  150 кг ")</f>
        <v xml:space="preserve"> ребной тренажер для сидения    22  габариты  1500мм х 750мм х 2100мм  ребной тренажер для сидения    22  габариты тренажера  1500 750 2100мм  рама  стальной профиль 50мм х 100 мм  толщина стенки 3 2 5 мм  максимальный вес пользователя  150 кг </v>
      </c>
    </row>
    <row r="3055" spans="1:8" ht="63.75" x14ac:dyDescent="0.2">
      <c r="A3055" s="31" t="s">
        <v>7189</v>
      </c>
      <c r="B3055" s="27" t="s">
        <v>7190</v>
      </c>
      <c r="C3055" s="27" t="s">
        <v>7191</v>
      </c>
      <c r="D3055" s="33" t="s">
        <v>14</v>
      </c>
      <c r="E3055" s="34">
        <v>2</v>
      </c>
      <c r="F3055" s="34">
        <v>120</v>
      </c>
      <c r="G3055" s="10">
        <v>1222389</v>
      </c>
      <c r="H3055" s="30" t="str">
        <f ca="1">IFERROR(__xludf.DUMMYFUNCTION("LOWER(REGEXREPLACE(B3055&amp;"" ""&amp;C3055,""[^а-яa-z0-9 ]"","" ""))")," иловой тренажер для жима ногами    49  габариты  2300мм х 1600мм х 1400мм   иловой тренажер для жима ногами  под углом 45      49  габариты тренажера  2300мм 1600мм 1400мм                               апольные упоры тренажеров с вертикальной регулировко"&amp;"й устойчивости   онструкция тренажеров выполнена из профиля круглого и овального сечения с толщиной стенки не менее 3 мм   окрытие мягких частей   винилис кожа на тканевой основе   ")</f>
        <v xml:space="preserve"> иловой тренажер для жима ногами    49  габариты  2300мм х 1600мм х 1400мм   иловой тренажер для жима ногами  под углом 45      49  габариты тренажера  2300мм 1600мм 1400мм                               апольные упоры тренажеров с вертикальной регулировкой устойчивости   онструкция тренажеров выполнена из профиля круглого и овального сечения с толщиной стенки не менее 3 мм   окрытие мягких частей   винилис кожа на тканевой основе   </v>
      </c>
    </row>
    <row r="3056" spans="1:8" ht="63.75" x14ac:dyDescent="0.2">
      <c r="A3056" s="31" t="s">
        <v>7192</v>
      </c>
      <c r="B3056" s="27" t="s">
        <v>7193</v>
      </c>
      <c r="C3056" s="27" t="s">
        <v>7194</v>
      </c>
      <c r="D3056" s="33" t="s">
        <v>14</v>
      </c>
      <c r="E3056" s="34">
        <v>2</v>
      </c>
      <c r="F3056" s="34">
        <v>45</v>
      </c>
      <c r="G3056" s="10">
        <v>418867</v>
      </c>
      <c r="H3056" s="30" t="str">
        <f ca="1">IFERROR(__xludf.DUMMYFUNCTION("LOWER(REGEXREPLACE(B3056&amp;"" ""&amp;C3056,""[^а-яa-z0-9 ]"","" ""))")," камья стойка для жима штанги лежа с уклоном    50  габариты  1620мм х 1730мм х 1500мм  камья стойка для жима штанги лежа с уклоном    50  габариты тренажера1620 1730 1500мм   онструкция рамы  стальные профильные трубы  размером 51х76х2 5 мм  60х60х 2 5 м"&amp;"м   бивка мягкой части скамьи  винилискожа   аксимальный вес пользователя  до 150 кг   аксимальная нагрузка  200 кг ")</f>
        <v xml:space="preserve"> камья стойка для жима штанги лежа с уклоном    50  габариты  1620мм х 1730мм х 1500мм  камья стойка для жима штанги лежа с уклоном    50  габариты тренажера1620 1730 1500мм   онструкция рамы  стальные профильные трубы  размером 51х76х2 5 мм  60х60х 2 5 мм   бивка мягкой части скамьи  винилискожа   аксимальный вес пользователя  до 150 кг   аксимальная нагрузка  200 кг </v>
      </c>
    </row>
    <row r="3057" spans="1:8" ht="63.75" x14ac:dyDescent="0.2">
      <c r="A3057" s="31" t="s">
        <v>7195</v>
      </c>
      <c r="B3057" s="27" t="s">
        <v>7196</v>
      </c>
      <c r="C3057" s="27" t="s">
        <v>7197</v>
      </c>
      <c r="D3057" s="33" t="s">
        <v>14</v>
      </c>
      <c r="E3057" s="34">
        <v>2</v>
      </c>
      <c r="F3057" s="34">
        <v>37</v>
      </c>
      <c r="G3057" s="10">
        <v>350117</v>
      </c>
      <c r="H3057" s="30" t="str">
        <f ca="1">IFERROR(__xludf.DUMMYFUNCTION("LOWER(REGEXREPLACE(B3057&amp;"" ""&amp;C3057,""[^а-яa-z0-9 ]"","" ""))")," камья стойка для жима штанги лежа горизонтальная    52  габариты  1720мм х 1730мм х 1160мм  камья стойка для жима штанги лежа горизонтальная    52  габариты тренажера  1720мм 1730мм 1160мм   ягкая часть скамьи обита винилискожей   онструкция рамы изготов"&amp;"лена из стальной профильной трубы  размером  51х76х 2 5 мм  60х60х 2 5 мм   аксимальный вес пользователя  до 150 кг   аксимальная нагрузка  200 кг ")</f>
        <v xml:space="preserve"> камья стойка для жима штанги лежа горизонтальная    52  габариты  1720мм х 1730мм х 1160мм  камья стойка для жима штанги лежа горизонтальная    52  габариты тренажера  1720мм 1730мм 1160мм   ягкая часть скамьи обита винилискожей   онструкция рамы изготовлена из стальной профильной трубы  размером  51х76х 2 5 мм  60х60х 2 5 мм   аксимальный вес пользователя  до 150 кг   аксимальная нагрузка  200 кг </v>
      </c>
    </row>
    <row r="3058" spans="1:8" ht="38.25" x14ac:dyDescent="0.2">
      <c r="A3058" s="31" t="s">
        <v>7198</v>
      </c>
      <c r="B3058" s="27" t="s">
        <v>7199</v>
      </c>
      <c r="C3058" s="27" t="s">
        <v>7200</v>
      </c>
      <c r="D3058" s="33" t="s">
        <v>14</v>
      </c>
      <c r="E3058" s="34">
        <v>2</v>
      </c>
      <c r="F3058" s="35">
        <v>27.5</v>
      </c>
      <c r="G3058" s="10">
        <v>154548</v>
      </c>
      <c r="H3058" s="30" t="str">
        <f ca="1">IFERROR(__xludf.DUMMYFUNCTION("LOWER(REGEXREPLACE(B3058&amp;"" ""&amp;C3058,""[^а-яa-z0-9 ]"","" ""))")," оризонтальная скамья    53  габариты  1720мм х 1730мм х 1160мм  оризонтальная скамья     53  габаритные размеры  1720мм х 1730мм х 1160мм   окраска рамы с пескоструйной обработкой металла   ягкие части изготовлены из высокопрочного винила   ес пользовате"&amp;"ля  до 150 кг ")</f>
        <v xml:space="preserve"> оризонтальная скамья    53  габариты  1720мм х 1730мм х 1160мм  оризонтальная скамья     53  габаритные размеры  1720мм х 1730мм х 1160мм   окраска рамы с пескоструйной обработкой металла   ягкие части изготовлены из высокопрочного винила   ес пользователя  до 150 кг </v>
      </c>
    </row>
    <row r="3059" spans="1:8" ht="38.25" x14ac:dyDescent="0.2">
      <c r="A3059" s="31" t="s">
        <v>7201</v>
      </c>
      <c r="B3059" s="8" t="s">
        <v>7202</v>
      </c>
      <c r="C3059" s="27" t="s">
        <v>7203</v>
      </c>
      <c r="D3059" s="33" t="s">
        <v>14</v>
      </c>
      <c r="E3059" s="34">
        <v>2</v>
      </c>
      <c r="F3059" s="34">
        <v>40</v>
      </c>
      <c r="G3059" s="10">
        <v>210727</v>
      </c>
      <c r="H3059" s="30" t="str">
        <f ca="1">IFERROR(__xludf.DUMMYFUNCTION("LOWER(REGEXREPLACE(B3059&amp;"" ""&amp;C3059,""[^а-яa-z0-9 ]"","" ""))")," камья  котта для прокачки бицепсов    54   габариты  970мм х 730мм х 900мм  камья  котта для прокачки бицепсов    54   габариты  970 730 900мм   зготовлена из высокопрочного стального профиля сечением 100мм х 50мм  с толщиной стенки 3 мм ")</f>
        <v xml:space="preserve"> камья  котта для прокачки бицепсов    54   габариты  970мм х 730мм х 900мм  камья  котта для прокачки бицепсов    54   габариты  970 730 900мм   зготовлена из высокопрочного стального профиля сечением 100мм х 50мм  с толщиной стенки 3 мм </v>
      </c>
    </row>
    <row r="3060" spans="1:8" ht="51" x14ac:dyDescent="0.2">
      <c r="A3060" s="31" t="s">
        <v>7204</v>
      </c>
      <c r="B3060" s="27" t="s">
        <v>7205</v>
      </c>
      <c r="C3060" s="27" t="s">
        <v>7206</v>
      </c>
      <c r="D3060" s="33" t="s">
        <v>14</v>
      </c>
      <c r="E3060" s="34">
        <v>2</v>
      </c>
      <c r="F3060" s="34">
        <v>42</v>
      </c>
      <c r="G3060" s="10">
        <v>260185</v>
      </c>
      <c r="H3060" s="30" t="str">
        <f ca="1">IFERROR(__xludf.DUMMYFUNCTION("LOWER(REGEXREPLACE(B3060&amp;"" ""&amp;C3060,""[^а-яa-z0-9 ]"","" ""))")," камья для пресса регулируемая    56  габариты 1450мм х 660мм х 1000мм  камья для пресса регулируемая    56  габариты скамьи  1450мм 660мм 1000мм   ама изготовлена из толстостенной стальной трубы овального сечения  50мм х 100мм  олщина профиля 3мм   егули"&amp;"ровка сиденья  8 положений регулировки наклона сиденья ")</f>
        <v xml:space="preserve"> камья для пресса регулируемая    56  габариты 1450мм х 660мм х 1000мм  камья для пресса регулируемая    56  габариты скамьи  1450мм 660мм 1000мм   ама изготовлена из толстостенной стальной трубы овального сечения  50мм х 100мм  олщина профиля 3мм   егулировка сиденья  8 положений регулировки наклона сиденья </v>
      </c>
    </row>
    <row r="3061" spans="1:8" ht="25.5" x14ac:dyDescent="0.2">
      <c r="A3061" s="31" t="s">
        <v>7207</v>
      </c>
      <c r="B3061" s="27" t="s">
        <v>7208</v>
      </c>
      <c r="C3061" s="27"/>
      <c r="D3061" s="33" t="s">
        <v>14</v>
      </c>
      <c r="E3061" s="34">
        <v>2</v>
      </c>
      <c r="F3061" s="34">
        <v>50</v>
      </c>
      <c r="G3061" s="10">
        <v>289669</v>
      </c>
      <c r="H3061" s="30" t="str">
        <f ca="1">IFERROR(__xludf.DUMMYFUNCTION("LOWER(REGEXREPLACE(B3061&amp;"" ""&amp;C3061,""[^а-яa-z0-9 ]"","" ""))")," ногофункциональная скамья    57  габариты  1350мм х 660мм х 1320мм ")</f>
        <v xml:space="preserve"> ногофункциональная скамья    57  габариты  1350мм х 660мм х 1320мм </v>
      </c>
    </row>
    <row r="3062" spans="1:8" ht="63.75" x14ac:dyDescent="0.2">
      <c r="A3062" s="31" t="s">
        <v>7209</v>
      </c>
      <c r="B3062" s="27" t="s">
        <v>7210</v>
      </c>
      <c r="C3062" s="27" t="s">
        <v>7211</v>
      </c>
      <c r="D3062" s="33" t="s">
        <v>14</v>
      </c>
      <c r="E3062" s="34">
        <v>2</v>
      </c>
      <c r="F3062" s="34">
        <v>80</v>
      </c>
      <c r="G3062" s="10">
        <v>647508</v>
      </c>
      <c r="H3062" s="30" t="str">
        <f ca="1">IFERROR(__xludf.DUMMYFUNCTION("LOWER(REGEXREPLACE(B3062&amp;"" ""&amp;C3062,""[^а-яa-z0-9 ]"","" ""))")," иловая рама  для приседаний под штангу     58  габариты  1250мм х 1000мм х 2240мм  иловая рама  для приседаний под штангу    58  габариты  1250мм 1000мм 2240мм  рофиль рамы  120 х 80мм  120 х 60мм и 60х60мм  толщина стенки 3 мм   поры для хранения грифов"&amp;"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 ")</f>
        <v xml:space="preserve"> иловая рама  для приседаний под штангу     58  габариты  1250мм х 1000мм х 2240мм  иловая рама  для приседаний под штангу    58  габариты  1250мм 1000мм 2240мм  рофиль рамы  120 х 80мм  120 х 60мм и 60х60мм  толщина стенки 3 мм   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 </v>
      </c>
    </row>
    <row r="3063" spans="1:8" ht="38.25" x14ac:dyDescent="0.2">
      <c r="A3063" s="31" t="s">
        <v>7212</v>
      </c>
      <c r="B3063" s="8" t="s">
        <v>7213</v>
      </c>
      <c r="C3063" s="27" t="s">
        <v>7214</v>
      </c>
      <c r="D3063" s="33" t="s">
        <v>14</v>
      </c>
      <c r="E3063" s="34">
        <v>2</v>
      </c>
      <c r="F3063" s="34">
        <v>29</v>
      </c>
      <c r="G3063" s="10">
        <v>210461</v>
      </c>
      <c r="H3063" s="30" t="str">
        <f ca="1">IFERROR(__xludf.DUMMYFUNCTION("LOWER(REGEXREPLACE(B3063&amp;"" ""&amp;C3063,""[^а-яa-z0-9 ]"","" ""))")," ренажер  имский стул  гиперэкстензия     59  габариты тренажера  1100мм х 780мм х 770мм  енажер  имский стул  гиперэкстензия     59                                  абариты тренажера  1100мм 780мм 770мм    аксимальная нагрузка 159 кг ")</f>
        <v xml:space="preserve"> ренажер  имский стул  гиперэкстензия     59  габариты тренажера  1100мм х 780мм х 770мм  енажер  имский стул  гиперэкстензия     59                                  абариты тренажера  1100мм 780мм 770мм    аксимальная нагрузка 159 кг </v>
      </c>
    </row>
    <row r="3064" spans="1:8" ht="63.75" x14ac:dyDescent="0.2">
      <c r="A3064" s="31" t="s">
        <v>7215</v>
      </c>
      <c r="B3064" s="27" t="s">
        <v>7216</v>
      </c>
      <c r="C3064" s="27" t="s">
        <v>7217</v>
      </c>
      <c r="D3064" s="33" t="s">
        <v>14</v>
      </c>
      <c r="E3064" s="34">
        <v>2</v>
      </c>
      <c r="F3064" s="34">
        <v>65</v>
      </c>
      <c r="G3064" s="10">
        <v>292806</v>
      </c>
      <c r="H3064" s="30" t="str">
        <f ca="1">IFERROR(__xludf.DUMMYFUNCTION("LOWER(REGEXREPLACE(B3064&amp;"" ""&amp;C3064,""[^а-яa-z0-9 ]"","" ""))")," ренажер  имский стул  кроножные мышцы сидя    60  габариты 1350мм х 660мм х 980 мм  ренажер  имский стул  кроножные мышцы сидя    60   атериал обивки сиденья и держателей для коленей используется износоустойчивая искусственная кожа   зготовлен из профиль"&amp;"ной  рамы  50 х 100 мм   олщина стенки  3 2 5 мм   аксимальный вес пользователя  150 кг   абариты  1350мм х 660мм х 980мм")</f>
        <v xml:space="preserve"> ренажер  имский стул  кроножные мышцы сидя    60  габариты 1350мм х 660мм х 980 мм  ренажер  имский стул  кроножные мышцы сидя    60   атериал обивки сиденья и держателей для коленей используется износоустойчивая искусственная кожа   зготовлен из профильной  рамы  50 х 100 мм   олщина стенки  3 2 5 мм   аксимальный вес пользователя  150 кг   абариты  1350мм х 660мм х 980мм</v>
      </c>
    </row>
    <row r="3065" spans="1:8" ht="38.25" x14ac:dyDescent="0.2">
      <c r="A3065" s="31" t="s">
        <v>7218</v>
      </c>
      <c r="B3065" s="27" t="s">
        <v>7219</v>
      </c>
      <c r="C3065" s="27" t="s">
        <v>7220</v>
      </c>
      <c r="D3065" s="33" t="s">
        <v>14</v>
      </c>
      <c r="E3065" s="34">
        <v>2</v>
      </c>
      <c r="F3065" s="34">
        <v>18</v>
      </c>
      <c r="G3065" s="10">
        <v>154511</v>
      </c>
      <c r="H3065" s="30" t="str">
        <f ca="1">IFERROR(__xludf.DUMMYFUNCTION("LOWER(REGEXREPLACE(B3065&amp;"" ""&amp;C3065,""[^а-яa-z0-9 ]"","" ""))")," камья стул с вертикальной спинкой    61  габариты  1130мм х 650мм х 1130мм  камья стул с вертикальной спинкой    61    рочная устойчивая конструкция обеспечивает стабильность при выполнении упражнений с гантелями и штангой   абариты 1130мм 650мм 1130мм")</f>
        <v xml:space="preserve"> камья стул с вертикальной спинкой    61  габариты  1130мм х 650мм х 1130мм  камья стул с вертикальной спинкой    61    рочная устойчивая конструкция обеспечивает стабильность при выполнении упражнений с гантелями и штангой   абариты 1130мм 650мм 1130мм</v>
      </c>
    </row>
    <row r="3066" spans="1:8" ht="38.25" x14ac:dyDescent="0.2">
      <c r="A3066" s="31" t="s">
        <v>7221</v>
      </c>
      <c r="B3066" s="27" t="s">
        <v>7222</v>
      </c>
      <c r="C3066" s="27" t="s">
        <v>7223</v>
      </c>
      <c r="D3066" s="33" t="s">
        <v>14</v>
      </c>
      <c r="E3066" s="34">
        <v>2</v>
      </c>
      <c r="F3066" s="34">
        <v>49</v>
      </c>
      <c r="G3066" s="10">
        <v>350164</v>
      </c>
      <c r="H3066" s="30" t="str">
        <f ca="1">IFERROR(__xludf.DUMMYFUNCTION("LOWER(REGEXREPLACE(B3066&amp;"" ""&amp;C3066,""[^а-яa-z0-9 ]"","" ""))")," ренажер турник брусья  ip  hin  b    63  габариты  1700мм х 1120мм х 2200мм  ренажер турник брусья  ip  hin  b    63   рочная рама из стального профиля 50 50 мм   абариты тренажера  1700мм 1120мм 2200мм")</f>
        <v xml:space="preserve"> ренажер турник брусья  ip  hin  b    63  габариты  1700мм х 1120мм х 2200мм  ренажер турник брусья  ip  hin  b    63   рочная рама из стального профиля 50 50 мм   абариты тренажера  1700мм 1120мм 2200мм</v>
      </c>
    </row>
    <row r="3067" spans="1:8" ht="51" x14ac:dyDescent="0.2">
      <c r="A3067" s="31" t="s">
        <v>7224</v>
      </c>
      <c r="B3067" s="27" t="s">
        <v>7225</v>
      </c>
      <c r="C3067" s="27" t="s">
        <v>7226</v>
      </c>
      <c r="D3067" s="33" t="s">
        <v>14</v>
      </c>
      <c r="E3067" s="34">
        <v>2</v>
      </c>
      <c r="F3067" s="34">
        <v>183</v>
      </c>
      <c r="G3067" s="10">
        <v>1929988</v>
      </c>
      <c r="H3067" s="30" t="str">
        <f ca="1">IFERROR(__xludf.DUMMYFUNCTION("LOWER(REGEXREPLACE(B3067&amp;"" ""&amp;C3067,""[^а-яa-z0-9 ]"","" ""))")," еговая дорожка 155     еговая дорожка 155      вигатель переменного тока  мощность  3 5 л с   иковая мощность  6 л с   корость  1 22 км ч   абочая поверхность       1550мм х 550мм  езвие  2 4 мм   ека  25 мм   аклон  0   15    опустимый вес  не более 170"&amp;" кг ")</f>
        <v xml:space="preserve"> еговая дорожка 155     еговая дорожка 155      вигатель переменного тока  мощность  3 5 л с   иковая мощность  6 л с   корость  1 22 км ч   абочая поверхность       1550мм х 550мм  езвие  2 4 мм   ека  25 мм   аклон  0   15    опустимый вес  не более 170 кг </v>
      </c>
    </row>
    <row r="3068" spans="1:8" ht="38.25" x14ac:dyDescent="0.2">
      <c r="A3068" s="31" t="s">
        <v>7227</v>
      </c>
      <c r="B3068" s="27" t="s">
        <v>7228</v>
      </c>
      <c r="C3068" s="27" t="s">
        <v>7229</v>
      </c>
      <c r="D3068" s="33" t="s">
        <v>14</v>
      </c>
      <c r="E3068" s="34">
        <v>2</v>
      </c>
      <c r="F3068" s="34">
        <v>113</v>
      </c>
      <c r="G3068" s="10">
        <v>923855</v>
      </c>
      <c r="H3068" s="30" t="str">
        <f ca="1">IFERROR(__xludf.DUMMYFUNCTION("LOWER(REGEXREPLACE(B3068&amp;"" ""&amp;C3068,""[^а-яa-z0-9 ]"","" ""))")," елотренажер     120 со светодиодным дисплеем  елотренажер     120   ветодиодный дисплей 8718   опустимый вес пользователя составляет 120 кг   азмеры в эксплуатации         1950мм х 580мм х 1720мм ")</f>
        <v xml:space="preserve"> елотренажер     120 со светодиодным дисплеем  елотренажер     120   ветодиодный дисплей 8718   опустимый вес пользователя составляет 120 кг   азмеры в эксплуатации         1950мм х 580мм х 1720мм </v>
      </c>
    </row>
    <row r="3069" spans="1:8" ht="25.5" x14ac:dyDescent="0.2">
      <c r="A3069" s="31" t="s">
        <v>7230</v>
      </c>
      <c r="B3069" s="27" t="s">
        <v>7231</v>
      </c>
      <c r="C3069" s="27"/>
      <c r="D3069" s="33" t="s">
        <v>14</v>
      </c>
      <c r="E3069" s="34">
        <v>2</v>
      </c>
      <c r="F3069" s="34">
        <v>15</v>
      </c>
      <c r="G3069" s="10">
        <v>48231</v>
      </c>
      <c r="H3069" s="30" t="str">
        <f ca="1">IFERROR(__xludf.DUMMYFUNCTION("LOWER(REGEXREPLACE(B3069&amp;"" ""&amp;C3069,""[^а-яa-z0-9 ]"","" ""))")," теп платформа размерами 950 х 350 х 150 мм    931 ")</f>
        <v xml:space="preserve"> теп платформа размерами 950 х 350 х 150 мм    931 </v>
      </c>
    </row>
    <row r="3070" spans="1:8" ht="89.25" x14ac:dyDescent="0.2">
      <c r="A3070" s="31" t="s">
        <v>7232</v>
      </c>
      <c r="B3070" s="27" t="s">
        <v>7233</v>
      </c>
      <c r="C3070" s="27" t="s">
        <v>7234</v>
      </c>
      <c r="D3070" s="33" t="s">
        <v>14</v>
      </c>
      <c r="E3070" s="34">
        <v>2</v>
      </c>
      <c r="F3070" s="34">
        <v>330</v>
      </c>
      <c r="G3070" s="10">
        <v>3166768</v>
      </c>
      <c r="H3070" s="30" t="str">
        <f ca="1">IFERROR(__xludf.DUMMYFUNCTION("LOWER(REGEXREPLACE(B3070&amp;"" ""&amp;C3070,""[^а-яa-z0-9 ]"","" ""))")," еговая дорожка 258     еговая дорожка 258      вет  серебристо серый   вигатель переменного тока  мощность  4 5 л с   иковая мощность  7 л с   корость  1 25 км   ч  абочая поверхность       1660   580 мм  езвие  2 4 мм   ека  25 мм   аклон  0   15    опу"&amp;"стимый вес  не более 180 кг   атчики частоты сердечных сокращений   датчики частоты сердечных сокращений на поручнях  24 программы   4 пользовательских  16 дюймовый     экран  подключение  i  i  6 скоростей  6 градусов наклона  разъем для наушников   mp3 "&amp;"  ipod  стерео ")</f>
        <v xml:space="preserve"> еговая дорожка 258     еговая дорожка 258      вет  серебристо серый   вигатель переменного тока  мощность  4 5 л с   иковая мощность  7 л с   корость  1 25 км   ч  абочая поверхность       1660   580 мм  езвие  2 4 мм   ека  25 мм   аклон  0   15    опустимый вес  не более 180 кг   атчики частоты сердечных сокращений   датчики частоты сердечных сокращений на поручнях  24 программы   4 пользовательских  16 дюймовый     экран  подключение  i  i  6 скоростей  6 градусов наклона  разъем для наушников   mp3   ipod  стерео </v>
      </c>
    </row>
    <row r="3071" spans="1:8" ht="51" x14ac:dyDescent="0.2">
      <c r="A3071" s="31" t="s">
        <v>7235</v>
      </c>
      <c r="B3071" s="27" t="s">
        <v>7236</v>
      </c>
      <c r="C3071" s="27" t="s">
        <v>7237</v>
      </c>
      <c r="D3071" s="33" t="s">
        <v>14</v>
      </c>
      <c r="E3071" s="34">
        <v>2</v>
      </c>
      <c r="F3071" s="34">
        <v>113</v>
      </c>
      <c r="G3071" s="10">
        <v>1419512</v>
      </c>
      <c r="H3071" s="30" t="str">
        <f ca="1">IFERROR(__xludf.DUMMYFUNCTION("LOWER(REGEXREPLACE(B3071&amp;"" ""&amp;C3071,""[^а-яa-z0-9 ]"","" ""))")," елотренажер     900  елотренажер   ветодиодный дисплей  9001     агнитный маховик   14 кг   егулирование нагрузки   электромагнитное   24 уровня нагрузки   атчики сердечного ритма на руле  стерео  вентилятор   опустимый вес пользователя составляет 150 кг"&amp;" ")</f>
        <v xml:space="preserve"> елотренажер     900  елотренажер   ветодиодный дисплей  9001     агнитный маховик   14 кг   егулирование нагрузки   электромагнитное   24 уровня нагрузки   атчики сердечного ритма на руле  стерео  вентилятор   опустимый вес пользователя составляет 150 кг </v>
      </c>
    </row>
    <row r="3072" spans="1:8" ht="153" x14ac:dyDescent="0.2">
      <c r="A3072" s="31" t="s">
        <v>7238</v>
      </c>
      <c r="B3072" s="27" t="s">
        <v>7239</v>
      </c>
      <c r="C3072" s="27" t="s">
        <v>7240</v>
      </c>
      <c r="D3072" s="33" t="s">
        <v>14</v>
      </c>
      <c r="E3072" s="34">
        <v>2</v>
      </c>
      <c r="F3072" s="34">
        <v>52</v>
      </c>
      <c r="G3072" s="10">
        <v>495984</v>
      </c>
      <c r="H3072" s="30" t="str">
        <f ca="1">IFERROR(__xludf.DUMMYFUNCTION("LOWER(REGEXREPLACE(B3072&amp;"" ""&amp;C3072,""[^а-яa-z0-9 ]"","" ""))")," елотренажер  размеры тренаж ра  1280 660 1230 мм   иденье имеет 4 уровня регулировки   аксимальный вес пользователя   150 кг  елотренажер  ir ike предназначен для высокоинтенсивных тренировок при минимальной ударной нагрузке на ноги   снащ н монитором  о"&amp;"тображающим все основные параметры тренировки  время  дистанцию  количество сожж нных калорий  затраченную энергию  режим зарядки и интервальные программы   строенный телеметрический чип на консоли позволяет контролировать частоту сердечных сокращений с и"&amp;"спользованием беспроводной технологии поляризационной связи   ренаж р позволяет регулировать интенсивность нагрузки  педали вращаются в обе стороны для проработки разных групп мышц   атериалы изготовления  прочная стальная рама  износостойкие пластиковые "&amp;"кожухи  металлические педали с антискользящим покрытием  сиденье из синтетической кожи с мягким наполнителем ")</f>
        <v xml:space="preserve"> елотренажер  размеры тренаж ра  1280 660 1230 мм   иденье имеет 4 уровня регулировки   аксимальный вес пользователя   150 кг  елотренажер  ir ike предназначен для высокоинтенсивных тренировок при минимальной ударной нагрузке на ноги   снащ н монитором  отображающим все основные параметры тренировки  время  дистанцию  количество сожж нных калорий  затраченную энергию  режим зарядки и интервальные программы   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ренаж р позволяет регулировать интенсивность нагрузки  педали вращаются в обе стороны для проработки разных групп мышц   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 </v>
      </c>
    </row>
    <row r="3073" spans="1:8" ht="127.5" x14ac:dyDescent="0.2">
      <c r="A3073" s="31" t="s">
        <v>7241</v>
      </c>
      <c r="B3073" s="27" t="s">
        <v>7242</v>
      </c>
      <c r="C3073" s="27" t="s">
        <v>7243</v>
      </c>
      <c r="D3073" s="33" t="s">
        <v>14</v>
      </c>
      <c r="E3073" s="34">
        <v>2</v>
      </c>
      <c r="F3073" s="34">
        <v>46</v>
      </c>
      <c r="G3073" s="10">
        <v>1069194</v>
      </c>
      <c r="H3073" s="30" t="str">
        <f ca="1">IFERROR(__xludf.DUMMYFUNCTION("LOWER(REGEXREPLACE(B3073&amp;"" ""&amp;C3073,""[^а-яa-z0-9 ]"","" ""))")," ренажер гребной  10 уровней нагрузки  компенсаторы неровности пола и монохромный    дисплей   аксимальный вес пользователя   150 кг   азмеры  1270 26 900 мм  ребной тренаж р    ower задействует мышцы ног  корпуса и рук  создавая нагрузку за сч т воздушно"&amp;"го сопротивления с плавной регулировкой   ренировка максимально приближена к реальной гребле  способствуя развитию выносливости и укреплению сердечно сосудистой системы   ренаж р оснащ н современным монитором  работает с минимальным шумом  складывается дл"&amp;"я удобства хранения и имеет цепной привод   редусмотрено 10 уровней нагрузки  компенсаторы неровности пола и монохромный    дисплей   аксимальный вес пользователя   150 кг   атериалы  стальная рама  алюминиевая направляющая  пластиковые корпуса механизма "&amp;"и вентилятора  сиденье из плотного полиуретана  пластиковые платформы с резиновыми ремнями ")</f>
        <v xml:space="preserve"> ренажер гребной  10 уровней нагрузки  компенсаторы неровности пола и монохромный    дисплей   аксимальный вес пользователя   150 кг   азмеры  1270 26 900 мм  ребной тренаж р    ower задействует мышцы ног  корпуса и рук  создавая нагрузку за сч т воздушного сопротивления с плавной регулировкой   ренировка максимально приближена к реальной гребле  способствуя развитию выносливости и укреплению сердечно сосудистой системы   ренаж р оснащ н современным монитором  работает с минимальным шумом  складывается для удобства хранения и имеет цепной привод   редусмотрено 10 уровней нагрузки  компенсаторы неровности пола и монохромный    дисплей   аксимальный вес пользователя   150 кг   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 </v>
      </c>
    </row>
    <row r="3074" spans="1:8" ht="25.5" x14ac:dyDescent="0.2">
      <c r="A3074" s="31" t="s">
        <v>7244</v>
      </c>
      <c r="B3074" s="27" t="s">
        <v>7245</v>
      </c>
      <c r="C3074" s="27" t="s">
        <v>7246</v>
      </c>
      <c r="D3074" s="33" t="s">
        <v>14</v>
      </c>
      <c r="E3074" s="34">
        <v>2</v>
      </c>
      <c r="F3074" s="34">
        <v>6</v>
      </c>
      <c r="G3074" s="10">
        <v>36525</v>
      </c>
      <c r="H3074" s="30" t="str">
        <f ca="1">IFERROR(__xludf.DUMMYFUNCTION("LOWER(REGEXREPLACE(B3074&amp;"" ""&amp;C3074,""[^а-яa-z0-9 ]"","" ""))")," тепбол  осу  атериал изготовления  купол   резиновый  ж сткое основание из ударопрочного     пластика  противоскользящее покрытие  размеры 0 8х0 8х0 05м")</f>
        <v xml:space="preserve"> тепбол  осу  атериал изготовления  купол   резиновый  ж сткое основание из ударопрочного     пластика  противоскользящее покрытие  размеры 0 8х0 8х0 05м</v>
      </c>
    </row>
    <row r="3075" spans="1:8" ht="12.75" x14ac:dyDescent="0.2">
      <c r="A3075" s="31" t="s">
        <v>7247</v>
      </c>
      <c r="B3075" s="27" t="s">
        <v>7248</v>
      </c>
      <c r="C3075" s="27"/>
      <c r="D3075" s="33" t="s">
        <v>14</v>
      </c>
      <c r="E3075" s="9"/>
      <c r="F3075" s="32"/>
      <c r="G3075" s="10"/>
      <c r="H3075" s="30" t="str">
        <f ca="1">IFERROR(__xludf.DUMMYFUNCTION("LOWER(REGEXREPLACE(B3075&amp;"" ""&amp;C3075,""[^а-яa-z0-9 ]"","" ""))")," рифы и диски для штанги ")</f>
        <v xml:space="preserve"> рифы и диски для штанги </v>
      </c>
    </row>
    <row r="3076" spans="1:8" ht="25.5" x14ac:dyDescent="0.2">
      <c r="A3076" s="31" t="s">
        <v>7249</v>
      </c>
      <c r="B3076" s="27" t="s">
        <v>7250</v>
      </c>
      <c r="C3076" s="27" t="s">
        <v>7251</v>
      </c>
      <c r="D3076" s="33" t="s">
        <v>14</v>
      </c>
      <c r="E3076" s="34">
        <v>2</v>
      </c>
      <c r="F3076" s="34">
        <v>21</v>
      </c>
      <c r="G3076" s="10">
        <v>103043</v>
      </c>
      <c r="H3076" s="30" t="str">
        <f ca="1">IFERROR(__xludf.DUMMYFUNCTION("LOWER(REGEXREPLACE(B3076&amp;"" ""&amp;C3076,""[^а-яa-z0-9 ]"","" ""))")," риф для штанги олимпийский    2250  длина 2200мм  риф для штанги олимпийский    2250  хромированный  длина 2200мм  диаметр  50 мм  максимальная нагрузка 220 кг ")</f>
        <v xml:space="preserve"> риф для штанги олимпийский    2250  длина 2200мм  риф для штанги олимпийский    2250  хромированный  длина 2200мм  диаметр  50 мм  максимальная нагрузка 220 кг </v>
      </c>
    </row>
    <row r="3077" spans="1:8" ht="25.5" x14ac:dyDescent="0.2">
      <c r="A3077" s="31" t="s">
        <v>7252</v>
      </c>
      <c r="B3077" s="27" t="s">
        <v>7253</v>
      </c>
      <c r="C3077" s="27" t="s">
        <v>7254</v>
      </c>
      <c r="D3077" s="33" t="s">
        <v>14</v>
      </c>
      <c r="E3077" s="34">
        <v>2</v>
      </c>
      <c r="F3077" s="35">
        <v>12.5</v>
      </c>
      <c r="G3077" s="10">
        <v>53644</v>
      </c>
      <c r="H3077" s="30" t="str">
        <f ca="1">IFERROR(__xludf.DUMMYFUNCTION("LOWER(REGEXREPLACE(B3077&amp;"" ""&amp;C3077,""[^а-яa-z0-9 ]"","" ""))")," зогнутый гриф    050  длина 1200мм  зогнутый гриф    050   риф и замки хромированные   лина грифа 1200мм  масса с замками 12 5 кг ")</f>
        <v xml:space="preserve"> зогнутый гриф    050  длина 1200мм  зогнутый гриф    050   риф и замки хромированные   лина грифа 1200мм  масса с замками 12 5 кг </v>
      </c>
    </row>
    <row r="3078" spans="1:8" ht="38.25" x14ac:dyDescent="0.2">
      <c r="A3078" s="31" t="s">
        <v>7255</v>
      </c>
      <c r="B3078" s="27" t="s">
        <v>7256</v>
      </c>
      <c r="C3078" s="27" t="s">
        <v>7257</v>
      </c>
      <c r="D3078" s="33" t="s">
        <v>14</v>
      </c>
      <c r="E3078" s="34">
        <v>2</v>
      </c>
      <c r="F3078" s="35">
        <v>2.5</v>
      </c>
      <c r="G3078" s="10">
        <v>15395</v>
      </c>
      <c r="H3078" s="30" t="str">
        <f ca="1">IFERROR(__xludf.DUMMYFUNCTION("LOWER(REGEXREPLACE(B3078&amp;"" ""&amp;C3078,""[^а-яa-z0-9 ]"","" ""))")," лимпийский диск евро классик с тройным хватом     0025 черный  2 5 кг  лимпийский диск евро классик с тройным хватом     0025 черный   иаметр 51 мм   отверстие под гриф    атериал  обрезиненная сталь 2 5 кг   иаметр посадочного отверстия   50 мм   вет   "&amp;"черный ")</f>
        <v xml:space="preserve"> лимпийский диск евро классик с тройным хватом     0025 черный  2 5 кг  лимпийский диск евро классик с тройным хватом     0025 черный   иаметр 51 мм   отверстие под гриф    атериал  обрезиненная сталь 2 5 кг   иаметр посадочного отверстия   50 мм   вет   черный </v>
      </c>
    </row>
    <row r="3079" spans="1:8" ht="51" x14ac:dyDescent="0.2">
      <c r="A3079" s="31" t="s">
        <v>7258</v>
      </c>
      <c r="B3079" s="27" t="s">
        <v>7259</v>
      </c>
      <c r="C3079" s="27" t="s">
        <v>7260</v>
      </c>
      <c r="D3079" s="33" t="s">
        <v>14</v>
      </c>
      <c r="E3079" s="34">
        <v>2</v>
      </c>
      <c r="F3079" s="34">
        <v>5</v>
      </c>
      <c r="G3079" s="10">
        <v>30887</v>
      </c>
      <c r="H3079" s="30" t="str">
        <f ca="1">IFERROR(__xludf.DUMMYFUNCTION("LOWER(REGEXREPLACE(B3079&amp;"" ""&amp;C3079,""[^а-яa-z0-9 ]"","" ""))")," лимпийский диск евро классик     005 с тройным хватом черный  5 кг  лимпийский диск евро классик     005 с тройным хватом черный   иаметр 51 мм   отверстие под гриф    атериал  обрезиненная сталь 5 кг   атериал покрытия   резина   иаметр посадочного отве"&amp;"рстия   50 мм   вет   черный ")</f>
        <v xml:space="preserve"> лимпийский диск евро классик     005 с тройным хватом черный  5 кг  лимпийский диск евро классик     005 с тройным хватом черный   иаметр 51 мм   отверстие под гриф    атериал  обрезиненная сталь 5 кг   атериал покрытия   резина   иаметр посадочного отверстия   50 мм   вет   черный </v>
      </c>
    </row>
    <row r="3080" spans="1:8" ht="51" x14ac:dyDescent="0.2">
      <c r="A3080" s="31" t="s">
        <v>7261</v>
      </c>
      <c r="B3080" s="27" t="s">
        <v>7262</v>
      </c>
      <c r="C3080" s="27" t="s">
        <v>7263</v>
      </c>
      <c r="D3080" s="33" t="s">
        <v>14</v>
      </c>
      <c r="E3080" s="34">
        <v>2</v>
      </c>
      <c r="F3080" s="35">
        <v>7.5</v>
      </c>
      <c r="G3080" s="10">
        <v>46184</v>
      </c>
      <c r="H3080" s="30" t="str">
        <f ca="1">IFERROR(__xludf.DUMMYFUNCTION("LOWER(REGEXREPLACE(B3080&amp;"" ""&amp;C3080,""[^а-яa-z0-9 ]"","" ""))")," лимпийский диск евро классик     075 с тройным хватом черный  7 5 кг  лимпийский диск евро классик с тройным хватом черный     075   иаметр 51 мм   отверстие под гриф    атериал  обрезиненная сталь 7 5 кг   атериал покрытия   резина   иаметр посадочного "&amp;"отверстия   50 мм   вет   черный ")</f>
        <v xml:space="preserve"> лимпийский диск евро классик     075 с тройным хватом черный  7 5 кг  лимпийский диск евро классик с тройным хватом черный     075   иаметр 51 мм   отверстие под гриф    атериал  обрезиненная сталь 7 5 кг   атериал покрытия   резина   иаметр посадочного отверстия   50 мм   вет   черный </v>
      </c>
    </row>
    <row r="3081" spans="1:8" ht="51" x14ac:dyDescent="0.2">
      <c r="A3081" s="31" t="s">
        <v>7264</v>
      </c>
      <c r="B3081" s="27" t="s">
        <v>7265</v>
      </c>
      <c r="C3081" s="27" t="s">
        <v>7266</v>
      </c>
      <c r="D3081" s="33" t="s">
        <v>14</v>
      </c>
      <c r="E3081" s="34">
        <v>2</v>
      </c>
      <c r="F3081" s="34">
        <v>10</v>
      </c>
      <c r="G3081" s="10">
        <v>62233</v>
      </c>
      <c r="H3081" s="30" t="str">
        <f ca="1">IFERROR(__xludf.DUMMYFUNCTION("LOWER(REGEXREPLACE(B3081&amp;"" ""&amp;C3081,""[^а-яa-z0-9 ]"","" ""))")," лимпийский диск евро классик    010 с тройным хватом черный  10 кг  лимпийский диск евро классик с тройным хватом черный     010   иаметр 51 мм   отверстие под гриф    атериал  обрезиненная сталь 10 кг   атериал покрытия   резина   иаметр посадочного отв"&amp;"ерстия   50 мм   вет   черный ")</f>
        <v xml:space="preserve"> лимпийский диск евро классик    010 с тройным хватом черный  10 кг  лимпийский диск евро классик с тройным хватом черный     010   иаметр 51 мм   отверстие под гриф    атериал  обрезиненная сталь 10 кг   атериал покрытия   резина   иаметр посадочного отверстия   50 мм   вет   черный </v>
      </c>
    </row>
    <row r="3082" spans="1:8" ht="51" x14ac:dyDescent="0.2">
      <c r="A3082" s="31" t="s">
        <v>7267</v>
      </c>
      <c r="B3082" s="27" t="s">
        <v>7268</v>
      </c>
      <c r="C3082" s="27" t="s">
        <v>7269</v>
      </c>
      <c r="D3082" s="33" t="s">
        <v>14</v>
      </c>
      <c r="E3082" s="34">
        <v>2</v>
      </c>
      <c r="F3082" s="34">
        <v>15</v>
      </c>
      <c r="G3082" s="10">
        <v>92368</v>
      </c>
      <c r="H3082" s="30" t="str">
        <f ca="1">IFERROR(__xludf.DUMMYFUNCTION("LOWER(REGEXREPLACE(B3082&amp;"" ""&amp;C3082,""[^а-яa-z0-9 ]"","" ""))")," лимпийский диск евро классик     015 с тройным хватом  15 кг  лимпийский диск евро классик с тройным хватом черный     015   иаметр 51 мм   отверстие под гриф   атериал  обрезиненная сталь 15 кг   атериал покрытия   резина   иаметр посадочного отверстия "&amp;"  50 мм   вет   черный ")</f>
        <v xml:space="preserve"> лимпийский диск евро классик     015 с тройным хватом  15 кг  лимпийский диск евро классик с тройным хватом черный     015   иаметр 51 мм   отверстие под гриф   атериал  обрезиненная сталь 15 кг   атериал покрытия   резина   иаметр посадочного отверстия   50 мм   вет   черный </v>
      </c>
    </row>
    <row r="3083" spans="1:8" ht="51" x14ac:dyDescent="0.2">
      <c r="A3083" s="31" t="s">
        <v>7270</v>
      </c>
      <c r="B3083" s="27" t="s">
        <v>7271</v>
      </c>
      <c r="C3083" s="27" t="s">
        <v>7272</v>
      </c>
      <c r="D3083" s="33" t="s">
        <v>14</v>
      </c>
      <c r="E3083" s="34">
        <v>2</v>
      </c>
      <c r="F3083" s="34">
        <v>20</v>
      </c>
      <c r="G3083" s="10">
        <v>123158</v>
      </c>
      <c r="H3083" s="30" t="str">
        <f ca="1">IFERROR(__xludf.DUMMYFUNCTION("LOWER(REGEXREPLACE(B3083&amp;"" ""&amp;C3083,""[^а-яa-z0-9 ]"","" ""))")," лимпийский диск евро классик     020 с тройным хватом черный  20 кг  лимпийский диск евро классик с тройным хватом черный     020   иаметр 51 мм   отверстие под гриф    атериал  обрезиненная сталь 20 кг   атериал покрытия   резина   иаметр посадочного от"&amp;"верстия   50 мм   вет   черный ")</f>
        <v xml:space="preserve"> лимпийский диск евро классик     020 с тройным хватом черный  20 кг  лимпийский диск евро классик с тройным хватом черный     020   иаметр 51 мм   отверстие под гриф    атериал  обрезиненная сталь 20 кг   атериал покрытия   резина   иаметр посадочного отверстия   50 мм   вет   черный </v>
      </c>
    </row>
    <row r="3084" spans="1:8" ht="51" x14ac:dyDescent="0.2">
      <c r="A3084" s="31" t="s">
        <v>7273</v>
      </c>
      <c r="B3084" s="27" t="s">
        <v>7274</v>
      </c>
      <c r="C3084" s="27" t="s">
        <v>7275</v>
      </c>
      <c r="D3084" s="33" t="s">
        <v>14</v>
      </c>
      <c r="E3084" s="34">
        <v>2</v>
      </c>
      <c r="F3084" s="34">
        <v>25</v>
      </c>
      <c r="G3084" s="10">
        <v>155584</v>
      </c>
      <c r="H3084" s="30" t="str">
        <f ca="1">IFERROR(__xludf.DUMMYFUNCTION("LOWER(REGEXREPLACE(B3084&amp;"" ""&amp;C3084,""[^а-яa-z0-9 ]"","" ""))")," лимпийский диск евро классик     025 с тройным хватом черный  25 кг  лимпийский диск евро классик с тройным хватом черный     025   иаметр 51 мм   отверстие под гриф    атериал  обрезиненная сталь 25 кг   атериал покрытия   резина   иаметр посадочного от"&amp;"верстия   50 мм   вет   черный ")</f>
        <v xml:space="preserve"> лимпийский диск евро классик     025 с тройным хватом черный  25 кг  лимпийский диск евро классик с тройным хватом черный     025   иаметр 51 мм   отверстие под гриф    атериал  обрезиненная сталь 25 кг   атериал покрытия   резина   иаметр посадочного отверстия   50 мм   вет   черный </v>
      </c>
    </row>
    <row r="3085" spans="1:8" ht="51" x14ac:dyDescent="0.2">
      <c r="A3085" s="31" t="s">
        <v>7276</v>
      </c>
      <c r="B3085" s="8" t="s">
        <v>7277</v>
      </c>
      <c r="C3085" s="27" t="s">
        <v>7278</v>
      </c>
      <c r="D3085" s="33" t="s">
        <v>14</v>
      </c>
      <c r="E3085" s="34">
        <v>2</v>
      </c>
      <c r="F3085" s="34">
        <v>1</v>
      </c>
      <c r="G3085" s="10">
        <v>69963</v>
      </c>
      <c r="H3085" s="30" t="str">
        <f ca="1">IFERROR(__xludf.DUMMYFUNCTION("LOWER(REGEXREPLACE(B3085&amp;"" ""&amp;C3085,""[^а-яa-z0-9 ]"","" ""))")," орсонатор двойной для грифа  высокопрочная сталь с порошковым антикоррозийным покрытием 200   220   180 мм  войной торсонатор для грифа служит для закрепления   образного грифа  позволяет пользователям тренироваться сразу в нескольких плоскостях  разраба"&amp;"тывая разные группы мышц ")</f>
        <v xml:space="preserve"> орсонатор двойной для грифа  высокопрочная сталь с порошковым антикоррозийным покрытием 200   220   180 мм  войной торсонатор для грифа служит для закрепления   образного грифа  позволяет пользователям тренироваться сразу в нескольких плоскостях  разрабатывая разные группы мышц </v>
      </c>
    </row>
    <row r="3086" spans="1:8" ht="12.75" x14ac:dyDescent="0.2">
      <c r="A3086" s="31" t="s">
        <v>7279</v>
      </c>
      <c r="B3086" s="27" t="s">
        <v>7280</v>
      </c>
      <c r="C3086" s="27"/>
      <c r="D3086" s="32"/>
      <c r="E3086" s="9"/>
      <c r="F3086" s="32"/>
      <c r="G3086" s="10"/>
      <c r="H3086" s="30" t="str">
        <f ca="1">IFERROR(__xludf.DUMMYFUNCTION("LOWER(REGEXREPLACE(B3086&amp;"" ""&amp;C3086,""[^а-яa-z0-9 ]"","" ""))")," етка заградительная ")</f>
        <v xml:space="preserve"> етка заградительная </v>
      </c>
    </row>
    <row r="3087" spans="1:8" ht="38.25" x14ac:dyDescent="0.2">
      <c r="A3087" s="31" t="s">
        <v>7281</v>
      </c>
      <c r="B3087" s="27" t="s">
        <v>7282</v>
      </c>
      <c r="C3087" s="27" t="s">
        <v>7283</v>
      </c>
      <c r="D3087" s="33" t="s">
        <v>6753</v>
      </c>
      <c r="E3087" s="34">
        <v>1</v>
      </c>
      <c r="F3087" s="36">
        <v>0.95</v>
      </c>
      <c r="G3087" s="10">
        <v>5182</v>
      </c>
      <c r="H3087" s="30" t="str">
        <f ca="1">IFERROR(__xludf.DUMMYFUNCTION("LOWER(REGEXREPLACE(B3087&amp;"" ""&amp;C3087,""[^а-яa-z0-9 ]"","" ""))")," етка заградительная  размер ячейки 100 х 100 мм  олщина нити 2 6мм   чейка 100х100мм   езузловая   етка заградительная  толщина 2 6 мм  ячейка 100 х 100мм   етка изготовлена из полимерных материалов   полипропилена")</f>
        <v xml:space="preserve"> етка заградительная  размер ячейки 100 х 100 мм  олщина нити 2 6мм   чейка 100х100мм   езузловая   етка заградительная  толщина 2 6 мм  ячейка 100 х 100мм   етка изготовлена из полимерных материалов   полипропилена</v>
      </c>
    </row>
    <row r="3088" spans="1:8" ht="38.25" x14ac:dyDescent="0.2">
      <c r="A3088" s="31" t="s">
        <v>7284</v>
      </c>
      <c r="B3088" s="27" t="s">
        <v>7285</v>
      </c>
      <c r="C3088" s="27" t="s">
        <v>7286</v>
      </c>
      <c r="D3088" s="33" t="s">
        <v>6753</v>
      </c>
      <c r="E3088" s="34">
        <v>1</v>
      </c>
      <c r="F3088" s="35">
        <v>0.8</v>
      </c>
      <c r="G3088" s="10">
        <v>6442</v>
      </c>
      <c r="H3088" s="30" t="str">
        <f ca="1">IFERROR(__xludf.DUMMYFUNCTION("LOWER(REGEXREPLACE(B3088&amp;"" ""&amp;C3088,""[^а-яa-z0-9 ]"","" ""))")," етка заградительная  размер ячейки 40х40мм     040  етка заградительная     040   олщина нити 2 2мм   чейка 40х40мм   езузловая   етка изготовлена из полимерных материалов   полипропилена")</f>
        <v xml:space="preserve"> етка заградительная  размер ячейки 40х40мм     040  етка заградительная     040   олщина нити 2 2мм   чейка 40х40мм   езузловая   етка изготовлена из полимерных материалов   полипропилена</v>
      </c>
    </row>
    <row r="3089" spans="1:8" ht="38.25" x14ac:dyDescent="0.2">
      <c r="A3089" s="31" t="s">
        <v>7287</v>
      </c>
      <c r="B3089" s="27" t="s">
        <v>7288</v>
      </c>
      <c r="C3089" s="27" t="s">
        <v>7289</v>
      </c>
      <c r="D3089" s="33" t="s">
        <v>6753</v>
      </c>
      <c r="E3089" s="34">
        <v>1</v>
      </c>
      <c r="F3089" s="34">
        <v>18</v>
      </c>
      <c r="G3089" s="10">
        <v>21193</v>
      </c>
      <c r="H3089" s="30" t="str">
        <f ca="1">IFERROR(__xludf.DUMMYFUNCTION("LOWER(REGEXREPLACE(B3089&amp;"" ""&amp;C3089,""[^а-яa-z0-9 ]"","" ""))")," теновой протектор  олщина 30мм   аполнение      20мм  маты из вспененного полиэтилена   размер одного листа 2000х1000х30мм   бшивка  тентова ткань 610гр м2   одложка  фанера 2000х1000х10мм ")</f>
        <v xml:space="preserve"> теновой протектор  олщина 30мм   аполнение      20мм  маты из вспененного полиэтилена   размер одного листа 2000х1000х30мм   бшивка  тентова ткань 610гр м2   одложка  фанера 2000х1000х10мм </v>
      </c>
    </row>
    <row r="3090" spans="1:8" ht="63.75" x14ac:dyDescent="0.2">
      <c r="A3090" s="31" t="s">
        <v>7290</v>
      </c>
      <c r="B3090" s="27" t="s">
        <v>7291</v>
      </c>
      <c r="C3090" s="27" t="s">
        <v>7292</v>
      </c>
      <c r="D3090" s="33" t="s">
        <v>14</v>
      </c>
      <c r="E3090" s="34">
        <v>2</v>
      </c>
      <c r="F3090" s="36">
        <v>0.18</v>
      </c>
      <c r="G3090" s="10">
        <v>56710</v>
      </c>
      <c r="H3090" s="30" t="str">
        <f ca="1">IFERROR(__xludf.DUMMYFUNCTION("LOWER(REGEXREPLACE(B3090&amp;"" ""&amp;C3090,""[^а-яa-z0-9 ]"","" ""))")," змеритель высоты  редназначен для определения разности высот между несколькими отметками на местности   меет миллиметровую шкалу и   градуировку   акс высота не менее 300мм   атериал   алюминий   иллиметровая шкала и   градуировка   ип   телескопическая "&amp;"  силенный профиль с ребрами жесткости   абаритные размеры  длина  не менее 210мм  ширина  не менее 60мм  высота  не менее 160мм")</f>
        <v xml:space="preserve"> змеритель высоты  редназначен для определения разности высот между несколькими отметками на местности   меет миллиметровую шкалу и   градуировку   акс высота не менее 300мм   атериал   алюминий   иллиметровая шкала и   градуировка   ип   телескопическая   силенный профиль с ребрами жесткости   абаритные размеры  длина  не менее 210мм  ширина  не менее 60мм  высота  не менее 160мм</v>
      </c>
    </row>
    <row r="3091" spans="1:8" ht="12.75" x14ac:dyDescent="0.2">
      <c r="A3091" s="31" t="s">
        <v>7293</v>
      </c>
      <c r="B3091" s="27" t="s">
        <v>7294</v>
      </c>
      <c r="C3091" s="27"/>
      <c r="D3091" s="33" t="s">
        <v>14</v>
      </c>
      <c r="E3091" s="9"/>
      <c r="F3091" s="32"/>
      <c r="G3091" s="10"/>
      <c r="H3091" s="30" t="str">
        <f ca="1">IFERROR(__xludf.DUMMYFUNCTION("LOWER(REGEXREPLACE(B3091&amp;"" ""&amp;C3091,""[^а-яa-z0-9 ]"","" ""))")," енек для равновесия ")</f>
        <v xml:space="preserve"> енек для равновесия </v>
      </c>
    </row>
    <row r="3092" spans="1:8" ht="25.5" x14ac:dyDescent="0.2">
      <c r="A3092" s="31" t="s">
        <v>7295</v>
      </c>
      <c r="B3092" s="8" t="s">
        <v>7296</v>
      </c>
      <c r="C3092" s="27" t="s">
        <v>7297</v>
      </c>
      <c r="D3092" s="33" t="s">
        <v>14</v>
      </c>
      <c r="E3092" s="34">
        <v>2</v>
      </c>
      <c r="F3092" s="34">
        <v>3</v>
      </c>
      <c r="G3092" s="10">
        <v>29238</v>
      </c>
      <c r="H3092" s="30" t="str">
        <f ca="1">IFERROR(__xludf.DUMMYFUNCTION("LOWER(REGEXREPLACE(B3092&amp;"" ""&amp;C3092,""[^а-яa-z0-9 ]"","" ""))")," енек для равновесия  размеры  диаметр 220мм  высота 200мм  еньки для равновесия   атериал фанера ")</f>
        <v xml:space="preserve"> енек для равновесия  размеры  диаметр 220мм  высота 200мм  еньки для равновесия   атериал фанера </v>
      </c>
    </row>
    <row r="3093" spans="1:8" ht="25.5" x14ac:dyDescent="0.2">
      <c r="A3093" s="31" t="s">
        <v>7298</v>
      </c>
      <c r="B3093" s="8" t="s">
        <v>7299</v>
      </c>
      <c r="C3093" s="27" t="s">
        <v>7297</v>
      </c>
      <c r="D3093" s="33" t="s">
        <v>14</v>
      </c>
      <c r="E3093" s="34">
        <v>2</v>
      </c>
      <c r="F3093" s="34">
        <v>4</v>
      </c>
      <c r="G3093" s="10">
        <v>35987</v>
      </c>
      <c r="H3093" s="30" t="str">
        <f ca="1">IFERROR(__xludf.DUMMYFUNCTION("LOWER(REGEXREPLACE(B3093&amp;"" ""&amp;C3093,""[^а-яa-z0-9 ]"","" ""))")," енек для равновесия  размеры  диаметр 220мм  высота 250мм  еньки для равновесия   атериал фанера ")</f>
        <v xml:space="preserve"> енек для равновесия  размеры  диаметр 220мм  высота 250мм  еньки для равновесия   атериал фанера </v>
      </c>
    </row>
    <row r="3094" spans="1:8" ht="25.5" x14ac:dyDescent="0.2">
      <c r="A3094" s="31" t="s">
        <v>7300</v>
      </c>
      <c r="B3094" s="8" t="s">
        <v>7301</v>
      </c>
      <c r="C3094" s="27" t="s">
        <v>7297</v>
      </c>
      <c r="D3094" s="33" t="s">
        <v>14</v>
      </c>
      <c r="E3094" s="34">
        <v>2</v>
      </c>
      <c r="F3094" s="34">
        <v>5</v>
      </c>
      <c r="G3094" s="10">
        <v>40487</v>
      </c>
      <c r="H3094" s="30" t="str">
        <f ca="1">IFERROR(__xludf.DUMMYFUNCTION("LOWER(REGEXREPLACE(B3094&amp;"" ""&amp;C3094,""[^а-яa-z0-9 ]"","" ""))")," енек для равновесия  размеры  диаметр 220мм  высота 300мм  еньки для равновесия   атериал фанера ")</f>
        <v xml:space="preserve"> енек для равновесия  размеры  диаметр 220мм  высота 300мм  еньки для равновесия   атериал фанера </v>
      </c>
    </row>
    <row r="3095" spans="1:8" ht="12.75" x14ac:dyDescent="0.2">
      <c r="A3095" s="31" t="s">
        <v>7302</v>
      </c>
      <c r="B3095" s="27" t="s">
        <v>7303</v>
      </c>
      <c r="C3095" s="27"/>
      <c r="D3095" s="33" t="s">
        <v>14</v>
      </c>
      <c r="E3095" s="9"/>
      <c r="F3095" s="32"/>
      <c r="G3095" s="10"/>
      <c r="H3095" s="30" t="str">
        <f ca="1">IFERROR(__xludf.DUMMYFUNCTION("LOWER(REGEXREPLACE(B3095&amp;"" ""&amp;C3095,""[^а-яa-z0-9 ]"","" ""))")," борудование для единоборств ")</f>
        <v xml:space="preserve"> борудование для единоборств </v>
      </c>
    </row>
    <row r="3096" spans="1:8" ht="63.75" x14ac:dyDescent="0.2">
      <c r="A3096" s="31" t="s">
        <v>7304</v>
      </c>
      <c r="B3096" s="27" t="s">
        <v>7305</v>
      </c>
      <c r="C3096" s="27" t="s">
        <v>7306</v>
      </c>
      <c r="D3096" s="33" t="s">
        <v>14</v>
      </c>
      <c r="E3096" s="34">
        <v>2</v>
      </c>
      <c r="F3096" s="34">
        <v>730</v>
      </c>
      <c r="G3096" s="10">
        <v>4197677</v>
      </c>
      <c r="H3096" s="30" t="str">
        <f ca="1">IFERROR(__xludf.DUMMYFUNCTION("LOWER(REGEXREPLACE(B3096&amp;"" ""&amp;C3096,""[^а-яa-z0-9 ]"","" ""))")," инг боксерский 4 х 4 м с помостом 5 х 5 м  помост 1м  инг боксерский 4 х 4 м с помостом 5 х 5м  помост 1м   омплектация и характеристика ринга   еталлические стойки  ферма подиума  настил фанерный  настил из матов плотностью не менее 120к ж м3  покрывало"&amp;"  антискользящее       угловые подушки  канаты в чехлах  перемычки  растяжки канатов  защита растяжек канатов  крепеж ")</f>
        <v xml:space="preserve"> инг боксерский 4 х 4 м с помостом 5 х 5 м  помост 1м  инг боксерский 4 х 4 м с помостом 5 х 5м  помост 1м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097" spans="1:8" ht="63.75" x14ac:dyDescent="0.2">
      <c r="A3097" s="31" t="s">
        <v>7307</v>
      </c>
      <c r="B3097" s="27" t="s">
        <v>7308</v>
      </c>
      <c r="C3097" s="27" t="s">
        <v>7309</v>
      </c>
      <c r="D3097" s="33" t="s">
        <v>14</v>
      </c>
      <c r="E3097" s="34">
        <v>2</v>
      </c>
      <c r="F3097" s="34">
        <v>950</v>
      </c>
      <c r="G3097" s="10">
        <v>3885818</v>
      </c>
      <c r="H3097" s="30" t="str">
        <f ca="1">IFERROR(__xludf.DUMMYFUNCTION("LOWER(REGEXREPLACE(B3097&amp;"" ""&amp;C3097,""[^а-яa-z0-9 ]"","" ""))")," инг боксерский 4 х 4 м с помостом 5 х 5м  помост 0 5 м  инг боксерский 4 х 4 м с помостом 5 х 5м  помост 0 5м   омплектация и характеристика ринга   еталлические стойки  ферма подиума  настил фанерный  настил из матов плотностью не менее 120к ж м3   покр"&amp;"ывало  антискользящее       угловые подушки  канаты в чехлах  перемычки  растяжки канатов  защита растяжек канатов  крепеж ")</f>
        <v xml:space="preserve"> инг боксерский 4 х 4 м с помостом 5 х 5м  помост 0 5 м  инг боксерский 4 х 4 м с помостом 5 х 5м  помост 0 5м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098" spans="1:8" ht="51" x14ac:dyDescent="0.2">
      <c r="A3098" s="31" t="s">
        <v>7310</v>
      </c>
      <c r="B3098" s="27" t="s">
        <v>7311</v>
      </c>
      <c r="C3098" s="27" t="s">
        <v>7312</v>
      </c>
      <c r="D3098" s="33" t="s">
        <v>14</v>
      </c>
      <c r="E3098" s="34">
        <v>2</v>
      </c>
      <c r="F3098" s="34">
        <v>950</v>
      </c>
      <c r="G3098" s="10">
        <v>3508180</v>
      </c>
      <c r="H3098" s="30" t="str">
        <f ca="1">IFERROR(__xludf.DUMMYFUNCTION("LOWER(REGEXREPLACE(B3098&amp;"" ""&amp;C3098,""[^а-яa-z0-9 ]"","" ""))")," инг боксерский 4 х 4 м напольный  инг боксерский 4 х 4 м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чехл"&amp;"ах  перемычки  растяжки канатов  защита растяжек канатов  крепеж ")</f>
        <v xml:space="preserve"> инг боксерский 4 х 4 м напольный  инг боксерский 4 х 4 м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099" spans="1:8" ht="63.75" x14ac:dyDescent="0.2">
      <c r="A3099" s="31" t="s">
        <v>7313</v>
      </c>
      <c r="B3099" s="27" t="s">
        <v>7314</v>
      </c>
      <c r="C3099" s="27" t="s">
        <v>7315</v>
      </c>
      <c r="D3099" s="33" t="s">
        <v>14</v>
      </c>
      <c r="E3099" s="34">
        <v>2</v>
      </c>
      <c r="F3099" s="34">
        <v>1100</v>
      </c>
      <c r="G3099" s="10">
        <v>5060906</v>
      </c>
      <c r="H3099" s="30" t="str">
        <f ca="1">IFERROR(__xludf.DUMMYFUNCTION("LOWER(REGEXREPLACE(B3099&amp;"" ""&amp;C3099,""[^а-яa-z0-9 ]"","" ""))")," инг боксерский 5 х 5 м с помостом 6 1 х 6 1 помост 1м  инг боксерский 5 х 5 м с помостом 6 1 х 6 1 помост 1м   омплектация и характеристика ринга   еталлические стойки  ферма подиума  настил фанерный  настил из матов плотностью не менее 120к ж м3   покры"&amp;"вало  антискользящее       угловые подушки  канаты в чехлах  перемычки  растяжки канатов  защита растяжек канатов  крепеж ")</f>
        <v xml:space="preserve"> инг боксерский 5 х 5 м с помостом 6 1 х 6 1 помост 1м  инг боксерский 5 х 5 м с помостом 6 1 х 6 1 помост 1м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100" spans="1:8" ht="63.75" x14ac:dyDescent="0.2">
      <c r="A3100" s="31" t="s">
        <v>7316</v>
      </c>
      <c r="B3100" s="27" t="s">
        <v>7317</v>
      </c>
      <c r="C3100" s="27" t="s">
        <v>7318</v>
      </c>
      <c r="D3100" s="33" t="s">
        <v>14</v>
      </c>
      <c r="E3100" s="34">
        <v>2</v>
      </c>
      <c r="F3100" s="34">
        <v>850</v>
      </c>
      <c r="G3100" s="10">
        <v>4400351</v>
      </c>
      <c r="H3100" s="30" t="str">
        <f ca="1">IFERROR(__xludf.DUMMYFUNCTION("LOWER(REGEXREPLACE(B3100&amp;"" ""&amp;C3100,""[^а-яa-z0-9 ]"","" ""))")," инг боксерский 5 х 5 м с помостом 6 1 х 6 1 помост 0 5м  инг боксерский 5 х 5 м с помостом 6 1 х 6 1 помост 0 5м   омплектация и характеристика ринга   еталлические стойки  ферма подиума  настил фанерный  настил из матов плотностью не менее 120к ж м3   п"&amp;"окрывало  антискользящее       угловые подушки  канаты в чехлах  перемычки  растяжки канатов  защита растяжек канатов  крепеж ")</f>
        <v xml:space="preserve"> инг боксерский 5 х 5 м с помостом 6 1 х 6 1 помост 0 5м  инг боксерский 5 х 5 м с помостом 6 1 х 6 1 помост 0 5м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101" spans="1:8" ht="63.75" x14ac:dyDescent="0.2">
      <c r="A3101" s="31" t="s">
        <v>7319</v>
      </c>
      <c r="B3101" s="27" t="s">
        <v>7320</v>
      </c>
      <c r="C3101" s="27" t="s">
        <v>7321</v>
      </c>
      <c r="D3101" s="33" t="s">
        <v>14</v>
      </c>
      <c r="E3101" s="34">
        <v>2</v>
      </c>
      <c r="F3101" s="34">
        <v>1050</v>
      </c>
      <c r="G3101" s="10">
        <v>4001601</v>
      </c>
      <c r="H3101" s="30" t="str">
        <f ca="1">IFERROR(__xludf.DUMMYFUNCTION("LOWER(REGEXREPLACE(B3101&amp;"" ""&amp;C3101,""[^а-яa-z0-9 ]"","" ""))")," инг боксерский 5 х 5 м с помостом 6 1 х 6 1 напольный  инг боксерский 5 х 5 м с помостом 6 1 х 6 1 напольный    омплектация и характеристика ринга   еталлические стойки  настил фанерный  настил из матов плотностью не менее 120к ж м3   покрывало  антискол"&amp;"ьзящее       угловые подушки  канаты в чехлах  перемычки  растяжки канатов  защита растяжек канатов  крепеж ")</f>
        <v xml:space="preserve"> инг боксерский 5 х 5 м с помостом 6 1 х 6 1 напольный  инг боксерский 5 х 5 м с помостом 6 1 х 6 1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v>
      </c>
    </row>
    <row r="3102" spans="1:8" ht="153" x14ac:dyDescent="0.2">
      <c r="A3102" s="31" t="s">
        <v>7322</v>
      </c>
      <c r="B3102" s="27" t="s">
        <v>7323</v>
      </c>
      <c r="C3102" s="27" t="s">
        <v>7324</v>
      </c>
      <c r="D3102" s="33" t="s">
        <v>14</v>
      </c>
      <c r="E3102" s="34">
        <v>2</v>
      </c>
      <c r="F3102" s="34">
        <v>1180</v>
      </c>
      <c r="G3102" s="10">
        <v>7133961</v>
      </c>
      <c r="H3102" s="30" t="str">
        <f ca="1">IFERROR(__xludf.DUMMYFUNCTION("LOWER(REGEXREPLACE(B3102&amp;"" ""&amp;C3102,""[^а-яa-z0-9 ]"","" ""))")," инг боксерский 6 1 х 6 1 м с помостом 7 8 х 7 8м  помост 1м  инг боксерский 6 1 х 6 1 м с помостом 7 8 х 7 8м  помост 1м   омплектация и характеристика ринга   еталлические стойки  ферма подиума  настил фанерный  настил     или      покрывало  антискольз"&amp;"ящее       угловые подушки  канаты в чехлах  перемычки  растяжки канатов  защита растяжек канатов  крепеж   борка ринга производится по принципу ось втулка  олтовые соединения отсутствуют   анаты ринга имеют трехслойную конструкцию не имеющию аналогов   р"&amp;"ос заключен в резиновый рукав для ацетиленовой сварки на которой одета мягкая оболочка с чехлом   гловые стойки несущие основную нагрузку  выполнены с запасом прочности и окрашены порошковой краской промышленным способом   омост  7 8х7 8х1 м   оевая зона "&amp;" 6 1х6 1 м   ри лестницы   бъем  13 м3")</f>
        <v xml:space="preserve"> инг боксерский 6 1 х 6 1 м с помостом 7 8 х 7 8м  помост 1м  инг боксерский 6 1 х 6 1 м с помостом 7 8 х 7 8м  помост 1м   омплектация и характеристика ринга   еталлические стойки  ферма подиума  настил фанерный  настил     или      покрывало  антискользящее       угловые подушки  канаты в чехлах  перемычки  растяжки канатов  защита растяжек канатов  крепеж   борка ринга производится по принципу ось втулка  олтовые соединения отсутствуют   анаты ринга имеют трехслойную конструкцию не имеющию аналогов   рос заключен в резиновый рукав для ацетиленовой сварки на которой одета мягкая оболочка с чехлом   гловые стойки несущие основную нагрузку  выполнены с запасом прочности и окрашены порошковой краской промышленным способом   омост  7 8х7 8х1 м   оевая зона  6 1х6 1 м   ри лестницы   бъем  13 м3</v>
      </c>
    </row>
    <row r="3103" spans="1:8" ht="76.5" x14ac:dyDescent="0.2">
      <c r="A3103" s="31" t="s">
        <v>7325</v>
      </c>
      <c r="B3103" s="27" t="s">
        <v>7326</v>
      </c>
      <c r="C3103" s="27" t="s">
        <v>7327</v>
      </c>
      <c r="D3103" s="33" t="s">
        <v>14</v>
      </c>
      <c r="E3103" s="34">
        <v>2</v>
      </c>
      <c r="F3103" s="34">
        <v>850</v>
      </c>
      <c r="G3103" s="10">
        <v>6998498</v>
      </c>
      <c r="H3103" s="30" t="str">
        <f ca="1">IFERROR(__xludf.DUMMYFUNCTION("LOWER(REGEXREPLACE(B3103&amp;"" ""&amp;C3103,""[^а-яa-z0-9 ]"","" ""))")," ктагон 5х5м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5х5 м   ктагон   это уникальная боевая арена   на называется восьмиугольником  "&amp;"потому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 мм  высота помоста  500 мм   оевая зона 3х3 м")</f>
        <v xml:space="preserve"> ктагон 5х5м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5х5 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 мм  высота помоста  500 мм   оевая зона 3х3 м</v>
      </c>
    </row>
    <row r="3104" spans="1:8" ht="76.5" x14ac:dyDescent="0.2">
      <c r="A3104" s="31" t="s">
        <v>7328</v>
      </c>
      <c r="B3104" s="27" t="s">
        <v>7329</v>
      </c>
      <c r="C3104" s="27" t="s">
        <v>7330</v>
      </c>
      <c r="D3104" s="33" t="s">
        <v>14</v>
      </c>
      <c r="E3104" s="34">
        <v>2</v>
      </c>
      <c r="F3104" s="34">
        <v>950</v>
      </c>
      <c r="G3104" s="10">
        <v>8537811</v>
      </c>
      <c r="H3104" s="30" t="str">
        <f ca="1">IFERROR(__xludf.DUMMYFUNCTION("LOWER(REGEXREPLACE(B3104&amp;"" ""&amp;C3104,""[^а-яa-z0-9 ]"","" ""))")," ктагон 6 1х6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6 1х6 1м   ктагон   это уникальная боевая арена   на называется восьмиуголь"&amp;"ником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4 1м")</f>
        <v xml:space="preserve"> ктагон 6 1х6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6 1х6 1м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4 1м</v>
      </c>
    </row>
    <row r="3105" spans="1:8" ht="76.5" x14ac:dyDescent="0.2">
      <c r="A3105" s="31" t="s">
        <v>7331</v>
      </c>
      <c r="B3105" s="27" t="s">
        <v>7332</v>
      </c>
      <c r="C3105" s="27" t="s">
        <v>7333</v>
      </c>
      <c r="D3105" s="33" t="s">
        <v>14</v>
      </c>
      <c r="E3105" s="34">
        <v>2</v>
      </c>
      <c r="F3105" s="34">
        <v>1150</v>
      </c>
      <c r="G3105" s="10">
        <v>10217435</v>
      </c>
      <c r="H3105" s="30" t="str">
        <f ca="1">IFERROR(__xludf.DUMMYFUNCTION("LOWER(REGEXREPLACE(B3105&amp;"" ""&amp;C3105,""[^а-яa-z0-9 ]"","" ""))")," ктагон 7 3х7 3м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7 3х7 3м   ктагон   это уникальная боевая арена   на называется восьмиуголь"&amp;"ником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5 3м")</f>
        <v xml:space="preserve"> ктагон 7 3х7 3м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7 3х7 3м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5 3м</v>
      </c>
    </row>
    <row r="3106" spans="1:8" ht="76.5" x14ac:dyDescent="0.2">
      <c r="A3106" s="31" t="s">
        <v>7334</v>
      </c>
      <c r="B3106" s="27" t="s">
        <v>7335</v>
      </c>
      <c r="C3106" s="27" t="s">
        <v>7336</v>
      </c>
      <c r="D3106" s="33" t="s">
        <v>14</v>
      </c>
      <c r="E3106" s="34">
        <v>2</v>
      </c>
      <c r="F3106" s="34">
        <v>1300</v>
      </c>
      <c r="G3106" s="10">
        <v>12736254</v>
      </c>
      <c r="H3106" s="30" t="str">
        <f ca="1">IFERROR(__xludf.DUMMYFUNCTION("LOWER(REGEXREPLACE(B3106&amp;"" ""&amp;C3106,""[^а-яa-z0-9 ]"","" ""))")," ктагон 9 1х9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9 1х9 1м   ктагон   это уникальная боевая арена   на называется восьмиуголь"&amp;"ником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7 1м")</f>
        <v xml:space="preserve"> ктагон 9 1х9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9 1х9 1м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7 1м</v>
      </c>
    </row>
    <row r="3107" spans="1:8" ht="12.75" x14ac:dyDescent="0.2">
      <c r="A3107" s="31" t="s">
        <v>7337</v>
      </c>
      <c r="B3107" s="27" t="s">
        <v>7338</v>
      </c>
      <c r="C3107" s="27"/>
      <c r="D3107" s="33" t="s">
        <v>14</v>
      </c>
      <c r="E3107" s="9"/>
      <c r="F3107" s="32"/>
      <c r="G3107" s="10"/>
      <c r="H3107" s="30" t="str">
        <f ca="1">IFERROR(__xludf.DUMMYFUNCTION("LOWER(REGEXREPLACE(B3107&amp;"" ""&amp;C3107,""[^а-яa-z0-9 ]"","" ""))")," иря ")</f>
        <v xml:space="preserve"> иря </v>
      </c>
    </row>
    <row r="3108" spans="1:8" ht="38.25" x14ac:dyDescent="0.2">
      <c r="A3108" s="31" t="s">
        <v>7339</v>
      </c>
      <c r="B3108" s="27" t="s">
        <v>7340</v>
      </c>
      <c r="C3108" s="27" t="s">
        <v>7341</v>
      </c>
      <c r="D3108" s="33" t="s">
        <v>14</v>
      </c>
      <c r="E3108" s="34">
        <v>2</v>
      </c>
      <c r="F3108" s="34">
        <v>8</v>
      </c>
      <c r="G3108" s="10">
        <v>26060</v>
      </c>
      <c r="H3108" s="30" t="str">
        <f ca="1">IFERROR(__xludf.DUMMYFUNCTION("LOWER(REGEXREPLACE(B3108&amp;"" ""&amp;C3108,""[^а-яa-z0-9 ]"","" ""))")," иря 8 кг  материал изготовления  чугун  винил  иря 8кг   спортивный снаряд для силовых упражнений   иря тежелоатлетическая изготовленный из серого чугуна и покрытый винилом   азмеры 0 35х0 28х0 3 м")</f>
        <v xml:space="preserve"> иря 8 кг  материал изготовления  чугун  винил  иря 8кг   спортивный снаряд для силовых упражнений   иря тежелоатлетическая изготовленный из серого чугуна и покрытый винилом   азмеры 0 35х0 28х0 3 м</v>
      </c>
    </row>
    <row r="3109" spans="1:8" ht="38.25" x14ac:dyDescent="0.2">
      <c r="A3109" s="31" t="s">
        <v>7342</v>
      </c>
      <c r="B3109" s="27" t="s">
        <v>7343</v>
      </c>
      <c r="C3109" s="27" t="s">
        <v>7344</v>
      </c>
      <c r="D3109" s="33" t="s">
        <v>14</v>
      </c>
      <c r="E3109" s="34">
        <v>2</v>
      </c>
      <c r="F3109" s="34">
        <v>12</v>
      </c>
      <c r="G3109" s="10">
        <v>39092</v>
      </c>
      <c r="H3109" s="30" t="str">
        <f ca="1">IFERROR(__xludf.DUMMYFUNCTION("LOWER(REGEXREPLACE(B3109&amp;"" ""&amp;C3109,""[^а-яa-z0-9 ]"","" ""))")," иря 12 кг  материал изготовления  чугун  винил  иря 12кг   спортивный снаряд для силовых упражнений   иря тежелоатлетическая изготовленный из серого чугуна и покрытый винилом   азмеры 0 35х0 38х0 3 м")</f>
        <v xml:space="preserve"> иря 12 кг  материал изготовления  чугун  винил  иря 12кг   спортивный снаряд для силовых упражнений   иря тежелоатлетическая изготовленный из серого чугуна и покрытый винилом   азмеры 0 35х0 38х0 3 м</v>
      </c>
    </row>
    <row r="3110" spans="1:8" ht="38.25" x14ac:dyDescent="0.2">
      <c r="A3110" s="31" t="s">
        <v>7345</v>
      </c>
      <c r="B3110" s="27" t="s">
        <v>7346</v>
      </c>
      <c r="C3110" s="27" t="s">
        <v>7347</v>
      </c>
      <c r="D3110" s="33" t="s">
        <v>14</v>
      </c>
      <c r="E3110" s="34">
        <v>2</v>
      </c>
      <c r="F3110" s="34">
        <v>16</v>
      </c>
      <c r="G3110" s="10">
        <v>52122</v>
      </c>
      <c r="H3110" s="30" t="str">
        <f ca="1">IFERROR(__xludf.DUMMYFUNCTION("LOWER(REGEXREPLACE(B3110&amp;"" ""&amp;C3110,""[^а-яa-z0-9 ]"","" ""))")," иря 16 кг  материал изготовления  чугун  винил  иря 16кг   спортивный снаряд для силовых упражнений   иря тежелоатлетическая изготовленный из серого чугуна и покрытый винилом   азмеры 0 38х0 38х0 3 м")</f>
        <v xml:space="preserve"> иря 16 кг  материал изготовления  чугун  винил  иря 16кг   спортивный снаряд для силовых упражнений   иря тежелоатлетическая изготовленный из серого чугуна и покрытый винилом   азмеры 0 38х0 38х0 3 м</v>
      </c>
    </row>
    <row r="3111" spans="1:8" ht="38.25" x14ac:dyDescent="0.2">
      <c r="A3111" s="31" t="s">
        <v>7348</v>
      </c>
      <c r="B3111" s="27" t="s">
        <v>7349</v>
      </c>
      <c r="C3111" s="27" t="s">
        <v>7350</v>
      </c>
      <c r="D3111" s="33" t="s">
        <v>14</v>
      </c>
      <c r="E3111" s="34">
        <v>2</v>
      </c>
      <c r="F3111" s="34">
        <v>20</v>
      </c>
      <c r="G3111" s="10">
        <v>65152</v>
      </c>
      <c r="H3111" s="30" t="str">
        <f ca="1">IFERROR(__xludf.DUMMYFUNCTION("LOWER(REGEXREPLACE(B3111&amp;"" ""&amp;C3111,""[^а-яa-z0-9 ]"","" ""))")," иря 20 кг  материал изготовления  чугун  винил  иря 20кг   спортивный снаряд для силовых упражнений   иря тежелоатлетическая изготовленный из серого чугуна и покрытый винилом   азмеры 0 35х0 48х0 3 м")</f>
        <v xml:space="preserve"> иря 20 кг  материал изготовления  чугун  винил  иря 20кг   спортивный снаряд для силовых упражнений   иря тежелоатлетическая изготовленный из серого чугуна и покрытый винилом   азмеры 0 35х0 48х0 3 м</v>
      </c>
    </row>
    <row r="3112" spans="1:8" ht="38.25" x14ac:dyDescent="0.2">
      <c r="A3112" s="31" t="s">
        <v>7351</v>
      </c>
      <c r="B3112" s="27" t="s">
        <v>7352</v>
      </c>
      <c r="C3112" s="27" t="s">
        <v>7353</v>
      </c>
      <c r="D3112" s="33" t="s">
        <v>14</v>
      </c>
      <c r="E3112" s="34">
        <v>2</v>
      </c>
      <c r="F3112" s="34">
        <v>24</v>
      </c>
      <c r="G3112" s="10">
        <v>78182</v>
      </c>
      <c r="H3112" s="30" t="str">
        <f ca="1">IFERROR(__xludf.DUMMYFUNCTION("LOWER(REGEXREPLACE(B3112&amp;"" ""&amp;C3112,""[^а-яa-z0-9 ]"","" ""))")," иря 24 кг  материал изготовления  чугун  винил  иря 24кг   спортивный снаряд для силовых упражнений   иря тежелоатлетическая изготовленный из серого чугуна и покрытый винилом   азмеры 0 38х0 48х0 3 м")</f>
        <v xml:space="preserve"> иря 24 кг  материал изготовления  чугун  винил  иря 24кг   спортивный снаряд для силовых упражнений   иря тежелоатлетическая изготовленный из серого чугуна и покрытый винилом   азмеры 0 38х0 48х0 3 м</v>
      </c>
    </row>
    <row r="3113" spans="1:8" ht="38.25" x14ac:dyDescent="0.2">
      <c r="A3113" s="31" t="s">
        <v>7354</v>
      </c>
      <c r="B3113" s="27" t="s">
        <v>7355</v>
      </c>
      <c r="C3113" s="27" t="s">
        <v>7356</v>
      </c>
      <c r="D3113" s="33" t="s">
        <v>14</v>
      </c>
      <c r="E3113" s="34">
        <v>2</v>
      </c>
      <c r="F3113" s="34">
        <v>32</v>
      </c>
      <c r="G3113" s="10">
        <v>104243</v>
      </c>
      <c r="H3113" s="30" t="str">
        <f ca="1">IFERROR(__xludf.DUMMYFUNCTION("LOWER(REGEXREPLACE(B3113&amp;"" ""&amp;C3113,""[^а-яa-z0-9 ]"","" ""))")," иря 32 кг  материал изготовления  чугун  винил  иря 32кг   спортивный снаряд для силовых упражнений   иря тежелоатлетическая изготовленный из серого чугуна и покрытый винилом   азмеры 0 4х0 48х0 32 м")</f>
        <v xml:space="preserve"> иря 32 кг  материал изготовления  чугун  винил  иря 32кг   спортивный снаряд для силовых упражнений   иря тежелоатлетическая изготовленный из серого чугуна и покрытый винилом   азмеры 0 4х0 48х0 32 м</v>
      </c>
    </row>
    <row r="3114" spans="1:8" ht="12.75" x14ac:dyDescent="0.2">
      <c r="A3114" s="31" t="s">
        <v>7357</v>
      </c>
      <c r="B3114" s="27" t="s">
        <v>7358</v>
      </c>
      <c r="C3114" s="27"/>
      <c r="D3114" s="33" t="s">
        <v>14</v>
      </c>
      <c r="E3114" s="9"/>
      <c r="F3114" s="32"/>
      <c r="G3114" s="10"/>
      <c r="H3114" s="30" t="str">
        <f ca="1">IFERROR(__xludf.DUMMYFUNCTION("LOWER(REGEXREPLACE(B3114&amp;"" ""&amp;C3114,""[^а-яa-z0-9 ]"","" ""))")," нвентарь для плавания ")</f>
        <v xml:space="preserve"> нвентарь для плавания </v>
      </c>
    </row>
    <row r="3115" spans="1:8" ht="76.5" x14ac:dyDescent="0.2">
      <c r="A3115" s="31" t="s">
        <v>7359</v>
      </c>
      <c r="B3115" s="8" t="s">
        <v>7360</v>
      </c>
      <c r="C3115" s="27" t="s">
        <v>7361</v>
      </c>
      <c r="D3115" s="33" t="s">
        <v>14</v>
      </c>
      <c r="E3115" s="34">
        <v>2</v>
      </c>
      <c r="F3115" s="35">
        <v>0.3</v>
      </c>
      <c r="G3115" s="10">
        <v>12168</v>
      </c>
      <c r="H3115" s="30" t="str">
        <f ca="1">IFERROR(__xludf.DUMMYFUNCTION("LOWER(REGEXREPLACE(B3115&amp;"" ""&amp;C3115,""[^а-яa-z0-9 ]"","" ""))")," оска для плавания  размеры  650х400х200мм  риспособление для плавания  представляющее собой поплавок обычно плоской прямоугольной формы со скруглениями для уменьшения сопротивления воды   редназначена для удержания верхней части туловища и рук на поверхн"&amp;"ости воды для отрабатывания техники движения ногами   атериал изготовления  вспененный полиэтилен       или     пена   л гкий  водонепроницаемый и плавучий материал ")</f>
        <v xml:space="preserve"> оска для плавания  размеры  650х400х200мм  риспособление для плавания  представляющее собой поплавок обычно плоской прямоугольной формы со скруглениями для уменьшения сопротивления воды   редназначена для удержания верхней части туловища и рук на поверхности воды для отрабатывания техники движения ногами   атериал изготовления  вспененный полиэтилен       или     пена   л гкий  водонепроницаемый и плавучий материал </v>
      </c>
    </row>
    <row r="3116" spans="1:8" ht="102" x14ac:dyDescent="0.2">
      <c r="A3116" s="31" t="s">
        <v>7362</v>
      </c>
      <c r="B3116" s="27" t="s">
        <v>7363</v>
      </c>
      <c r="C3116" s="27" t="s">
        <v>7364</v>
      </c>
      <c r="D3116" s="33" t="s">
        <v>14</v>
      </c>
      <c r="E3116" s="34">
        <v>2</v>
      </c>
      <c r="F3116" s="36">
        <v>0.15</v>
      </c>
      <c r="G3116" s="10">
        <v>4563</v>
      </c>
      <c r="H3116" s="30" t="str">
        <f ca="1">IFERROR(__xludf.DUMMYFUNCTION("LOWER(REGEXREPLACE(B3116&amp;"" ""&amp;C3116,""[^а-яa-z0-9 ]"","" ""))")," опатка для плавания  материал изготовления прочный пластик     или       ремешки   мягкий эластичный силикон   азмеры  200х150х10мм  опатки для плавания предназначены для развития мощности гребка и совершенствования силовой выносливости спортсмена   овер"&amp;"хность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ягкие силиконовые ремешки обеспечивают отличную фик"&amp;"сацию лопаток на руках  а их расположение каждый спортсмен может настроить индивидуально ")</f>
        <v xml:space="preserve"> опатка для плавания  материал изготовления прочный пластик     или       ремешки   мягкий эластичный силикон   азмеры  200х150х10мм  опатки для плавания предназначены для развития мощности гребка и совершенствования силовой выносливости спортсмена   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ягкие силиконовые ремешки обеспечивают отличную фиксацию лопаток на руках  а их расположение каждый спортсмен может настроить индивидуально </v>
      </c>
    </row>
    <row r="3117" spans="1:8" ht="51" x14ac:dyDescent="0.2">
      <c r="A3117" s="31" t="s">
        <v>7365</v>
      </c>
      <c r="B3117" s="27" t="s">
        <v>7366</v>
      </c>
      <c r="C3117" s="27" t="s">
        <v>7367</v>
      </c>
      <c r="D3117" s="33" t="s">
        <v>14</v>
      </c>
      <c r="E3117" s="34">
        <v>2</v>
      </c>
      <c r="F3117" s="36">
        <v>0.01</v>
      </c>
      <c r="G3117" s="10">
        <v>23278</v>
      </c>
      <c r="H3117" s="30" t="str">
        <f ca="1">IFERROR(__xludf.DUMMYFUNCTION("LOWER(REGEXREPLACE(B3117&amp;"" ""&amp;C3117,""[^а-яa-z0-9 ]"","" ""))")," иксатор ног для плавания  материал изготовления нейлон  размеры 0 08х0 05х0 05м  онтролирует ваши ноги во время тренировок   емень крепится на щиколотки  не нарушая вашего комфорта и не отвлекая от тренировок   атериал изготовления  нейлоновый ремень с м"&amp;"ягкими неопреновыми вставками  пластиковые регулировочные пряжки ")</f>
        <v xml:space="preserve"> иксатор ног для плавания  материал изготовления нейлон  размеры 0 08х0 05х0 05м  онтролирует ваши ноги во время тренировок   емень крепится на щиколотки  не нарушая вашего комфорта и не отвлекая от тренировок   атериал изготовления  нейлоновый ремень с мягкими неопреновыми вставками  пластиковые регулировочные пряжки </v>
      </c>
    </row>
    <row r="3118" spans="1:8" ht="51" x14ac:dyDescent="0.2">
      <c r="A3118" s="31" t="s">
        <v>7368</v>
      </c>
      <c r="B3118" s="8" t="s">
        <v>7369</v>
      </c>
      <c r="C3118" s="27" t="s">
        <v>7370</v>
      </c>
      <c r="D3118" s="33" t="s">
        <v>14</v>
      </c>
      <c r="E3118" s="34">
        <v>2</v>
      </c>
      <c r="F3118" s="35">
        <v>0.3</v>
      </c>
      <c r="G3118" s="10">
        <v>29810</v>
      </c>
      <c r="H3118" s="30" t="str">
        <f ca="1">IFERROR(__xludf.DUMMYFUNCTION("LOWER(REGEXREPLACE(B3118&amp;"" ""&amp;C3118,""[^а-яa-z0-9 ]"","" ""))")," яч для водного поло  3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f>
        <v xml:space="preserve"> яч для водного поло  3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v>
      </c>
    </row>
    <row r="3119" spans="1:8" ht="51" x14ac:dyDescent="0.2">
      <c r="A3119" s="31" t="s">
        <v>7371</v>
      </c>
      <c r="B3119" s="8" t="s">
        <v>7372</v>
      </c>
      <c r="C3119" s="27" t="s">
        <v>7370</v>
      </c>
      <c r="D3119" s="33" t="s">
        <v>14</v>
      </c>
      <c r="E3119" s="34">
        <v>2</v>
      </c>
      <c r="F3119" s="35">
        <v>0.4</v>
      </c>
      <c r="G3119" s="10">
        <v>123191</v>
      </c>
      <c r="H3119" s="30" t="str">
        <f ca="1">IFERROR(__xludf.DUMMYFUNCTION("LOWER(REGEXREPLACE(B3119&amp;"" ""&amp;C3119,""[^а-яa-z0-9 ]"","" ""))")," яч для водного поло  5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f>
        <v xml:space="preserve"> яч для водного поло  5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v>
      </c>
    </row>
    <row r="3120" spans="1:8" ht="51" x14ac:dyDescent="0.2">
      <c r="A3120" s="31" t="s">
        <v>7373</v>
      </c>
      <c r="B3120" s="27" t="s">
        <v>7374</v>
      </c>
      <c r="C3120" s="27" t="s">
        <v>7375</v>
      </c>
      <c r="D3120" s="33" t="s">
        <v>14</v>
      </c>
      <c r="E3120" s="34">
        <v>2</v>
      </c>
      <c r="F3120" s="34">
        <v>2</v>
      </c>
      <c r="G3120" s="10">
        <v>25863</v>
      </c>
      <c r="H3120" s="30" t="str">
        <f ca="1">IFERROR(__xludf.DUMMYFUNCTION("LOWER(REGEXREPLACE(B3120&amp;"" ""&amp;C3120,""[^а-яa-z0-9 ]"","" ""))")," асты короткие   атериал  мягкий силикон   азмер  360 200 30 мм  асты выполнены из мягкого и прочного силикона  комфортны в носке  не натирают и не сдавливают стопу   бладают л гким весом и хорошим сцеплением  снижают риск соскальзывания   ткрытый мысок и"&amp;" закрытая пятка обеспечивают удобную посадку ")</f>
        <v xml:space="preserve"> асты короткие   атериал  мягкий силикон   азмер  360 200 30 мм  асты выполнены из мягкого и прочного силикона  комфортны в носке  не натирают и не сдавливают стопу   бладают л гким весом и хорошим сцеплением  снижают риск соскальзывания   ткрытый мысок и закрытая пятка обеспечивают удобную посадку </v>
      </c>
    </row>
    <row r="3121" spans="1:8" ht="51" x14ac:dyDescent="0.2">
      <c r="A3121" s="31" t="s">
        <v>7376</v>
      </c>
      <c r="B3121" s="27" t="s">
        <v>7377</v>
      </c>
      <c r="C3121" s="27" t="s">
        <v>7378</v>
      </c>
      <c r="D3121" s="33" t="s">
        <v>14</v>
      </c>
      <c r="E3121" s="34">
        <v>2</v>
      </c>
      <c r="F3121" s="35">
        <v>0.3</v>
      </c>
      <c r="G3121" s="10">
        <v>6693</v>
      </c>
      <c r="H3121" s="30" t="str">
        <f ca="1">IFERROR(__xludf.DUMMYFUNCTION("LOWER(REGEXREPLACE(B3121&amp;"" ""&amp;C3121,""[^а-яa-z0-9 ]"","" ""))")," ояс для аквааэробики   спененный     материал  этиленвинилацетат    азмеры  800х280х35мм  ояс для аквааэробики и плавания это средство для поддержки баланса на воде   рименяется для занятий аквафитнесом  обучению плаванию   спененный     материал  этилен"&amp;"винилацетат    л гкий  плавучий  водонепроницаемый и устойчивый к деформации ")</f>
        <v xml:space="preserve"> ояс для аквааэробики   спененный     материал  этиленвинилацетат    азмеры  800х280х35мм  ояс для аквааэробики и плавания это средство для поддержки баланса на воде   рименяется для занятий аквафитнесом  обучению плаванию   спененный     материал  этиленвинилацетат    л гкий  плавучий  водонепроницаемый и устойчивый к деформации </v>
      </c>
    </row>
    <row r="3122" spans="1:8" ht="76.5" x14ac:dyDescent="0.2">
      <c r="A3122" s="31" t="s">
        <v>7379</v>
      </c>
      <c r="B3122" s="27" t="s">
        <v>7380</v>
      </c>
      <c r="C3122" s="27" t="s">
        <v>7381</v>
      </c>
      <c r="D3122" s="33" t="s">
        <v>14</v>
      </c>
      <c r="E3122" s="34">
        <v>2</v>
      </c>
      <c r="F3122" s="35">
        <v>1.2</v>
      </c>
      <c r="G3122" s="10">
        <v>11564</v>
      </c>
      <c r="H3122" s="30" t="str">
        <f ca="1">IFERROR(__xludf.DUMMYFUNCTION("LOWER(REGEXREPLACE(B3122&amp;"" ""&amp;C3122,""[^а-яa-z0-9 ]"","" ""))")," пасательный круг   орпус из прочного вспененного полиэтилена       или пенополиуретана  внешний слой   износостойкий      светоотражающие элементы и удерживающая вер вка из полипропилена   азмеры  700х200мм  руг служит для оказания помощи человеку  оказа"&amp;"вшемуся в воде   меются светоотражающие полоски и веревка для удержания ")</f>
        <v xml:space="preserve"> пасательный круг   орпус из прочного вспененного полиэтилена       или пенополиуретана  внешний слой   износостойкий      светоотражающие элементы и удерживающая вер вка из полипропилена   азмеры  700х200мм  руг служит для оказания помощи человеку  оказавшемуся в воде   меются светоотражающие полоски и веревка для удержания </v>
      </c>
    </row>
    <row r="3123" spans="1:8" ht="12.75" x14ac:dyDescent="0.2">
      <c r="A3123" s="31" t="s">
        <v>7382</v>
      </c>
      <c r="B3123" s="27" t="s">
        <v>940</v>
      </c>
      <c r="C3123" s="27"/>
      <c r="D3123" s="32"/>
      <c r="E3123" s="9"/>
      <c r="F3123" s="32"/>
      <c r="G3123" s="10"/>
      <c r="H3123" s="30" t="str">
        <f ca="1">IFERROR(__xludf.DUMMYFUNCTION("LOWER(REGEXREPLACE(B3123&amp;"" ""&amp;C3123,""[^а-яa-z0-9 ]"","" ""))")," узыкальные инструменты и оборудование ")</f>
        <v xml:space="preserve"> узыкальные инструменты и оборудование </v>
      </c>
    </row>
    <row r="3124" spans="1:8" ht="12.75" x14ac:dyDescent="0.2">
      <c r="A3124" s="31" t="s">
        <v>7383</v>
      </c>
      <c r="B3124" s="27" t="s">
        <v>7384</v>
      </c>
      <c r="C3124" s="27"/>
      <c r="D3124" s="33" t="s">
        <v>14</v>
      </c>
      <c r="E3124" s="9"/>
      <c r="F3124" s="32"/>
      <c r="G3124" s="10">
        <v>418661</v>
      </c>
      <c r="H3124" s="30" t="str">
        <f ca="1">IFERROR(__xludf.DUMMYFUNCTION("LOWER(REGEXREPLACE(B3124&amp;"" ""&amp;C3124,""[^а-яa-z0-9 ]"","" ""))")," ифровое пианино ")</f>
        <v xml:space="preserve"> ифровое пианино </v>
      </c>
    </row>
    <row r="3125" spans="1:8" ht="12.75" x14ac:dyDescent="0.2">
      <c r="A3125" s="31" t="s">
        <v>7385</v>
      </c>
      <c r="B3125" s="27" t="s">
        <v>7386</v>
      </c>
      <c r="C3125" s="27"/>
      <c r="D3125" s="33" t="s">
        <v>14</v>
      </c>
      <c r="E3125" s="9"/>
      <c r="F3125" s="32"/>
      <c r="G3125" s="10"/>
      <c r="H3125" s="30" t="str">
        <f ca="1">IFERROR(__xludf.DUMMYFUNCTION("LOWER(REGEXREPLACE(B3125&amp;"" ""&amp;C3125,""[^а-яa-z0-9 ]"","" ""))")," оска классная   отный стан  ")</f>
        <v xml:space="preserve"> оска классная   отный стан  </v>
      </c>
    </row>
    <row r="3126" spans="1:8" ht="38.25" x14ac:dyDescent="0.2">
      <c r="A3126" s="31" t="s">
        <v>7387</v>
      </c>
      <c r="B3126" s="27" t="s">
        <v>7388</v>
      </c>
      <c r="C3126" s="27" t="s">
        <v>7389</v>
      </c>
      <c r="D3126" s="33" t="s">
        <v>14</v>
      </c>
      <c r="E3126" s="34">
        <v>2</v>
      </c>
      <c r="F3126" s="34">
        <v>5</v>
      </c>
      <c r="G3126" s="10">
        <v>167215</v>
      </c>
      <c r="H3126" s="30" t="str">
        <f ca="1">IFERROR(__xludf.DUMMYFUNCTION("LOWER(REGEXREPLACE(B3126&amp;"" ""&amp;C3126,""[^а-яa-z0-9 ]"","" ""))")," оска классная с нотным станом  оска классная   отный стан    азмер не менее 900х1200 мм   астенная магнитно маркерная доска с нотным станом и знаками музыкальной нотации  размер 860х750мм  с магнитными карточками ")</f>
        <v xml:space="preserve"> оска классная с нотным станом  оска классная   отный стан    азмер не менее 900х1200 мм   астенная магнитно маркерная доска с нотным станом и знаками музыкальной нотации  размер 860х750мм  с магнитными карточками </v>
      </c>
    </row>
    <row r="3127" spans="1:8" ht="12.75" x14ac:dyDescent="0.2">
      <c r="A3127" s="31" t="s">
        <v>7390</v>
      </c>
      <c r="B3127" s="27" t="s">
        <v>7391</v>
      </c>
      <c r="C3127" s="27"/>
      <c r="D3127" s="33" t="s">
        <v>14</v>
      </c>
      <c r="E3127" s="9"/>
      <c r="F3127" s="32"/>
      <c r="G3127" s="10">
        <v>55179</v>
      </c>
      <c r="H3127" s="30" t="str">
        <f ca="1">IFERROR(__xludf.DUMMYFUNCTION("LOWER(REGEXREPLACE(B3127&amp;"" ""&amp;C3127,""[^а-яa-z0-9 ]"","" ""))")," тул к фортепиано ")</f>
        <v xml:space="preserve"> тул к фортепиано </v>
      </c>
    </row>
    <row r="3128" spans="1:8" ht="12.75" x14ac:dyDescent="0.2">
      <c r="A3128" s="31" t="s">
        <v>7392</v>
      </c>
      <c r="B3128" s="27" t="s">
        <v>1682</v>
      </c>
      <c r="C3128" s="27"/>
      <c r="D3128" s="32"/>
      <c r="E3128" s="9"/>
      <c r="F3128" s="32"/>
      <c r="G3128" s="10"/>
      <c r="H3128" s="30" t="str">
        <f ca="1">IFERROR(__xludf.DUMMYFUNCTION("LOWER(REGEXREPLACE(B3128&amp;"" ""&amp;C3128,""[^а-яa-z0-9 ]"","" ""))")," ебель ")</f>
        <v xml:space="preserve"> ебель </v>
      </c>
    </row>
    <row r="3129" spans="1:8" ht="12.75" x14ac:dyDescent="0.2">
      <c r="A3129" s="31" t="s">
        <v>7393</v>
      </c>
      <c r="B3129" s="27" t="s">
        <v>7394</v>
      </c>
      <c r="C3129" s="27"/>
      <c r="D3129" s="33" t="s">
        <v>14</v>
      </c>
      <c r="E3129" s="9"/>
      <c r="F3129" s="32"/>
      <c r="G3129" s="10"/>
      <c r="H3129" s="30" t="str">
        <f ca="1">IFERROR(__xludf.DUMMYFUNCTION("LOWER(REGEXREPLACE(B3129&amp;"" ""&amp;C3129,""[^а-яa-z0-9 ]"","" ""))")," тол компьютерный ")</f>
        <v xml:space="preserve"> тол компьютерный </v>
      </c>
    </row>
    <row r="3130" spans="1:8" ht="38.25" x14ac:dyDescent="0.2">
      <c r="A3130" s="31" t="s">
        <v>7395</v>
      </c>
      <c r="B3130" s="27" t="s">
        <v>7396</v>
      </c>
      <c r="C3130" s="27" t="s">
        <v>7397</v>
      </c>
      <c r="D3130" s="33" t="s">
        <v>14</v>
      </c>
      <c r="E3130" s="9"/>
      <c r="F3130" s="32"/>
      <c r="G3130" s="10">
        <v>23062</v>
      </c>
      <c r="H3130" s="30" t="str">
        <f ca="1">IFERROR(__xludf.DUMMYFUNCTION("LOWER(REGEXREPLACE(B3130&amp;"" ""&amp;C3130,""[^а-яa-z0-9 ]"","" ""))")," тол компьютерный с выдвижной полкой       16мм  размеры 800х600х750 мм   тол компьютерный с выдвижной полкой       16мм  размеры 800х600х750 мм   оковые стенки имеют полимерные не регулируемые подпятники ")</f>
        <v xml:space="preserve"> тол компьютерный с выдвижной полкой       16мм  размеры 800х600х750 мм   тол компьютерный с выдвижной полкой       16мм  размеры 800х600х750 мм   оковые стенки имеют полимерные не регулируемые подпятники </v>
      </c>
    </row>
    <row r="3131" spans="1:8" ht="51" x14ac:dyDescent="0.2">
      <c r="A3131" s="31" t="s">
        <v>7398</v>
      </c>
      <c r="B3131" s="27" t="s">
        <v>7399</v>
      </c>
      <c r="C3131" s="27" t="s">
        <v>7400</v>
      </c>
      <c r="D3131" s="33" t="s">
        <v>14</v>
      </c>
      <c r="E3131" s="9"/>
      <c r="F3131" s="32"/>
      <c r="G3131" s="10">
        <v>26686</v>
      </c>
      <c r="H3131" s="30" t="str">
        <f ca="1">IFERROR(__xludf.DUMMYFUNCTION("LOWER(REGEXREPLACE(B3131&amp;"" ""&amp;C3131,""[^а-яa-z0-9 ]"","" ""))")," тол компьютерный с выдвижной полкой и отсеком под системный блок       16мм  размеры 1000х600х750 мм  тол компьютерный с выдвижной полкой и отсеком под системный блок       16мм  размеры 1000х600х750 мм   оковые стенки имеют полимерные не регулируемые по"&amp;"дпятники ")</f>
        <v xml:space="preserve"> тол компьютерный с выдвижной полкой и отсеком под системный блок       16мм  размеры 1000х600х750 мм  тол компьютерный с выдвижной полкой и отсеком под системный блок       16мм  размеры 1000х600х750 мм   оковые стенки имеют полимерные не регулируемые подпятники </v>
      </c>
    </row>
    <row r="3132" spans="1:8" ht="38.25" x14ac:dyDescent="0.2">
      <c r="A3132" s="31" t="s">
        <v>7401</v>
      </c>
      <c r="B3132" s="27" t="s">
        <v>7402</v>
      </c>
      <c r="C3132" s="27" t="s">
        <v>7403</v>
      </c>
      <c r="D3132" s="33" t="s">
        <v>14</v>
      </c>
      <c r="E3132" s="9"/>
      <c r="F3132" s="32"/>
      <c r="G3132" s="10">
        <v>45129</v>
      </c>
      <c r="H3132" s="30" t="str">
        <f ca="1">IFERROR(__xludf.DUMMYFUNCTION("LOWER(REGEXREPLACE(B3132&amp;"" ""&amp;C3132,""[^а-яa-z0-9 ]"","" ""))")," тол компьютерный с выдвижной полкой  отсеком под системный блок  тумбой с дверцей       16мм  размеры 1400х650х750 мм  тол компьютерный с выдвижной полкой  отсеком под системный блок  тумбой с дверцей       16мм  размеры1400х650х750 мм")</f>
        <v xml:space="preserve"> тол компьютерный с выдвижной полкой  отсеком под системный блок  тумбой с дверцей       16мм  размеры 1400х650х750 мм  тол компьютерный с выдвижной полкой  отсеком под системный блок  тумбой с дверцей       16мм  размеры1400х650х750 мм</v>
      </c>
    </row>
    <row r="3133" spans="1:8" ht="38.25" x14ac:dyDescent="0.2">
      <c r="A3133" s="31" t="s">
        <v>7404</v>
      </c>
      <c r="B3133" s="27" t="s">
        <v>7405</v>
      </c>
      <c r="C3133" s="27" t="s">
        <v>7405</v>
      </c>
      <c r="D3133" s="33" t="s">
        <v>14</v>
      </c>
      <c r="E3133" s="34">
        <v>2</v>
      </c>
      <c r="F3133" s="34">
        <v>40</v>
      </c>
      <c r="G3133" s="10">
        <v>50369</v>
      </c>
      <c r="H3133" s="30" t="str">
        <f ca="1">IFERROR(__xludf.DUMMYFUNCTION("LOWER(REGEXREPLACE(B3133&amp;"" ""&amp;C3133,""[^а-яa-z0-9 ]"","" ""))")," тол компьютерный с выдвижной полкой и тумбой с дверцей       16мм  размеры 1200х600х750 мм  тол компьютерный с выдвижной полкой и тумбой с дверцей       16мм  размеры 1200х600х750 мм")</f>
        <v xml:space="preserve"> тол компьютерный с выдвижной полкой и тумбой с дверцей       16мм  размеры 1200х600х750 мм  тол компьютерный с выдвижной полкой и тумбой с дверцей       16мм  размеры 1200х600х750 мм</v>
      </c>
    </row>
    <row r="3134" spans="1:8" ht="38.25" x14ac:dyDescent="0.2">
      <c r="A3134" s="31" t="s">
        <v>7406</v>
      </c>
      <c r="B3134" s="27" t="s">
        <v>7407</v>
      </c>
      <c r="C3134" s="27" t="s">
        <v>7408</v>
      </c>
      <c r="D3134" s="33" t="s">
        <v>14</v>
      </c>
      <c r="E3134" s="34">
        <v>2</v>
      </c>
      <c r="F3134" s="34">
        <v>20</v>
      </c>
      <c r="G3134" s="10">
        <v>25492</v>
      </c>
      <c r="H3134" s="30" t="str">
        <f ca="1">IFERROR(__xludf.DUMMYFUNCTION("LOWER(REGEXREPLACE(B3134&amp;"" ""&amp;C3134,""[^а-яa-z0-9 ]"","" ""))")," тол компьютерный выдвижной полкой и отсеком под системный блок       16мм  размеры 900х600х760мм  тол компьютерный выдвижной полкой и отсеком под системный блок       16мм  размеры 900х600х760мм")</f>
        <v xml:space="preserve"> тол компьютерный выдвижной полкой и отсеком под системный блок       16мм  размеры 900х600х760мм  тол компьютерный выдвижной полкой и отсеком под системный блок       16мм  размеры 900х600х760мм</v>
      </c>
    </row>
    <row r="3135" spans="1:8" ht="63.75" x14ac:dyDescent="0.2">
      <c r="A3135" s="31" t="s">
        <v>7409</v>
      </c>
      <c r="B3135" s="27" t="s">
        <v>7410</v>
      </c>
      <c r="C3135" s="27" t="s">
        <v>7411</v>
      </c>
      <c r="D3135" s="33" t="s">
        <v>14</v>
      </c>
      <c r="E3135" s="34">
        <v>2</v>
      </c>
      <c r="F3135" s="34">
        <v>20</v>
      </c>
      <c r="G3135" s="10">
        <v>67524</v>
      </c>
      <c r="H3135" s="30" t="str">
        <f ca="1">IFERROR(__xludf.DUMMYFUNCTION("LOWER(REGEXREPLACE(B3135&amp;"" ""&amp;C3135,""[^а-яa-z0-9 ]"","" ""))")," тол с выдвижной полкой и отсеком под системный блок  закрытый с трех сторон  спереди оргстекло  размер 900х600х750мм  тол для лингафонного кабинета   ирина   900мм  глубина   600мм  высота   750мм   толешница   толщина 22мм  выполнен из        орцы облиц"&amp;"ованы ударопрочной кромкой     толщиной 2мм   толы учащихся выполнен как в виде кабин закрытых с трех сторон  спереди оргстекло   так и в виде парт без высоких перегородок ")</f>
        <v xml:space="preserve"> тол с выдвижной полкой и отсеком под системный блок  закрытый с трех сторон  спереди оргстекло  размер 900х600х750мм  тол для лингафонного кабинета   ирина   900мм  глубина   600мм  высота   750мм   толешница   толщина 22мм  выполнен из        орцы облицованы ударопрочной кромкой     толщиной 2мм   толы учащихся выполнен как в виде кабин закрытых с трех сторон  спереди оргстекло   так и в виде парт без высоких перегородок </v>
      </c>
    </row>
    <row r="3136" spans="1:8" ht="114.75" x14ac:dyDescent="0.2">
      <c r="A3136" s="31" t="s">
        <v>7412</v>
      </c>
      <c r="B3136" s="27" t="s">
        <v>7413</v>
      </c>
      <c r="C3136" s="27" t="s">
        <v>7414</v>
      </c>
      <c r="D3136" s="33" t="s">
        <v>14</v>
      </c>
      <c r="E3136" s="34">
        <v>2</v>
      </c>
      <c r="F3136" s="34">
        <v>53</v>
      </c>
      <c r="G3136" s="10">
        <v>126825</v>
      </c>
      <c r="H3136" s="30" t="str">
        <f ca="1">IFERROR(__xludf.DUMMYFUNCTION("LOWER(REGEXREPLACE(B3136&amp;"" ""&amp;C3136,""[^а-яa-z0-9 ]"","" ""))")," тол компьютерный двухместный       32мм  каркас металлический  с полками для системного блока и розетками  размер 1300х600х750 мм  толешница выполненая из       толщиной 32 мм с закругленными углами   борудован четырьмя розетками на задней панели   по дв"&amp;"е для каждого пользователя   од столешницей предусмотрены полки для системных блоков mini     ромки деталей облицованы полимерным кромочным материалам        толщиной 2 мм   аркас металлический  состоит из двух зеркально изготовленных опор  левой и правой"&amp;"    окраска полимерно порошковой краской    порная площадка должна иметь отверстие для возможности подведения электрического и интернет кабеля    столе отверстие для провода на каждого пользователя ")</f>
        <v xml:space="preserve"> тол компьютерный двухместный       32мм  каркас металлический  с полками для системного блока и розетками  размер 1300х600х750 мм  толешница выполненая из       толщиной 32 мм с закругленными углами   борудован четырьмя розетками на задней панели   по две для каждого пользователя   од столешницей предусмотрены полки для системных блоков mini     ромки деталей облицованы полимерным кромочным материалам        толщиной 2 мм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электрического и интернет кабеля    столе отверстие для провода на каждого пользователя </v>
      </c>
    </row>
    <row r="3137" spans="1:8" ht="102" x14ac:dyDescent="0.2">
      <c r="A3137" s="31" t="s">
        <v>7415</v>
      </c>
      <c r="B3137" s="27" t="s">
        <v>7416</v>
      </c>
      <c r="C3137" s="27" t="s">
        <v>7417</v>
      </c>
      <c r="D3137" s="33" t="s">
        <v>14</v>
      </c>
      <c r="E3137" s="34">
        <v>2</v>
      </c>
      <c r="F3137" s="34">
        <v>41</v>
      </c>
      <c r="G3137" s="10">
        <v>90178</v>
      </c>
      <c r="H3137" s="30" t="str">
        <f ca="1">IFERROR(__xludf.DUMMYFUNCTION("LOWER(REGEXREPLACE(B3137&amp;"" ""&amp;C3137,""[^а-яa-z0-9 ]"","" ""))")," тол компьютерный ученический  столешница      32мм  каркас металлический  с полкой для системного блока и розетками  размер 800х600х750мм  а металлической основе с возможностью скрытой проводки электрических и интернет кабелей  с креплением к полу  с дву"&amp;"мя встроенными розетками со шторками   озетки располагаются на внутренней стороне металлических опор   толешница изготавливается из      32 мм с закругленными углами  предусмотрены отверстия для проводов   од столешницей полка для системного блока mini   "&amp;"  ромки деталей облицованы полимерным кромочным материалом        толщиной 1 5 мм   а металлической основе с лицевой стороны имеется крючок для портфелей ")</f>
        <v xml:space="preserve"> тол компьютерный ученический  столешница      32мм  каркас металлический  с полкой для системного блока и розетками  размер 800х600х750мм  а металлической основе с возможностью скрытой проводки электрических и интернет кабелей  с креплением к полу  с двумя встроенными розетками со шторками   озетки располагаются на внутренней стороне металлических опор   толешница изготавливается из      32 мм с закругленными углами  предусмотрены отверстия для проводов   од столешницей полка для системного блока mini     ромки деталей облицованы полимерным кромочным материалом        толщиной 1 5 мм   а металлической основе с лицевой стороны имеется крючок для портфелей </v>
      </c>
    </row>
    <row r="3138" spans="1:8" ht="38.25" x14ac:dyDescent="0.2">
      <c r="A3138" s="31" t="s">
        <v>7418</v>
      </c>
      <c r="B3138" s="27" t="s">
        <v>7419</v>
      </c>
      <c r="C3138" s="27" t="s">
        <v>7420</v>
      </c>
      <c r="D3138" s="33" t="s">
        <v>14</v>
      </c>
      <c r="E3138" s="34">
        <v>2</v>
      </c>
      <c r="F3138" s="35">
        <v>33.200000000000003</v>
      </c>
      <c r="G3138" s="10">
        <v>38187</v>
      </c>
      <c r="H3138" s="30" t="str">
        <f ca="1">IFERROR(__xludf.DUMMYFUNCTION("LOWER(REGEXREPLACE(B3138&amp;"" ""&amp;C3138,""[^а-яa-z0-9 ]"","" ""))")," тол компьютерный с выдвижной полкой и отсеком под системный блок       16мм  размеры 1200х700х750мм  ирина   1200мм  глубина   700мм  высота   750мм   толешница из      16мм  каркас выполнен из      16мм   орцы облицованы  кромкой     толщиной 2мм ")</f>
        <v xml:space="preserve"> тол компьютерный с выдвижной полкой и отсеком под системный блок       16мм  размеры 1200х700х750мм  ирина   1200мм  глубина   700мм  высота   750мм   толешница из      16мм  каркас выполнен из      16мм   орцы облицованы  кромкой     толщиной 2мм </v>
      </c>
    </row>
    <row r="3139" spans="1:8" ht="114.75" x14ac:dyDescent="0.2">
      <c r="A3139" s="31" t="s">
        <v>7421</v>
      </c>
      <c r="B3139" s="27" t="s">
        <v>7422</v>
      </c>
      <c r="C3139" s="27" t="s">
        <v>7423</v>
      </c>
      <c r="D3139" s="33" t="s">
        <v>14</v>
      </c>
      <c r="E3139" s="34">
        <v>2</v>
      </c>
      <c r="F3139" s="34">
        <v>28</v>
      </c>
      <c r="G3139" s="10">
        <v>54656</v>
      </c>
      <c r="H3139" s="30" t="str">
        <f ca="1">IFERROR(__xludf.DUMMYFUNCTION("LOWER(REGEXREPLACE(B3139&amp;"" ""&amp;C3139,""[^а-яa-z0-9 ]"","" ""))")," тол компьютерный одноместный 900х650х760мм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"&amp;"аркас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полк"&amp;"а под системный блок компьютера  изготовленной из листа металла толщиной 1 5 мм  размеры глубина 456 мм  ширина 200 мм   меются технологические отверстия для крепежа системного блока    к полке с помощью ремней ")</f>
        <v xml:space="preserve"> тол компьютерный одноместный 900х650х760мм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полка под системный блок компьютера  изготовленной из листа металла толщиной 1 5 мм  размеры глубина 456 мм  ширина 200 мм   меются технологические отверстия для крепежа системного блока    к полке с помощью ремней </v>
      </c>
    </row>
    <row r="3140" spans="1:8" ht="127.5" x14ac:dyDescent="0.2">
      <c r="A3140" s="31" t="s">
        <v>7424</v>
      </c>
      <c r="B3140" s="27" t="s">
        <v>7425</v>
      </c>
      <c r="C3140" s="27" t="s">
        <v>7426</v>
      </c>
      <c r="D3140" s="33" t="s">
        <v>14</v>
      </c>
      <c r="E3140" s="34">
        <v>2</v>
      </c>
      <c r="F3140" s="34">
        <v>52</v>
      </c>
      <c r="G3140" s="10">
        <v>73520</v>
      </c>
      <c r="H3140" s="30" t="str">
        <f ca="1">IFERROR(__xludf.DUMMYFUNCTION("LOWER(REGEXREPLACE(B3140&amp;"" ""&amp;C3140,""[^а-яa-z0-9 ]"","" ""))")," тол компьютерный с выдвижной полкой  отсеком под системный блок  тумбой с дверцей       32 мм  размеры 1400х650х750мм  тол компьютерный с выдвижной полкой  отсеком под системный блок  тумбой с дверцей и выдвижным ящиком   атериал корпуса  выдвижных ящкио"&amp;"в       толщина материала 32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испо"&amp;"льзованием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имею"&amp;"т полимерные не регулируемые подпятники   азмеры 1400х650х750 мм")</f>
        <v xml:space="preserve"> тол компьютерный с выдвижной полкой  отсеком под системный блок  тумбой с дверцей       32 мм  размеры 1400х650х750мм  тол компьютерный с выдвижной полкой  отсеком под системный блок  тумбой с дверцей и выдвижным ящиком   атериал корпуса  выдвижных ящкиов       толщина материала 32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подпятники   азмеры 1400х650х750 мм</v>
      </c>
    </row>
    <row r="3141" spans="1:8" ht="12.75" x14ac:dyDescent="0.2">
      <c r="A3141" s="31" t="s">
        <v>7427</v>
      </c>
      <c r="B3141" s="27" t="s">
        <v>7428</v>
      </c>
      <c r="C3141" s="27"/>
      <c r="D3141" s="33" t="s">
        <v>14</v>
      </c>
      <c r="E3141" s="9"/>
      <c r="F3141" s="32"/>
      <c r="G3141" s="10"/>
      <c r="H3141" s="30" t="str">
        <f ca="1">IFERROR(__xludf.DUMMYFUNCTION("LOWER(REGEXREPLACE(B3141&amp;"" ""&amp;C3141,""[^а-яa-z0-9 ]"","" ""))")," тол для преподавателя однотумбовый ")</f>
        <v xml:space="preserve"> тол для преподавателя однотумбовый </v>
      </c>
    </row>
    <row r="3142" spans="1:8" ht="38.25" x14ac:dyDescent="0.2">
      <c r="A3142" s="31" t="s">
        <v>7429</v>
      </c>
      <c r="B3142" s="27" t="s">
        <v>7430</v>
      </c>
      <c r="C3142" s="27" t="s">
        <v>7431</v>
      </c>
      <c r="D3142" s="33" t="s">
        <v>14</v>
      </c>
      <c r="E3142" s="9"/>
      <c r="F3142" s="32"/>
      <c r="G3142" s="10">
        <v>126907</v>
      </c>
      <c r="H3142" s="30" t="str">
        <f ca="1">IFERROR(__xludf.DUMMYFUNCTION("LOWER(REGEXREPLACE(B3142&amp;"" ""&amp;C3142,""[^а-яa-z0-9 ]"","" ""))")," тол преподавателя 1350х650х750 мм с мобильной тумбой   толешница       основание металлокаркас  тол преподавателя 1350х650х750 мм с мобильной тумбой размером 400x500x750мм и 3 выдвижными ящиками   толешница      22мм  основание металлокаркас")</f>
        <v xml:space="preserve"> тол преподавателя 1350х650х750 мм с мобильной тумбой   толешница       основание металлокаркас  тол преподавателя 1350х650х750 мм с мобильной тумбой размером 400x500x750мм и 3 выдвижными ящиками   толешница      22мм  основание металлокаркас</v>
      </c>
    </row>
    <row r="3143" spans="1:8" ht="51" x14ac:dyDescent="0.2">
      <c r="A3143" s="31" t="s">
        <v>7432</v>
      </c>
      <c r="B3143" s="27" t="s">
        <v>7433</v>
      </c>
      <c r="C3143" s="27" t="s">
        <v>7434</v>
      </c>
      <c r="D3143" s="33" t="s">
        <v>14</v>
      </c>
      <c r="E3143" s="9"/>
      <c r="F3143" s="32"/>
      <c r="G3143" s="10">
        <v>145943</v>
      </c>
      <c r="H3143" s="30" t="str">
        <f ca="1">IFERROR(__xludf.DUMMYFUNCTION("LOWER(REGEXREPLACE(B3143&amp;"" ""&amp;C3143,""[^а-яa-z0-9 ]"","" ""))")," тол преподавателя 1350х650х750 мм с полиуретановой кромкой с мобильной тумбой   толешница       основание металлокаркас  тол преподавателя 1350х650х750 мм с полиуретановой кромкой с мобильной тумбой размером 400x500x750мм и 3 выдвижными ящиками   толешни"&amp;"ца      22мм  основание металлокаркас")</f>
        <v xml:space="preserve"> тол преподавателя 1350х650х750 мм с полиуретановой кромкой с мобильной тумбой   толешница       основание металлокаркас  тол преподавателя 1350х650х750 мм с полиуретановой кромкой с мобильной тумбой размером 400x500x750мм и 3 выдвижными ящиками   толешница      22мм  основание металлокаркас</v>
      </c>
    </row>
    <row r="3144" spans="1:8" ht="51" x14ac:dyDescent="0.2">
      <c r="A3144" s="31" t="s">
        <v>7435</v>
      </c>
      <c r="B3144" s="27" t="s">
        <v>7436</v>
      </c>
      <c r="C3144" s="27" t="s">
        <v>7436</v>
      </c>
      <c r="D3144" s="33" t="s">
        <v>14</v>
      </c>
      <c r="E3144" s="34">
        <v>2</v>
      </c>
      <c r="F3144" s="34">
        <v>60</v>
      </c>
      <c r="G3144" s="10">
        <v>145059</v>
      </c>
      <c r="H3144" s="30" t="str">
        <f ca="1">IFERROR(__xludf.DUMMYFUNCTION("LOWER(REGEXREPLACE(B3144&amp;"" ""&amp;C3144,""[^а-яa-z0-9 ]"","" ""))")," тол преподавателя 1600х600х760мм 1600х650х760мм с мобильной тумбой   толешница       основание металлокаркас  тол преподавателя 1600х600х760мм 1600х650х760мм с мобильной тумбой   толешница       основание металлокаркас")</f>
        <v xml:space="preserve"> тол преподавателя 1600х600х760мм 1600х650х760мм с мобильной тумбой   толешница       основание металлокаркас  тол преподавателя 1600х600х760мм 1600х650х760мм с мобильной тумбой   толешница       основание металлокаркас</v>
      </c>
    </row>
    <row r="3145" spans="1:8" ht="25.5" x14ac:dyDescent="0.2">
      <c r="A3145" s="31" t="s">
        <v>7437</v>
      </c>
      <c r="B3145" s="27" t="s">
        <v>7438</v>
      </c>
      <c r="C3145" s="27" t="s">
        <v>7439</v>
      </c>
      <c r="D3145" s="33" t="s">
        <v>14</v>
      </c>
      <c r="E3145" s="9"/>
      <c r="F3145" s="32"/>
      <c r="G3145" s="10">
        <v>103778</v>
      </c>
      <c r="H3145" s="30" t="str">
        <f ca="1">IFERROR(__xludf.DUMMYFUNCTION("LOWER(REGEXREPLACE(B3145&amp;"" ""&amp;C3145,""[^а-яa-z0-9 ]"","" ""))")," тол преподавателя 1500х700х750 мм с мобильной тумбой   атериал       тол преподавателя 1500х700х750 мм с мобильной тумбой   атериал      16мм   толешница      32мм ")</f>
        <v xml:space="preserve"> тол преподавателя 1500х700х750 мм с мобильной тумбой   атериал       тол преподавателя 1500х700х750 мм с мобильной тумбой   атериал      16мм   толешница      32мм </v>
      </c>
    </row>
    <row r="3146" spans="1:8" ht="38.25" x14ac:dyDescent="0.2">
      <c r="A3146" s="31" t="s">
        <v>7440</v>
      </c>
      <c r="B3146" s="27" t="s">
        <v>7441</v>
      </c>
      <c r="C3146" s="27" t="s">
        <v>7442</v>
      </c>
      <c r="D3146" s="33" t="s">
        <v>14</v>
      </c>
      <c r="E3146" s="9"/>
      <c r="F3146" s="32"/>
      <c r="G3146" s="10">
        <v>176530</v>
      </c>
      <c r="H3146" s="30" t="str">
        <f ca="1">IFERROR(__xludf.DUMMYFUNCTION("LOWER(REGEXREPLACE(B3146&amp;"" ""&amp;C3146,""[^а-яa-z0-9 ]"","" ""))")," тол преподавателя 2340х1500х750 мм с тумбой   атериал       тол преподавателя 2340х1500х750 мм с тумбой   умба  стационарная имеет выдвижные ящики   атериал      16мм  столешница 25мм ")</f>
        <v xml:space="preserve"> тол преподавателя 2340х1500х750 мм с тумбой   атериал       тол преподавателя 2340х1500х750 мм с тумбой   умба  стационарная имеет выдвижные ящики   атериал      16мм  столешница 25мм </v>
      </c>
    </row>
    <row r="3147" spans="1:8" ht="114.75" x14ac:dyDescent="0.2">
      <c r="A3147" s="31" t="s">
        <v>7443</v>
      </c>
      <c r="B3147" s="27" t="s">
        <v>7444</v>
      </c>
      <c r="C3147" s="27" t="s">
        <v>7445</v>
      </c>
      <c r="D3147" s="33" t="s">
        <v>14</v>
      </c>
      <c r="E3147" s="34">
        <v>2</v>
      </c>
      <c r="F3147" s="34">
        <v>30</v>
      </c>
      <c r="G3147" s="10">
        <v>127590</v>
      </c>
      <c r="H3147" s="30" t="str">
        <f ca="1">IFERROR(__xludf.DUMMYFUNCTION("LOWER(REGEXREPLACE(B3147&amp;"" ""&amp;C3147,""[^а-яa-z0-9 ]"","" ""))")," тол письменный для преподавателя  тумба с двумя выдвижными ящиками  размер 1200х600мм  абаритные размеры  высота 750мм длина 1200мм ширина 600мм   толешница        белого цвета толщиной 22 мм   есущие части  различные элементы        белого цвета толщино"&amp;"й не менее 16 мм   од столешницей   выкатная панель для клавиатуры   лева тумба с двумя выдвижными ящиками   азмер тумбы 384х540 мм   ммется полка для блока питания с отверстием  60мм под кабелегон размером 1120х200мм   ицевая сторона стола закрыта царгой"&amp;"   арга перфорированная размером 1610х620 мм    правом углу столешницы предусмотрено отверстие с крышкой для соединительных проводов   умба под оргтехнику  прикреплена к основной части ")</f>
        <v xml:space="preserve"> тол письменный для преподавателя  тумба с двумя выдвижными ящиками  размер 1200х600мм  абаритные размеры  высота 750мм длина 1200мм ширина 600мм   толешница        белого цвета толщиной 22 мм   есущие части  различные элементы        белого цвета толщиной не менее 16 мм   од столешницей   выкатная панель для клавиатуры   лева тумба с двумя выдвижными ящиками   азмер тумбы 384х540 мм   ммется полка для блока питания с отверстием  60мм под кабелегон размером 1120х200мм   ицевая сторона стола закрыта царгой   арга перфорированная размером 1610х620 мм    правом углу столешницы предусмотрено отверстие с крышкой для соединительных проводов   умба под оргтехнику  прикреплена к основной части </v>
      </c>
    </row>
    <row r="3148" spans="1:8" ht="63.75" x14ac:dyDescent="0.2">
      <c r="A3148" s="31" t="s">
        <v>7446</v>
      </c>
      <c r="B3148" s="27" t="s">
        <v>7447</v>
      </c>
      <c r="C3148" s="27" t="s">
        <v>7448</v>
      </c>
      <c r="D3148" s="33" t="s">
        <v>14</v>
      </c>
      <c r="E3148" s="34">
        <v>2</v>
      </c>
      <c r="F3148" s="34">
        <v>50</v>
      </c>
      <c r="G3148" s="10">
        <v>308514</v>
      </c>
      <c r="H3148" s="30" t="str">
        <f ca="1">IFERROR(__xludf.DUMMYFUNCTION("LOWER(REGEXREPLACE(B3148&amp;"" ""&amp;C3148,""[^а-яa-z0-9 ]"","" ""))")," тол преподавателя 1650х800х750 мм со встроенной тумбой   толешница      типа        основание металлокаркас  азмер 1650 800 750 мм   вет по согласованию   атериал          аркас   металл   аркас разборный    вет каркаса белый  порошковая краска для запек"&amp;"ания в печи    аркас из профильной трубы размером 80 25 2 0мм и 25 25 1 5мм   олщина столешницы 32мм  двойной лист      типа          ромка       оличество ящиков   3  встроенная тумба с ящиками  ")</f>
        <v xml:space="preserve"> тол преподавателя 1650х800х750 мм со встроенной тумбой   толешница      типа        основание металлокаркас  азмер 1650 800 750 мм   вет по согласованию   атериал          аркас   металл   аркас разборный    вет каркаса белый  порошковая краска для запекания в печи    аркас из профильной трубы размером 80 25 2 0мм и 25 25 1 5мм   олщина столешницы 32мм  двойной лист      типа          ромка       оличество ящиков   3  встроенная тумба с ящиками  </v>
      </c>
    </row>
    <row r="3149" spans="1:8" ht="114.75" x14ac:dyDescent="0.2">
      <c r="A3149" s="31" t="s">
        <v>7449</v>
      </c>
      <c r="B3149" s="27" t="s">
        <v>7450</v>
      </c>
      <c r="C3149" s="27" t="s">
        <v>7451</v>
      </c>
      <c r="D3149" s="33" t="s">
        <v>14</v>
      </c>
      <c r="E3149" s="34">
        <v>2</v>
      </c>
      <c r="F3149" s="34">
        <v>38</v>
      </c>
      <c r="G3149" s="10">
        <v>148530</v>
      </c>
      <c r="H3149" s="30" t="str">
        <f ca="1">IFERROR(__xludf.DUMMYFUNCTION("LOWER(REGEXREPLACE(B3149&amp;"" ""&amp;C3149,""[^а-яa-z0-9 ]"","" ""))")," тол преподавателя  подвесная тумба с выдвижными ящиками  металлический каркас  размер 1600х700х750мм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стен"&amp;"ки 1 2мм  покрытие металла нанесено полимерно порошковой краской   арга металлическая изготовлена из квадратного перфорационного листа  толщиной 1 2мм   олщина столешницы 25 мм   орцы закатаны кромочным материалом     1 5 мм  столешница без острых углов  "&amp;" умба подвесная имеет выдвижные ящики   азмер тумбы 400х450х400мм   атериал        толщиной 16 мм   урнитура  конфирмат  стяжка типа       роликовые направляющие  ручка вырезная без острых углов  навес мебельный типа ")</f>
        <v xml:space="preserve"> тол преподавателя  подвесная тумба с выдвижными ящиками  металлический каркас  размер 1600х700х750мм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арга металлическая изготовлена из квадратного перфорационного листа  толщиной 1 2мм   олщина столешницы 25 мм   орцы закатаны кромочным материалом     1 5 мм  столешница без острых углов   умба подвесная имеет выдвижные ящики   азмер тумбы 400х450х400мм   атериал        толщиной 16 мм   урнитура  конфирмат  стяжка типа       роликовые направляющие  ручка вырезная без острых углов  навес мебельный типа </v>
      </c>
    </row>
    <row r="3150" spans="1:8" ht="102" x14ac:dyDescent="0.2">
      <c r="A3150" s="31" t="s">
        <v>7452</v>
      </c>
      <c r="B3150" s="27" t="s">
        <v>7453</v>
      </c>
      <c r="C3150" s="27" t="s">
        <v>7454</v>
      </c>
      <c r="D3150" s="33" t="s">
        <v>14</v>
      </c>
      <c r="E3150" s="34">
        <v>2</v>
      </c>
      <c r="F3150" s="35">
        <v>51.6</v>
      </c>
      <c r="G3150" s="10">
        <v>56721</v>
      </c>
      <c r="H3150" s="30" t="str">
        <f ca="1">IFERROR(__xludf.DUMMYFUNCTION("LOWER(REGEXREPLACE(B3150&amp;"" ""&amp;C3150,""[^а-яa-z0-9 ]"","" ""))")," тол преподавателя 1400х720х750 мм с мобильной тумбой  кромка       толешница      16мм  каркас из      16мм  азмеры стола учителя  ширина   1400мм  глубина   720мм  высота   750мм   толешница из      16мм  каркас выполнен из      16мм   орцы облицованы  "&amp;"кромкой     толщиной 2мм   азмеры тумбы мобильной  ширина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напр"&amp;"авляющие   умба устанавливается на колесные опоры   учки металлические ")</f>
        <v xml:space="preserve"> тол преподавателя 1400х720х750 мм с мобильной тумбой  кромка       толешница      16мм  каркас из      16мм  азмеры стола учителя  ширина   1400мм  глубина   720мм  высота   750мм   толешница из      16мм  каркас выполнен из      16мм   орцы облицованы  кромкой     толщиной 2мм   азмеры тумбы мобильной  ширина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направляющие   умба устанавливается на колесные опоры   учки металлические </v>
      </c>
    </row>
    <row r="3151" spans="1:8" ht="89.25" x14ac:dyDescent="0.2">
      <c r="A3151" s="31" t="s">
        <v>7455</v>
      </c>
      <c r="B3151" s="27" t="s">
        <v>7456</v>
      </c>
      <c r="C3151" s="27" t="s">
        <v>7457</v>
      </c>
      <c r="D3151" s="33" t="s">
        <v>14</v>
      </c>
      <c r="E3151" s="34">
        <v>2</v>
      </c>
      <c r="F3151" s="34">
        <v>118</v>
      </c>
      <c r="G3151" s="10">
        <v>126359</v>
      </c>
      <c r="H3151" s="30" t="str">
        <f ca="1">IFERROR(__xludf.DUMMYFUNCTION("LOWER(REGEXREPLACE(B3151&amp;"" ""&amp;C3151,""[^а-яa-z0-9 ]"","" ""))")," тол преподавателя угловой 1800 1600х600х750мм со встроенной тумбой с выдвижными ящиками   атериал      16мм  тол преподавателя угловой 1800 1600х600х750мм   толешница из      16 мм  торцы обрамлены кантом из     толщина 1мм   абаритные размеры  1800 1600"&amp;"х600х750мм   онструкцией стола предусмотрена полка на роликовых направляющих под клавиатуру  а также встроенную тумбу с выдвижными ящиками   а столешнице имеется отверстие с заглушкой под кабель канал   ертикальные стенки стола имеет полимерные подпятники"&amp;"  предотвращающие повреждение поверхности напольных покрытий ")</f>
        <v xml:space="preserve"> тол преподавателя угловой 1800 1600х600х750мм со встроенной тумбой с выдвижными ящиками   атериал      16мм  тол преподавателя угловой 1800 1600х600х750мм   толешница из      16 мм  торцы обрамлены кантом из     толщина 1мм   абаритные размеры  1800 1600х600х750мм   онструкцией стола предусмотрена полка на роликовых направляющих под клавиатуру  а также встроенную тумбу с выдвижными ящиками   а столешнице имеется отверстие с заглушкой под кабель канал   ертикальные стенки стола имеет полимерные подпятники  предотвращающие повреждение поверхности напольных покрытий </v>
      </c>
    </row>
    <row r="3152" spans="1:8" ht="191.25" x14ac:dyDescent="0.2">
      <c r="A3152" s="31" t="s">
        <v>7458</v>
      </c>
      <c r="B3152" s="27" t="s">
        <v>7459</v>
      </c>
      <c r="C3152" s="27" t="s">
        <v>7460</v>
      </c>
      <c r="D3152" s="33" t="s">
        <v>14</v>
      </c>
      <c r="E3152" s="34">
        <v>2</v>
      </c>
      <c r="F3152" s="34">
        <v>54</v>
      </c>
      <c r="G3152" s="10">
        <v>121678</v>
      </c>
      <c r="H3152" s="30" t="str">
        <f ca="1">IFERROR(__xludf.DUMMYFUNCTION("LOWER(REGEXREPLACE(B3152&amp;"" ""&amp;C3152,""[^а-яa-z0-9 ]"","" ""))")," тол преподавателя с тумбой и 4 выдвижными ящиками  размеры 1600х650х760 мм  столешница из      22 мм  кромка      атериал столешницы      толщиной не менее 22 мм  торцы отделаны кромкой     толщиной 2 мм   толешница крепится к металлокаркасу саморезами  "&amp;" тол состоит из двух боковых опор  которые представляют собой прямоугольник  изготовленный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регулируем"&amp;"ых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сеч"&amp;"ением 40х25х1 2 мм  которые соединяют боковые опоры и служат элементом усиления   ицевая сторона стола закрыта царгой    правом углу столешницы предусмотрено отверстие с крышкой для соединительных проводов   умба габаритные размеры  глубина 507 мм х ширин"&amp;"а 424 мм х высота 650 мм  с 4 выдвижными ящиками на направляющих полного выдвижения   оковые опоры  изготовлены с применением технологии исключающейобразования видимых стыков профильной трубы ")</f>
        <v xml:space="preserve"> тол преподавателя с тумбой и 4 выдвижными ящиками  размеры 1600х650х760 мм  столешница из      22 мм  кромка      атериал столешницы      толщиной не менее 22 мм  торцы отделаны кромкой     толщиной 2 мм   толешница крепится к металлокаркасу саморезами   тол состоит из двух боковых опор  которые представляют собой прямоугольник  изготовленный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сечением 40х25х1 2 мм  которые соединяют боковые опоры и служат элементом усиления   ицевая сторона стола закрыта царгой    правом углу столешницы предусмотрено отверстие с крышкой для соединительных проводов   умба габаритные размеры  глубина 507 мм х ширина 424 мм х высота 650 мм  с 4 выдвижными ящиками на направляющих полного выдвижения   оковые опоры  изготовлены с применением технологии исключающейобразования видимых стыков профильной трубы </v>
      </c>
    </row>
    <row r="3153" spans="1:8" ht="12.75" x14ac:dyDescent="0.2">
      <c r="A3153" s="31" t="s">
        <v>7461</v>
      </c>
      <c r="B3153" s="27" t="s">
        <v>7462</v>
      </c>
      <c r="C3153" s="27"/>
      <c r="D3153" s="33" t="s">
        <v>14</v>
      </c>
      <c r="E3153" s="9"/>
      <c r="F3153" s="32"/>
      <c r="G3153" s="10"/>
      <c r="H3153" s="30" t="str">
        <f ca="1">IFERROR(__xludf.DUMMYFUNCTION("LOWER(REGEXREPLACE(B3153&amp;"" ""&amp;C3153,""[^а-яa-z0-9 ]"","" ""))")," тол однотумбовый ")</f>
        <v xml:space="preserve"> тол однотумбовый </v>
      </c>
    </row>
    <row r="3154" spans="1:8" ht="25.5" x14ac:dyDescent="0.2">
      <c r="A3154" s="31" t="s">
        <v>7463</v>
      </c>
      <c r="B3154" s="27" t="s">
        <v>7464</v>
      </c>
      <c r="C3154" s="27" t="s">
        <v>7465</v>
      </c>
      <c r="D3154" s="33" t="s">
        <v>14</v>
      </c>
      <c r="E3154" s="9"/>
      <c r="F3154" s="32"/>
      <c r="G3154" s="10">
        <v>41657</v>
      </c>
      <c r="H3154" s="30" t="str">
        <f ca="1">IFERROR(__xludf.DUMMYFUNCTION("LOWER(REGEXREPLACE(B3154&amp;"" ""&amp;C3154,""[^а-яa-z0-9 ]"","" ""))")," тол однотумбовый с 3 ящиками и нишей   азмер 1200х650х750 мм  тол однотумбовый с 3 ящиками и нишей   азмер 1200х650х750 мм       16мм ")</f>
        <v xml:space="preserve"> тол однотумбовый с 3 ящиками и нишей   азмер 1200х650х750 мм  тол однотумбовый с 3 ящиками и нишей   азмер 1200х650х750 мм       16мм </v>
      </c>
    </row>
    <row r="3155" spans="1:8" ht="25.5" x14ac:dyDescent="0.2">
      <c r="A3155" s="31" t="s">
        <v>7466</v>
      </c>
      <c r="B3155" s="27" t="s">
        <v>7467</v>
      </c>
      <c r="C3155" s="27" t="s">
        <v>7468</v>
      </c>
      <c r="D3155" s="33" t="s">
        <v>14</v>
      </c>
      <c r="E3155" s="9"/>
      <c r="F3155" s="32"/>
      <c r="G3155" s="10">
        <v>42177</v>
      </c>
      <c r="H3155" s="30" t="str">
        <f ca="1">IFERROR(__xludf.DUMMYFUNCTION("LOWER(REGEXREPLACE(B3155&amp;"" ""&amp;C3155,""[^а-яa-z0-9 ]"","" ""))")," тол однотумбовый с 3 направляющими выдвижными ящиками   азмер 1400х700х750 мм  тол однотумбовый с 3 направляющими выдвижными ящиками   азмер 1400х700х750 мм       16мм")</f>
        <v xml:space="preserve"> тол однотумбовый с 3 направляющими выдвижными ящиками   азмер 1400х700х750 мм  тол однотумбовый с 3 направляющими выдвижными ящиками   азмер 1400х700х750 мм       16мм</v>
      </c>
    </row>
    <row r="3156" spans="1:8" ht="38.25" x14ac:dyDescent="0.2">
      <c r="A3156" s="31" t="s">
        <v>7469</v>
      </c>
      <c r="B3156" s="27" t="s">
        <v>7470</v>
      </c>
      <c r="C3156" s="27" t="s">
        <v>7471</v>
      </c>
      <c r="D3156" s="33" t="s">
        <v>14</v>
      </c>
      <c r="E3156" s="9"/>
      <c r="F3156" s="32"/>
      <c r="G3156" s="10">
        <v>36932</v>
      </c>
      <c r="H3156" s="30" t="str">
        <f ca="1">IFERROR(__xludf.DUMMYFUNCTION("LOWER(REGEXREPLACE(B3156&amp;"" ""&amp;C3156,""[^а-яa-z0-9 ]"","" ""))")," тол однотумбовый с направляющим выдвижным ящиком и тумбой   азмер 1200х600х750 мм       16 мм  тол однотумбовый с направляющим выдвижным ящиком и тумбой   азмер 1200х600х750 мм       16мм")</f>
        <v xml:space="preserve"> тол однотумбовый с направляющим выдвижным ящиком и тумбой   азмер 1200х600х750 мм       16 мм  тол однотумбовый с направляющим выдвижным ящиком и тумбой   азмер 1200х600х750 мм       16мм</v>
      </c>
    </row>
    <row r="3157" spans="1:8" ht="25.5" x14ac:dyDescent="0.2">
      <c r="A3157" s="31" t="s">
        <v>7472</v>
      </c>
      <c r="B3157" s="27" t="s">
        <v>7473</v>
      </c>
      <c r="C3157" s="27" t="s">
        <v>7474</v>
      </c>
      <c r="D3157" s="33" t="s">
        <v>14</v>
      </c>
      <c r="E3157" s="34">
        <v>2</v>
      </c>
      <c r="F3157" s="34">
        <v>20</v>
      </c>
      <c r="G3157" s="10">
        <v>35124</v>
      </c>
      <c r="H3157" s="30" t="str">
        <f ca="1">IFERROR(__xludf.DUMMYFUNCTION("LOWER(REGEXREPLACE(B3157&amp;"" ""&amp;C3157,""[^а-яa-z0-9 ]"","" ""))")," тол однотумбовый с 2 выдвижными ящиками       16 мм  размер 1200х600х760мм  тол однотумбовым с 2 выдвижными полками       16 мм  размер 1200х600х760мм")</f>
        <v xml:space="preserve"> тол однотумбовый с 2 выдвижными ящиками       16 мм  размер 1200х600х760мм  тол однотумбовым с 2 выдвижными полками       16 мм  размер 1200х600х760мм</v>
      </c>
    </row>
    <row r="3158" spans="1:8" ht="38.25" x14ac:dyDescent="0.2">
      <c r="A3158" s="31" t="s">
        <v>7475</v>
      </c>
      <c r="B3158" s="27" t="s">
        <v>7476</v>
      </c>
      <c r="C3158" s="27" t="s">
        <v>7477</v>
      </c>
      <c r="D3158" s="33" t="s">
        <v>14</v>
      </c>
      <c r="E3158" s="34">
        <v>2</v>
      </c>
      <c r="F3158" s="34">
        <v>25</v>
      </c>
      <c r="G3158" s="10">
        <v>54053</v>
      </c>
      <c r="H3158" s="30" t="str">
        <f ca="1">IFERROR(__xludf.DUMMYFUNCTION("LOWER(REGEXREPLACE(B3158&amp;"" ""&amp;C3158,""[^а-яa-z0-9 ]"","" ""))")," тол однотумбовый с 2 направляющими выдвижными ящиками   азмер 1500х700х750 мм       18мм  тол однотумбовый с 2 направляющими выдвижными ящиками   азмер 1500х700х750 мм       18мм  облицованной кромкой     толщиной 1 5мм ")</f>
        <v xml:space="preserve"> тол однотумбовый с 2 направляющими выдвижными ящиками   азмер 1500х700х750 мм       18мм  тол однотумбовый с 2 направляющими выдвижными ящиками   азмер 1500х700х750 мм       18мм  облицованной кромкой     толщиной 1 5мм </v>
      </c>
    </row>
    <row r="3159" spans="1:8" ht="76.5" x14ac:dyDescent="0.2">
      <c r="A3159" s="31" t="s">
        <v>7478</v>
      </c>
      <c r="B3159" s="27" t="s">
        <v>7479</v>
      </c>
      <c r="C3159" s="27" t="s">
        <v>7480</v>
      </c>
      <c r="D3159" s="33" t="s">
        <v>14</v>
      </c>
      <c r="E3159" s="34">
        <v>2</v>
      </c>
      <c r="F3159" s="34">
        <v>48</v>
      </c>
      <c r="G3159" s="10">
        <v>72399</v>
      </c>
      <c r="H3159" s="30" t="str">
        <f ca="1">IFERROR(__xludf.DUMMYFUNCTION("LOWER(REGEXREPLACE(B3159&amp;"" ""&amp;C3159,""[^а-яa-z0-9 ]"","" ""))")," тол однотумбовый с направляющим выдвижным ящиком и тумбой   азмер 1200х600х750 мм       16 мм  столешница 32 мм      толщиной 16мм   столешница 32 мм   ромки деталей облицованы полимерным кромочным материалам        толщиной 1 5 мм   умба стационарная им"&amp;"еет выдвижной ящик и дверцу   атериал        толщиной 16 мм   урнитура  конфирмат  стяжка типа       полкодержатель металлический  без пластиковых элементов   роликовые направляющие  ручка  навес мебельный типа      ")</f>
        <v xml:space="preserve"> тол однотумбовый с направляющим выдвижным ящиком и тумбой   азмер 1200х600х750 мм       16 мм  столешница 32 мм      толщиной 16мм   столешница 32 мм   ромки деталей облицованы полимерным кромочным материалам        толщиной 1 5 мм   умба стационарная имеет выдвижной ящик и дверцу   атериал        толщиной 16 мм   урнитура  конфирмат  стяжка типа       полкодержатель металлический  без пластиковых элементов   роликовые направляющие  ручка  навес мебельный типа      </v>
      </c>
    </row>
    <row r="3160" spans="1:8" ht="89.25" x14ac:dyDescent="0.2">
      <c r="A3160" s="31" t="s">
        <v>7481</v>
      </c>
      <c r="B3160" s="27" t="s">
        <v>7482</v>
      </c>
      <c r="C3160" s="27" t="s">
        <v>7483</v>
      </c>
      <c r="D3160" s="33" t="s">
        <v>14</v>
      </c>
      <c r="E3160" s="34">
        <v>2</v>
      </c>
      <c r="F3160" s="34">
        <v>49</v>
      </c>
      <c r="G3160" s="10">
        <v>79148</v>
      </c>
      <c r="H3160" s="30" t="str">
        <f ca="1">IFERROR(__xludf.DUMMYFUNCTION("LOWER(REGEXREPLACE(B3160&amp;"" ""&amp;C3160,""[^а-яa-z0-9 ]"","" ""))")," тол однотумбовый с направляющим выдвижным ящиком и дверью   азмер 1500х600х750мм  атериал       толщиной 16мм   столешница не менее 25 мм   ромки деталей облицованы полимерным кромочным материалам        толщиной 1 5 мм   умба  стационарная имеет выдвижн"&amp;"ой ящик и дверцу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р"&amp;"учка на 128 мм  без острых углов   навес мебельный типа      ")</f>
        <v xml:space="preserve"> тол однотумбовый с направляющим выдвижным ящиком и дверью   азмер 1500х600х750мм  атериал       толщиной 16мм   столешница не менее 25 мм   ромки деталей облицованы полимерным кромочным материалам        толщиной 1 5 мм   умба  стационарная имеет выдвижной ящик и дверцу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ручка на 128 мм  без острых углов   навес мебельный типа      </v>
      </c>
    </row>
    <row r="3161" spans="1:8" ht="127.5" x14ac:dyDescent="0.2">
      <c r="A3161" s="31" t="s">
        <v>7484</v>
      </c>
      <c r="B3161" s="27" t="s">
        <v>7485</v>
      </c>
      <c r="C3161" s="27" t="s">
        <v>7486</v>
      </c>
      <c r="D3161" s="33" t="s">
        <v>14</v>
      </c>
      <c r="E3161" s="34">
        <v>2</v>
      </c>
      <c r="F3161" s="34">
        <v>46</v>
      </c>
      <c r="G3161" s="10">
        <v>52553</v>
      </c>
      <c r="H3161" s="30" t="str">
        <f ca="1">IFERROR(__xludf.DUMMYFUNCTION("LOWER(REGEXREPLACE(B3161&amp;"" ""&amp;C3161,""[^а-яa-z0-9 ]"","" ""))")," тол однотумбовый с 3 выджвижными ящиками и нишей   азмер 1200х680х750мм       16мм  тол однотумбовый с 3 выджвижными ящиками и нишей   атериал корпуса  выдвижных ящиков       толщина материала 16 мм   ижняя часть выдвижных ящиков ламинированный     1го к"&amp;"ласса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эксцентрико"&amp;"вой стяжки минификс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меются пластиковые подпятники   абариты 1200х680х7"&amp;"50 мм")</f>
        <v xml:space="preserve"> тол однотумбовый с 3 выджвижными ящиками и нишей   азмер 1200х680х750мм       16мм  тол однотумбовый с 3 выджвижными ящиками и нишей   атериал корпуса  выдвижных ящиков       толщина материала 16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меются пластиковые подпятники   абариты 1200х680х750 мм</v>
      </c>
    </row>
    <row r="3162" spans="1:8" ht="63.75" x14ac:dyDescent="0.2">
      <c r="A3162" s="31" t="s">
        <v>7487</v>
      </c>
      <c r="B3162" s="27" t="s">
        <v>7488</v>
      </c>
      <c r="C3162" s="27" t="s">
        <v>7489</v>
      </c>
      <c r="D3162" s="33" t="s">
        <v>14</v>
      </c>
      <c r="E3162" s="34">
        <v>2</v>
      </c>
      <c r="F3162" s="35">
        <v>32.9</v>
      </c>
      <c r="G3162" s="10">
        <v>35830</v>
      </c>
      <c r="H3162" s="30" t="str">
        <f ca="1">IFERROR(__xludf.DUMMYFUNCTION("LOWER(REGEXREPLACE(B3162&amp;"" ""&amp;C3162,""[^а-яa-z0-9 ]"","" ""))")," тол однотумбовый с 2 выдвижными ящиками       16 мм  размер 1200х700х750мм  тол письменный 1 тумбовый с замком   ирина   1200мм  глубина   700мм  высота   750мм   толешница из      16мм  каркас выполнен из      16мм   орцы облицованы  кромкой     толщино"&amp;"й 2мм   редусмотрены 2 выдвижных ящика на шариковых направляющих  редусмотрен замок на верхнем ящике   учки металлические ")</f>
        <v xml:space="preserve"> тол однотумбовый с 2 выдвижными ящиками       16 мм  размер 1200х700х750мм  тол письменный 1 тумбовый с замком   ирина   1200мм  глубина   700мм  высота   750мм   толешница из      16мм  каркас выполнен из      16мм   орцы облицованы  кромкой     толщиной 2мм   редусмотрены 2 выдвижных ящика на шариковых направляющих  редусмотрен замок на верхнем ящике   учки металлические </v>
      </c>
    </row>
    <row r="3163" spans="1:8" ht="51" x14ac:dyDescent="0.2">
      <c r="A3163" s="31" t="s">
        <v>7490</v>
      </c>
      <c r="B3163" s="27" t="s">
        <v>7491</v>
      </c>
      <c r="C3163" s="27" t="s">
        <v>7492</v>
      </c>
      <c r="D3163" s="33" t="s">
        <v>14</v>
      </c>
      <c r="E3163" s="34">
        <v>2</v>
      </c>
      <c r="F3163" s="35">
        <v>31.5</v>
      </c>
      <c r="G3163" s="10">
        <v>30275</v>
      </c>
      <c r="H3163" s="30" t="str">
        <f ca="1">IFERROR(__xludf.DUMMYFUNCTION("LOWER(REGEXREPLACE(B3163&amp;"" ""&amp;C3163,""[^а-яa-z0-9 ]"","" ""))")," тол однотумбовый с подвесной тумбой и открытой нишей       16мм   азмер 1200х600х750мм  тол учителя письменный 1200х600х750мм         ирина   1200мм  глубина   600мм  высота   750мм  толешница из      16мм  каркас выполнен из      16мм   орцы облицованы "&amp;" кромкой     толщиной 2мм ")</f>
        <v xml:space="preserve"> тол однотумбовый с подвесной тумбой и открытой нишей       16мм   азмер 1200х600х750мм  тол учителя письменный 1200х600х750мм         ирина   1200мм  глубина   600мм  высота   750мм  толешница из      16мм  каркас выполнен из      16мм   орцы облицованы  кромкой     толщиной 2мм </v>
      </c>
    </row>
    <row r="3164" spans="1:8" ht="25.5" x14ac:dyDescent="0.2">
      <c r="A3164" s="31" t="s">
        <v>7493</v>
      </c>
      <c r="B3164" s="27" t="s">
        <v>7494</v>
      </c>
      <c r="C3164" s="27" t="s">
        <v>7494</v>
      </c>
      <c r="D3164" s="33" t="s">
        <v>14</v>
      </c>
      <c r="E3164" s="34">
        <v>2</v>
      </c>
      <c r="F3164" s="34">
        <v>17</v>
      </c>
      <c r="G3164" s="10">
        <v>33598</v>
      </c>
      <c r="H3164" s="30" t="str">
        <f ca="1">IFERROR(__xludf.DUMMYFUNCTION("LOWER(REGEXREPLACE(B3164&amp;"" ""&amp;C3164,""[^а-яa-z0-9 ]"","" ""))")," тол однотумбовый с 2 выдвижными ящиками и нишей       16 мм  размер 1200х600х750мм  тол однотумбовый с 2 выдвижными ящиками и нишей       16 мм  размер 1200х600х750мм")</f>
        <v xml:space="preserve"> тол однотумбовый с 2 выдвижными ящиками и нишей       16 мм  размер 1200х600х750мм  тол однотумбовый с 2 выдвижными ящиками и нишей       16 мм  размер 1200х600х750мм</v>
      </c>
    </row>
    <row r="3165" spans="1:8" ht="38.25" x14ac:dyDescent="0.2">
      <c r="A3165" s="31" t="s">
        <v>7495</v>
      </c>
      <c r="B3165" s="27" t="s">
        <v>7496</v>
      </c>
      <c r="C3165" s="27" t="s">
        <v>7496</v>
      </c>
      <c r="D3165" s="33" t="s">
        <v>14</v>
      </c>
      <c r="E3165" s="34">
        <v>2</v>
      </c>
      <c r="F3165" s="34">
        <v>19</v>
      </c>
      <c r="G3165" s="10">
        <v>41749</v>
      </c>
      <c r="H3165" s="30" t="str">
        <f ca="1">IFERROR(__xludf.DUMMYFUNCTION("LOWER(REGEXREPLACE(B3165&amp;"" ""&amp;C3165,""[^а-яa-z0-9 ]"","" ""))")," тол однотумбовый с 3 направляющими выдвижными ящиками   азмер 1500х700х750 мм       16мм  тол однотумбовый с 3 направляющими выдвижными ящиками   азмер 1500х700х750 мм       16мм")</f>
        <v xml:space="preserve"> тол однотумбовый с 3 направляющими выдвижными ящиками   азмер 1500х700х750 мм       16мм  тол однотумбовый с 3 направляющими выдвижными ящиками   азмер 1500х700х750 мм       16мм</v>
      </c>
    </row>
    <row r="3166" spans="1:8" ht="204" x14ac:dyDescent="0.2">
      <c r="A3166" s="31" t="s">
        <v>7497</v>
      </c>
      <c r="B3166" s="27" t="s">
        <v>7498</v>
      </c>
      <c r="C3166" s="27" t="s">
        <v>7499</v>
      </c>
      <c r="D3166" s="33" t="s">
        <v>14</v>
      </c>
      <c r="E3166" s="34">
        <v>2</v>
      </c>
      <c r="F3166" s="34">
        <v>64</v>
      </c>
      <c r="G3166" s="10">
        <v>104182</v>
      </c>
      <c r="H3166" s="30" t="str">
        <f ca="1">IFERROR(__xludf.DUMMYFUNCTION("LOWER(REGEXREPLACE(B3166&amp;"" ""&amp;C3166,""[^а-яa-z0-9 ]"","" ""))")," тол для оргтехники с приставной тумбой  установлена с помощью опоры под столешницу   размеры 1600х750х760 мм  столешница из      22 мм  кромка       азмер тумбы 660х500х605 мм  абаритные размеры столешницы 1200х750 мм   ысота верхнего края столешницы над"&amp;"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одной боковой опоры  которая представляет из се"&amp;"бя прямоугольник  изготовленный из профильной трубы прямоугольного сечения 50х25х1 2 мм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пластиковой"&amp;"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тремя выдвижными ящиками на направляющих полного выдвижения  габари"&amp;"тные размеры  глубина 660 мм х ширина 500 мм х высота 605 мм    тумбе прикреплена секция под системный блок шириной не менее 220 мм   а тумбе расположена опора под столешницу  которая представляет из себя прямоугольник  изготовленный из профильной трубы п"&amp;"рямоугольного сечения 50х25х1 2 мм ")</f>
        <v xml:space="preserve"> тол для оргтехники с приставной тумбой  установлена с помощью опоры под столешницу   размеры 1600х750х760 мм  столешница из      22 мм  кромка       азмер тумбы 660х500х605 мм  абаритные размеры столешницы 1200х750 мм   ысота верхнего края столешницы над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одной боковой опоры  которая представляет из себя прямоугольник  изготовленный из профильной трубы прямоугольного сечения 50х25х1 2 мм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тремя выдвижными ящиками на направляющих полного выдвижения  габаритные размеры  глубина 660 мм х ширина 500 мм х высота 605 мм    тумбе прикреплена секция под системный блок шириной не менее 220 мм   а тумбе расположена опора под столешницу  которая представляет из себя прямоугольник  изготовленный из профильной трубы прямоугольного сечения 50х25х1 2 мм </v>
      </c>
    </row>
    <row r="3167" spans="1:8" ht="242.25" x14ac:dyDescent="0.2">
      <c r="A3167" s="31" t="s">
        <v>7500</v>
      </c>
      <c r="B3167" s="27" t="s">
        <v>7501</v>
      </c>
      <c r="C3167" s="27" t="s">
        <v>7502</v>
      </c>
      <c r="D3167" s="33" t="s">
        <v>14</v>
      </c>
      <c r="E3167" s="34">
        <v>2</v>
      </c>
      <c r="F3167" s="34">
        <v>54</v>
      </c>
      <c r="G3167" s="10">
        <v>105873</v>
      </c>
      <c r="H3167" s="30" t="str">
        <f ca="1">IFERROR(__xludf.DUMMYFUNCTION("LOWER(REGEXREPLACE(B3167&amp;"" ""&amp;C3167,""[^а-яa-z0-9 ]"","" ""))")," тол рабочий с парящей подставкой для системного блока  столешница      22 мм  кромка      размеры 1800х700х760 мм  ысота верхнего края столешницы над уровнем пола 760 мм   атериал столешницы      толщиной не менее 22 мм  торцы отделаны кромкой     толщин"&amp;"ой 2мм   толешница крепится к металлокаркасу саморезами   тол состоит из двух боковых опор  которые представляют собой трапецию  изготовленные из профильной трубы прямоугольного сечения 50х25х1 2 мм  покрытые полимерной краской    основании опоры предусмо"&amp;"трены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голо"&amp;"вкой траверсы   ни выполнены из квадратной трубы сечением 40х25х1 2 мм  которые соединяют боковые опоры и служат элементом усиления    правом и левом углу столешницы предусмотрено отверстие с крышкой для соединительных проводов   умба габаритные размеры  "&amp;"глубина 500 мм х ширина 420 мм х высота 610 мм  с тремя выдвижными ящиками на направляющих полного выдвижения    левой стороны стола расположена подставка под системный блок  размерами 200х460х508 мм выполнена из прямоугольной трубы 50х25х1 2 и лпсп 22 мм"&amp;"   онтаж которой осуществляется с помощью саморезов к столешнице и боковой опоре   оковые опоры и каркас подставки под системный блок изготовлены с применением технологии исключающейобразования видимых стыков профильной трубы ")</f>
        <v xml:space="preserve"> тол рабочий с парящей подставкой для системного блока  столешница      22 мм  кромка      размеры 1800х700х760 мм  ысота верхнего края столешницы над уровнем пола 760 мм   атериал столешницы      толщиной не менее 22 мм  торцы отделаны кромкой     толщиной 2мм   толешница крепится к металлокаркасу саморезами   тол состоит из двух боковых опор  которые представляют собой трапецию  изготовленные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сечением 40х25х1 2 мм  которые соединяют боковые опоры и служат элементом усиления    правом и левом углу столешницы предусмотрено отверстие с крышкой для соединительных проводов   умба габаритные размеры  глубина 500 мм х ширина 420 мм х высота 610 мм  с тремя выдвижными ящиками на направляющих полного выдвижения    левой стороны стола расположена подставка под системный блок  размерами 200х460х508 мм выполнена из прямоугольной трубы 50х25х1 2 и лпсп 22 мм   онтаж которой осуществляется с помощью саморезов к столешнице и боковой опоре   оковые опоры и каркас подставки под системный блок изготовлены с применением технологии исключающейобразования видимых стыков профильной трубы </v>
      </c>
    </row>
    <row r="3168" spans="1:8" ht="191.25" x14ac:dyDescent="0.2">
      <c r="A3168" s="31" t="s">
        <v>7503</v>
      </c>
      <c r="B3168" s="27" t="s">
        <v>7504</v>
      </c>
      <c r="C3168" s="27" t="s">
        <v>7505</v>
      </c>
      <c r="D3168" s="33" t="s">
        <v>14</v>
      </c>
      <c r="E3168" s="34">
        <v>2</v>
      </c>
      <c r="F3168" s="34">
        <v>61</v>
      </c>
      <c r="G3168" s="10">
        <v>143140</v>
      </c>
      <c r="H3168" s="30" t="str">
        <f ca="1">IFERROR(__xludf.DUMMYFUNCTION("LOWER(REGEXREPLACE(B3168&amp;"" ""&amp;C3168,""[^а-яa-z0-9 ]"","" ""))")," тол с приставной тумбой  столешница из      22мм  кромка      металлокаркас из прямоугольной профильной трубы  размеры 1800х1700х760 мм  толешница выполнена из      не менее 22 мм  торцы отделаны кромкой     толщиной 2 мм   толешница установлена на метал"&amp;"локаркас из прямоугольной профильной трубы 50х25 мм толщиной не менее 1 2 мм  окрашенной полимерной краской   аркас представляет собой 2 опоры сложной формы  скрепленных между собой 3 усилителя траверсы из профильной трубы 50х25 мм  толщиной не менее 1 2 "&amp;"мм  между опорами    основании конструкции установлены регулируемые опоры   а столе имеется трапецевидная царга из      16 мм с кромкой     толщиной 0 4мм    столу с левой стороны приставляется тумба   абаритные размеры 900х500х760 мм   умба двухсекционна"&amp;"я  одна секция с глухой дверью  за которой находится полка   торая секция состоит из 4 выдвижных ящиков   умба выполнена из      толщиной 16мм   ромка     0 4мм   рышка из      толщиной не менее 22 мм   ромка     2 мм  борка должна производиться с помощью"&amp;" конфирматов 6 3х50 и эксцентриковых стяжек   етля для дверок должна быть внешняя с европланкой и функцией  softclose  ")</f>
        <v xml:space="preserve"> тол с приставной тумбой  столешница из      22мм  кромка      металлокаркас из прямоугольной профильной трубы  размеры 1800х1700х760 мм  толешница выполнена из      не менее 22 мм  торцы отделаны кромкой     толщиной 2 мм   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сложной формы  скрепленных между собой 3 усилителя траверсы из профильной трубы 50х25 мм  толщиной не менее 1 2 мм  между опорами    основании конструкции установлены регулируемые опоры   а столе имеется трапецевидная царга из      16 мм с кромкой     толщиной 0 4мм    столу с левой стороны приставляется тумба   абаритные размеры 900х500х760 мм   умба двухсекционная  одна секция с глухой дверью  за которой находится полка   торая секция состоит из 4 выдвижных ящиков   умба выполнена из      толщиной 16мм   ромка     0 4мм   рышка из      толщиной не менее 22 мм   ромка     2 мм  борка должна производиться с помощью конфирматов 6 3х50 и эксцентриковых стяжек   етля для дверок должна быть внешняя с европланкой и функцией  softclose  </v>
      </c>
    </row>
    <row r="3169" spans="1:8" ht="12.75" x14ac:dyDescent="0.2">
      <c r="A3169" s="31" t="s">
        <v>7506</v>
      </c>
      <c r="B3169" s="27" t="s">
        <v>7507</v>
      </c>
      <c r="C3169" s="27"/>
      <c r="D3169" s="32"/>
      <c r="E3169" s="9"/>
      <c r="F3169" s="32"/>
      <c r="G3169" s="10"/>
      <c r="H3169" s="30" t="str">
        <f ca="1">IFERROR(__xludf.DUMMYFUNCTION("LOWER(REGEXREPLACE(B3169&amp;"" ""&amp;C3169,""[^а-яa-z0-9 ]"","" ""))")," тол руководителя ")</f>
        <v xml:space="preserve"> тол руководителя </v>
      </c>
    </row>
    <row r="3170" spans="1:8" ht="114.75" x14ac:dyDescent="0.2">
      <c r="A3170" s="31" t="s">
        <v>7508</v>
      </c>
      <c r="B3170" s="8" t="s">
        <v>7509</v>
      </c>
      <c r="C3170" s="27" t="s">
        <v>7510</v>
      </c>
      <c r="D3170" s="33" t="s">
        <v>68</v>
      </c>
      <c r="E3170" s="9"/>
      <c r="F3170" s="34">
        <v>121</v>
      </c>
      <c r="G3170" s="10">
        <v>143140</v>
      </c>
      <c r="H3170" s="30" t="str">
        <f ca="1">IFERROR(__xludf.DUMMYFUNCTION("LOWER(REGEXREPLACE(B3170&amp;"" ""&amp;C3170,""[^а-яa-z0-9 ]"","" ""))")," тол руководителя угловой с мобильной тумбой  компьютерной приставкой 2200х1500х750 мм       16мм  столешница      32мм   тол руководителя угловой с мобильной тумбой  компьютерной приставкой 2200х1500х750 мм   умба  430 600 630   толешница из      32 мм  "&amp;"корпус и тумба из      16 мм   кромка     с исполькозованием высокотемпературного клея   щики собраны на роликовых направляющих с колесиками  направляющие окрашены порошковой электростатической краской   орпус соединяется с помощью системой  inifiх   а ни"&amp;"жней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умба на ножках колесиках ")</f>
        <v xml:space="preserve"> тол руководителя угловой с мобильной тумбой  компьютерной приставкой 2200х1500х750 мм       16мм  столешница      32мм   тол руководителя угловой с мобильной тумбой  компьютерной приставкой 2200х1500х750 мм   умба  430 600 630   толешница из      32 мм  корпус и тумба из      16 мм   кромка     с исполькозованием высокотемпературного клея   щики собраны на роликовых направляющих с колесиками  направляющие окрашены порошковой электростатической краской   орпус соединяется с помощью системой  inifiх   а нижней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умба на ножках колесиках </v>
      </c>
    </row>
    <row r="3171" spans="1:8" ht="38.25" x14ac:dyDescent="0.2">
      <c r="A3171" s="31" t="s">
        <v>7511</v>
      </c>
      <c r="B3171" s="27" t="s">
        <v>7512</v>
      </c>
      <c r="C3171" s="27" t="s">
        <v>7512</v>
      </c>
      <c r="D3171" s="33" t="s">
        <v>14</v>
      </c>
      <c r="E3171" s="9"/>
      <c r="F3171" s="32"/>
      <c r="G3171" s="10">
        <v>147455</v>
      </c>
      <c r="H3171" s="30" t="str">
        <f ca="1">IFERROR(__xludf.DUMMYFUNCTION("LOWER(REGEXREPLACE(B3171&amp;"" ""&amp;C3171,""[^а-яa-z0-9 ]"","" ""))")," тол для конференций 4 х местный   снование металлокаркас  столешница      25мм  лючки для проводов   азмеры 1380х1380х750мм  тол для конференций 4 х местный   снование металлокаркас  столешница      25мм  лючки для проводов   азмеры 1380х1380х750мм")</f>
        <v xml:space="preserve"> тол для конференций 4 х местный   снование металлокаркас  столешница      25мм  лючки для проводов   азмеры 1380х1380х750мм  тол для конференций 4 х местный   снование металлокаркас  столешница      25мм  лючки для проводов   азмеры 1380х1380х750мм</v>
      </c>
    </row>
    <row r="3172" spans="1:8" ht="38.25" x14ac:dyDescent="0.2">
      <c r="A3172" s="31" t="s">
        <v>7513</v>
      </c>
      <c r="B3172" s="27" t="s">
        <v>7514</v>
      </c>
      <c r="C3172" s="27" t="s">
        <v>7514</v>
      </c>
      <c r="D3172" s="33" t="s">
        <v>14</v>
      </c>
      <c r="E3172" s="9"/>
      <c r="F3172" s="32"/>
      <c r="G3172" s="10">
        <v>272011</v>
      </c>
      <c r="H3172" s="30" t="str">
        <f ca="1">IFERROR(__xludf.DUMMYFUNCTION("LOWER(REGEXREPLACE(B3172&amp;"" ""&amp;C3172,""[^а-яa-z0-9 ]"","" ""))")," тол для конференций 8 ми местный   снование металлокаркас  столешница      25мм  лючки для проводов   азмеры 2760х1380х750 мм  тол для конференций 8 ми местный   снование металлокаркас  столешница      25мм  лючки для проводов   азмеры 2760х1380х750 мм")</f>
        <v xml:space="preserve"> тол для конференций 8 ми местный   снование металлокаркас  столешница      25мм  лючки для проводов   азмеры 2760х1380х750 мм  тол для конференций 8 ми местный   снование металлокаркас  столешница      25мм  лючки для проводов   азмеры 2760х1380х750 мм</v>
      </c>
    </row>
    <row r="3173" spans="1:8" ht="38.25" x14ac:dyDescent="0.2">
      <c r="A3173" s="31" t="s">
        <v>7515</v>
      </c>
      <c r="B3173" s="27" t="s">
        <v>7516</v>
      </c>
      <c r="C3173" s="27" t="s">
        <v>7517</v>
      </c>
      <c r="D3173" s="33" t="s">
        <v>14</v>
      </c>
      <c r="E3173" s="34">
        <v>2</v>
      </c>
      <c r="F3173" s="34">
        <v>125</v>
      </c>
      <c r="G3173" s="10">
        <v>374838</v>
      </c>
      <c r="H3173" s="30" t="str">
        <f ca="1">IFERROR(__xludf.DUMMYFUNCTION("LOWER(REGEXREPLACE(B3173&amp;"" ""&amp;C3173,""[^а-яa-z0-9 ]"","" ""))")," тол для конференций 12 ти местный   снование металлокаркас  столешница      25мм  лючки для проводов   азмеры 4140х1380х750 мм  тол для конференций 12 ти местный   снование металлокаркас  столешница      25мм  лючки для проводов   азмеры  4140х1380х750 м"&amp;"м")</f>
        <v xml:space="preserve"> тол для конференций 12 ти местный   снование металлокаркас  столешница      25мм  лючки для проводов   азмеры 4140х1380х750 мм  тол для конференций 12 ти местный   снование металлокаркас  столешница      25мм  лючки для проводов   азмеры  4140х1380х750 мм</v>
      </c>
    </row>
    <row r="3174" spans="1:8" ht="38.25" x14ac:dyDescent="0.2">
      <c r="A3174" s="31" t="s">
        <v>7518</v>
      </c>
      <c r="B3174" s="27" t="s">
        <v>7519</v>
      </c>
      <c r="C3174" s="27" t="s">
        <v>7519</v>
      </c>
      <c r="D3174" s="33" t="s">
        <v>14</v>
      </c>
      <c r="E3174" s="9"/>
      <c r="F3174" s="32"/>
      <c r="G3174" s="10">
        <v>517234</v>
      </c>
      <c r="H3174" s="30" t="str">
        <f ca="1">IFERROR(__xludf.DUMMYFUNCTION("LOWER(REGEXREPLACE(B3174&amp;"" ""&amp;C3174,""[^а-яa-z0-9 ]"","" ""))")," тол для конференций 16 ти местный   снование металлокаркас  столешница      25мм  лючки для проводов   азмеры 5520х1380х750 мм  тол для конференций 16 ти местный   снование металлокаркас  столешница      25мм  лючки для проводов   азмеры 5520х1380х750 мм")</f>
        <v xml:space="preserve"> тол для конференций 16 ти местный   снование металлокаркас  столешница      25мм  лючки для проводов   азмеры 5520х1380х750 мм  тол для конференций 16 ти местный   снование металлокаркас  столешница      25мм  лючки для проводов   азмеры 5520х1380х750 мм</v>
      </c>
    </row>
    <row r="3175" spans="1:8" ht="38.25" x14ac:dyDescent="0.2">
      <c r="A3175" s="31" t="s">
        <v>7520</v>
      </c>
      <c r="B3175" s="27" t="s">
        <v>7521</v>
      </c>
      <c r="C3175" s="27" t="s">
        <v>7522</v>
      </c>
      <c r="D3175" s="33" t="s">
        <v>14</v>
      </c>
      <c r="E3175" s="9"/>
      <c r="F3175" s="32"/>
      <c r="G3175" s="10">
        <v>639167</v>
      </c>
      <c r="H3175" s="30" t="str">
        <f ca="1">IFERROR(__xludf.DUMMYFUNCTION("LOWER(REGEXREPLACE(B3175&amp;"" ""&amp;C3175,""[^а-яa-z0-9 ]"","" ""))")," тол для конференций 20 ти местный   снование металлокаркас  столешница      25мм  лючки для проводов   азмеры 6900х1380х750 мм  тол для конференций 20 ти местный   снование металлокаркас  столешница      25мм  лючки для проводов   азмеры  6900х1380х750 м"&amp;"м")</f>
        <v xml:space="preserve"> тол для конференций 20 ти местный   снование металлокаркас  столешница      25мм  лючки для проводов   азмеры 6900х1380х750 мм  тол для конференций 20 ти местный   снование металлокаркас  столешница      25мм  лючки для проводов   азмеры  6900х1380х750 мм</v>
      </c>
    </row>
    <row r="3176" spans="1:8" ht="25.5" x14ac:dyDescent="0.2">
      <c r="A3176" s="31" t="s">
        <v>7523</v>
      </c>
      <c r="B3176" s="27" t="s">
        <v>7524</v>
      </c>
      <c r="C3176" s="27" t="s">
        <v>7525</v>
      </c>
      <c r="D3176" s="33" t="s">
        <v>14</v>
      </c>
      <c r="E3176" s="34">
        <v>2</v>
      </c>
      <c r="F3176" s="34">
        <v>45</v>
      </c>
      <c r="G3176" s="10">
        <v>249155</v>
      </c>
      <c r="H3176" s="30" t="str">
        <f ca="1">IFERROR(__xludf.DUMMYFUNCTION("LOWER(REGEXREPLACE(B3176&amp;"" ""&amp;C3176,""[^а-яa-z0-9 ]"","" ""))")," тол для конференций 2500х1100х750мм       16мм  азмер  2500х1100х750мм   олщина  16мм   атериал      ")</f>
        <v xml:space="preserve"> тол для конференций 2500х1100х750мм       16мм  азмер  2500х1100х750мм   олщина  16мм   атериал      </v>
      </c>
    </row>
    <row r="3177" spans="1:8" ht="63.75" x14ac:dyDescent="0.2">
      <c r="A3177" s="31" t="s">
        <v>7526</v>
      </c>
      <c r="B3177" s="27" t="s">
        <v>7527</v>
      </c>
      <c r="C3177" s="27" t="s">
        <v>7528</v>
      </c>
      <c r="D3177" s="33" t="s">
        <v>14</v>
      </c>
      <c r="E3177" s="34">
        <v>2</v>
      </c>
      <c r="F3177" s="34">
        <v>75</v>
      </c>
      <c r="G3177" s="10">
        <v>214681</v>
      </c>
      <c r="H3177" s="30" t="str">
        <f ca="1">IFERROR(__xludf.DUMMYFUNCTION("LOWER(REGEXREPLACE(B3177&amp;"" ""&amp;C3177,""[^а-яa-z0-9 ]"","" ""))")," тол эргономичный с мобильной тумбой 2200 1400х600х750 мм  тол угловой 2200 1400х600х750 мм с мобильной тумбой   атериал       толщиной 16 мм  столешница 32 мм   ромки деталей облицованы полимерным кромочным материалам        толщиной 1 5 мм   толешница  "&amp;"имеет эргономичную форму   урнитура  конфирматы  стяжка типа     ")</f>
        <v xml:space="preserve"> тол эргономичный с мобильной тумбой 2200 1400х600х750 мм  тол угловой 2200 1400х600х750 мм с мобильной тумбой   атериал       толщиной 16 мм  столешница 32 мм   ромки деталей облицованы полимерным кромочным материалам        толщиной 1 5 мм   толешница  имеет эргономичную форму   урнитура  конфирматы  стяжка типа     </v>
      </c>
    </row>
    <row r="3178" spans="1:8" ht="25.5" x14ac:dyDescent="0.2">
      <c r="A3178" s="31" t="s">
        <v>7529</v>
      </c>
      <c r="B3178" s="27" t="s">
        <v>7530</v>
      </c>
      <c r="C3178" s="27" t="s">
        <v>7531</v>
      </c>
      <c r="D3178" s="33" t="s">
        <v>14</v>
      </c>
      <c r="E3178" s="34">
        <v>2</v>
      </c>
      <c r="F3178" s="34">
        <v>46</v>
      </c>
      <c r="G3178" s="10">
        <v>59981</v>
      </c>
      <c r="H3178" s="30" t="str">
        <f ca="1">IFERROR(__xludf.DUMMYFUNCTION("LOWER(REGEXREPLACE(B3178&amp;"" ""&amp;C3178,""[^а-яa-z0-9 ]"","" ""))")," тол приставной 1600х600х750 мм  атериал       16 мм  столешница 32 мм   ромки деталей облицованы полимерным кромочным материалам        толщиной 1 5 мм   тяжка типа      ")</f>
        <v xml:space="preserve"> тол приставной 1600х600х750 мм  атериал       16 мм  столешница 32 мм   ромки деталей облицованы полимерным кромочным материалам        толщиной 1 5 мм   тяжка типа      </v>
      </c>
    </row>
    <row r="3179" spans="1:8" ht="25.5" x14ac:dyDescent="0.2">
      <c r="A3179" s="31" t="s">
        <v>7532</v>
      </c>
      <c r="B3179" s="27" t="s">
        <v>7533</v>
      </c>
      <c r="C3179" s="27" t="s">
        <v>7531</v>
      </c>
      <c r="D3179" s="33" t="s">
        <v>14</v>
      </c>
      <c r="E3179" s="34">
        <v>2</v>
      </c>
      <c r="F3179" s="34">
        <v>72</v>
      </c>
      <c r="G3179" s="10">
        <v>103608</v>
      </c>
      <c r="H3179" s="30" t="str">
        <f ca="1">IFERROR(__xludf.DUMMYFUNCTION("LOWER(REGEXREPLACE(B3179&amp;"" ""&amp;C3179,""[^а-яa-z0-9 ]"","" ""))")," тол для совещаний 2400х800х750 мм  атериал       16 мм  столешница 32 мм   ромки деталей облицованы полимерным кромочным материалам        толщиной 1 5 мм   тяжка типа      ")</f>
        <v xml:space="preserve"> тол для совещаний 2400х800х750 мм  атериал       16 мм  столешница 32 мм   ромки деталей облицованы полимерным кромочным материалам        толщиной 1 5 мм   тяжка типа      </v>
      </c>
    </row>
    <row r="3180" spans="1:8" ht="165.75" x14ac:dyDescent="0.2">
      <c r="A3180" s="31" t="s">
        <v>7534</v>
      </c>
      <c r="B3180" s="27" t="s">
        <v>7535</v>
      </c>
      <c r="C3180" s="27" t="s">
        <v>7536</v>
      </c>
      <c r="D3180" s="33" t="s">
        <v>14</v>
      </c>
      <c r="E3180" s="34">
        <v>2</v>
      </c>
      <c r="F3180" s="34">
        <v>64</v>
      </c>
      <c r="G3180" s="10">
        <v>206725</v>
      </c>
      <c r="H3180" s="30" t="str">
        <f ca="1">IFERROR(__xludf.DUMMYFUNCTION("LOWER(REGEXREPLACE(B3180&amp;"" ""&amp;C3180,""[^а-яa-z0-9 ]"","" ""))")," тол руководителя угловой со встроенной тумбой  компьютерной приставкой       16мм  столешница из     16мм   азмер 1600х600х760мм  тол руководителя угловой встроенной тумбой  компьютерной приставкой 1600х600х760 мм   гловая тумба 1200х500х650мм   толешниц"&amp;"а из ламинированного     16 мм  материал корпуса  выдвижных ящиков из      16 мм   ижняя часть выдвижных ящиков и задней стенки тумбы из ламинированного     1го класса толщиной 5 мм   ромка     с использованием высокотемпературного клея   орпус соединяетс"&amp;"я с помощью системой эксцентриковой стяжки минификс   а боковых стенках  верхней и нижней детали тумбы фрезеруется канал  в которую монтируется задняя стенка   а нижней детали ящиков фрезеруется канал  в которую монтируется нижняя     деталь   учки металл"&amp;"ические   для выдвижных ящиков используются телескопические направляющие с доводчиками   ожки и каркас столешницы крепящийся к тумбе  изготавлены из профиля толщиной 2 мм   краска изделий производится методом электростатического порошкового напыления   ла"&amp;"стиковык ножки стола высотой 50 мм")</f>
        <v xml:space="preserve"> тол руководителя угловой со встроенной тумбой  компьютерной приставкой       16мм  столешница из     16мм   азмер 1600х600х760мм  тол руководителя угловой встроенной тумбой  компьютерной приставкой 1600х600х760 мм   гловая тумба 1200х500х650мм   толешница из ламинированного     16 мм  материал корпуса  выдвижных ящиков из      16 мм   ижняя часть выдвижных ящиков и задней стенки тумбы из ламинированного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тумбы фрезеруется канал  в которую монтируется задняя стенка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ожки и каркас столешницы крепящийся к тумбе  изготавлены из профиля толщиной 2 мм   краска изделий производится методом электростатического порошкового напыления   ластиковык ножки стола высотой 50 мм</v>
      </c>
    </row>
    <row r="3181" spans="1:8" ht="25.5" x14ac:dyDescent="0.2">
      <c r="A3181" s="31" t="s">
        <v>7537</v>
      </c>
      <c r="B3181" s="8" t="s">
        <v>7538</v>
      </c>
      <c r="C3181" s="27" t="s">
        <v>7539</v>
      </c>
      <c r="D3181" s="33" t="s">
        <v>14</v>
      </c>
      <c r="E3181" s="34">
        <v>2</v>
      </c>
      <c r="F3181" s="35">
        <v>27.8</v>
      </c>
      <c r="G3181" s="10">
        <v>27627</v>
      </c>
      <c r="H3181" s="30" t="str">
        <f ca="1">IFERROR(__xludf.DUMMYFUNCTION("LOWER(REGEXREPLACE(B3181&amp;"" ""&amp;C3181,""[^а-яa-z0-9 ]"","" ""))")," тол приставной  размеры не менее 1100х500х700мм  толешница из      32мм  каркас выполнен из      16мм   орцы облицованы  кромкой     толщиной 2мм ")</f>
        <v xml:space="preserve"> тол приставной  размеры не менее 1100х500х700мм  толешница из      32мм  каркас выполнен из      16мм   орцы облицованы  кромкой     толщиной 2мм </v>
      </c>
    </row>
    <row r="3182" spans="1:8" ht="38.25" x14ac:dyDescent="0.2">
      <c r="A3182" s="31" t="s">
        <v>7540</v>
      </c>
      <c r="B3182" s="8" t="s">
        <v>7541</v>
      </c>
      <c r="C3182" s="27" t="s">
        <v>7542</v>
      </c>
      <c r="D3182" s="33" t="s">
        <v>14</v>
      </c>
      <c r="E3182" s="34">
        <v>2</v>
      </c>
      <c r="F3182" s="35">
        <v>61.8</v>
      </c>
      <c r="G3182" s="10">
        <v>113456</v>
      </c>
      <c r="H3182" s="30" t="str">
        <f ca="1">IFERROR(__xludf.DUMMYFUNCTION("LOWER(REGEXREPLACE(B3182&amp;"" ""&amp;C3182,""[^а-яa-z0-9 ]"","" ""))")," тол руководителя 1800х820х775мм       16мм  столешница      32мм  тол руководителя   ирина   1800мм  глубина   820мм  высота   775мм   толешница из      32мм  каркас выполнен из      16мм   орцы облицованы  кромкой     толщиной 2мм ")</f>
        <v xml:space="preserve"> тол руководителя 1800х820х775мм       16мм  столешница      32мм  тол руководителя   ирина   1800мм  глубина   820мм  высота   775мм   толешница из      32мм  каркас выполнен из      16мм   орцы облицованы  кромкой     толщиной 2мм </v>
      </c>
    </row>
    <row r="3183" spans="1:8" ht="102" x14ac:dyDescent="0.2">
      <c r="A3183" s="31" t="s">
        <v>7543</v>
      </c>
      <c r="B3183" s="8" t="s">
        <v>7544</v>
      </c>
      <c r="C3183" s="27" t="s">
        <v>7545</v>
      </c>
      <c r="D3183" s="33" t="s">
        <v>14</v>
      </c>
      <c r="E3183" s="34">
        <v>2</v>
      </c>
      <c r="F3183" s="34">
        <v>34</v>
      </c>
      <c r="G3183" s="10">
        <v>139590</v>
      </c>
      <c r="H3183" s="30" t="str">
        <f ca="1">IFERROR(__xludf.DUMMYFUNCTION("LOWER(REGEXREPLACE(B3183&amp;"" ""&amp;C3183,""[^а-яa-z0-9 ]"","" ""))")," тол 2300х900х750мм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пласти"&amp;"ковые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пласт"&amp;"иковыми заглушками для предотвращения повреждения пользователей   абариты 2300х900х750мм ")</f>
        <v xml:space="preserve"> тол 2300х900х750мм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2300х900х750мм </v>
      </c>
    </row>
    <row r="3184" spans="1:8" ht="102" x14ac:dyDescent="0.2">
      <c r="A3184" s="31" t="s">
        <v>7546</v>
      </c>
      <c r="B3184" s="8" t="s">
        <v>7547</v>
      </c>
      <c r="C3184" s="27" t="s">
        <v>7548</v>
      </c>
      <c r="D3184" s="33" t="s">
        <v>14</v>
      </c>
      <c r="E3184" s="34">
        <v>2</v>
      </c>
      <c r="F3184" s="34">
        <v>36</v>
      </c>
      <c r="G3184" s="10">
        <v>149671</v>
      </c>
      <c r="H3184" s="30" t="str">
        <f ca="1">IFERROR(__xludf.DUMMYFUNCTION("LOWER(REGEXREPLACE(B3184&amp;"" ""&amp;C3184,""[^а-яa-z0-9 ]"","" ""))")," тол 2300х1200х750мм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пласт"&amp;"иковые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плас"&amp;"тиковыми заглушками для предотвращения повреждения пользователей   абариты 2300х1200х750мм ")</f>
        <v xml:space="preserve"> тол 2300х1200х750мм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2300х1200х750мм </v>
      </c>
    </row>
    <row r="3185" spans="1:8" ht="38.25" x14ac:dyDescent="0.2">
      <c r="A3185" s="31" t="s">
        <v>7549</v>
      </c>
      <c r="B3185" s="27" t="s">
        <v>7550</v>
      </c>
      <c r="C3185" s="27" t="s">
        <v>7550</v>
      </c>
      <c r="D3185" s="33" t="s">
        <v>14</v>
      </c>
      <c r="E3185" s="34">
        <v>2</v>
      </c>
      <c r="F3185" s="34">
        <v>40</v>
      </c>
      <c r="G3185" s="10">
        <v>67217</v>
      </c>
      <c r="H3185" s="30" t="str">
        <f ca="1">IFERROR(__xludf.DUMMYFUNCTION("LOWER(REGEXREPLACE(B3185&amp;"" ""&amp;C3185,""[^а-яa-z0-9 ]"","" ""))")," тол для совещаний 2000х900х760мм   толешница из      22мм  основание металлического профиля  тол для совещаний 2000х900х760мм   толешница из      22мм  основание металлического профиля")</f>
        <v xml:space="preserve"> тол для совещаний 2000х900х760мм   толешница из      22мм  основание металлического профиля  тол для совещаний 2000х900х760мм   толешница из      22мм  основание металлического профиля</v>
      </c>
    </row>
    <row r="3186" spans="1:8" ht="153" x14ac:dyDescent="0.2">
      <c r="A3186" s="31" t="s">
        <v>7551</v>
      </c>
      <c r="B3186" s="27" t="s">
        <v>7552</v>
      </c>
      <c r="C3186" s="27" t="s">
        <v>7553</v>
      </c>
      <c r="D3186" s="33" t="s">
        <v>14</v>
      </c>
      <c r="E3186" s="34">
        <v>2</v>
      </c>
      <c r="F3186" s="34">
        <v>146</v>
      </c>
      <c r="G3186" s="10">
        <v>178126</v>
      </c>
      <c r="H3186" s="30" t="str">
        <f ca="1">IFERROR(__xludf.DUMMYFUNCTION("LOWER(REGEXREPLACE(B3186&amp;"" ""&amp;C3186,""[^а-яa-z0-9 ]"","" ""))")," тол для конференций на 12 человек  размеры 3700х1300х760 мм  столешница из      22мм  кромка      олжен быть рассчитан на 10 12 человек и конструктивно собран из шести модульных столов двух типов    комплекте должно быть по 2 одинаковых модульных стола с"&amp;"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1200х"&amp;"600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не"&amp;" менее 2 мм   аждый стол должен иметь по 2 опоры    основании опор должны быть пластиковые подпятники ")</f>
        <v xml:space="preserve"> тол для конференций на 12 человек  размеры 3700х1300х760 мм  столешница из      22мм  кромка      олжен быть рассчитан на 10 12 человек и конструктивно собран из шести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v>
      </c>
    </row>
    <row r="3187" spans="1:8" ht="140.25" x14ac:dyDescent="0.2">
      <c r="A3187" s="31" t="s">
        <v>7554</v>
      </c>
      <c r="B3187" s="27" t="s">
        <v>7555</v>
      </c>
      <c r="C3187" s="27" t="s">
        <v>7556</v>
      </c>
      <c r="D3187" s="33" t="s">
        <v>14</v>
      </c>
      <c r="E3187" s="34">
        <v>2</v>
      </c>
      <c r="F3187" s="34">
        <v>208</v>
      </c>
      <c r="G3187" s="10">
        <v>217348</v>
      </c>
      <c r="H3187" s="30" t="str">
        <f ca="1">IFERROR(__xludf.DUMMYFUNCTION("LOWER(REGEXREPLACE(B3187&amp;"" ""&amp;C3187,""[^а-яa-z0-9 ]"","" ""))")," тол для конференций  на 16 человек  размеры 4900х1300х760 мм  столешница из      22мм  кромка      олжен быть конструктивно собран из восьми модульных столов двух типов    комплекте должно быть по 2 одинаковых модульных стола с двумя разными формами стол"&amp;"ешниц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сто"&amp;"лешниц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до"&amp;"лжен иметь по 2 опоры    основании опор должны быть пластиковые подпятники ")</f>
        <v xml:space="preserve"> тол для конференций  на 16 человек  размеры 4900х1300х760 мм  столешница из      22мм  кромка      олжен быть конструктивно собран из восьми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v>
      </c>
    </row>
    <row r="3188" spans="1:8" ht="127.5" x14ac:dyDescent="0.2">
      <c r="A3188" s="31" t="s">
        <v>7557</v>
      </c>
      <c r="B3188" s="27" t="s">
        <v>7558</v>
      </c>
      <c r="C3188" s="27" t="s">
        <v>7559</v>
      </c>
      <c r="D3188" s="33" t="s">
        <v>14</v>
      </c>
      <c r="E3188" s="34">
        <v>2</v>
      </c>
      <c r="F3188" s="34">
        <v>244</v>
      </c>
      <c r="G3188" s="10">
        <v>262527</v>
      </c>
      <c r="H3188" s="30" t="str">
        <f ca="1">IFERROR(__xludf.DUMMYFUNCTION("LOWER(REGEXREPLACE(B3188&amp;"" ""&amp;C3188,""[^а-яa-z0-9 ]"","" ""))")," тол для конференций  на 20 человек  размеры 6100х1300х760 мм  столешница из      22мм  кромка      олжен быть конструктивно собран из десяти модульных столов двух типов    комплекте должно быть по 2 одинаковых модульных стола с двумя разными формами стол"&amp;"ешниц   ервая   орма столешницы должна представлять из себя полукруг с радиусом 650мм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стол"&amp;"ешниц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дол"&amp;"жен иметь по 2 опоры    основании опор должны быть пластиковые подпятники ")</f>
        <v xml:space="preserve"> тол для конференций  на 20 человек  размеры 6100х1300х760 мм  столешница из      22мм  кромка      олжен быть конструктивно собран из десяти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v>
      </c>
    </row>
    <row r="3189" spans="1:8" ht="89.25" x14ac:dyDescent="0.2">
      <c r="A3189" s="31" t="s">
        <v>7560</v>
      </c>
      <c r="B3189" s="27" t="s">
        <v>7561</v>
      </c>
      <c r="C3189" s="27" t="s">
        <v>7562</v>
      </c>
      <c r="D3189" s="33" t="s">
        <v>14</v>
      </c>
      <c r="E3189" s="34">
        <v>2</v>
      </c>
      <c r="F3189" s="34">
        <v>123</v>
      </c>
      <c r="G3189" s="10">
        <v>109617</v>
      </c>
      <c r="H3189" s="30" t="str">
        <f ca="1">IFERROR(__xludf.DUMMYFUNCTION("LOWER(REGEXREPLACE(B3189&amp;"" ""&amp;C3189,""[^а-яa-z0-9 ]"","" ""))")," тол для президиума  размеры 3600х800х760 мм  внешняя опора и столешница из      22 мм  внутренняя опора 16 мм  тол выполнен из 2х частей 1800х800х760 мм внешняя опора и столешница выполнены из      не менее 22 мм  внутренняя опора 16 мм   а царге располо"&amp;"жены декоративные панели в количестве 4 шт так же 16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должн"&amp;"ы быть пластиковые подпятники ")</f>
        <v xml:space="preserve"> тол для президиума  размеры 3600х800х760 мм  внешняя опора и столешница из      22 мм  внутренняя опора 16 мм  тол выполнен из 2х частей 1800х800х760 мм внешняя опора и столешница выполнены из      не менее 22 мм  внутренняя опора 16 мм   а царге расположены декоративные панели в количестве 4 шт так же 16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v>
      </c>
    </row>
    <row r="3190" spans="1:8" ht="114.75" x14ac:dyDescent="0.2">
      <c r="A3190" s="31" t="s">
        <v>7563</v>
      </c>
      <c r="B3190" s="27" t="s">
        <v>7564</v>
      </c>
      <c r="C3190" s="27" t="s">
        <v>7565</v>
      </c>
      <c r="D3190" s="33" t="s">
        <v>14</v>
      </c>
      <c r="E3190" s="34">
        <v>2</v>
      </c>
      <c r="F3190" s="34">
        <v>59</v>
      </c>
      <c r="G3190" s="10">
        <v>446236</v>
      </c>
      <c r="H3190" s="30" t="str">
        <f ca="1">IFERROR(__xludf.DUMMYFUNCTION("LOWER(REGEXREPLACE(B3190&amp;"" ""&amp;C3190,""[^а-яa-z0-9 ]"","" ""))")," тол для конференций  столешница из щита дуба  металлокаркас из прямоугольной профильной трубы  размеры 2000х900х760 мм  толешница выполнена из щита дуба и покрыта защитным составом   толешница установлена на металлокаркас из прямоугольной профильной труб"&amp;"ы 50х25 мм толщиной не менее 1 2 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имеются 3 "&amp;"усилителя траверсы из профильной трубы 40х25 мм  толщиной не менее 1 2 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f>
        <v xml:space="preserve"> тол для конференций  столешница из щита дуба  металлокаркас из прямоугольной профильной трубы  размеры 2000х900х760 мм  толешница выполнена из щита дуба и покрыта защитным составом   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имеются 3 усилителя траверсы из профильной трубы 40х25 мм  толщиной не менее 1 2 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v>
      </c>
    </row>
    <row r="3191" spans="1:8" ht="114.75" x14ac:dyDescent="0.2">
      <c r="A3191" s="31" t="s">
        <v>7566</v>
      </c>
      <c r="B3191" s="27" t="s">
        <v>7567</v>
      </c>
      <c r="C3191" s="27" t="s">
        <v>7568</v>
      </c>
      <c r="D3191" s="33" t="s">
        <v>14</v>
      </c>
      <c r="E3191" s="34">
        <v>2</v>
      </c>
      <c r="F3191" s="34">
        <v>62</v>
      </c>
      <c r="G3191" s="10">
        <v>91183</v>
      </c>
      <c r="H3191" s="30" t="str">
        <f ca="1">IFERROR(__xludf.DUMMYFUNCTION("LOWER(REGEXREPLACE(B3191&amp;"" ""&amp;C3191,""[^а-яa-z0-9 ]"","" ""))")," тол для конференций  столешница из      22мм  кромка      металлокаркас из прямоугольной профильной трубы  размеры 2200х800х760 мм  толешница выполнена из      не менее 22мм  торцы отделаны кромкой     толщиной 2мм   толешница установлена на металлокарка"&amp;"с из прямоугольной профильной трубы 50х25мм толщиной не менее 1 2мм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равн"&amp;"ом расстоянии   ак же иметься 3 усилителя траверсы из профильной трубы 40х25мм  толщиной не менее 1 2мм  между опорами  которым в свою очередь крепятся с помощью болтов  6 с плоской головкой к кронштейнам на опоре    основании конструкции установлены регу"&amp;"лируемые опоры ")</f>
        <v xml:space="preserve"> тол для конференций  столешница из      22мм  кромка      металлокаркас из прямоугольной профильной трубы  размеры 2200х800х760 мм  толешница выполнена из      не менее 22мм  торцы отделаны кромкой     толщиной 2мм   толешница установлена на металлокаркас из прямоугольной профильной трубы 50х25мм толщиной не менее 1 2мм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иметься 3 усилителя траверсы из профильной трубы 40х25мм  толщиной не менее 1 2мм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v>
      </c>
    </row>
    <row r="3192" spans="1:8" ht="12.75" x14ac:dyDescent="0.2">
      <c r="A3192" s="31" t="s">
        <v>7569</v>
      </c>
      <c r="B3192" s="27" t="s">
        <v>7570</v>
      </c>
      <c r="C3192" s="27"/>
      <c r="D3192" s="33" t="s">
        <v>14</v>
      </c>
      <c r="E3192" s="9"/>
      <c r="F3192" s="32"/>
      <c r="G3192" s="10"/>
      <c r="H3192" s="30" t="str">
        <f ca="1">IFERROR(__xludf.DUMMYFUNCTION("LOWER(REGEXREPLACE(B3192&amp;"" ""&amp;C3192,""[^а-яa-z0-9 ]"","" ""))")," тол преподавателя ")</f>
        <v xml:space="preserve"> тол преподавателя </v>
      </c>
    </row>
    <row r="3193" spans="1:8" ht="25.5" x14ac:dyDescent="0.2">
      <c r="A3193" s="31" t="s">
        <v>7571</v>
      </c>
      <c r="B3193" s="8" t="s">
        <v>7572</v>
      </c>
      <c r="C3193" s="27" t="s">
        <v>7573</v>
      </c>
      <c r="D3193" s="33" t="s">
        <v>14</v>
      </c>
      <c r="E3193" s="9"/>
      <c r="F3193" s="32"/>
      <c r="G3193" s="10">
        <v>40960</v>
      </c>
      <c r="H3193" s="30" t="str">
        <f ca="1">IFERROR(__xludf.DUMMYFUNCTION("LOWER(REGEXREPLACE(B3193&amp;"" ""&amp;C3193,""[^а-яa-z0-9 ]"","" ""))")," тол преподавателя 1200х600х750 мм марки    07 19  тол однотумбовый   аркас цельносварная рамочная конструкция   толешница и тумба из      16 мм   азмеры  1200х600х750мм ")</f>
        <v xml:space="preserve"> тол преподавателя 1200х600х750 мм марки    07 19  тол однотумбовый   аркас цельносварная рамочная конструкция   толешница и тумба из      16 мм   азмеры  1200х600х750мм </v>
      </c>
    </row>
    <row r="3194" spans="1:8" ht="25.5" x14ac:dyDescent="0.2">
      <c r="A3194" s="31" t="s">
        <v>7574</v>
      </c>
      <c r="B3194" s="8" t="s">
        <v>7575</v>
      </c>
      <c r="C3194" s="27" t="s">
        <v>7573</v>
      </c>
      <c r="D3194" s="33" t="s">
        <v>14</v>
      </c>
      <c r="E3194" s="9"/>
      <c r="F3194" s="32"/>
      <c r="G3194" s="10">
        <v>46082</v>
      </c>
      <c r="H3194" s="30" t="str">
        <f ca="1">IFERROR(__xludf.DUMMYFUNCTION("LOWER(REGEXREPLACE(B3194&amp;"" ""&amp;C3194,""[^а-яa-z0-9 ]"","" ""))")," тол преподавателя 1200х600х750 мм марки    07 18  тол однотумбовый   аркас цельносварная рамочная конструкция   толешница и тумба из      16 мм   азмеры  1200х600х750мм ")</f>
        <v xml:space="preserve"> тол преподавателя 1200х600х750 мм марки    07 18  тол однотумбовый   аркас цельносварная рамочная конструкция   толешница и тумба из      16 мм   азмеры  1200х600х750мм </v>
      </c>
    </row>
    <row r="3195" spans="1:8" ht="25.5" x14ac:dyDescent="0.2">
      <c r="A3195" s="31" t="s">
        <v>7576</v>
      </c>
      <c r="B3195" s="8" t="s">
        <v>7577</v>
      </c>
      <c r="C3195" s="27" t="s">
        <v>7578</v>
      </c>
      <c r="D3195" s="33" t="s">
        <v>14</v>
      </c>
      <c r="E3195" s="9"/>
      <c r="F3195" s="34">
        <v>16</v>
      </c>
      <c r="G3195" s="10">
        <v>83794</v>
      </c>
      <c r="H3195" s="30" t="str">
        <f ca="1">IFERROR(__xludf.DUMMYFUNCTION("LOWER(REGEXREPLACE(B3195&amp;"" ""&amp;C3195,""[^а-яa-z0-9 ]"","" ""))")," тол преподавателя размер с     кромкой 1350х650х750 мм  тол преподавателя с     кромкой размер 1350х650х750 мм на 2 х металлических боковинах   снование металлокаркас")</f>
        <v xml:space="preserve"> тол преподавателя размер с     кромкой 1350х650х750 мм  тол преподавателя с     кромкой размер 1350х650х750 мм на 2 х металлических боковинах   снование металлокаркас</v>
      </c>
    </row>
    <row r="3196" spans="1:8" ht="63.75" x14ac:dyDescent="0.2">
      <c r="A3196" s="31" t="s">
        <v>7579</v>
      </c>
      <c r="B3196" s="8" t="s">
        <v>7580</v>
      </c>
      <c r="C3196" s="27" t="s">
        <v>7581</v>
      </c>
      <c r="D3196" s="33" t="s">
        <v>14</v>
      </c>
      <c r="E3196" s="9"/>
      <c r="F3196" s="34">
        <v>16</v>
      </c>
      <c r="G3196" s="10">
        <v>115181</v>
      </c>
      <c r="H3196" s="30" t="str">
        <f ca="1">IFERROR(__xludf.DUMMYFUNCTION("LOWER(REGEXREPLACE(B3196&amp;"" ""&amp;C3196,""[^а-яa-z0-9 ]"","" ""))")," тол преподавателя с полиуретановой кромкой размерами 1350х650х750 мм  тол на 2 х металлических боковинах  1350 650 750мм  соединенных между собой столешницей и царгой  изготовленных из        блицованные полиуретановой кромкой между двумя боковыми опорам"&amp;"и  изготовленные из плоскоовальной трубы 50х25х1 4 мм и круглой трубы диаметром 25х1 4 мм основного стола устанавливается царга")</f>
        <v xml:space="preserve"> тол преподавателя с полиуретановой кромкой размерами 1350х650х750 мм  тол на 2 х металлических боковинах  1350 650 750мм  соединенных между собой столешницей и царгой  изготовленных из        блицованные полиуретановой кромкой между двумя боковыми опорами  изготовленные из плоскоовальной трубы 50х25х1 4 мм и круглой трубы диаметром 25х1 4 мм основного стола устанавливается царга</v>
      </c>
    </row>
    <row r="3197" spans="1:8" ht="89.25" x14ac:dyDescent="0.2">
      <c r="A3197" s="31" t="s">
        <v>7582</v>
      </c>
      <c r="B3197" s="27" t="s">
        <v>7583</v>
      </c>
      <c r="C3197" s="27" t="s">
        <v>7584</v>
      </c>
      <c r="D3197" s="33" t="s">
        <v>14</v>
      </c>
      <c r="E3197" s="34">
        <v>2</v>
      </c>
      <c r="F3197" s="34">
        <v>19</v>
      </c>
      <c r="G3197" s="10">
        <v>95587</v>
      </c>
      <c r="H3197" s="30" t="str">
        <f ca="1">IFERROR(__xludf.DUMMYFUNCTION("LOWER(REGEXREPLACE(B3197&amp;"" ""&amp;C3197,""[^а-яa-z0-9 ]"","" ""))")," тол учителя 1350х650х760мм  столешница      22мм  каркас из профильной трубы 40х40мм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выпо"&amp;"лнен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изготовл"&amp;"ен из профильной трубы 40х40мм  покрытие полимернопорошковое ")</f>
        <v xml:space="preserve"> тол учителя 1350х650х760мм  столешница      22мм  каркас из профильной трубы 40х40мм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изготовлен из профильной трубы 40х40мм  покрытие полимернопорошковое </v>
      </c>
    </row>
    <row r="3198" spans="1:8" ht="89.25" x14ac:dyDescent="0.2">
      <c r="A3198" s="31" t="s">
        <v>7585</v>
      </c>
      <c r="B3198" s="27" t="s">
        <v>7586</v>
      </c>
      <c r="C3198" s="27" t="s">
        <v>7587</v>
      </c>
      <c r="D3198" s="33" t="s">
        <v>14</v>
      </c>
      <c r="E3198" s="34">
        <v>2</v>
      </c>
      <c r="F3198" s="34">
        <v>19</v>
      </c>
      <c r="G3198" s="10">
        <v>100090</v>
      </c>
      <c r="H3198" s="30" t="str">
        <f ca="1">IFERROR(__xludf.DUMMYFUNCTION("LOWER(REGEXREPLACE(B3198&amp;"" ""&amp;C3198,""[^а-яa-z0-9 ]"","" ""))")," тол учителя 1350х650х760мм  столешница      22мм  каркас из профильной трубы 60х15мм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выпо"&amp;"лнен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изготовле"&amp;"н из профильной трубы 60х15мм  покрытие полимернопорошковое ")</f>
        <v xml:space="preserve"> тол учителя 1350х650х760мм  столешница      22мм  каркас из профильной трубы 60х15мм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изготовлен из профильной трубы 60х15мм  покрытие полимернопорошковое </v>
      </c>
    </row>
    <row r="3199" spans="1:8" ht="76.5" x14ac:dyDescent="0.2">
      <c r="A3199" s="31" t="s">
        <v>7588</v>
      </c>
      <c r="B3199" s="27" t="s">
        <v>7589</v>
      </c>
      <c r="C3199" s="27" t="s">
        <v>7590</v>
      </c>
      <c r="D3199" s="33" t="s">
        <v>14</v>
      </c>
      <c r="E3199" s="34">
        <v>2</v>
      </c>
      <c r="F3199" s="34">
        <v>19</v>
      </c>
      <c r="G3199" s="10">
        <v>115571</v>
      </c>
      <c r="H3199" s="30" t="str">
        <f ca="1">IFERROR(__xludf.DUMMYFUNCTION("LOWER(REGEXREPLACE(B3199&amp;"" ""&amp;C3199,""[^а-яa-z0-9 ]"","" ""))")," тол учителя 1350х650х760мм  столешница      22мм  каркас цельносварной из квадратной профильной трубы 25х25мм  кромка      тол выполнен из высококачественного    т   толщиной не менее 22 мм  царга 16мм на основе термореактивных полимеров  класс эмиссии ф"&amp;"ормальдегид   1  1 сорт   ромка     толщиной не менее 1мм   арга состоит из 3 х частей   меется кабельканал   а столешнице углы закруглены   аркас стола цельносварной изготовлен из профильной трубы 25х25мм  покрытие полимернопорошковое ")</f>
        <v xml:space="preserve"> тол учителя 1350х650х760мм  столешница      22мм  каркас цельносварной из квадратной профильной трубы 25х25мм  кромка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арга состоит из 3 х частей   меется кабельканал   а столешнице углы закруглены   аркас стола цельносварной изготовлен из профильной трубы 25х25мм  покрытие полимернопорошковое </v>
      </c>
    </row>
    <row r="3200" spans="1:8" ht="76.5" x14ac:dyDescent="0.2">
      <c r="A3200" s="31" t="s">
        <v>7591</v>
      </c>
      <c r="B3200" s="27" t="s">
        <v>7592</v>
      </c>
      <c r="C3200" s="27" t="s">
        <v>7593</v>
      </c>
      <c r="D3200" s="33" t="s">
        <v>14</v>
      </c>
      <c r="E3200" s="34">
        <v>2</v>
      </c>
      <c r="F3200" s="34">
        <v>19</v>
      </c>
      <c r="G3200" s="10">
        <v>144159</v>
      </c>
      <c r="H3200" s="30" t="str">
        <f ca="1">IFERROR(__xludf.DUMMYFUNCTION("LOWER(REGEXREPLACE(B3200&amp;"" ""&amp;C3200,""[^а-яa-z0-9 ]"","" ""))")," тол учителя 1350х650х760мм  столешница      22мм  каркас из квадратной профильной трубы 30х30мм  кромка      тол выполнен из высококачественного    т   толщиной не менее 22 мм  на основе термореактивных полимеров  класс эмиссии формальдегид   1  1 сорт  "&amp;" ромка     толщиной не менее 2мм   арга изготовлена из     толщиной 16мм и обтянута пленкой      меется кабельканал   а столешнице углы закруглены   аркас стола цельносварной изготовлен из профильной трубы 30х30мм  покрытие полимернопорошковое ")</f>
        <v xml:space="preserve"> тол учителя 1350х650х760мм  столешница      22мм  каркас из квадратной профильной трубы 30х30мм  кромка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2мм   арга изготовлена из     толщиной 16мм и обтянута пленкой      меется кабельканал   а столешнице углы закруглены   аркас стола цельносварной изготовлен из профильной трубы 30х30мм  покрытие полимернопорошковое </v>
      </c>
    </row>
    <row r="3201" spans="1:8" ht="76.5" x14ac:dyDescent="0.2">
      <c r="A3201" s="31" t="s">
        <v>7594</v>
      </c>
      <c r="B3201" s="8" t="s">
        <v>7595</v>
      </c>
      <c r="C3201" s="27" t="s">
        <v>7596</v>
      </c>
      <c r="D3201" s="33" t="s">
        <v>14</v>
      </c>
      <c r="E3201" s="34">
        <v>2</v>
      </c>
      <c r="F3201" s="34">
        <v>33</v>
      </c>
      <c r="G3201" s="10">
        <v>44079</v>
      </c>
      <c r="H3201" s="30" t="str">
        <f ca="1">IFERROR(__xludf.DUMMYFUNCTION("LOWER(REGEXREPLACE(B3201&amp;"" ""&amp;C3201,""[^а-яa-z0-9 ]"","" ""))")," тол учителя 1300х650х760 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п"&amp;"олиэфирной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f>
        <v xml:space="preserve"> тол учителя 1300х650х760 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v>
      </c>
    </row>
    <row r="3202" spans="1:8" ht="127.5" x14ac:dyDescent="0.2">
      <c r="A3202" s="31" t="s">
        <v>7597</v>
      </c>
      <c r="B3202" s="27" t="s">
        <v>7598</v>
      </c>
      <c r="C3202" s="27" t="s">
        <v>7599</v>
      </c>
      <c r="D3202" s="33" t="s">
        <v>14</v>
      </c>
      <c r="E3202" s="34">
        <v>2</v>
      </c>
      <c r="F3202" s="34">
        <v>36</v>
      </c>
      <c r="G3202" s="10">
        <v>60763</v>
      </c>
      <c r="H3202" s="30" t="str">
        <f ca="1">IFERROR(__xludf.DUMMYFUNCTION("LOWER(REGEXREPLACE(B3202&amp;"" ""&amp;C3202,""[^а-яa-z0-9 ]"","" ""))")," тол учителя с полкой для    1300х650х760мм   толешница      22 мм  кромка     2 мм  тол учительский с полкой для      толешница      22 мм  цвет ясень и серый камень   ромка     2 мм   зделие базируется на прочном разборном каркасе из стальной трубы прям"&amp;"оугольного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4"&amp;" винтами  6х20   редусмотрена полка под системный блок компьютера  изготовленной из листа металла толщиной 1 5 мм  размер глубина 456 мм  ширина 200 мм   меются технологические отверстия для крепежа системного блока    к полке с помощью ремней ")</f>
        <v xml:space="preserve"> тол учителя с полкой для    1300х650х760мм   толешница      22 мм  кромка     2 мм  тол учительский с полкой для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полка под системный блок компьютера  изготовленной из листа металла толщиной 1 5 мм  размер глубина 456 мм  ширина 200 мм   меются технологические отверстия для крепежа системного блока    к полке с помощью ремней </v>
      </c>
    </row>
    <row r="3203" spans="1:8" ht="51" x14ac:dyDescent="0.2">
      <c r="A3203" s="31" t="s">
        <v>7600</v>
      </c>
      <c r="B3203" s="27" t="s">
        <v>7601</v>
      </c>
      <c r="C3203" s="27" t="s">
        <v>7602</v>
      </c>
      <c r="D3203" s="33" t="s">
        <v>14</v>
      </c>
      <c r="E3203" s="34">
        <v>2</v>
      </c>
      <c r="F3203" s="34">
        <v>17</v>
      </c>
      <c r="G3203" s="10">
        <v>81002</v>
      </c>
      <c r="H3203" s="30" t="str">
        <f ca="1">IFERROR(__xludf.DUMMYFUNCTION("LOWER(REGEXREPLACE(B3203&amp;"" ""&amp;C3203,""[^а-яa-z0-9 ]"","" ""))")," тол учителя 1200х600х750мм   толешница и полки из      16 мм  кромка     1мм   олка под процессор  тол учителя   тол размером 1200х600х750мм   толешница стола и полки из      16 мм   оковые торцы стола облицована кромкой     1 мм   становлена полка под п"&amp;"роцессор   аркас и ножки стола изготовлены из профильной трубы окрашенные в полимерно порошковую краску ")</f>
        <v xml:space="preserve"> тол учителя 1200х600х750мм   толешница и полки из      16 мм  кромка     1мм   олка под процессор  тол учителя   тол размером 1200х600х750мм   толешница стола и полки из      16 мм   оковые торцы стола облицована кромкой     1 мм   становлена полка под процессор   аркас и ножки стола изготовлены из профильной трубы окрашенные в полимерно порошковую краску </v>
      </c>
    </row>
    <row r="3204" spans="1:8" ht="153" x14ac:dyDescent="0.2">
      <c r="A3204" s="31" t="s">
        <v>7603</v>
      </c>
      <c r="B3204" s="27" t="s">
        <v>7604</v>
      </c>
      <c r="C3204" s="27" t="s">
        <v>7605</v>
      </c>
      <c r="D3204" s="33" t="s">
        <v>14</v>
      </c>
      <c r="E3204" s="34">
        <v>2</v>
      </c>
      <c r="F3204" s="34">
        <v>49</v>
      </c>
      <c r="G3204" s="10">
        <v>97626</v>
      </c>
      <c r="H3204" s="30" t="str">
        <f ca="1">IFERROR(__xludf.DUMMYFUNCTION("LOWER(REGEXREPLACE(B3204&amp;"" ""&amp;C3204,""[^а-яa-z0-9 ]"","" ""))")," тол с подвесной тумбой  размеры 1200х650х750 мм  столешница из      толщиной 22мм  металлический цельносварной каркас  тол с подвесной тумбой 1200х650х750 мм   абаритные размеры 1200х650х760 мм  столешница      не менее 22 мм  закреплена на металлическом"&amp;"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фи"&amp;"ксируется на саморезы через дополнительные трубы 250мм соединенные с верхней частью рамы   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направляющ"&amp;"ие полновыкатные 450 мм с доводчиком  на фасадах расположена ручка 96мм    опорах установлены регулируемые опоры для избежание повреждения полового покрытия ")</f>
        <v xml:space="preserve"> тол с подвесной тумбой  размеры 1200х650х750 мм  столешница из      толщиной 22мм  металлический цельносварной каркас  тол с подвесной тумбой 1200х650х750 мм   абаритные размеры 1200х650х760 мм  столешница      не менее 22 мм  закреплена на металлическом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опорах установлены регулируемые опоры для избежание повреждения полового покрытия </v>
      </c>
    </row>
    <row r="3205" spans="1:8" ht="165.75" x14ac:dyDescent="0.2">
      <c r="A3205" s="31" t="s">
        <v>7606</v>
      </c>
      <c r="B3205" s="27" t="s">
        <v>7607</v>
      </c>
      <c r="C3205" s="27" t="s">
        <v>7608</v>
      </c>
      <c r="D3205" s="33" t="s">
        <v>14</v>
      </c>
      <c r="E3205" s="34">
        <v>2</v>
      </c>
      <c r="F3205" s="34">
        <v>63</v>
      </c>
      <c r="G3205" s="10">
        <v>131890</v>
      </c>
      <c r="H3205" s="30" t="str">
        <f ca="1">IFERROR(__xludf.DUMMYFUNCTION("LOWER(REGEXREPLACE(B3205&amp;"" ""&amp;C3205,""[^а-яa-z0-9 ]"","" ""))")," тол преподавателя  размеры 1800х800х780 мм  столешница из      толщиной 22мм  металлический каркас  абаритные размеры столешницы 1800х800 мм   ысота верхнего края столешницы над уровнем пола 760 мм   атериал столешницы      толщиной 22 мм   орцы столешни"&amp;"цы отделаны кромкой     толщиной 2мм   толешница крепится к металлокаркасу саморезами методом скрытого соединения   тол состоит из боковой опоры  г образной угловой формы  изготовленный из профильной трубы квадратного сечения 40х40х1 2 мм   акже имеется м"&amp;"еталлическая опора под тумбой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ице"&amp;"вая сторона стола закрыта царгой    правом углу столешницы предусмотрено отверстие с крышкой для соединительных проводов   умба с 4 выдвижными ящиками на направляющих полного выдвижения  габаритные размеры  глубина 700 мм х ширина 450 мм   а тумбе располо"&amp;"жена опора под столешницу ")</f>
        <v xml:space="preserve"> тол преподавателя  размеры 1800х800х780 мм  столешница из      толщиной 22мм  металлический каркас  абаритные размеры столешницы 1800х800 мм   ысота верхнего края столешницы над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г образной угловой формы  изготовленный из профильной трубы квадратного сечения 40х40х1 2 мм   акже имеется металлическая опора под тумбой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4 выдвижными ящиками на направляющих полного выдвижения  габаритные размеры  глубина 700 мм х ширина 450 мм   а тумбе расположена опора под столешницу </v>
      </c>
    </row>
    <row r="3206" spans="1:8" ht="12.75" x14ac:dyDescent="0.2">
      <c r="A3206" s="31" t="s">
        <v>7609</v>
      </c>
      <c r="B3206" s="27" t="s">
        <v>7610</v>
      </c>
      <c r="C3206" s="27"/>
      <c r="D3206" s="33" t="s">
        <v>14</v>
      </c>
      <c r="E3206" s="9"/>
      <c r="F3206" s="32"/>
      <c r="G3206" s="10"/>
      <c r="H3206" s="30" t="str">
        <f ca="1">IFERROR(__xludf.DUMMYFUNCTION("LOWER(REGEXREPLACE(B3206&amp;"" ""&amp;C3206,""[^а-яa-z0-9 ]"","" ""))")," тол ученический одноместный ")</f>
        <v xml:space="preserve"> тол ученический одноместный </v>
      </c>
    </row>
    <row r="3207" spans="1:8" ht="38.25" x14ac:dyDescent="0.2">
      <c r="A3207" s="31" t="s">
        <v>7611</v>
      </c>
      <c r="B3207" s="27" t="s">
        <v>7612</v>
      </c>
      <c r="C3207" s="27" t="s">
        <v>7613</v>
      </c>
      <c r="D3207" s="33" t="s">
        <v>14</v>
      </c>
      <c r="E3207" s="9"/>
      <c r="F3207" s="32"/>
      <c r="G3207" s="10">
        <v>16110</v>
      </c>
      <c r="H3207" s="30" t="str">
        <f ca="1">IFERROR(__xludf.DUMMYFUNCTION("LOWER(REGEXREPLACE(B3207&amp;"" ""&amp;C3207,""[^а-яa-z0-9 ]"","" ""))")," тол ученический одноместный регулируемый по высоте 700х500х580 760мм    85 13   1  тол ученический одноместный регулируемый по высоте   азмер 700х500х580 760мм   толешница      16мм   снование металлокаркас ")</f>
        <v xml:space="preserve"> тол ученический одноместный регулируемый по высоте 700х500х580 760мм    85 13   1  тол ученический одноместный регулируемый по высоте   азмер 700х500х580 760мм   толешница      16мм   снование металлокаркас </v>
      </c>
    </row>
    <row r="3208" spans="1:8" ht="25.5" x14ac:dyDescent="0.2">
      <c r="A3208" s="31" t="s">
        <v>7614</v>
      </c>
      <c r="B3208" s="27" t="s">
        <v>7615</v>
      </c>
      <c r="C3208" s="27" t="s">
        <v>7616</v>
      </c>
      <c r="D3208" s="33" t="s">
        <v>14</v>
      </c>
      <c r="E3208" s="9"/>
      <c r="F3208" s="32"/>
      <c r="G3208" s="10">
        <v>13063</v>
      </c>
      <c r="H3208" s="30" t="str">
        <f ca="1">IFERROR(__xludf.DUMMYFUNCTION("LOWER(REGEXREPLACE(B3208&amp;"" ""&amp;C3208,""[^а-яa-z0-9 ]"","" ""))")," тол ученический одноместный 700х500х760мм  тр20х20     85 13 1  тол ученический одноместный   азмер 700х500х760мм   толешница      16мм   снование металлокаркас ")</f>
        <v xml:space="preserve"> тол ученический одноместный 700х500х760мм  тр20х20     85 13 1  тол ученический одноместный   азмер 700х500х760мм   толешница      16мм   снование металлокаркас </v>
      </c>
    </row>
    <row r="3209" spans="1:8" ht="76.5" x14ac:dyDescent="0.2">
      <c r="A3209" s="31" t="s">
        <v>7617</v>
      </c>
      <c r="B3209" s="27" t="s">
        <v>7618</v>
      </c>
      <c r="C3209" s="27" t="s">
        <v>7619</v>
      </c>
      <c r="D3209" s="33" t="s">
        <v>14</v>
      </c>
      <c r="E3209" s="34">
        <v>2</v>
      </c>
      <c r="F3209" s="34">
        <v>10</v>
      </c>
      <c r="G3209" s="10">
        <v>31563</v>
      </c>
      <c r="H3209" s="30" t="str">
        <f ca="1">IFERROR(__xludf.DUMMYFUNCTION("LOWER(REGEXREPLACE(B3209&amp;"" ""&amp;C3209,""[^а-яa-z0-9 ]"","" ""))")," тол ученический одноместный регулируемый по высоте с     кромкой   толешница      22мм  основание металлокаркас   азмер столешницы 600х500мм  тол состоит сборно разборного каркаса плоскоовальной трубы 50 25 1 2мм и 40 25 1 4мм регулируемые по высоте и ст"&amp;"олешницы из      толщиной не менее 22 мм с кромкой       толешница имеет размеры 600х500мм   орцевые края должны быть облицованы материалом кромочным из       крашена полимерное  порошковая краска  любого цвета ")</f>
        <v xml:space="preserve"> тол ученический одноместный регулируемый по высоте с     кромкой   толешница      22мм  основание металлокаркас   азмер столешницы 600х500мм  тол состоит сборно разборного каркаса плоскоовальной трубы 50 25 1 2мм и 40 25 1 4мм регулируемые по высоте и столешницы из      толщиной не менее 22 мм с кромкой       толешница имеет размеры 600х500мм   орцевые края должны быть облицованы материалом кромочным из       крашена полимерное  порошковая краска  любого цвета </v>
      </c>
    </row>
    <row r="3210" spans="1:8" ht="76.5" x14ac:dyDescent="0.2">
      <c r="A3210" s="31" t="s">
        <v>7620</v>
      </c>
      <c r="B3210" s="8" t="s">
        <v>7621</v>
      </c>
      <c r="C3210" s="27" t="s">
        <v>7622</v>
      </c>
      <c r="D3210" s="33" t="s">
        <v>14</v>
      </c>
      <c r="E3210" s="34">
        <v>2</v>
      </c>
      <c r="F3210" s="34">
        <v>10</v>
      </c>
      <c r="G3210" s="10">
        <v>38093</v>
      </c>
      <c r="H3210" s="30" t="str">
        <f ca="1">IFERROR(__xludf.DUMMYFUNCTION("LOWER(REGEXREPLACE(B3210&amp;"" ""&amp;C3210,""[^а-яa-z0-9 ]"","" ""))")," тол ученический одноместный регулируемый по высоте с полиуретановой кромкой   толешница      22мм  основание металлокаркас   азмер столешницы 600х500мм  тол состоит сборно разборного каркаса плоскоовальной трубы 50 25 1 2мм и 40 20 1 4мм регулируемые по "&amp;"высоте и столешницы из      толщиной не менее 22 мм   толешница имеет размеры 600х500мм   орцевые края должны быть облицованы полиуретановым материалом   крашена полимерное  порошковая краска  любого цвета ")</f>
        <v xml:space="preserve"> тол ученический одноместный регулируемый по высоте с полиуретановой кромкой   толешница      22мм  основание металлокаркас   азмер столешницы 600х500мм  тол состоит сборно разборного каркаса плоскоовальной трубы 50 25 1 2мм и 40 20 1 4мм регулируемые по высоте и столешницы из      толщиной не менее 22 мм   толешница имеет размеры 600х500мм   орцевые края должны быть облицованы полиуретановым материалом   крашена полимерное  порошковая краска  любого цвета </v>
      </c>
    </row>
    <row r="3211" spans="1:8" ht="51" x14ac:dyDescent="0.2">
      <c r="A3211" s="31" t="s">
        <v>7623</v>
      </c>
      <c r="B3211" s="27" t="s">
        <v>7624</v>
      </c>
      <c r="C3211" s="27" t="s">
        <v>7624</v>
      </c>
      <c r="D3211" s="33" t="s">
        <v>14</v>
      </c>
      <c r="E3211" s="9"/>
      <c r="F3211" s="32"/>
      <c r="G3211" s="10">
        <v>37051</v>
      </c>
      <c r="H3211" s="30" t="str">
        <f ca="1">IFERROR(__xludf.DUMMYFUNCTION("LOWER(REGEXREPLACE(B3211&amp;"" ""&amp;C3211,""[^а-яa-z0-9 ]"","" ""))")," тол ученический одноместный не регулируемый   толешница      32мм  основание металлокаркас   азмер столешницы 700х500х640 710 760 мм  тол ученический одноместный не регулируемый   толешница      32мм  основание металлокаркас   азмер столешницы 700х500х64"&amp;"0 710 760 мм")</f>
        <v xml:space="preserve"> тол ученический одноместный не регулируемый   толешница      32мм  основание металлокаркас   азмер столешницы 700х500х640 710 760 мм  тол ученический одноместный не регулируемый   толешница      32мм  основание металлокаркас   азмер столешницы 700х500х640 710 760 мм</v>
      </c>
    </row>
    <row r="3212" spans="1:8" ht="51" x14ac:dyDescent="0.2">
      <c r="A3212" s="31" t="s">
        <v>7625</v>
      </c>
      <c r="B3212" s="27" t="s">
        <v>7626</v>
      </c>
      <c r="C3212" s="27" t="s">
        <v>7626</v>
      </c>
      <c r="D3212" s="33" t="s">
        <v>14</v>
      </c>
      <c r="E3212" s="9"/>
      <c r="F3212" s="32"/>
      <c r="G3212" s="10">
        <v>24281</v>
      </c>
      <c r="H3212" s="30" t="str">
        <f ca="1">IFERROR(__xludf.DUMMYFUNCTION("LOWER(REGEXREPLACE(B3212&amp;"" ""&amp;C3212,""[^а-яa-z0-9 ]"","" ""))")," тол ученический одноместный регулируемый по высоте с     кромкой   толешница      16мм  основание металлокаркас   азмер столешницы 630 450мм   тол ученический одноместный регулируемый по высоте с     кромкой   толешница      16мм  основание металлокаркас"&amp;"   азмер столешницы 630 450мм ")</f>
        <v xml:space="preserve"> тол ученический одноместный регулируемый по высоте с     кромкой   толешница      16мм  основание металлокаркас   азмер столешницы 630 450мм   тол ученический одноместный регулируемый по высоте с     кромкой   толешница      16мм  основание металлокаркас   азмер столешницы 630 450мм </v>
      </c>
    </row>
    <row r="3213" spans="1:8" ht="51" x14ac:dyDescent="0.2">
      <c r="A3213" s="31" t="s">
        <v>7627</v>
      </c>
      <c r="B3213" s="8" t="s">
        <v>7628</v>
      </c>
      <c r="C3213" s="27" t="s">
        <v>7629</v>
      </c>
      <c r="D3213" s="33" t="s">
        <v>14</v>
      </c>
      <c r="E3213" s="9"/>
      <c r="F3213" s="32"/>
      <c r="G3213" s="10">
        <v>22482</v>
      </c>
      <c r="H3213" s="30" t="str">
        <f ca="1">IFERROR(__xludf.DUMMYFUNCTION("LOWER(REGEXREPLACE(B3213&amp;"" ""&amp;C3213,""[^а-яa-z0-9 ]"","" ""))")," тол ученический одноместный не регулируемый с     кромкой   толешница      16мм  основание металлокаркас   азмер столешницы 630 450мм  тол ученический одноместный не регулируемый с     кромкой   толешница      16мм  основание металлокаркас   азмер столеш"&amp;"ницы 630 450мм")</f>
        <v xml:space="preserve"> тол ученический одноместный не регулируемый с     кромкой   толешница      16мм  основание металлокаркас   азмер столешницы 630 450мм  тол ученический одноместный не регулируемый с     кромкой   толешница      16мм  основание металлокаркас   азмер столешницы 630 450мм</v>
      </c>
    </row>
    <row r="3214" spans="1:8" ht="63.75" x14ac:dyDescent="0.2">
      <c r="A3214" s="31" t="s">
        <v>7630</v>
      </c>
      <c r="B3214" s="27" t="s">
        <v>7631</v>
      </c>
      <c r="C3214" s="27" t="s">
        <v>7631</v>
      </c>
      <c r="D3214" s="33" t="s">
        <v>14</v>
      </c>
      <c r="E3214" s="9"/>
      <c r="F3214" s="32"/>
      <c r="G3214" s="10">
        <v>27878</v>
      </c>
      <c r="H3214" s="30" t="str">
        <f ca="1">IFERROR(__xludf.DUMMYFUNCTION("LOWER(REGEXREPLACE(B3214&amp;"" ""&amp;C3214,""[^а-яa-z0-9 ]"","" ""))"),"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тол ученический одноместный для групповых работ   толешница 690 590мм       22"&amp;"мм   аркас   цельносварная металлическая труба диаметром 50х25х1 5мм  труба усилитель 25х20х1мм ")</f>
        <v xml:space="preserve">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v>
      </c>
    </row>
    <row r="3215" spans="1:8" ht="63.75" x14ac:dyDescent="0.2">
      <c r="A3215" s="31" t="s">
        <v>7632</v>
      </c>
      <c r="B3215" s="27" t="s">
        <v>7633</v>
      </c>
      <c r="C3215" s="27" t="s">
        <v>7633</v>
      </c>
      <c r="D3215" s="33" t="s">
        <v>14</v>
      </c>
      <c r="E3215" s="9"/>
      <c r="F3215" s="32"/>
      <c r="G3215" s="10">
        <v>26979</v>
      </c>
      <c r="H3215" s="30" t="str">
        <f ca="1">IFERROR(__xludf.DUMMYFUNCTION("LOWER(REGEXREPLACE(B3215&amp;"" ""&amp;C3215,""[^а-яa-z0-9 ]"","" ""))"),"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тол ученический одноместный для групповых работ   толешница 730 790мм  "&amp;"     22мм   аркас   цельносварная металлическая круглая труба диаметром 32х1 2мм  труба усилитель 40х20х1 5мм ")</f>
        <v xml:space="preserve">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v>
      </c>
    </row>
    <row r="3216" spans="1:8" ht="153" x14ac:dyDescent="0.2">
      <c r="A3216" s="31" t="s">
        <v>7634</v>
      </c>
      <c r="B3216" s="27" t="s">
        <v>7635</v>
      </c>
      <c r="C3216" s="27" t="s">
        <v>7636</v>
      </c>
      <c r="D3216" s="33" t="s">
        <v>14</v>
      </c>
      <c r="E3216" s="34">
        <v>2</v>
      </c>
      <c r="F3216" s="35">
        <v>11.8</v>
      </c>
      <c r="G3216" s="10">
        <v>54902</v>
      </c>
      <c r="H3216" s="30" t="str">
        <f ca="1">IFERROR(__xludf.DUMMYFUNCTION("LOWER(REGEXREPLACE(B3216&amp;"" ""&amp;C3216,""[^а-яa-z0-9 ]"","" ""))")," тол ученический одноместный регулируемый по высоте с полипропиленовой кромкой   толешница      22мм  встроенный пенал  основание металлокаркас   азмер столешницы 700х500мм  тол ученический одноместный в основе имеет полностью сварной металлический каркас"&amp;"   азмер столешницы 700х500мм   ысота стола регулируемая не менее 700 760мм и 580 640 мм    толешница из      имеет размеры 700х500мм и высоту 22 мм   цвет по согласованию с заказчиком   орцевые части выполнены из полипропиленового пластика серого цвета и"&amp;"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плоско"&amp;"овальных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заказчика  ")</f>
        <v xml:space="preserve"> тол ученический одноместный регулируемый по высоте с полипропиленовой кромкой   толешница      22мм  встроенный пенал  основание металлокаркас   азмер столешницы 700х500мм  тол ученический одноместный в основе имеет полностью сварной металлический каркас   азмер столешницы 700х500мм   ысота стола регулируемая не менее 700 760мм и 580 640 мм    толешница из      имеет размеры 700х500мм и высоту 22 мм   цвет по согласованию с заказчиком   орцевые части выполнены из полипропиленового пластика серого цвета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заказчика  </v>
      </c>
    </row>
    <row r="3217" spans="1:8" ht="114.75" x14ac:dyDescent="0.2">
      <c r="A3217" s="31" t="s">
        <v>7637</v>
      </c>
      <c r="B3217" s="27" t="s">
        <v>7638</v>
      </c>
      <c r="C3217" s="27" t="s">
        <v>7639</v>
      </c>
      <c r="D3217" s="33" t="s">
        <v>14</v>
      </c>
      <c r="E3217" s="34">
        <v>2</v>
      </c>
      <c r="F3217" s="34">
        <v>32</v>
      </c>
      <c r="G3217" s="10">
        <v>32319</v>
      </c>
      <c r="H3217" s="30" t="str">
        <f ca="1">IFERROR(__xludf.DUMMYFUNCTION("LOWER(REGEXREPLACE(B3217&amp;"" ""&amp;C3217,""[^а-яa-z0-9 ]"","" ""))")," тол ученический одноместный регулируемый по высоте с     кромкой   толешница      18мм  основание металлокаркас   азмер столешницы 600х500мм  тол ученический одноместный в основе имеет сварной металлический каркас   азмер столешницы 600х500мм   ысота сто"&amp;"ла регулируемая   толешница из      имеет размеры 600х500мм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крас"&amp;"кой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f>
        <v xml:space="preserve"> тол ученический одноместный регулируемый по высоте с     кромкой   толешница      18мм  основание металлокаркас   азмер столешницы 600х500мм  тол ученический одноместный в основе имеет сварной металлический каркас   азмер столешницы 600х500мм   ысота стола регулируемая   толешница из      имеет размеры 600х500мм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v>
      </c>
    </row>
    <row r="3218" spans="1:8" ht="114.75" x14ac:dyDescent="0.2">
      <c r="A3218" s="31" t="s">
        <v>7640</v>
      </c>
      <c r="B3218" s="8" t="s">
        <v>7641</v>
      </c>
      <c r="C3218" s="27" t="s">
        <v>7642</v>
      </c>
      <c r="D3218" s="33" t="s">
        <v>14</v>
      </c>
      <c r="E3218" s="34">
        <v>2</v>
      </c>
      <c r="F3218" s="34">
        <v>18</v>
      </c>
      <c r="G3218" s="10">
        <v>52229</v>
      </c>
      <c r="H3218" s="30" t="str">
        <f ca="1">IFERROR(__xludf.DUMMYFUNCTION("LOWER(REGEXREPLACE(B3218&amp;"" ""&amp;C3218,""[^а-яa-z0-9 ]"","" ""))")," тол ученический одноместный  с сиденьем  не регулируемый по высоте с     кромкой   толешница      16мм  основание металлокаркас   азмер столешницы 600х500мм  сиденья 600х275мм  спинки 600х250мм  тол ученический одноместный  с сиденьем  в основе имеет сва"&amp;"рной металлический каркас   азмер столешницы 600х500мм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п"&amp;"орошковой краской  цвет по согласованию с заказчиком   орцевые края облицованы материалом кромочным из       иденье изготовлено из      16 мм  размер 600х275мм   пинка изготовлена из      16 мм  размер 600х250мм ")</f>
        <v xml:space="preserve"> тол ученический одноместный  с сиденьем  не регулируемый по высоте с     кромкой   толешница      16мм  основание металлокаркас   азмер столешницы 600х500мм  сиденья 600х275мм  спинки 600х250мм  тол ученический одноместный  с сиденьем  в основе имеет сварной металлический каркас   азмер столешницы 600х500мм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порошковой краской  цвет по согласованию с заказчиком   орцевые края облицованы материалом кромочным из       иденье изготовлено из      16 мм  размер 600х275мм   пинка изготовлена из      16 мм  размер 600х250мм </v>
      </c>
    </row>
    <row r="3219" spans="1:8" ht="76.5" x14ac:dyDescent="0.2">
      <c r="A3219" s="31" t="s">
        <v>7643</v>
      </c>
      <c r="B3219" s="27" t="s">
        <v>7644</v>
      </c>
      <c r="C3219" s="27" t="s">
        <v>7645</v>
      </c>
      <c r="D3219" s="33" t="s">
        <v>14</v>
      </c>
      <c r="E3219" s="34">
        <v>2</v>
      </c>
      <c r="F3219" s="34">
        <v>15</v>
      </c>
      <c r="G3219" s="10">
        <v>68292</v>
      </c>
      <c r="H3219" s="30" t="str">
        <f ca="1">IFERROR(__xludf.DUMMYFUNCTION("LOWER(REGEXREPLACE(B3219&amp;"" ""&amp;C3219,""[^а-яa-z0-9 ]"","" ""))")," тол ученический одноместный не регулируемый по высоте с     кромкой   толешница      типа       32мм  основание металлокаркас   азмер столешницы 700х600 мм  азмер 700х600х750 мм   вет бежевый   атериал         типа         аркас   металл    аркас разборн"&amp;"ый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f>
        <v xml:space="preserve"> тол ученический одноместный не регулируемый по высоте с     кромкой   толешница      типа       32мм  основание металлокаркас   азмер столешницы 700х600 мм  азмер 700х600х750 мм   вет бежевый   атериал         типа         аркас   металл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v>
      </c>
    </row>
    <row r="3220" spans="1:8" ht="178.5" x14ac:dyDescent="0.2">
      <c r="A3220" s="31" t="s">
        <v>7646</v>
      </c>
      <c r="B3220" s="27" t="s">
        <v>7647</v>
      </c>
      <c r="C3220" s="27" t="s">
        <v>7648</v>
      </c>
      <c r="D3220" s="33" t="s">
        <v>14</v>
      </c>
      <c r="E3220" s="34">
        <v>2</v>
      </c>
      <c r="F3220" s="34">
        <v>10</v>
      </c>
      <c r="G3220" s="10">
        <v>43609</v>
      </c>
      <c r="H3220" s="30" t="str">
        <f ca="1">IFERROR(__xludf.DUMMYFUNCTION("LOWER(REGEXREPLACE(B3220&amp;"" ""&amp;C3220,""[^а-яa-z0-9 ]"","" ""))")," тол ученический одноместный регулируемый по высоте от 640 до 760 мм  с     кромкой   толешница      22мм  основание металлокаркас   азмер столешницы 700х500мм  тол ученический одноместный в основе имеет сборно разборный металлический каркас   азмер столе"&amp;"шницы 700х500мм   ысота стола регулируемая от 640 до 760 мм    толешница из      имеет размеры 700х500мм и толщину 22 мм  цвет по согласованию с заказчиком   борно разборный каркас парты изготавливается из стальных плоскоовальных труб размерами 50 25 1 5 "&amp;"и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радиус"&amp;"ом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основании"&amp;" ножек и переходник пластиковые черного цвета ")</f>
        <v xml:space="preserve"> тол ученический одноместный регулируемый по высоте от 640 до 760 мм  с     кромкой   толешница      22мм  основание металлокаркас   азмер столешницы 700х500мм  тол ученический одноместный в основе имеет сборно разборный металлический каркас   азмер столешницы 700х500мм   ысота стола регулируемая от 640 до 760 мм    толешница из      имеет размеры 700х500мм и толщину 22 мм  цвет по согласованию с заказчиком   борно разборный каркас парты изготавливается из стальных плоскоовальных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 ножек и переходник пластиковые черного цвета </v>
      </c>
    </row>
    <row r="3221" spans="1:8" ht="114.75" x14ac:dyDescent="0.2">
      <c r="A3221" s="31" t="s">
        <v>7649</v>
      </c>
      <c r="B3221" s="27" t="s">
        <v>7650</v>
      </c>
      <c r="C3221" s="27" t="s">
        <v>7651</v>
      </c>
      <c r="D3221" s="33" t="s">
        <v>14</v>
      </c>
      <c r="E3221" s="34">
        <v>2</v>
      </c>
      <c r="F3221" s="34">
        <v>17</v>
      </c>
      <c r="G3221" s="10">
        <v>62373</v>
      </c>
      <c r="H3221" s="30" t="str">
        <f ca="1">IFERROR(__xludf.DUMMYFUNCTION("LOWER(REGEXREPLACE(B3221&amp;"" ""&amp;C3221,""[^а-яa-z0-9 ]"","" ""))")," тол ученический одноместный регулируемый по высоте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стол"&amp;"а регулируемая от 640 до 760 мм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п"&amp;"олимерно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xml:space="preserve"> тол ученический одноместный регулируемый по высоте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2" spans="1:8" ht="127.5" x14ac:dyDescent="0.2">
      <c r="A3222" s="31" t="s">
        <v>7652</v>
      </c>
      <c r="B3222" s="27" t="s">
        <v>7653</v>
      </c>
      <c r="C3222" s="27" t="s">
        <v>7654</v>
      </c>
      <c r="D3222" s="33" t="s">
        <v>14</v>
      </c>
      <c r="E3222" s="34">
        <v>2</v>
      </c>
      <c r="F3222" s="34">
        <v>18</v>
      </c>
      <c r="G3222" s="10">
        <v>65898</v>
      </c>
      <c r="H3222" s="30" t="str">
        <f ca="1">IFERROR(__xludf.DUMMYFUNCTION("LOWER(REGEXREPLACE(B3222&amp;"" ""&amp;C3222,""[^а-яa-z0-9 ]"","" ""))")," тол ученический одноместный регулируемый по высоте и наклону столешницы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6"&amp;"00 450мм   ысота стола регулируемая от 640 до 760 мм   аклон столешницы регулируется от 0 до 45 градусов   толешница из  erzalit имеет размеры 600 450мм и толщину 23мм  цвет по согласованию с заказчиком   борно разборный каркас парты изготавливается из ст"&amp;"альных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"&amp;"комплектуется по запросу заказчика ")</f>
        <v xml:space="preserve"> тол ученический одноместный регулируемый по высоте и наклону столешницы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аклон столешницы регулируется от 0 до 45 градусов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3" spans="1:8" ht="127.5" x14ac:dyDescent="0.2">
      <c r="A3223" s="31" t="s">
        <v>7655</v>
      </c>
      <c r="B3223" s="8" t="s">
        <v>7656</v>
      </c>
      <c r="C3223" s="27" t="s">
        <v>7657</v>
      </c>
      <c r="D3223" s="33" t="s">
        <v>14</v>
      </c>
      <c r="E3223" s="34">
        <v>2</v>
      </c>
      <c r="F3223" s="34">
        <v>17</v>
      </c>
      <c r="G3223" s="10">
        <v>38376</v>
      </c>
      <c r="H3223" s="30" t="str">
        <f ca="1">IFERROR(__xludf.DUMMYFUNCTION("LOWER(REGEXREPLACE(B3223&amp;"" ""&amp;C3223,""[^а-яa-z0-9 ]"","" ""))")," тол ученический одноместный регулируемый по высоте и наклону столешницы с     кромкой   толешница      22мм  основание металлокаркас   азмер столешницы 600 500мм  тол ученический одноместный в основе имеет сборно разборный металлический каркас   азмер ст"&amp;"олешницы 600 500мм   ысота стола регулируемая от 640 до 760 мм   аклон столешницы регулируется от 0 до 45 градусов   толешница из      имеет размеры 600 500мм и толщину 22мм  цвет по согласованию с заказчиком   борно разборный каркас парты изготавливается"&amp;"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в"&amp;"ыполненная из металла  ввиде сетки   омплектуется по запросу заказчика ")</f>
        <v xml:space="preserve"> тол ученический одноместный регулируемый по высоте и наклону столешницы с     кромкой   толешница      22мм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аклон столешницы регулируется от 0 до 45 градусов   толешница из      имеет размеры 600 500мм и толщину 22мм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омплектуется по запросу заказчика </v>
      </c>
    </row>
    <row r="3224" spans="1:8" ht="114.75" x14ac:dyDescent="0.2">
      <c r="A3224" s="31" t="s">
        <v>7658</v>
      </c>
      <c r="B3224" s="27" t="s">
        <v>7659</v>
      </c>
      <c r="C3224" s="27" t="s">
        <v>7660</v>
      </c>
      <c r="D3224" s="33" t="s">
        <v>14</v>
      </c>
      <c r="E3224" s="34">
        <v>2</v>
      </c>
      <c r="F3224" s="34">
        <v>16</v>
      </c>
      <c r="G3224" s="10">
        <v>35296</v>
      </c>
      <c r="H3224" s="30" t="str">
        <f ca="1">IFERROR(__xludf.DUMMYFUNCTION("LOWER(REGEXREPLACE(B3224&amp;"" ""&amp;C3224,""[^а-яa-z0-9 ]"","" ""))")," тол ученический одноместный регулируемый по высоте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ы"&amp;"сота стола регулируемая от 640 до 760 мм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окрашенн"&amp;"ой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f>
        <v xml:space="preserve"> тол ученический одноместный регулируемый по высоте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25" spans="1:8" ht="127.5" x14ac:dyDescent="0.2">
      <c r="A3225" s="31" t="s">
        <v>7661</v>
      </c>
      <c r="B3225" s="8" t="s">
        <v>7662</v>
      </c>
      <c r="C3225" s="27" t="s">
        <v>7663</v>
      </c>
      <c r="D3225" s="33" t="s">
        <v>14</v>
      </c>
      <c r="E3225" s="34">
        <v>2</v>
      </c>
      <c r="F3225" s="34">
        <v>17</v>
      </c>
      <c r="G3225" s="10">
        <v>38376</v>
      </c>
      <c r="H3225" s="30" t="str">
        <f ca="1">IFERROR(__xludf.DUMMYFUNCTION("LOWER(REGEXREPLACE(B3225&amp;"" ""&amp;C3225,""[^а-яa-z0-9 ]"","" ""))")," тол ученический одноместный регулируемый по высоте и наклону столешницы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сто"&amp;"лешницы 600 500мм   ысота стола регулируемая от 640 до 760 мм   аклон столешницы регулируется от 0 до 45 градусов   толешница из     имеет размеры 600 500мм и толщину 18мм  цвет по согласованию с заказчиком   борно разборный каркас парты изготавливается и"&amp;"з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вып"&amp;"олненная из металла  ввиде сетки комплектуется по запросу заказчика ")</f>
        <v xml:space="preserve"> тол ученический одноместный регулируемый по высоте и наклону столешницы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аклон столешницы регулируется от 0 до 45 градусов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26" spans="1:8" ht="114.75" x14ac:dyDescent="0.2">
      <c r="A3226" s="31" t="s">
        <v>7664</v>
      </c>
      <c r="B3226" s="27" t="s">
        <v>7665</v>
      </c>
      <c r="C3226" s="27" t="s">
        <v>7666</v>
      </c>
      <c r="D3226" s="33" t="s">
        <v>14</v>
      </c>
      <c r="E3226" s="34">
        <v>2</v>
      </c>
      <c r="F3226" s="34">
        <v>16</v>
      </c>
      <c r="G3226" s="10">
        <v>62369</v>
      </c>
      <c r="H3226" s="30" t="str">
        <f ca="1">IFERROR(__xludf.DUMMYFUNCTION("LOWER(REGEXREPLACE(B3226&amp;"" ""&amp;C3226,""[^а-яa-z0-9 ]"","" ""))")," тол ученический одноместный регулируемый по высоте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рег"&amp;"улируемая от 640 до 760 мм   толешница из     имеет размеры 600 500мм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п"&amp;"орошковой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xml:space="preserve"> тол ученический одноместный регулируемый по высоте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толешница из     имеет размеры 600 500мм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7" spans="1:8" ht="127.5" x14ac:dyDescent="0.2">
      <c r="A3227" s="31" t="s">
        <v>7667</v>
      </c>
      <c r="B3227" s="27" t="s">
        <v>7668</v>
      </c>
      <c r="C3227" s="27" t="s">
        <v>7669</v>
      </c>
      <c r="D3227" s="33" t="s">
        <v>14</v>
      </c>
      <c r="E3227" s="34">
        <v>2</v>
      </c>
      <c r="F3227" s="34">
        <v>17</v>
      </c>
      <c r="G3227" s="10">
        <v>65894</v>
      </c>
      <c r="H3227" s="30" t="str">
        <f ca="1">IFERROR(__xludf.DUMMYFUNCTION("LOWER(REGEXREPLACE(B3227&amp;"" ""&amp;C3227,""[^а-яa-z0-9 ]"","" ""))")," тол ученический одноместный регулируемый по высоте и наклону столешницы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45"&amp;"0мм   ысота стола регулируемая от 640 до 760 мм   аклон столешницы регулируется от 0 до 45 градусов   толешница из     имеет размеры 600 450мм и толщину 16мм  цвет по согласованию с заказчиком   борно разборный каркас парты изготавливается из стальных пло"&amp;"скоовальных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комплектуе"&amp;"тся по запросу заказчика ")</f>
        <v xml:space="preserve"> тол ученический одноместный регулируемый по высоте и наклону столешницы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аклон столешницы регулируется от 0 до 45 градусов   толешница из     имеет размеры 600 450мм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28" spans="1:8" ht="127.5" x14ac:dyDescent="0.2">
      <c r="A3228" s="31" t="s">
        <v>7670</v>
      </c>
      <c r="B3228" s="27" t="s">
        <v>7671</v>
      </c>
      <c r="C3228" s="27" t="s">
        <v>7672</v>
      </c>
      <c r="D3228" s="33" t="s">
        <v>14</v>
      </c>
      <c r="E3228" s="34">
        <v>2</v>
      </c>
      <c r="F3228" s="35">
        <v>17.399999999999999</v>
      </c>
      <c r="G3228" s="10">
        <v>43780</v>
      </c>
      <c r="H3228" s="30" t="str">
        <f ca="1">IFERROR(__xludf.DUMMYFUNCTION("LOWER(REGEXREPLACE(B3228&amp;"" ""&amp;C3228,""[^а-яa-z0-9 ]"","" ""))")," тол ученический одноместный регулируемый по высоте с полиуретановой кромкой   толешница      22мм  основание металлокаркас   азмер столешницы 600х450мм  тол ученический одноместный в основе имеет сборно разборный металлический каркас   азмер столешницы 6"&amp;"00х450мм   ысота стола регулируемая согласно 4 6 ростовой группе    толешница из      имеет размеры 600х450мм и толщину 22 мм  цвет по согласованию с заказчиком   борно разборный каркас парты изготавливается из стальных плоскоовальных труб размерами 50 25"&amp;" 1 2 и 40 20 1 2мм окрашенной полимерно порошковой краской  цвет по согласованию с заказчиком   орцевые края должны быть облицованы полиуретановой кромкой   меется корзина или пенал для школьных принадлежностей   омплектуется по запросу заказчика ")</f>
        <v xml:space="preserve"> тол ученический одноместный регулируемый по высоте с полиуретановой кромкой   толешница      22мм  основание металлокаркас   азмер столешницы 600х450мм  тол ученический одноместный в основе имеет сборно разборный металлический каркас   азмер столешницы 600х450мм   ысота стола регулируемая согласно 4 6 ростовой группе    толешница из      имеет размеры 600х450мм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полиуретановой кромкой   меется корзина или пенал для школьных принадлежностей   омплектуется по запросу заказчика </v>
      </c>
    </row>
    <row r="3229" spans="1:8" ht="114.75" x14ac:dyDescent="0.2">
      <c r="A3229" s="31" t="s">
        <v>7673</v>
      </c>
      <c r="B3229" s="27" t="s">
        <v>7674</v>
      </c>
      <c r="C3229" s="27" t="s">
        <v>7675</v>
      </c>
      <c r="D3229" s="33" t="s">
        <v>14</v>
      </c>
      <c r="E3229" s="34">
        <v>2</v>
      </c>
      <c r="F3229" s="34">
        <v>16</v>
      </c>
      <c r="G3229" s="10">
        <v>58516</v>
      </c>
      <c r="H3229" s="30" t="str">
        <f ca="1">IFERROR(__xludf.DUMMYFUNCTION("LOWER(REGEXREPLACE(B3229&amp;"" ""&amp;C3229,""[^а-яa-z0-9 ]"","" ""))")," тол ученический одноместный регулируемый по высоте с     кромкой   толешница из     18мм  основание металлокаркас   азмер столешницы 800х500мм  тол ученический двухместный в основе имеет сборно разборный металлический каркас   азмер столешницы 800х500мм "&amp;"  ысота стола регулируемая от 700 до 760 мм   толешница из ламинированного     имеет размеры 800х500мм и толщину 18 мм  цвет по согласованию с заказчиком   борно разборный каркас парты изготавливается из стальных плоскоовальных труб размерами 50 25 1 5 и "&amp;"40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f>
        <v xml:space="preserve"> тол ученический одноместный регулируемый по высоте с     кромкой   толешница из     18мм  основание металлокаркас   азмер столешницы 800х500мм  тол ученический двухместный в основе имеет сборно разборный металлический каркас   азмер столешницы 800х500мм   ысота стола регулируемая от 700 до 760 мм   толешница из ламинированного     имеет размеры 800х500мм и толщину 18 мм  цвет по согласованию с заказчиком   борно разборный каркас парты изготавливается из стальных плоскоовальных труб размерами 50 25 1 5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v>
      </c>
    </row>
    <row r="3230" spans="1:8" ht="102" x14ac:dyDescent="0.2">
      <c r="A3230" s="31" t="s">
        <v>7676</v>
      </c>
      <c r="B3230" s="27" t="s">
        <v>7677</v>
      </c>
      <c r="C3230" s="27" t="s">
        <v>7678</v>
      </c>
      <c r="D3230" s="33" t="s">
        <v>14</v>
      </c>
      <c r="E3230" s="34">
        <v>2</v>
      </c>
      <c r="F3230" s="34">
        <v>9</v>
      </c>
      <c r="G3230" s="10">
        <v>39604</v>
      </c>
      <c r="H3230" s="30" t="str">
        <f ca="1">IFERROR(__xludf.DUMMYFUNCTION("LOWER(REGEXREPLACE(B3230&amp;"" ""&amp;C3230,""[^а-яa-z0-9 ]"","" ""))")," тол ученический одноместный для групповых работ   толешница 730 790мм  ламинированный     18мм   аркас из стального профиля 30х30мм  тол ученический одноместный для групповых работ   зделие состоит из столешницы и четырех отдельных опор   аркас   ожки ст"&amp;"ола изготовлены из стального профиля 30х30 мм с толщиной стенки 1 5 мм  окрашенного полимерно порошковой краской   ожки стола закрываются пластиковыми заглушками   ожки соединяются со столешницей через крепления с помощью саморезов  4x16 мм   толешница 73"&amp;"0 790 мм выполнена из ламинированного     толщиной 18 мм  кромка     с использованием высокотемпературного клея ")</f>
        <v xml:space="preserve"> тол ученический одноместный для групповых работ   толешница 730 790мм  ламинированный     18мм   аркас из стального профиля 30х30мм  тол ученический одноместный для групповых работ   зделие состоит из столешницы и четырех отдельных опор   аркас   ожки стола изготовлены из стального профиля 30х30 мм с толщиной стенки 1 5 мм  окрашенного полимерно порошковой краской   ожки стола закрываются пластиковыми заглушками   ожки соединяются со столешницей через крепления с помощью саморезов  4x16 мм   толешница 730 790 мм выполнена из ламинированного     толщиной 18 мм  кромка     с использованием высокотемпературного клея </v>
      </c>
    </row>
    <row r="3231" spans="1:8" ht="140.25" x14ac:dyDescent="0.2">
      <c r="A3231" s="31" t="s">
        <v>7679</v>
      </c>
      <c r="B3231" s="27" t="s">
        <v>7680</v>
      </c>
      <c r="C3231" s="27" t="s">
        <v>7681</v>
      </c>
      <c r="D3231" s="33" t="s">
        <v>14</v>
      </c>
      <c r="E3231" s="34">
        <v>2</v>
      </c>
      <c r="F3231" s="34">
        <v>10</v>
      </c>
      <c r="G3231" s="10">
        <v>38093</v>
      </c>
      <c r="H3231" s="30" t="str">
        <f ca="1">IFERROR(__xludf.DUMMYFUNCTION("LOWER(REGEXREPLACE(B3231&amp;"" ""&amp;C3231,""[^а-яa-z0-9 ]"","" ""))")," тол ученический одноместный регулируемый по высоте и наклону столешницы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стол"&amp;"ешницы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из"&amp;"готавливается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материалом кромочным из      в цвет        меется корзина для "&amp;"школьных принадлежностей  выполненная из металла  ввиде сетки   омплектуется по запросу заказчика  ")</f>
        <v xml:space="preserve"> тол ученический одноместный регулируемый по высоте и наклону столешницы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материалом кромочным из      в цвет        меется корзина для школьных принадлежностей  выполненная из металла  ввиде сетки   омплектуется по запросу заказчика  </v>
      </c>
    </row>
    <row r="3232" spans="1:8" ht="140.25" x14ac:dyDescent="0.2">
      <c r="A3232" s="31" t="s">
        <v>7682</v>
      </c>
      <c r="B3232" s="27" t="s">
        <v>7683</v>
      </c>
      <c r="C3232" s="27" t="s">
        <v>7684</v>
      </c>
      <c r="D3232" s="33" t="s">
        <v>14</v>
      </c>
      <c r="E3232" s="34">
        <v>2</v>
      </c>
      <c r="F3232" s="34">
        <v>10</v>
      </c>
      <c r="G3232" s="10">
        <v>38093</v>
      </c>
      <c r="H3232" s="30" t="str">
        <f ca="1">IFERROR(__xludf.DUMMYFUNCTION("LOWER(REGEXREPLACE(B3232&amp;"" ""&amp;C3232,""[^а-яa-z0-9 ]"","" ""))")," тол ученический одноместный регулируемый по высоте и наклону столешницы  полиуретановая антивандальная кромка   толешница      22мм  основание металлокаркас   азмер столешницы 600х500мм  тол ученический одноместный в основе имеет сборно разборный металли"&amp;"ческий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борн"&amp;"о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полиуретановым материалом   меется "&amp;"корзина для школьных принадлежностей  выполненная из металла  ввиде сетки   омплектуется по запросу заказчика ")</f>
        <v xml:space="preserve"> тол ученический одноместный регулируемый по высоте и наклону столешницы  полиуретановая антивандальная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полиуретановым материалом   меется корзина для школьных принадлежностей  выполненная из металла  ввиде сетки   омплектуется по запросу заказчика </v>
      </c>
    </row>
    <row r="3233" spans="1:8" ht="89.25" x14ac:dyDescent="0.2">
      <c r="A3233" s="31" t="s">
        <v>7685</v>
      </c>
      <c r="B3233" s="27" t="s">
        <v>7686</v>
      </c>
      <c r="C3233" s="27" t="s">
        <v>7687</v>
      </c>
      <c r="D3233" s="33" t="s">
        <v>14</v>
      </c>
      <c r="E3233" s="34">
        <v>2</v>
      </c>
      <c r="F3233" s="34">
        <v>15</v>
      </c>
      <c r="G3233" s="10">
        <v>61981</v>
      </c>
      <c r="H3233" s="30" t="str">
        <f ca="1">IFERROR(__xludf.DUMMYFUNCTION("LOWER(REGEXREPLACE(B3233&amp;"" ""&amp;C3233,""[^а-яa-z0-9 ]"","" ""))")," тол ученический одноместный 600х500х760мм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тол"&amp;"щиной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профильн"&amp;"ой трубы 25х25мм  покрытие полимернопорошковое ")</f>
        <v xml:space="preserve"> тол ученический одноместный 600х500х760мм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профильной трубы 25х25мм  покрытие полимернопорошковое </v>
      </c>
    </row>
    <row r="3234" spans="1:8" ht="63.75" x14ac:dyDescent="0.2">
      <c r="A3234" s="31" t="s">
        <v>7688</v>
      </c>
      <c r="B3234" s="27" t="s">
        <v>7689</v>
      </c>
      <c r="C3234" s="27" t="s">
        <v>7690</v>
      </c>
      <c r="D3234" s="33" t="s">
        <v>14</v>
      </c>
      <c r="E3234" s="34">
        <v>2</v>
      </c>
      <c r="F3234" s="34">
        <v>15</v>
      </c>
      <c r="G3234" s="10">
        <v>64232</v>
      </c>
      <c r="H3234" s="30" t="str">
        <f ca="1">IFERROR(__xludf.DUMMYFUNCTION("LOWER(REGEXREPLACE(B3234&amp;"" ""&amp;C3234,""[^а-яa-z0-9 ]"","" ""))")," тол ученический одноместный 600х500х760мм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30м"&amp;"м  комплектуются регулируемыми опорами   се металлические элементы покрашены полимерно порошковой краской   арга     облицовано пленкой     ")</f>
        <v xml:space="preserve"> тол ученический одноместный 600х500х760мм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30мм  комплектуются регулируемыми опорами   се металлические элементы покрашены полимерно порошковой краской   арга     облицовано пленкой     </v>
      </c>
    </row>
    <row r="3235" spans="1:8" ht="63.75" x14ac:dyDescent="0.2">
      <c r="A3235" s="31" t="s">
        <v>7691</v>
      </c>
      <c r="B3235" s="27" t="s">
        <v>7692</v>
      </c>
      <c r="C3235" s="27" t="s">
        <v>7693</v>
      </c>
      <c r="D3235" s="33" t="s">
        <v>14</v>
      </c>
      <c r="E3235" s="34">
        <v>2</v>
      </c>
      <c r="F3235" s="34">
        <v>10</v>
      </c>
      <c r="G3235" s="10">
        <v>72093</v>
      </c>
      <c r="H3235" s="30" t="str">
        <f ca="1">IFERROR(__xludf.DUMMYFUNCTION("LOWER(REGEXREPLACE(B3235&amp;"" ""&amp;C3235,""[^а-яa-z0-9 ]"","" ""))")," тол модульный 995х561х760мм   толешница      22мм  кромка      металлический каркас труба круглая  ожно составлять в круг или в волну    круг собирается 8 столов  диаметр стола 2600мм   тол выполнен из высококачественного    т   толщиной не менее 22 мм  "&amp;"на основе термореактивных полимеров  класс эмиссии формальдегид   1  1 сорт   ромка     толщиной 2мм   аркас труба круглая d 60 мм  покрытие полимерно порошковое")</f>
        <v xml:space="preserve"> тол модульный 995х561х760мм   толешница      22мм  кромка      металлический каркас труба круглая  ожно составлять в круг или в волну    круг собирается 8 столов  диаметр стола 2600мм   тол выполнен из высококачественного    т   толщиной не менее 22 мм  на основе термореактивных полимеров  класс эмиссии формальдегид   1  1 сорт   ромка     толщиной 2мм   аркас труба круглая d 60 мм  покрытие полимерно порошковое</v>
      </c>
    </row>
    <row r="3236" spans="1:8" ht="76.5" x14ac:dyDescent="0.2">
      <c r="A3236" s="31" t="s">
        <v>7694</v>
      </c>
      <c r="B3236" s="27" t="s">
        <v>7695</v>
      </c>
      <c r="C3236" s="27" t="s">
        <v>7696</v>
      </c>
      <c r="D3236" s="33" t="s">
        <v>14</v>
      </c>
      <c r="E3236" s="34">
        <v>2</v>
      </c>
      <c r="F3236" s="34">
        <v>10</v>
      </c>
      <c r="G3236" s="10">
        <v>70967</v>
      </c>
      <c r="H3236" s="30" t="str">
        <f ca="1">IFERROR(__xludf.DUMMYFUNCTION("LOWER(REGEXREPLACE(B3236&amp;"" ""&amp;C3236,""[^а-яa-z0-9 ]"","" ""))")," тол модульный 815х500х760мм   толешница      16мм  кромка      каркас стола цельносварной   труба профильная 25х25мм  ожно составлять в круг или в волну    круг собирается 12 столов  диаметр стола 3040мм   тол выполнен из высококачественного    т   толщи"&amp;"ной не менее 16 мм  на основе термореактивных полимеров  класс эмиссии формальдегид   1  1 сорт   ромка     толщиной 2мм   меет закругление   аркас стола цельносварной   труба профильная 25 25 1 2мм  покрытие полимерно порошковое ")</f>
        <v xml:space="preserve"> тол модульный 815х500х760мм   толешница      16мм  кромка      каркас стола цельносварной   труба профильная 25х25мм  ожно составлять в круг или в волну    круг собирается 12 столов  диаметр стола 3040мм   тол выполнен из высококачественного    т   толщиной не менее 16 мм  на основе термореактивных полимеров  класс эмиссии формальдегид   1  1 сорт   ромка     толщиной 2мм   меет закругление   аркас стола цельносварной   труба профильная 25 25 1 2мм  покрытие полимерно порошковое </v>
      </c>
    </row>
    <row r="3237" spans="1:8" ht="76.5" x14ac:dyDescent="0.2">
      <c r="A3237" s="31" t="s">
        <v>7697</v>
      </c>
      <c r="B3237" s="27" t="s">
        <v>7698</v>
      </c>
      <c r="C3237" s="27" t="s">
        <v>7699</v>
      </c>
      <c r="D3237" s="33" t="s">
        <v>14</v>
      </c>
      <c r="E3237" s="34">
        <v>2</v>
      </c>
      <c r="F3237" s="34">
        <v>10</v>
      </c>
      <c r="G3237" s="10">
        <v>73007</v>
      </c>
      <c r="H3237" s="30" t="str">
        <f ca="1">IFERROR(__xludf.DUMMYFUNCTION("LOWER(REGEXREPLACE(B3237&amp;"" ""&amp;C3237,""[^а-яa-z0-9 ]"","" ""))")," тол модульный для груп 950х950х760мм   толешница круглая      16мм  кромка      металлический каркас труба профильная  толешница круглая выполнена из высококачественного    т   толщиной не менее 16 мм  на основе термореактивных полимеров  класс эмиссии ф"&amp;"ормальдегид   1  1 сорт   ромка     толщиной  2мм   репление каркаса к столешнице при помощи саморезов  аркас  труба профильная  d 60  покрытие полимерно порошковое цвет ")</f>
        <v xml:space="preserve"> тол модульный для груп 950х950х760мм   толешница круглая      16мм  кромка      металлический каркас труба профильная  толешница круглая выполнена из высококачественного    т   толщиной не менее 16 мм  на основе термореактивных полимеров  класс эмиссии формальдегид   1  1 сорт   ромка     толщиной  2мм   репление каркаса к столешнице при помощи саморезов  аркас  труба профильная  d 60  покрытие полимерно порошковое цвет </v>
      </c>
    </row>
    <row r="3238" spans="1:8" ht="63.75" x14ac:dyDescent="0.2">
      <c r="A3238" s="31" t="s">
        <v>7700</v>
      </c>
      <c r="B3238" s="27" t="s">
        <v>7701</v>
      </c>
      <c r="C3238" s="27" t="s">
        <v>7702</v>
      </c>
      <c r="D3238" s="33" t="s">
        <v>14</v>
      </c>
      <c r="E3238" s="34">
        <v>2</v>
      </c>
      <c r="F3238" s="34">
        <v>8</v>
      </c>
      <c r="G3238" s="10">
        <v>66788</v>
      </c>
      <c r="H3238" s="30" t="str">
        <f ca="1">IFERROR(__xludf.DUMMYFUNCTION("LOWER(REGEXREPLACE(B3238&amp;"" ""&amp;C3238,""[^а-яa-z0-9 ]"","" ""))")," тол модульный для груп 600х600х760мм   толешница квадратная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формальде"&amp;"гид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f>
        <v xml:space="preserve"> тол модульный для груп 600х600х760мм   толешница квадратная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v>
      </c>
    </row>
    <row r="3239" spans="1:8" ht="63.75" x14ac:dyDescent="0.2">
      <c r="A3239" s="31" t="s">
        <v>7703</v>
      </c>
      <c r="B3239" s="27" t="s">
        <v>7704</v>
      </c>
      <c r="C3239" s="27" t="s">
        <v>7702</v>
      </c>
      <c r="D3239" s="33" t="s">
        <v>14</v>
      </c>
      <c r="E3239" s="34">
        <v>2</v>
      </c>
      <c r="F3239" s="34">
        <v>8</v>
      </c>
      <c r="G3239" s="10">
        <v>66788</v>
      </c>
      <c r="H3239" s="30" t="str">
        <f ca="1">IFERROR(__xludf.DUMMYFUNCTION("LOWER(REGEXREPLACE(B3239&amp;"" ""&amp;C3239,""[^а-яa-z0-9 ]"","" ""))")," тол модульный для груп 600х600х760мм   толешница круглая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формальдегид"&amp;"   1  1 сорт   ромка     толщиной не менее 2мм  имеет закругление   аркас стола изготовлен из круглой трубы d60мм  основание из листа 8мм  покрытие полимернопорошковое ")</f>
        <v xml:space="preserve"> тол модульный для груп 600х600х760мм   толешница круглая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v>
      </c>
    </row>
    <row r="3240" spans="1:8" ht="178.5" x14ac:dyDescent="0.2">
      <c r="A3240" s="31" t="s">
        <v>7705</v>
      </c>
      <c r="B3240" s="27" t="s">
        <v>7706</v>
      </c>
      <c r="C3240" s="27" t="s">
        <v>7707</v>
      </c>
      <c r="D3240" s="33" t="s">
        <v>14</v>
      </c>
      <c r="E3240" s="34">
        <v>2</v>
      </c>
      <c r="F3240" s="34">
        <v>22</v>
      </c>
      <c r="G3240" s="10">
        <v>44781</v>
      </c>
      <c r="H3240" s="30" t="str">
        <f ca="1">IFERROR(__xludf.DUMMYFUNCTION("LOWER(REGEXREPLACE(B3240&amp;"" ""&amp;C3240,""[^а-яa-z0-9 ]"","" ""))")," тол ученический одноместный регулируемый по высоте с     кромкой   толешница      22мм  основание металлокаркас  размер плоскоовальной трубы 50x30x2мм и 40х25х1 5мм   азмер столешницы 700х500мм  азмер столешницы 700х500мм  толщина      22мм   ысота стола"&amp;" регулируемая 580 700 820мм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каркаса"&amp;"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телескопическ"&amp;"и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осна"&amp;"щен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xml:space="preserve"> тол ученический одноместный регулируемый по высоте с     кромкой   толешница      22мм  основание металлокаркас  размер плоскоовальной трубы 50x30x2мм и 40х25х1 5мм   азмер столешницы 700х500мм  азмер столешницы 700х500мм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41" spans="1:8" ht="153" x14ac:dyDescent="0.2">
      <c r="A3241" s="31" t="s">
        <v>7708</v>
      </c>
      <c r="B3241" s="27" t="s">
        <v>7709</v>
      </c>
      <c r="C3241" s="27" t="s">
        <v>7710</v>
      </c>
      <c r="D3241" s="33" t="s">
        <v>14</v>
      </c>
      <c r="E3241" s="34">
        <v>2</v>
      </c>
      <c r="F3241" s="34">
        <v>18</v>
      </c>
      <c r="G3241" s="10">
        <v>32912</v>
      </c>
      <c r="H3241" s="30" t="str">
        <f ca="1">IFERROR(__xludf.DUMMYFUNCTION("LOWER(REGEXREPLACE(B3241&amp;"" ""&amp;C3241,""[^а-яa-z0-9 ]"","" ""))")," тол ученический одноместный нерегулируемый по высоте с     кромкой   толешница      22мм  основание металлокаркас   азмер 700х500х760мм  азмер столешницы 700х500мм  толщина      22мм   ысота стола фиксированная 760мм в соответствие с ростовой группой  6 "&amp;"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возм"&amp;"ожности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22мм"&amp;"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xml:space="preserve"> тол ученический одноместный нерегулируемый по высоте с     кромкой   толешница      22мм  основание металлокаркас   азмер 700х500х760мм  азмер столешницы 700х500мм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42" spans="1:8" ht="165.75" x14ac:dyDescent="0.2">
      <c r="A3242" s="31" t="s">
        <v>7711</v>
      </c>
      <c r="B3242" s="27" t="s">
        <v>7712</v>
      </c>
      <c r="C3242" s="27" t="s">
        <v>7713</v>
      </c>
      <c r="D3242" s="33" t="s">
        <v>14</v>
      </c>
      <c r="E3242" s="34">
        <v>2</v>
      </c>
      <c r="F3242" s="34">
        <v>16</v>
      </c>
      <c r="G3242" s="10">
        <v>37079</v>
      </c>
      <c r="H3242" s="30" t="str">
        <f ca="1">IFERROR(__xludf.DUMMYFUNCTION("LOWER(REGEXREPLACE(B3242&amp;"" ""&amp;C3242,""[^а-яa-z0-9 ]"","" ""))")," тол ученический одноместный регулируемый по высоте с     кромкой   толешница      22мм  основание металлокаркас  каркас из стальной трубы плоскоовального сечения 50x30x2мм и прямоугольной трубы 30х20х1 5мм   азмер столешницы 700х500мм  азмер столешницы 7"&amp;"00х500мм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изготовле"&amp;"на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4"&amp;"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ввид"&amp;"е сетки   омплектуется по запросу заказчика ")</f>
        <v xml:space="preserve"> тол ученический одноместный регулируемый по высоте с     кромкой   толешница      22мм  основание металлокаркас  каркас из стальной трубы плоскоовального сечения 50x30x2мм и прямоугольной трубы 30х20х1 5мм   азмер столешницы 700х500мм  азмер столешницы 700х500мм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 запросу заказчика </v>
      </c>
    </row>
    <row r="3243" spans="1:8" ht="267.75" x14ac:dyDescent="0.2">
      <c r="A3243" s="31" t="s">
        <v>7714</v>
      </c>
      <c r="B3243" s="27" t="s">
        <v>7715</v>
      </c>
      <c r="C3243" s="27" t="s">
        <v>7716</v>
      </c>
      <c r="D3243" s="33" t="s">
        <v>14</v>
      </c>
      <c r="E3243" s="34">
        <v>2</v>
      </c>
      <c r="F3243" s="34">
        <v>23</v>
      </c>
      <c r="G3243" s="10">
        <v>54599</v>
      </c>
      <c r="H3243" s="30" t="str">
        <f ca="1">IFERROR(__xludf.DUMMYFUNCTION("LOWER(REGEXREPLACE(B3243&amp;"" ""&amp;C3243,""[^а-яa-z0-9 ]"","" ""))")," тол ученический одноместный регулируемый по высоте с     кромкой   толешница      22мм с наклоном  основание металлокаркас   азмер столешницы 700х500мм  азмер столешницы 700х500мм  толщина      22мм с наклоном   ысота стола регулируемая 580 700 820мм    "&amp;"вет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из"&amp;"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присп"&amp;"особления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егулиров"&amp;"ка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ев"&amp;"ровинтов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омплектует"&amp;"ся по запросу заказчика ")</f>
        <v xml:space="preserve"> тол ученический одноместный регулируемый по высоте с     кромкой   толешница      22мм с наклоном  основание металлокаркас   азмер столешницы 700х500мм  азмер столешницы 700х500мм  толщина      22мм с наклоном   ысота стола регулируемая 580 700 820мм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44" spans="1:8" ht="114.75" x14ac:dyDescent="0.2">
      <c r="A3244" s="31" t="s">
        <v>7717</v>
      </c>
      <c r="B3244" s="27" t="s">
        <v>7718</v>
      </c>
      <c r="C3244" s="27" t="s">
        <v>7719</v>
      </c>
      <c r="D3244" s="33" t="s">
        <v>14</v>
      </c>
      <c r="E3244" s="34">
        <v>2</v>
      </c>
      <c r="F3244" s="34">
        <v>21</v>
      </c>
      <c r="G3244" s="10">
        <v>37820</v>
      </c>
      <c r="H3244" s="30" t="str">
        <f ca="1">IFERROR(__xludf.DUMMYFUNCTION("LOWER(REGEXREPLACE(B3244&amp;"" ""&amp;C3244,""[^а-яa-z0-9 ]"","" ""))")," тол ученический одноместный нерегулируемый по высоте с     кромкой   толешница      22мм  основание металлокаркас   азмер 700х600х760мм  азмер столешницы 700х600мм  толщина      22мм   ысота стола фиксированная 760мм в соответствие с ростовой группой  6 "&amp;"  вет ясень  серый камень   орцевые края должны быть облицованы материалом кромочным из     2мм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с"&amp;"толешницы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f>
        <v xml:space="preserve"> тол ученический одноместный нерегулируемый по высоте с     кромкой   толешница      22мм  основание металлокаркас   азмер 700х600х760мм  азмер столешницы 700х600мм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v>
      </c>
    </row>
    <row r="3245" spans="1:8" ht="102" x14ac:dyDescent="0.2">
      <c r="A3245" s="31" t="s">
        <v>7720</v>
      </c>
      <c r="B3245" s="27" t="s">
        <v>7721</v>
      </c>
      <c r="C3245" s="27" t="s">
        <v>7722</v>
      </c>
      <c r="D3245" s="33" t="s">
        <v>14</v>
      </c>
      <c r="E3245" s="34">
        <v>2</v>
      </c>
      <c r="F3245" s="34">
        <v>42</v>
      </c>
      <c r="G3245" s="10">
        <v>147533</v>
      </c>
      <c r="H3245" s="30" t="str">
        <f ca="1">IFERROR(__xludf.DUMMYFUNCTION("LOWER(REGEXREPLACE(B3245&amp;"" ""&amp;C3245,""[^а-яa-z0-9 ]"","" ""))")," тол ученический с перегородкой для индивидуальных занятий   азмеры 600х500х750мм   енч система с 3х сторон   сновные элементы стола изготовлены из     толщиной 16 мм с износостойким покрытием  края деталей облицованы кромкой     0 8 мм   еталлокаркас изг"&amp;"отовлен из электросварной трубы квадратного сечения 25х25 мм с толщиной стенки 1 5 мм   окрыт полимерно порошковой краской светло серого цвета   орцевые проемы закрываются пластиковыми опорами  заглушками  черного цвета   ерегородка из стекла  толщина сте"&amp;"кла   4 мм   азмер стеклянной перегородки 600х500 мм    азмеры стола  ширина   600 мм  глубина   500 мм  высота   750 мм")</f>
        <v xml:space="preserve"> тол ученический с перегородкой для индивидуальных занятий   азмеры 600х500х750мм   енч система с 3х сторон   сновные элементы стола изготовлены из     толщиной 16 мм с износостойким покрытием  края деталей облицованы кромкой     0 8 мм   еталлокаркас изготовлен из электросварной трубы квадратного сечения 25х25 мм с толщиной стенки 1 5 мм   окрыт полимерно порошковой краской светло серого цвета   орцевые проемы закрываются пластиковыми опорами  заглушками  черного цвета   ерегородка из стекла  толщина стекла   4 мм   азмер стеклянной перегородки 600х500 мм    азмеры стола  ширина   600 мм  глубина   500 мм  высота   750 мм</v>
      </c>
    </row>
    <row r="3246" spans="1:8" ht="267.75" x14ac:dyDescent="0.2">
      <c r="A3246" s="31" t="s">
        <v>7723</v>
      </c>
      <c r="B3246" s="27" t="s">
        <v>7724</v>
      </c>
      <c r="C3246" s="27" t="s">
        <v>7725</v>
      </c>
      <c r="D3246" s="33" t="s">
        <v>14</v>
      </c>
      <c r="E3246" s="34">
        <v>2</v>
      </c>
      <c r="F3246" s="34">
        <v>14</v>
      </c>
      <c r="G3246" s="10">
        <v>21707</v>
      </c>
      <c r="H3246" s="30" t="str">
        <f ca="1">IFERROR(__xludf.DUMMYFUNCTION("LOWER(REGEXREPLACE(B3246&amp;"" ""&amp;C3246,""[^а-яa-z0-9 ]"","" ""))")," тол ученический одноместный регулируемый по высоте с     кромкой   толешница      22мм  основание металлокаркас  боковые опоры изготовлены из труб диаметром 32 мм  толщиной не менее 1 2 мм и труб диаметром 28 мм  толщиной не менее 1 2 мм   азмер столешни"&amp;"цы 700х500мм 4 6 ростовая группа на круглой трубе   ромка     2 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толщин"&amp;"ой не менее 1 2 мм  расположенных параллельно друг относительно друга и сваренных между собой нижней царгой диаметром 25 мм  толщиной не менее 1 2 мм и верхним подстольем   одстолье изготовлено из плоскоовальной трубы 30х15 толщиной не менее 1 2 мм  к кот"&amp;"орому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16 мм и имеет размеры не менее 600х300 мм   егули"&amp;"ровка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76"&amp;"0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диапазон"&amp;"е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f>
        <v xml:space="preserve"> тол ученический одноместный регулируемый по высоте с     кромкой   толешница      22мм  основание металлокаркас  боковые опоры изготовлены из труб диаметром 32 мм  толщиной не менее 1 2 мм и труб диаметром 28 мм  толщиной не менее 1 2 мм   азмер столешницы 700х500мм 4 6 ростовая группа на круглой трубе   ромка     2 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 мм  толщиной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16 мм и имеет размеры не менее 600х300 мм   егулировка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v>
      </c>
    </row>
    <row r="3247" spans="1:8" ht="280.5" x14ac:dyDescent="0.2">
      <c r="A3247" s="31" t="s">
        <v>7726</v>
      </c>
      <c r="B3247" s="27" t="s">
        <v>7727</v>
      </c>
      <c r="C3247" s="27" t="s">
        <v>7728</v>
      </c>
      <c r="D3247" s="33" t="s">
        <v>14</v>
      </c>
      <c r="E3247" s="34">
        <v>2</v>
      </c>
      <c r="F3247" s="34">
        <v>89</v>
      </c>
      <c r="G3247" s="10">
        <v>195214</v>
      </c>
      <c r="H3247" s="30" t="str">
        <f ca="1">IFERROR(__xludf.DUMMYFUNCTION("LOWER(REGEXREPLACE(B3247&amp;"" ""&amp;C3247,""[^а-яa-z0-9 ]"","" ""))")," тол модульный овальный 4 х секционный на 10 учеников  размеры 2600х1300х750 мм  столешница каждого модульного стола из      22мм  кромка      тол рассчитан на 8 10 учеников и конструктивно собран из четырех модульных столов двух типов    комплекте два од"&amp;"инаковых модульных стола с двумя разными формами столешниц   ервая столешница в форме полукруга с радиусом 650 мм с одной стороны и волнообразной кривой с сопряженными по центру радиусами 650 мм  с другой стороны   ирина 1300 мм   торая столешница в форме"&amp;" волнообразных кривых с двух длинных параллельных сторон с сопряженными по центру радиусами 650 мм и расположенными на расстоянии 650 мм   ирина 1300 мм   ве другие стороны стола прямые длиной 650 мм   казанные формы столешниц позволяют производить модуль"&amp;"ную стыковку столов двух форм без видимых зазоров   толешница каждого модульного стола изготовлена из      толщиной 22 мм   орцы облицованы кромкой     толщиной 2 мм   аждый стол имеет по 4 опоры  которые изготовлены из металлических профильных труб кругл"&amp;"ого сечения диаметром 40 мм и 51 мм с толщиной стенки не менее 1 2 мм    трубе диаметром 40 мм приварен фланец диаметром 80 мм для крепления к столешнице   руба диаметром 51 мм  оснащена регулируемым пластиковым подпятником с высотой регулировки 0 50 мм  "&amp;" руба диаметром 40 мм центрируется в трубе диаметром 51 мм при помощи пластиковой втулки   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что"&amp;" в свою очередь дает возможность регулировки высоты стола в пределах 640 700 760 мм   еталлический каркас покрыт полимерной краской   вет металлокаркаса по каталогу     ")</f>
        <v xml:space="preserve"> тол модульный овальный 4 х секционный на 10 учеников  размеры 2600х1300х750 мм  столешница каждого модульного стола из      22мм  кромка      тол рассчитан на 8 10 учеников и конструктивно собран из четырех модульных столов двух типов    комплекте два одинаковых модульных стола с двумя разными формами столешниц   ервая столешница в форме полукруга с радиусом 650 мм с одной стороны и волнообразной кривой с сопряженными по центру радиусами 650 мм  с другой стороны   ирина 1300 мм   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ирина 1300 мм   ве другие стороны стола прямые длиной 650 мм   казанные формы столешниц позволяют производить модульную стыковку столов двух форм без видимых зазоров   толешница каждого модульного стола изготовлена из      толщиной 22 мм   орцы облицованы кромкой     толщиной 2 мм   аждый стол имеет по 4 опоры  которые изготовлены из металлических профильных труб круглого сечения диаметром 40 мм и 51 мм с толщиной стенки не менее 1 2 мм    трубе диаметром 40 мм приварен фланец диаметром 80 мм для крепления к столешнице   руба диаметром 51 мм  оснащена регулируемым пластиковым подпятником с высотой регулировки 0 50 мм   руба диаметром 40 мм центрируется в трубе диаметром 51 мм при помощи пластиковой втулки   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640 700 760 мм   еталлический каркас покрыт полимерной краской   вет металлокаркаса по каталогу     </v>
      </c>
    </row>
    <row r="3248" spans="1:8" ht="293.25" x14ac:dyDescent="0.2">
      <c r="A3248" s="31" t="s">
        <v>7729</v>
      </c>
      <c r="B3248" s="27" t="s">
        <v>7730</v>
      </c>
      <c r="C3248" s="27" t="s">
        <v>7731</v>
      </c>
      <c r="D3248" s="33" t="s">
        <v>14</v>
      </c>
      <c r="E3248" s="34">
        <v>2</v>
      </c>
      <c r="F3248" s="34">
        <v>16</v>
      </c>
      <c r="G3248" s="10">
        <v>43366</v>
      </c>
      <c r="H3248" s="30" t="str">
        <f ca="1">IFERROR(__xludf.DUMMYFUNCTION("LOWER(REGEXREPLACE(B3248&amp;"" ""&amp;C3248,""[^а-яa-z0-9 ]"","" ""))")," тол модульный трапеция одноместный регулируемый  размеры 970х760х750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у"&amp;"стойчива к царапинам   орцы столешницы должны быть отделаны кромкой     не менее 2 мм   толешница должна быть выполнена в форме трапеции  в которой основания имеют радиусные изгибы 1200 мм и 520 мм и расположены на расстоянии 650 мм   оковые стороны в осн"&amp;"овании должны быть расположены на расстоянии 970 мм и иметь угол наклона 67 5 градусов   ри составлении восьми столов должен образоваться замкнутый круг   снование стола должно состоять их четырех независимых регулируемых телескопических опор   аждая опор"&amp;"а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"&amp;"к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"&amp;"при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высо"&amp;"ты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f>
        <v xml:space="preserve"> тол модульный трапеция одноместный регулируемый  размеры 970х760х750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устойчива к царапинам   орцы столешницы должны быть отделаны кромкой     не менее 2 мм   толешница должна быть выполнена в форме трапеции  в которой основания имеют радиусные изгибы 1200 мм и 520 мм и расположены на расстоянии 650 мм   оковые стороны в основании должны быть расположены на расстоянии 970 мм и иметь угол наклона 67 5 градусов   ри составлении восьми столов должен образоваться замкнутый круг   снование стола должно состоять их четырех независимых регулируемых телескопических опор   аждая опора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v>
      </c>
    </row>
    <row r="3249" spans="1:8" ht="280.5" x14ac:dyDescent="0.2">
      <c r="A3249" s="31" t="s">
        <v>7732</v>
      </c>
      <c r="B3249" s="27" t="s">
        <v>7733</v>
      </c>
      <c r="C3249" s="27" t="s">
        <v>7734</v>
      </c>
      <c r="D3249" s="33" t="s">
        <v>14</v>
      </c>
      <c r="E3249" s="34">
        <v>2</v>
      </c>
      <c r="F3249" s="34">
        <v>32</v>
      </c>
      <c r="G3249" s="10">
        <v>73741</v>
      </c>
      <c r="H3249" s="30" t="str">
        <f ca="1">IFERROR(__xludf.DUMMYFUNCTION("LOWER(REGEXREPLACE(B3249&amp;"" ""&amp;C3249,""[^а-яa-z0-9 ]"","" ""))")," тол модульный трехсторонний 3 местный регулируемый  размеры 1200х1300х750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б"&amp;"ыть устойчива к царапинам   орцы столешницы должны быть отделаны кромкой     не менее 2 мм   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др"&amp;"уг от друга на угол 120 градусов с радиусом 650 мм    снование стола должно состоять из шести регулируемых телескопических опор  которые связываются между собой профильной трубой 20х20 мм толщиной не менее 1 2 мм   аждая опора должна быть изготовлена из д"&amp;"вух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столешн"&amp;"ице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"&amp;"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поры"&amp;" должны быть окрашены порошковой краской  стойкой к механическим повреждениям  ультрафиолетовому излучению и атмосферным воздействиям ")</f>
        <v xml:space="preserve"> тол модульный трехсторонний 3 местный регулируемый  размеры 1200х1300х750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устойчива к царапинам   орцы столешницы должны быть отделаны кромкой     не менее 2 мм   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снование стола должно состоять из шести регулируемых телескопических опор  которые связываются между собой профильной трубой 20х20 мм толщиной не менее 1 2 мм   аждая опора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v>
      </c>
    </row>
    <row r="3250" spans="1:8" ht="242.25" x14ac:dyDescent="0.2">
      <c r="A3250" s="31" t="s">
        <v>7735</v>
      </c>
      <c r="B3250" s="27" t="s">
        <v>7736</v>
      </c>
      <c r="C3250" s="27" t="s">
        <v>7737</v>
      </c>
      <c r="D3250" s="33" t="s">
        <v>14</v>
      </c>
      <c r="E3250" s="34">
        <v>2</v>
      </c>
      <c r="F3250" s="34">
        <v>18</v>
      </c>
      <c r="G3250" s="10">
        <v>45539</v>
      </c>
      <c r="H3250" s="30" t="str">
        <f ca="1">IFERROR(__xludf.DUMMYFUNCTION("LOWER(REGEXREPLACE(B3250&amp;"" ""&amp;C3250,""[^а-яa-z0-9 ]"","" ""))")," тол модульный четырехлистник одноместный регулируемый  размеры 810х950х750 мм  столешница из      22 мм  кромка      егулируемая 4 6 ростовая группа   толешница должна быть изготовлена из      не менее 22 мм   орцы должны быть оклеены ударопрочной кромко"&amp;"й     толщиной не менее 2 0 мм   толешница должна быть выполнена в форме круга диаметром 950 мм и иметь на расстоянии 140 мм от края вырез в форме полумесяца с радиусом 450 мм   ри стыковке четырех столов должна образоваться фигура четырехлистника   снова"&amp;"ние стола должна представлять из себя четыре независимые регулируемые телескопические опоры   поры должны быть изготовлены из двух труб  диаметром 40 мм и 51 мм  толщиной не менее 1 2 мм    трубе диаметром 40 мм должен быть приварен фланец диаметром 80 мм"&amp;"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м"&amp;"м должна центрироваться в трубе диаметром 51 мм припомощи пластиковой втулки   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олжна быть пр"&amp;"едусмотрена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f>
        <v xml:space="preserve"> тол модульный четырехлистник одноместный регулируемый  размеры 810х950х750 мм  столешница из      22 мм  кромка      егулируемая 4 6 ростовая группа   толешница должна быть изготовлена из      не менее 22 мм   орцы должны быть оклеены ударопрочной кромкой     толщиной не менее 2 0 мм   толешница должна быть выполнена в форме круга диаметром 950 мм и иметь на расстоянии 140 мм от края вырез в форме полумесяца с радиусом 450 мм   ри стыковке четырех столов должна образоваться фигура четырехлистника   снование стола должна представлять из себя четыре независимые регулируемые телескопические опоры   поры должны быть изготовлены из двух труб  диаметром 40 мм и 51 мм  толщиной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припомощи пластиковой втулки   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v>
      </c>
    </row>
    <row r="3251" spans="1:8" ht="114.75" x14ac:dyDescent="0.2">
      <c r="A3251" s="31" t="s">
        <v>7738</v>
      </c>
      <c r="B3251" s="27" t="s">
        <v>7739</v>
      </c>
      <c r="C3251" s="27" t="s">
        <v>7740</v>
      </c>
      <c r="D3251" s="33" t="s">
        <v>14</v>
      </c>
      <c r="E3251" s="34">
        <v>2</v>
      </c>
      <c r="F3251" s="34">
        <v>12</v>
      </c>
      <c r="G3251" s="10">
        <v>29493</v>
      </c>
      <c r="H3251" s="30" t="str">
        <f ca="1">IFERROR(__xludf.DUMMYFUNCTION("LOWER(REGEXREPLACE(B3251&amp;"" ""&amp;C3251,""[^а-яa-z0-9 ]"","" ""))")," тол ученический одноместный пятиугольный  столешница из      22 мм  кромка      размеры 703х603х760 мм  основание металлокаркас  ля изготовления стола должна использоваться      толщиной не менее 22 мм   орцы столешницы должны быть отделаны кромкой     н"&amp;"е менее 2 мм   толешница должна быть выполнена в форме пятиугольника   абаритные размеры стола должны быть  не менее 703х603х760 мм   снование стола должно опираться на три опоры  которые выполнены из металлической профильной трубы круглого сечения диамет"&amp;"ром не менее 32 мм толщиной не менее 1 2мм и окрашена полимерной краской   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 ")</f>
        <v xml:space="preserve"> тол ученический одноместный пятиугольный  столешница из      22 мм  кромка      размеры 703х603х760 мм  основание металлокаркас  ля изготовления стола должна использоваться      толщиной не менее 22 мм   орцы столешницы должны быть отделаны кромкой     не менее 2 мм   толешница должна быть выполнена в форме пятиугольника   абаритные размеры стола должны быть  не менее 703х603х760 мм   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 2мм и окрашена полимерной краской   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 </v>
      </c>
    </row>
    <row r="3252" spans="1:8" ht="204" x14ac:dyDescent="0.2">
      <c r="A3252" s="31" t="s">
        <v>7741</v>
      </c>
      <c r="B3252" s="27" t="s">
        <v>7742</v>
      </c>
      <c r="C3252" s="27" t="s">
        <v>7743</v>
      </c>
      <c r="D3252" s="33" t="s">
        <v>14</v>
      </c>
      <c r="E3252" s="34">
        <v>2</v>
      </c>
      <c r="F3252" s="34">
        <v>20</v>
      </c>
      <c r="G3252" s="10">
        <v>26062</v>
      </c>
      <c r="H3252" s="30" t="str">
        <f ca="1">IFERROR(__xludf.DUMMYFUNCTION("LOWER(REGEXREPLACE(B3252&amp;"" ""&amp;C3252,""[^а-яa-z0-9 ]"","" ""))")," тол лингафонный  размеры 700х540х1000 мм       16 мм  столешница закреплена двумя боковыми опорами  отверстие с пластиковой заглушкой для соединительных проводов  азмеры столешницы должны быть  не менее 668х505 мм   ысота верхнего края столешницы должна "&amp;"быть над полом не менее 760 мм   толешница должна быть из      толщиной не менее 16 мм   ромка из     должна быть толщиной не менее 2 мм    правом углу столешницы должно быть предусмотрено отверстие с пластиковой заглушкой для соединительных проводов   то"&amp;"лешница должна быть закреплена между двумя боковыми опорами на высоте не менее 760 мм от пола и притоплена относительно верхнего края опор на 248 мм   ля изготовления несущих частей и различных элементов используется      толщиной не менее 16 мм   ромка и"&amp;"з     должна быть толщиной не менее 0 4 мм   оковые опоры с рабочей стороны должны иметь радиусное закругление   ицевая сторона стола должна быть закрыта царгой 668х416 мм   ежду боковыми опорами над столешницей установлено оргстекло 244х662 толщиной 4 мм"&amp;"  фиксируется на стеклодержатели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подп"&amp;"ятники ")</f>
        <v xml:space="preserve"> тол лингафонный  размеры 700х540х1000 мм       16 мм  столешница закреплена двумя боковыми опорами  отверстие с пластиковой заглушкой для соединительных проводов  азмеры столешницы должны быть  не менее 668х505 мм   ысота верхнего края столешницы должна быть над полом не менее 760 мм   толешница должна быть из      толщиной не менее 16 мм   ромка из     должна быть толщиной не менее 2 мм    правом углу столешницы должно быть предусмотрено отверстие с пластиковой заглушкой для соединительных проводов   толешница должна быть закреплена между двумя боковыми опорами на высоте не менее 760 мм от пола и притоплена относительно верхнего края опор на 248 мм   ля изготовления несущих частей и различных элементов используется      толщиной не менее 16 мм   ромка из     должна быть толщиной не менее 0 4 мм   оковые опоры с рабочей стороны должны иметь радиусное закругление   ицевая сторона стола должна быть закрыта царгой 668х416 мм   ежду боковыми опорами над столешницей установлено оргстекло 244х662 толщиной 4 мм  фиксируется на стеклодержатели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v>
      </c>
    </row>
    <row r="3253" spans="1:8" ht="165.75" x14ac:dyDescent="0.2">
      <c r="A3253" s="31" t="s">
        <v>7744</v>
      </c>
      <c r="B3253" s="27" t="s">
        <v>7745</v>
      </c>
      <c r="C3253" s="27" t="s">
        <v>7746</v>
      </c>
      <c r="D3253" s="33" t="s">
        <v>14</v>
      </c>
      <c r="E3253" s="34">
        <v>2</v>
      </c>
      <c r="F3253" s="34">
        <v>33</v>
      </c>
      <c r="G3253" s="10">
        <v>48631</v>
      </c>
      <c r="H3253" s="30" t="str">
        <f ca="1">IFERROR(__xludf.DUMMYFUNCTION("LOWER(REGEXREPLACE(B3253&amp;"" ""&amp;C3253,""[^а-яa-z0-9 ]"","" ""))")," тол для занятий с выдвижным ящиком  размеры 900х600х830 мм   толешница из      16 мм  кромка      верхняя планка выступает на 80 мм над столешницей  азмеры столешницы должны быть  не менее 900х600 мм   ысота верхнего края столешницы должна быть над полом"&amp;" не менее 760 мм   толешница должна быть из      толщиной не менее 16 мм с кромкой из     толщиной не менее 2 мм   ля изготовления несущих частей и различных элементов используется      толщиной не менее 16 мм   ромка из     должна быть толщиной не менее "&amp;"0 4 мм   од столешницей располагается выдвижной ящик на шариковых направляющих   асад ящика должен быть высотой 120 мм  и иметь сверху эргономичный вырез  используемый для открывания ящика   о заднему краю столешницы крепится две планки высотой 250 мм   е"&amp;"рхняя планка выступает на 80 мм над столешницей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п"&amp;"ластиковые подпятники ")</f>
        <v xml:space="preserve"> тол для занятий с выдвижным ящиком  размеры 900х600х830 мм   толешница из      16 мм  кромка      верхняя планка выступает на 80 мм над столешницей  азмеры столешницы должны быть  не менее 900х600 мм   ысота верхнего края столешницы должна быть над полом не менее 760 мм   толешница должна быть из      толщиной не менее 16 мм с кромкой из     толщиной не менее 2 мм   ля изготовления несущих частей и различных элементов используется      толщиной не менее 16 мм   ромка из     должна быть толщиной не менее 0 4 мм   од столешницей располагается выдвижной ящик на шариковых направляющих   асад ящика должен быть высотой 120 мм  и иметь сверху эргономичный вырез  используемый для открывания ящика   о заднему краю столешницы крепится две планки высотой 250 мм   ерхняя планка выступает на 80 мм над столешницей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v>
      </c>
    </row>
    <row r="3254" spans="1:8" ht="12.75" x14ac:dyDescent="0.2">
      <c r="A3254" s="31" t="s">
        <v>7747</v>
      </c>
      <c r="B3254" s="27" t="s">
        <v>7748</v>
      </c>
      <c r="C3254" s="27"/>
      <c r="D3254" s="33" t="s">
        <v>14</v>
      </c>
      <c r="E3254" s="9"/>
      <c r="F3254" s="32"/>
      <c r="G3254" s="10"/>
      <c r="H3254" s="30" t="str">
        <f ca="1">IFERROR(__xludf.DUMMYFUNCTION("LOWER(REGEXREPLACE(B3254&amp;"" ""&amp;C3254,""[^а-яa-z0-9 ]"","" ""))")," тол ученический двухместный ")</f>
        <v xml:space="preserve"> тол ученический двухместный </v>
      </c>
    </row>
    <row r="3255" spans="1:8" ht="38.25" x14ac:dyDescent="0.2">
      <c r="A3255" s="31" t="s">
        <v>7749</v>
      </c>
      <c r="B3255" s="27" t="s">
        <v>7750</v>
      </c>
      <c r="C3255" s="27" t="s">
        <v>7751</v>
      </c>
      <c r="D3255" s="33" t="s">
        <v>14</v>
      </c>
      <c r="E3255" s="9"/>
      <c r="F3255" s="32"/>
      <c r="G3255" s="10">
        <v>20408</v>
      </c>
      <c r="H3255" s="30" t="str">
        <f ca="1">IFERROR(__xludf.DUMMYFUNCTION("LOWER(REGEXREPLACE(B3255&amp;"" ""&amp;C3255,""[^а-яa-z0-9 ]"","" ""))")," тол  ученический двухместный регулируемый по высоте 1200х500х580 760    85 13    тол  ученический двухместный регулируемый по высоте   азмер 1200х500х580 760мм   снование металлокаркас   толешница      16мм ")</f>
        <v xml:space="preserve"> тол  ученический двухместный регулируемый по высоте 1200х500х580 760    85 13    тол  ученический двухместный регулируемый по высоте   азмер 1200х500х580 760мм   снование металлокаркас   толешница      16мм </v>
      </c>
    </row>
    <row r="3256" spans="1:8" ht="25.5" x14ac:dyDescent="0.2">
      <c r="A3256" s="31" t="s">
        <v>7752</v>
      </c>
      <c r="B3256" s="27" t="s">
        <v>7753</v>
      </c>
      <c r="C3256" s="27" t="s">
        <v>7754</v>
      </c>
      <c r="D3256" s="33" t="s">
        <v>14</v>
      </c>
      <c r="E3256" s="9"/>
      <c r="F3256" s="32"/>
      <c r="G3256" s="10">
        <v>13992</v>
      </c>
      <c r="H3256" s="30" t="str">
        <f ca="1">IFERROR(__xludf.DUMMYFUNCTION("LOWER(REGEXREPLACE(B3256&amp;"" ""&amp;C3256,""[^а-яa-z0-9 ]"","" ""))")," тол ученический двухместный 1200х500х760 марки    85 13  тол  ученический двухместный   азмер 1200х500х760мм   снование металлокаркас квадратного сечения   толешница      16мм ")</f>
        <v xml:space="preserve"> тол ученический двухместный 1200х500х760 марки    85 13  тол  ученический двухместный   азмер 1200х500х760мм   снование металлокаркас квадратного сечения   толешница      16мм </v>
      </c>
    </row>
    <row r="3257" spans="1:8" ht="25.5" x14ac:dyDescent="0.2">
      <c r="A3257" s="31" t="s">
        <v>7755</v>
      </c>
      <c r="B3257" s="27" t="s">
        <v>7756</v>
      </c>
      <c r="C3257" s="27" t="s">
        <v>7757</v>
      </c>
      <c r="D3257" s="33" t="s">
        <v>14</v>
      </c>
      <c r="E3257" s="9"/>
      <c r="F3257" s="32"/>
      <c r="G3257" s="10">
        <v>21634</v>
      </c>
      <c r="H3257" s="30" t="str">
        <f ca="1">IFERROR(__xludf.DUMMYFUNCTION("LOWER(REGEXREPLACE(B3257&amp;"" ""&amp;C3257,""[^а-яa-z0-9 ]"","" ""))")," тол ученический двухместный 1200х500х760 марки    01 14  тол  ученический двухместный   азмер 1200х500х760мм   снование металлокаркас круглого сечения   толешница      16мм ")</f>
        <v xml:space="preserve"> тол ученический двухместный 1200х500х760 марки    01 14  тол  ученический двухместный   азмер 1200х500х760мм   снование металлокаркас круглого сечения   толешница      16мм </v>
      </c>
    </row>
    <row r="3258" spans="1:8" ht="76.5" x14ac:dyDescent="0.2">
      <c r="A3258" s="31" t="s">
        <v>7758</v>
      </c>
      <c r="B3258" s="27" t="s">
        <v>7759</v>
      </c>
      <c r="C3258" s="27" t="s">
        <v>7760</v>
      </c>
      <c r="D3258" s="33" t="s">
        <v>14</v>
      </c>
      <c r="E3258" s="34">
        <v>2</v>
      </c>
      <c r="F3258" s="34">
        <v>12</v>
      </c>
      <c r="G3258" s="10">
        <v>36525</v>
      </c>
      <c r="H3258" s="30" t="str">
        <f ca="1">IFERROR(__xludf.DUMMYFUNCTION("LOWER(REGEXREPLACE(B3258&amp;"" ""&amp;C3258,""[^а-яa-z0-9 ]"","" ""))")," тол ученический двухместный регулируемый по высоте с     кромкой   толешница      22мм  основание металлокаркас  размер плоскоовальных труб 50х25х1 2мм и 40х20х1 4мм   азмер столешницы 1200х500мм  тол состоит сборно разборного каркаса плоскоовальной труб"&amp;"ы 50 25 1 2мм и 40 20 1 4мм регулируемые по высоте и столешницы из      толщиной не менее 22 мм с кромкой       толешница имеет размеры 1200х500мм   орцевые края должны быть облицованы материалом кромочным из       крашена полимерное  порошковая краска  л"&amp;"юбого цвета ")</f>
        <v xml:space="preserve"> тол ученический двухместный регулируемый по высоте с     кромкой   толешница      22мм  основание металлокаркас  размер плоскоовальных труб 50х25х1 2мм и 40х20х1 4мм   азмер столешницы 1200х500мм  тол состоит сборно разборного каркаса плоскоовальной трубы 50 25 1 2мм и 40 20 1 4мм регулируемые по высоте и столешницы из      толщиной не менее 22 мм с кромкой       толешница имеет размеры 1200х500мм   орцевые края должны быть облицованы материалом кромочным из       крашена полимерное  порошковая краска  любого цвета </v>
      </c>
    </row>
    <row r="3259" spans="1:8" ht="76.5" x14ac:dyDescent="0.2">
      <c r="A3259" s="31" t="s">
        <v>7761</v>
      </c>
      <c r="B3259" s="27" t="s">
        <v>7762</v>
      </c>
      <c r="C3259" s="27" t="s">
        <v>7763</v>
      </c>
      <c r="D3259" s="33" t="s">
        <v>14</v>
      </c>
      <c r="E3259" s="34">
        <v>2</v>
      </c>
      <c r="F3259" s="35">
        <v>12.5</v>
      </c>
      <c r="G3259" s="10">
        <v>46930</v>
      </c>
      <c r="H3259" s="30" t="str">
        <f ca="1">IFERROR(__xludf.DUMMYFUNCTION("LOWER(REGEXREPLACE(B3259&amp;"" ""&amp;C3259,""[^а-яa-z0-9 ]"","" ""))")," тол ученический двухместный регулируемый по высоте с полиуретановой кромкой   толешница      22мм  основание металлокаркас   азмер столешницы 1200х500мм  тол состоит сборно разборного каркаса плоскоовальной трубы 50 25 1 2мм и 40 20 1 4мм регулируемые по"&amp;" высоте и столешницы из      толщиной не менее 22 мм   толешница имеет размеры 1200х500мм   орцевые края должны быть облицованы полиуретановым материалом  крашена полимерное  порошковая краска  любого цвета ")</f>
        <v xml:space="preserve"> тол ученический двухместный регулируемый по высоте с полиуретановой кромкой   толешница      22мм  основание металлокаркас   азмер столешницы 1200х500мм  тол состоит сборно разборного каркаса плоскоовальной трубы 50 25 1 2мм и 40 20 1 4мм регулируемые по высоте и столешницы из      толщиной не менее 22 мм   толешница имеет размеры 1200х500мм   орцевые края должны быть облицованы полиуретановым материалом  крашена полимерное  порошковая краска  любого цвета </v>
      </c>
    </row>
    <row r="3260" spans="1:8" ht="51" x14ac:dyDescent="0.2">
      <c r="A3260" s="31" t="s">
        <v>7764</v>
      </c>
      <c r="B3260" s="27" t="s">
        <v>7765</v>
      </c>
      <c r="C3260" s="27" t="s">
        <v>7766</v>
      </c>
      <c r="D3260" s="33" t="s">
        <v>14</v>
      </c>
      <c r="E3260" s="9"/>
      <c r="F3260" s="32"/>
      <c r="G3260" s="10">
        <v>45684</v>
      </c>
      <c r="H3260" s="30" t="str">
        <f ca="1">IFERROR(__xludf.DUMMYFUNCTION("LOWER(REGEXREPLACE(B3260&amp;"" ""&amp;C3260,""[^а-яa-z0-9 ]"","" ""))")," тол ученический двухместный не регулируемый   толешница      32мм  основание металлокаркас   азмер столешницы  1200х500х640 710 760 мм  тол ученический двухместный не регулируемый   толешница      32мм  основание металлокаркас   азмер столешницы 1200х500"&amp;"х640 710 760 мм")</f>
        <v xml:space="preserve"> тол ученический двухместный не регулируемый   толешница      32мм  основание металлокаркас   азмер столешницы  1200х500х640 710 760 мм  тол ученический двухместный не регулируемый   толешница      32мм  основание металлокаркас   азмер столешницы 1200х500х640 710 760 мм</v>
      </c>
    </row>
    <row r="3261" spans="1:8" ht="51" x14ac:dyDescent="0.2">
      <c r="A3261" s="31" t="s">
        <v>7767</v>
      </c>
      <c r="B3261" s="27" t="s">
        <v>7768</v>
      </c>
      <c r="C3261" s="27" t="s">
        <v>7768</v>
      </c>
      <c r="D3261" s="33" t="s">
        <v>14</v>
      </c>
      <c r="E3261" s="9"/>
      <c r="F3261" s="32"/>
      <c r="G3261" s="10">
        <v>26529</v>
      </c>
      <c r="H3261" s="30" t="str">
        <f ca="1">IFERROR(__xludf.DUMMYFUNCTION("LOWER(REGEXREPLACE(B3261&amp;"" ""&amp;C3261,""[^а-яa-z0-9 ]"","" ""))")," тол ученический двухместный регулируемый по высоте с     кромкой   толешница      16 мм  основание металлокаркас   азмер столешницы 1200 500мм   тол ученический двухместный регулируемый по высоте с     кромкой   толешница      16 мм  основание металлокар"&amp;"кас   азмер столешницы 1200 500мм ")</f>
        <v xml:space="preserve"> тол ученический двухместный регулируемый по высоте с     кромкой   толешница      16 мм  основание металлокаркас   азмер столешницы 1200 500мм   тол ученический двухместный регулируемый по высоте с     кромкой   толешница      16 мм  основание металлокаркас   азмер столешницы 1200 500мм </v>
      </c>
    </row>
    <row r="3262" spans="1:8" ht="38.25" x14ac:dyDescent="0.2">
      <c r="A3262" s="31" t="s">
        <v>7769</v>
      </c>
      <c r="B3262" s="27" t="s">
        <v>7770</v>
      </c>
      <c r="C3262" s="27" t="s">
        <v>7771</v>
      </c>
      <c r="D3262" s="33" t="s">
        <v>14</v>
      </c>
      <c r="E3262" s="9"/>
      <c r="F3262" s="32"/>
      <c r="G3262" s="10">
        <v>24730</v>
      </c>
      <c r="H3262" s="30" t="str">
        <f ca="1">IFERROR(__xludf.DUMMYFUNCTION("LOWER(REGEXREPLACE(B3262&amp;"" ""&amp;C3262,""[^а-яa-z0-9 ]"","" ""))")," тол ученический двухместный не регулируемый   толешница 1200 500мм       16 мм   тол ученический двухместный не регулируемый   толешница 1200 500мм       16 мм   снование металлокаркас")</f>
        <v xml:space="preserve"> тол ученический двухместный не регулируемый   толешница 1200 500мм       16 мм   тол ученический двухместный не регулируемый   толешница 1200 500мм       16 мм   снование металлокаркас</v>
      </c>
    </row>
    <row r="3263" spans="1:8" ht="153" x14ac:dyDescent="0.2">
      <c r="A3263" s="31" t="s">
        <v>7772</v>
      </c>
      <c r="B3263" s="8" t="s">
        <v>7773</v>
      </c>
      <c r="C3263" s="27" t="s">
        <v>7774</v>
      </c>
      <c r="D3263" s="33" t="s">
        <v>14</v>
      </c>
      <c r="E3263" s="34">
        <v>2</v>
      </c>
      <c r="F3263" s="35">
        <v>13.3</v>
      </c>
      <c r="G3263" s="10">
        <v>74692</v>
      </c>
      <c r="H3263" s="30" t="str">
        <f ca="1">IFERROR(__xludf.DUMMYFUNCTION("LOWER(REGEXREPLACE(B3263&amp;"" ""&amp;C3263,""[^а-яa-z0-9 ]"","" ""))")," тол ученический двухместный регулируемый по высоте с полипропиленовой кромкой   толешница      22мм  встроенный пенал  основание металлокаркас   азмер столешницы 1200х500мм  тол ученический двухместный в основе имеет полностью сварной металлический карка"&amp;"с   азмер столешницы 1200х500мм   ысота стола регулируемая не менее 700 760мм и 580 640 мм    толешница из      имеет размеры 1200х500мм и высоту 22 мм   цвет по согласованию с заказчиком    орцевые части выполнены из полипропиленового пластика серого цве"&amp;"та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стальны"&amp;"х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зказкачика  ")</f>
        <v xml:space="preserve"> тол ученический двухместный регулируемый по высоте с полипропиленовой кромкой   толешница      22мм  встроенный пенал  основание металлокаркас   азмер столешницы 1200х500мм  тол ученический двухместный в основе имеет полностью сварной металлический каркас   азмер столешницы 1200х500мм   ысота стола регулируемая не менее 700 760мм и 580 640 мм    толешница из      имеет размеры 1200х500мм и высоту 22 мм   цвет по согласованию с заказчиком    орцевые части выполнены из полипропиленового пластика серого цвета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зказкачика  </v>
      </c>
    </row>
    <row r="3264" spans="1:8" ht="76.5" x14ac:dyDescent="0.2">
      <c r="A3264" s="31" t="s">
        <v>7775</v>
      </c>
      <c r="B3264" s="27" t="s">
        <v>7776</v>
      </c>
      <c r="C3264" s="27" t="s">
        <v>7777</v>
      </c>
      <c r="D3264" s="33" t="s">
        <v>14</v>
      </c>
      <c r="E3264" s="34">
        <v>2</v>
      </c>
      <c r="F3264" s="34">
        <v>18</v>
      </c>
      <c r="G3264" s="10">
        <v>47282</v>
      </c>
      <c r="H3264" s="30" t="str">
        <f ca="1">IFERROR(__xludf.DUMMYFUNCTION("LOWER(REGEXREPLACE(B3264&amp;"" ""&amp;C3264,""[^а-яa-z0-9 ]"","" ""))")," тол ученический двухместный регулируемый по высоте с полиуретановой кромкой   толешница      16мм  основание металлокаркас   азмер столешницы 1200х500мм  арта  стол  ученическая двухместная   толешница       толщина 16мм   егулируемый по высоте   орцы из"&amp;" литого полиуретана   пора регулируемая  имеет три положения по высоте   ижняя часть опоры защищена пластиковыми наконечниками   абаритные размеры   ысота  760мм   лина 1200мм   ирина 500мм")</f>
        <v xml:space="preserve"> тол ученический двухместный регулируемый по высоте с полиуретановой кромкой   толешница      16мм  основание металлокаркас   азмер столешницы 1200х500мм  арта  стол  ученическая двухместная   толешница       толщина 16мм   егулируемый по высоте   орцы из литого полиуретана   пора регулируемая  имеет три положения по высоте   ижняя часть опоры защищена пластиковыми наконечниками   абаритные размеры   ысота  760мм   лина 1200мм   ирина 500мм</v>
      </c>
    </row>
    <row r="3265" spans="1:8" ht="114.75" x14ac:dyDescent="0.2">
      <c r="A3265" s="31" t="s">
        <v>7778</v>
      </c>
      <c r="B3265" s="27" t="s">
        <v>7779</v>
      </c>
      <c r="C3265" s="27" t="s">
        <v>7780</v>
      </c>
      <c r="D3265" s="33" t="s">
        <v>14</v>
      </c>
      <c r="E3265" s="34">
        <v>2</v>
      </c>
      <c r="F3265" s="34">
        <v>45</v>
      </c>
      <c r="G3265" s="10">
        <v>36326</v>
      </c>
      <c r="H3265" s="30" t="str">
        <f ca="1">IFERROR(__xludf.DUMMYFUNCTION("LOWER(REGEXREPLACE(B3265&amp;"" ""&amp;C3265,""[^а-яa-z0-9 ]"","" ""))")," тол ученический двухместный регулируемый по высоте с     кромкой   толешница      18мм  основание металлокаркас   азмер столешницы 1200х500мм  тол ученический двухместный в основе имеет сварной металлический каркас   азмер столешницы 1200х500мм   ысота с"&amp;"тола регулируемая   толешница из      имеет размеры 1200х500мм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к"&amp;"раской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f>
        <v xml:space="preserve"> тол ученический двухместный регулируемый по высоте с     кромкой   толешница      18мм  основание металлокаркас   азмер столешницы 1200х500мм  тол ученический двухместный в основе имеет сварной металлический каркас   азмер столешницы 1200х500мм   ысота стола регулируемая   толешница из      имеет размеры 1200х500мм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v>
      </c>
    </row>
    <row r="3266" spans="1:8" ht="114.75" x14ac:dyDescent="0.2">
      <c r="A3266" s="31" t="s">
        <v>7781</v>
      </c>
      <c r="B3266" s="27" t="s">
        <v>7782</v>
      </c>
      <c r="C3266" s="27" t="s">
        <v>7783</v>
      </c>
      <c r="D3266" s="33" t="s">
        <v>14</v>
      </c>
      <c r="E3266" s="34">
        <v>2</v>
      </c>
      <c r="F3266" s="34">
        <v>55</v>
      </c>
      <c r="G3266" s="10">
        <v>76563</v>
      </c>
      <c r="H3266" s="30" t="str">
        <f ca="1">IFERROR(__xludf.DUMMYFUNCTION("LOWER(REGEXREPLACE(B3266&amp;"" ""&amp;C3266,""[^а-яa-z0-9 ]"","" ""))")," тол ученический двухместный  с сиденьем  не регулируемый по высоте с     кромкой   толешница      16мм  основание металлокаркас   азмер столешницы 1200х500мм  сиденья 1200х275мм  спинки 1200х250мм  тол ученический двухместный  с сиденьем  в основе имеет "&amp;"сварной металлический каркас   азмер столешницы 1200х500мм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окрашенн"&amp;"ой порошковой краской  цвет по согласованию с заказчиком   орцевые края облицованы материалом кромочным из       иденье изготовлено из      16 мм  размер 1200х275мм   пинка изготовлена из      16 мм  размер 1200х250мм ")</f>
        <v xml:space="preserve"> тол ученический двухместный  с сиденьем  не регулируемый по высоте с     кромкой   толешница      16мм  основание металлокаркас   азмер столешницы 1200х500мм  сиденья 1200х275мм  спинки 1200х250мм  тол ученический двухместный  с сиденьем  в основе имеет сварной металлический каркас   азмер столешницы 1200х500мм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порошковой краской  цвет по согласованию с заказчиком   орцевые края облицованы материалом кромочным из       иденье изготовлено из      16 мм  размер 1200х275мм   пинка изготовлена из      16 мм  размер 1200х250мм </v>
      </c>
    </row>
    <row r="3267" spans="1:8" ht="76.5" x14ac:dyDescent="0.2">
      <c r="A3267" s="31" t="s">
        <v>7784</v>
      </c>
      <c r="B3267" s="27" t="s">
        <v>7785</v>
      </c>
      <c r="C3267" s="27" t="s">
        <v>7786</v>
      </c>
      <c r="D3267" s="33" t="s">
        <v>14</v>
      </c>
      <c r="E3267" s="34">
        <v>2</v>
      </c>
      <c r="F3267" s="34">
        <v>20</v>
      </c>
      <c r="G3267" s="10">
        <v>96639</v>
      </c>
      <c r="H3267" s="30" t="str">
        <f ca="1">IFERROR(__xludf.DUMMYFUNCTION("LOWER(REGEXREPLACE(B3267&amp;"" ""&amp;C3267,""[^а-яa-z0-9 ]"","" ""))")," тол ученический двухместный не регулируемый по высоте с     кромкой   толешница      типа       32мм  основание металлокаркас   азмер столешницы 1200х600 мм  азмер 1200х600х750 мм   вет бежевый   атериал         типа         аркас   металл   вет каркаса "&amp;"белый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из"&amp;" нержавейки ")</f>
        <v xml:space="preserve"> тол ученический двухместный не регулируемый по высоте с     кромкой   толешница      типа       32мм  основание металлокаркас   азмер столешницы 1200х600 мм  азмер 1200х600х750 мм   вет бежевый   атериал         типа         аркас   металл   вет каркаса белый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v>
      </c>
    </row>
    <row r="3268" spans="1:8" ht="178.5" x14ac:dyDescent="0.2">
      <c r="A3268" s="31" t="s">
        <v>7787</v>
      </c>
      <c r="B3268" s="8" t="s">
        <v>7788</v>
      </c>
      <c r="C3268" s="27" t="s">
        <v>7789</v>
      </c>
      <c r="D3268" s="33" t="s">
        <v>14</v>
      </c>
      <c r="E3268" s="34">
        <v>2</v>
      </c>
      <c r="F3268" s="34">
        <v>12</v>
      </c>
      <c r="G3268" s="10">
        <v>58500</v>
      </c>
      <c r="H3268" s="30" t="str">
        <f ca="1">IFERROR(__xludf.DUMMYFUNCTION("LOWER(REGEXREPLACE(B3268&amp;"" ""&amp;C3268,""[^а-яa-z0-9 ]"","" ""))")," тол ученический двухместный регулируемый по высоте с     кромкой   толешница      22мм  основание металлокаркас  размер плоскоовальных труб 50х25х1 5 и 40х20х1 5мм   азмер столешницы 1200х500мм  тол ученический двухместный в основе имеет сборно разборный"&amp;" металлический каркас   азмер столешницы 1200х500мм   ысота стола регулируемая от 640 до 760 мм   толешница из      имеет размеры 1200х500мм и толщину 22 мм  цвет по согласованию с заказчиком   борно разборный каркас парты изготавливается из стальных плос"&amp;"коовальных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и"&amp;"меющего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"&amp;"кромку из       аглушки на основании ножек и переходник пластиковые черного цвета ")</f>
        <v xml:space="preserve"> тол ученический двухместный регулируемый по высоте с     кромкой   толешница      22мм  основание металлокаркас  размер плоскоовальных труб 50х25х1 5 и 40х20х1 5мм   азмер столешницы 1200х500мм  тол ученический двухместный в основе имеет сборно разборный металлический каркас   азмер столешницы 1200х500мм   ысота стола регулируемая от 640 до 760 мм   толешница из      имеет размеры 1200х500мм и толщину 22 мм  цвет по согласованию с заказчиком   борно разборный каркас парты изготавливается из стальных плоскоовальных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 ножек и переходник пластиковые черного цвета </v>
      </c>
    </row>
    <row r="3269" spans="1:8" ht="127.5" x14ac:dyDescent="0.2">
      <c r="A3269" s="31" t="s">
        <v>7790</v>
      </c>
      <c r="B3269" s="27" t="s">
        <v>7791</v>
      </c>
      <c r="C3269" s="27" t="s">
        <v>7792</v>
      </c>
      <c r="D3269" s="33" t="s">
        <v>14</v>
      </c>
      <c r="E3269" s="34">
        <v>2</v>
      </c>
      <c r="F3269" s="34">
        <v>28</v>
      </c>
      <c r="G3269" s="10">
        <v>67735</v>
      </c>
      <c r="H3269" s="30" t="str">
        <f ca="1">IFERROR(__xludf.DUMMYFUNCTION("LOWER(REGEXREPLACE(B3269&amp;"" ""&amp;C3269,""[^а-яa-z0-9 ]"","" ""))")," тол ученический двухместный регулируемый по высоте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ст"&amp;"ола регулируемая от 640 до 760 мм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окрашенно"&amp;"й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xml:space="preserve"> тол ученический двухместный регулируемый по высоте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0" spans="1:8" ht="127.5" x14ac:dyDescent="0.2">
      <c r="A3270" s="31" t="s">
        <v>7793</v>
      </c>
      <c r="B3270" s="27" t="s">
        <v>7794</v>
      </c>
      <c r="C3270" s="27" t="s">
        <v>7795</v>
      </c>
      <c r="D3270" s="33" t="s">
        <v>14</v>
      </c>
      <c r="E3270" s="34">
        <v>2</v>
      </c>
      <c r="F3270" s="34">
        <v>29</v>
      </c>
      <c r="G3270" s="10">
        <v>71336</v>
      </c>
      <c r="H3270" s="30" t="str">
        <f ca="1">IFERROR(__xludf.DUMMYFUNCTION("LOWER(REGEXREPLACE(B3270&amp;"" ""&amp;C3270,""[^а-яa-z0-9 ]"","" ""))")," тол ученический двухместный регулируемый по высоте и наклону столешницы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"&amp;"1200 450мм   ысота стола регулируемая от 640 до 760 мм   аклон столешницы регулируется от 0 до 45 градусов   толешница из  erzalit имеет размеры 1200 450мм и толщину 23мм  цвет по согласованию с заказчиком   борно разборный каркас парты изготавливается из"&amp;"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сет"&amp;"ки комплектуется по запросу заказчика ")</f>
        <v xml:space="preserve"> тол ученический двухместный регулируемый по высоте и наклону столешницы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1" spans="1:8" ht="127.5" x14ac:dyDescent="0.2">
      <c r="A3271" s="31" t="s">
        <v>7796</v>
      </c>
      <c r="B3271" s="8" t="s">
        <v>7797</v>
      </c>
      <c r="C3271" s="27" t="s">
        <v>7798</v>
      </c>
      <c r="D3271" s="33" t="s">
        <v>14</v>
      </c>
      <c r="E3271" s="34">
        <v>2</v>
      </c>
      <c r="F3271" s="34">
        <v>20</v>
      </c>
      <c r="G3271" s="10">
        <v>60330</v>
      </c>
      <c r="H3271" s="30" t="str">
        <f ca="1">IFERROR(__xludf.DUMMYFUNCTION("LOWER(REGEXREPLACE(B3271&amp;"" ""&amp;C3271,""[^а-яa-z0-9 ]"","" ""))")," тол ученический двухместный регулируемый по высоте и наклону столешницы с     кромкой   толешница      22мм  основание металлокаркас   азмер столешницы 1200 500мм  тол ученический двухместный в основе имеет сборно разборный металлический каркас   азмер с"&amp;"толешницы 1200 500мм   ысота стола регулируемая от 640 до 760 мм   аклон столешницы регулируется от 0 до 45 градусов   толешница из      имеет размеры 1200 500мм и толщину 22мм  цвет по согласованию с заказчиком   борно разборный каркас парты изготавливае"&amp;"тся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принадлежностей"&amp;"  выполненная из металла  ввиде сетки   омплектуется по запросу заказчика  ")</f>
        <v xml:space="preserve"> тол ученический двухместный регулируемый по высоте и наклону столешницы с     кромкой   толешница      22мм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500мм   ысота стола регулируемая от 640 до 760 мм   аклон столешницы регулируется от 0 до 45 градусов   толешница из      имеет размеры 1200 500мм и толщину 22мм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омплектуется по запросу заказчика  </v>
      </c>
    </row>
    <row r="3272" spans="1:8" ht="127.5" x14ac:dyDescent="0.2">
      <c r="A3272" s="31" t="s">
        <v>7799</v>
      </c>
      <c r="B3272" s="27" t="s">
        <v>7800</v>
      </c>
      <c r="C3272" s="27" t="s">
        <v>7801</v>
      </c>
      <c r="D3272" s="33" t="s">
        <v>14</v>
      </c>
      <c r="E3272" s="34">
        <v>2</v>
      </c>
      <c r="F3272" s="34">
        <v>19</v>
      </c>
      <c r="G3272" s="10">
        <v>57628</v>
      </c>
      <c r="H3272" s="30" t="str">
        <f ca="1">IFERROR(__xludf.DUMMYFUNCTION("LOWER(REGEXREPLACE(B3272&amp;"" ""&amp;C3272,""[^а-яa-z0-9 ]"","" ""))")," тол ученический двухместный регулируемый по высоте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"&amp;" ысота стола регулируемая от 640 до 760 мм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окраш"&amp;"енной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f>
        <v xml:space="preserve"> тол ученический двухместный регулируемый по высоте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73" spans="1:8" ht="127.5" x14ac:dyDescent="0.2">
      <c r="A3273" s="31" t="s">
        <v>7802</v>
      </c>
      <c r="B3273" s="8" t="s">
        <v>7803</v>
      </c>
      <c r="C3273" s="27" t="s">
        <v>7804</v>
      </c>
      <c r="D3273" s="33" t="s">
        <v>14</v>
      </c>
      <c r="E3273" s="34">
        <v>2</v>
      </c>
      <c r="F3273" s="34">
        <v>20</v>
      </c>
      <c r="G3273" s="10">
        <v>60330</v>
      </c>
      <c r="H3273" s="30" t="str">
        <f ca="1">IFERROR(__xludf.DUMMYFUNCTION("LOWER(REGEXREPLACE(B3273&amp;"" ""&amp;C3273,""[^а-яa-z0-9 ]"","" ""))")," тол ученический двухместный регулируемый по высоте и наклону столешницы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ст"&amp;"олешницы 1200 450мм   ысота стола регулируемая от 640 до 760 мм   аклон столешницы регулируется от 0 до 45 градусов   толешница из     имеет размеры 1200 500мм и толщину 18мм  цвет по согласованию с заказчиком   борно разборный каркас парты изготавливаетс"&amp;"я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"&amp;"выполненная из металла  ввиде сетки комплектуется по запросу заказчика ")</f>
        <v xml:space="preserve"> тол ученический двухместный регулируемый по высоте и наклону столешницы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v>
      </c>
    </row>
    <row r="3274" spans="1:8" ht="127.5" x14ac:dyDescent="0.2">
      <c r="A3274" s="31" t="s">
        <v>7805</v>
      </c>
      <c r="B3274" s="27" t="s">
        <v>7806</v>
      </c>
      <c r="C3274" s="27" t="s">
        <v>7807</v>
      </c>
      <c r="D3274" s="33" t="s">
        <v>14</v>
      </c>
      <c r="E3274" s="34">
        <v>2</v>
      </c>
      <c r="F3274" s="34">
        <v>19</v>
      </c>
      <c r="G3274" s="10">
        <v>67700</v>
      </c>
      <c r="H3274" s="30" t="str">
        <f ca="1">IFERROR(__xludf.DUMMYFUNCTION("LOWER(REGEXREPLACE(B3274&amp;"" ""&amp;C3274,""[^а-яa-z0-9 ]"","" ""))")," тол ученический двухместный регулируемый по высоте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р"&amp;"егулируемая от 640 до 760 мм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полимерн"&amp;"о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f>
        <v xml:space="preserve"> тол ученический двухместный регулируемый по высоте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5" spans="1:8" ht="127.5" x14ac:dyDescent="0.2">
      <c r="A3275" s="31" t="s">
        <v>7808</v>
      </c>
      <c r="B3275" s="27" t="s">
        <v>7809</v>
      </c>
      <c r="C3275" s="27" t="s">
        <v>7810</v>
      </c>
      <c r="D3275" s="33" t="s">
        <v>14</v>
      </c>
      <c r="E3275" s="34">
        <v>2</v>
      </c>
      <c r="F3275" s="34">
        <v>20</v>
      </c>
      <c r="G3275" s="10">
        <v>71301</v>
      </c>
      <c r="H3275" s="30" t="str">
        <f ca="1">IFERROR(__xludf.DUMMYFUNCTION("LOWER(REGEXREPLACE(B3275&amp;"" ""&amp;C3275,""[^а-яa-z0-9 ]"","" ""))")," тол ученический двухместный регулируемый по высоте и наклону столешницы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"&amp;"450мм   ысота стола регулируемая от 640 до 760 мм   аклон столешницы регулируется от 0 до 45 градусов   толешница из     имеет размеры 1200 450мм и толщину 16мм  цвет по согласованию с заказчиком   борно разборный каркас парты изготавливается из стальных "&amp;"плоскоовальных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комплек"&amp;"туется по запросу заказчика ")</f>
        <v xml:space="preserve"> тол ученический двухместный регулируемый по высоте и наклону столешницы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v>
      </c>
    </row>
    <row r="3276" spans="1:8" ht="114.75" x14ac:dyDescent="0.2">
      <c r="A3276" s="31" t="s">
        <v>7811</v>
      </c>
      <c r="B3276" s="27" t="s">
        <v>7812</v>
      </c>
      <c r="C3276" s="27" t="s">
        <v>7813</v>
      </c>
      <c r="D3276" s="33" t="s">
        <v>14</v>
      </c>
      <c r="E3276" s="34">
        <v>2</v>
      </c>
      <c r="F3276" s="35">
        <v>18.5</v>
      </c>
      <c r="G3276" s="10">
        <v>70216</v>
      </c>
      <c r="H3276" s="30" t="str">
        <f ca="1">IFERROR(__xludf.DUMMYFUNCTION("LOWER(REGEXREPLACE(B3276&amp;"" ""&amp;C3276,""[^а-яa-z0-9 ]"","" ""))")," тол ученический двухместный регулируемый по высоте с     кромкой   толешница из     18мм  основание металлокаркас   азмер столешницы 1200х500мм  тол ученический двухместный в основе имеет сборно разборный металлический каркас   азмер столешницы 1200х500м"&amp;"м   ысота стола регулируемая от 700 до 760 мм   толешница из ламинированного     имеет размеры 1200х500мм и толщину 18 мм  цвет по согласованию с заказчиком   борно разборный каркас парты изготавливается из стальных плоскоовальных труб размерами 50 25 1 5"&amp;"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f>
        <v xml:space="preserve"> тол ученический двухместный регулируемый по высоте с     кромкой   толешница из     18мм  основание металлокаркас   азмер столешницы 1200х500мм  тол ученический двухместный в основе имеет сборно разборный металлический каркас   азмер столешницы 1200х500мм   ысота стола регулируемая от 700 до 760 мм   толешница из ламинированного     имеет размеры 1200х500мм и толщину 18 мм  цвет по согласованию с заказчиком   борно разборный каркас парты изготавливается из стальных плоскоовальных труб размерами 50 25 1 5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v>
      </c>
    </row>
    <row r="3277" spans="1:8" ht="89.25" x14ac:dyDescent="0.2">
      <c r="A3277" s="31" t="s">
        <v>7814</v>
      </c>
      <c r="B3277" s="27" t="s">
        <v>7815</v>
      </c>
      <c r="C3277" s="27" t="s">
        <v>7687</v>
      </c>
      <c r="D3277" s="33" t="s">
        <v>14</v>
      </c>
      <c r="E3277" s="34">
        <v>2</v>
      </c>
      <c r="F3277" s="34">
        <v>18</v>
      </c>
      <c r="G3277" s="10">
        <v>81132</v>
      </c>
      <c r="H3277" s="30" t="str">
        <f ca="1">IFERROR(__xludf.DUMMYFUNCTION("LOWER(REGEXREPLACE(B3277&amp;"" ""&amp;C3277,""[^а-яa-z0-9 ]"","" ""))")," тол ученический двухместный 1200х500х760мм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то"&amp;"лщиной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профиль"&amp;"ной трубы 25х25мм  покрытие полимернопорошковое ")</f>
        <v xml:space="preserve"> тол ученический двухместный 1200х500х760мм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профильной трубы 25х25мм  покрытие полимернопорошковое </v>
      </c>
    </row>
    <row r="3278" spans="1:8" ht="63.75" x14ac:dyDescent="0.2">
      <c r="A3278" s="31" t="s">
        <v>7816</v>
      </c>
      <c r="B3278" s="27" t="s">
        <v>7817</v>
      </c>
      <c r="C3278" s="27" t="s">
        <v>7690</v>
      </c>
      <c r="D3278" s="33" t="s">
        <v>14</v>
      </c>
      <c r="E3278" s="34">
        <v>2</v>
      </c>
      <c r="F3278" s="34">
        <v>18</v>
      </c>
      <c r="G3278" s="10">
        <v>110403</v>
      </c>
      <c r="H3278" s="30" t="str">
        <f ca="1">IFERROR(__xludf.DUMMYFUNCTION("LOWER(REGEXREPLACE(B3278&amp;"" ""&amp;C3278,""[^а-яa-z0-9 ]"","" ""))")," тол ученический двухместный 1200х500х760мм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30"&amp;"мм  комплектуются регулируемыми опорами   се металлические элементы покрашены полимерно порошковой краской   арга     облицовано пленкой     ")</f>
        <v xml:space="preserve"> тол ученический двухместный 1200х500х760мм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30мм  комплектуются регулируемыми опорами   се металлические элементы покрашены полимерно порошковой краской   арга     облицовано пленкой     </v>
      </c>
    </row>
    <row r="3279" spans="1:8" ht="63.75" x14ac:dyDescent="0.2">
      <c r="A3279" s="31" t="s">
        <v>7818</v>
      </c>
      <c r="B3279" s="27" t="s">
        <v>7819</v>
      </c>
      <c r="C3279" s="27" t="s">
        <v>7820</v>
      </c>
      <c r="D3279" s="33" t="s">
        <v>14</v>
      </c>
      <c r="E3279" s="34">
        <v>2</v>
      </c>
      <c r="F3279" s="34">
        <v>12</v>
      </c>
      <c r="G3279" s="10">
        <v>81916</v>
      </c>
      <c r="H3279" s="30" t="str">
        <f ca="1">IFERROR(__xludf.DUMMYFUNCTION("LOWER(REGEXREPLACE(B3279&amp;"" ""&amp;C3279,""[^а-яa-z0-9 ]"","" ""))")," тол модульный 1400х950х760мм   толешница      16мм  кромка      металлический каркас труба профильная  толешница фигурная выполнена из высококачественного    т   толщиной не менее 16 мм  на основе термореактивных полимеров  класс эмиссии формальдегид   1"&amp;"  1 сорт   ромка     толщиной 2мм   репление каркаса к столешнице при помощи саморезов   аркас  труба профильная d 60  покрытие полимерно порошковое цвет ")</f>
        <v xml:space="preserve"> тол модульный 1400х950х760мм   толешница      16мм  кромка      металлический каркас труба профильная  толешница фигурная выполнена из высококачественного    т   толщиной не менее 16 мм  на основе термореактивных полимеров  класс эмиссии формальдегид   1  1 сорт   ромка     толщиной 2мм   репление каркаса к столешнице при помощи саморезов   аркас  труба профильная d 60  покрытие полимерно порошковое цвет </v>
      </c>
    </row>
    <row r="3280" spans="1:8" ht="63.75" x14ac:dyDescent="0.2">
      <c r="A3280" s="31" t="s">
        <v>7821</v>
      </c>
      <c r="B3280" s="27" t="s">
        <v>7822</v>
      </c>
      <c r="C3280" s="27" t="s">
        <v>7823</v>
      </c>
      <c r="D3280" s="33" t="s">
        <v>14</v>
      </c>
      <c r="E3280" s="34">
        <v>2</v>
      </c>
      <c r="F3280" s="35">
        <v>17.899999999999999</v>
      </c>
      <c r="G3280" s="10">
        <v>29188</v>
      </c>
      <c r="H3280" s="30" t="str">
        <f ca="1">IFERROR(__xludf.DUMMYFUNCTION("LOWER(REGEXREPLACE(B3280&amp;"" ""&amp;C3280,""[^а-яa-z0-9 ]"","" ""))")," тол ученический двухместный регулируемый по высоте с     кромкой   толешница      16 мм  основание металлокаркас   азмер столешницы 1200х500мм  толешница и царга выполнены из      16мм   орцы обрамлены кромкой     толщиной 2мм   аркас на прямоугольной тр"&amp;"убе   редусмотрены крючки для сумок   егулировка высоты осуществляется в соответствие с ростовой группой  1 4  460 520 580 640мм   4 6  640 700 760мм   5 7  700 760 820мм")</f>
        <v xml:space="preserve"> тол ученический двухместный регулируемый по высоте с     кромкой   толешница      16 мм  основание металлокаркас   азмер столешницы 1200х500мм  толешница и царга выполнены из      16мм   орцы обрамлены кромкой     толщиной 2мм   аркас на прямоугольной трубе   редусмотрены крючки для сумок   егулировка высоты осуществляется в соответствие с ростовой группой  1 4  460 520 580 640мм   4 6  640 700 760мм   5 7  700 760 820мм</v>
      </c>
    </row>
    <row r="3281" spans="1:8" ht="76.5" x14ac:dyDescent="0.2">
      <c r="A3281" s="31" t="s">
        <v>7824</v>
      </c>
      <c r="B3281" s="8" t="s">
        <v>7825</v>
      </c>
      <c r="C3281" s="27" t="s">
        <v>7826</v>
      </c>
      <c r="D3281" s="33" t="s">
        <v>14</v>
      </c>
      <c r="E3281" s="34">
        <v>2</v>
      </c>
      <c r="F3281" s="35">
        <v>20.6</v>
      </c>
      <c r="G3281" s="10">
        <v>44505</v>
      </c>
      <c r="H3281" s="30" t="str">
        <f ca="1">IFERROR(__xludf.DUMMYFUNCTION("LOWER(REGEXREPLACE(B3281&amp;"" ""&amp;C3281,""[^а-яa-z0-9 ]"","" ""))")," тол ученический двухместный регулируемый по высоте  с наклоном столешницы и     кромкой   толешница      16 мм  основание металлокаркас   азмер столешницы 1200х500мм  толешница и царга выполнена из      16мм   орцы обрамлены кромкой     толщиной 2мм   ак"&amp;"лон столешницы  0 24    выемка для ручек  углы столешницы закруглены   аркас на  прямоугольной трубе  цвет  коричневый   егулировка высоты осуществляется в соответствие с ростовой группой  2 4  520 580 640мм")</f>
        <v xml:space="preserve"> тол ученический двухместный регулируемый по высоте  с наклоном столешницы и     кромкой   толешница      16 мм  основание металлокаркас   азмер столешницы 1200х500мм  толешница и царга выполнена из      16мм   орцы обрамлены кромкой     толщиной 2мм   аклон столешницы  0 24    выемка для ручек  углы столешницы закруглены   аркас на  прямоугольной трубе  цвет  коричневый   егулировка высоты осуществляется в соответствие с ростовой группой  2 4  520 580 640мм</v>
      </c>
    </row>
    <row r="3282" spans="1:8" ht="89.25" x14ac:dyDescent="0.2">
      <c r="A3282" s="31" t="s">
        <v>7827</v>
      </c>
      <c r="B3282" s="27" t="s">
        <v>7828</v>
      </c>
      <c r="C3282" s="27" t="s">
        <v>7829</v>
      </c>
      <c r="D3282" s="33" t="s">
        <v>14</v>
      </c>
      <c r="E3282" s="34">
        <v>2</v>
      </c>
      <c r="F3282" s="35">
        <v>17.8</v>
      </c>
      <c r="G3282" s="10">
        <v>37839</v>
      </c>
      <c r="H3282" s="30" t="str">
        <f ca="1">IFERROR(__xludf.DUMMYFUNCTION("LOWER(REGEXREPLACE(B3282&amp;"" ""&amp;C3282,""[^а-яa-z0-9 ]"","" ""))")," тол ученический двухместный нерегулируемый трапеция с     кромкой   толешница 1300х590х760мм       16мм  основание металлокаркас  тол трапеция нерегулируемый  группа роста  6  760мм    аркас стола представляет собой цельносварную рамочную конструкцию  вы"&amp;"полненную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толешница выполнена из      16 мм в виде трапеции  облицов"&amp;"ана кромкой     2 мм   се углы закруглены ")</f>
        <v xml:space="preserve"> тол ученический двухместный нерегулируемый трапеция с     кромкой   толешница 1300х590х760мм       16мм  основание металлокаркас  тол трапеция нерегулируемый  группа роста  6  760мм    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толешница выполнена из      16 мм в виде трапеции  облицована кромкой     2 мм   се углы закруглены </v>
      </c>
    </row>
    <row r="3283" spans="1:8" ht="191.25" x14ac:dyDescent="0.2">
      <c r="A3283" s="31" t="s">
        <v>7830</v>
      </c>
      <c r="B3283" s="27" t="s">
        <v>7831</v>
      </c>
      <c r="C3283" s="27" t="s">
        <v>7832</v>
      </c>
      <c r="D3283" s="33" t="s">
        <v>14</v>
      </c>
      <c r="E3283" s="34">
        <v>2</v>
      </c>
      <c r="F3283" s="34">
        <v>27</v>
      </c>
      <c r="G3283" s="10">
        <v>56156</v>
      </c>
      <c r="H3283" s="30" t="str">
        <f ca="1">IFERROR(__xludf.DUMMYFUNCTION("LOWER(REGEXREPLACE(B3283&amp;"" ""&amp;C3283,""[^а-яa-z0-9 ]"","" ""))")," тол ученический двухместный регулируемый по высоте 580 700мм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"&amp;" ысота стола регулируемая 580 700мм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есткость"&amp;"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телес"&amp;"копически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"&amp;"тол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xml:space="preserve"> тол ученический двухместный регулируемый по высоте 580 700мм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ысота стола регулируемая 580 700мм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84" spans="1:8" ht="153" x14ac:dyDescent="0.2">
      <c r="A3284" s="31" t="s">
        <v>7833</v>
      </c>
      <c r="B3284" s="27" t="s">
        <v>7834</v>
      </c>
      <c r="C3284" s="27" t="s">
        <v>7835</v>
      </c>
      <c r="D3284" s="33" t="s">
        <v>14</v>
      </c>
      <c r="E3284" s="34">
        <v>2</v>
      </c>
      <c r="F3284" s="34">
        <v>26</v>
      </c>
      <c r="G3284" s="10">
        <v>44408</v>
      </c>
      <c r="H3284" s="30" t="str">
        <f ca="1">IFERROR(__xludf.DUMMYFUNCTION("LOWER(REGEXREPLACE(B3284&amp;"" ""&amp;C3284,""[^а-яa-z0-9 ]"","" ""))")," тол ученический двухместный нерегулируемый по высоте с     кромкой   толешница      22мм  основание металлокаркас   азмер 1200х500х760мм  азмер столешницы 1200х500мм  толщина      22мм   ысота стола фиксированная 760мм в соответствие с ростовой группой  "&amp;"6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во"&amp;"зможности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22"&amp;"мм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f>
        <v xml:space="preserve"> тол ученический двухместный нерегулируемый по высоте с     кромкой   толешница      22мм  основание металлокаркас   азмер 1200х500х760мм  азмер столешницы 1200х500мм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85" spans="1:8" ht="165.75" x14ac:dyDescent="0.2">
      <c r="A3285" s="31" t="s">
        <v>7836</v>
      </c>
      <c r="B3285" s="27" t="s">
        <v>7837</v>
      </c>
      <c r="C3285" s="27" t="s">
        <v>7838</v>
      </c>
      <c r="D3285" s="33" t="s">
        <v>14</v>
      </c>
      <c r="E3285" s="34">
        <v>2</v>
      </c>
      <c r="F3285" s="34">
        <v>24</v>
      </c>
      <c r="G3285" s="10">
        <v>48624</v>
      </c>
      <c r="H3285" s="30" t="str">
        <f ca="1">IFERROR(__xludf.DUMMYFUNCTION("LOWER(REGEXREPLACE(B3285&amp;"" ""&amp;C3285,""[^а-яa-z0-9 ]"","" ""))")," тол ученический двухместный регулируемый по высоте 580 700 820мм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22"&amp;"мм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сече"&amp;"ния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футорк"&amp;"ами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по"&amp;" запросу заказчика ")</f>
        <v xml:space="preserve"> тол ученический двухместный регулируемый по высоте 580 700 820мм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 запросу заказчика </v>
      </c>
    </row>
    <row r="3286" spans="1:8" ht="267.75" x14ac:dyDescent="0.2">
      <c r="A3286" s="31" t="s">
        <v>7839</v>
      </c>
      <c r="B3286" s="27" t="s">
        <v>7840</v>
      </c>
      <c r="C3286" s="27" t="s">
        <v>7841</v>
      </c>
      <c r="D3286" s="33" t="s">
        <v>14</v>
      </c>
      <c r="E3286" s="34">
        <v>2</v>
      </c>
      <c r="F3286" s="34">
        <v>32</v>
      </c>
      <c r="G3286" s="10">
        <v>64022</v>
      </c>
      <c r="H3286" s="30" t="str">
        <f ca="1">IFERROR(__xludf.DUMMYFUNCTION("LOWER(REGEXREPLACE(B3286&amp;"" ""&amp;C3286,""[^а-яa-z0-9 ]"","" ""))")," тол ученический двухместный регулируемый по высоте с     кромкой   толешница      22мм с наклоном  основание металлокаркас   азмер столешницы 1200х500мм  азмер столешницы 1200х500мм  толщина      22мм с наклоном   ысота стола регулируемая 580 700 820мм  "&amp;"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и"&amp;"з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прис"&amp;"пособления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егулиро"&amp;"вка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е"&amp;"вровинтов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омплектуе"&amp;"тся по запросу заказчика ")</f>
        <v xml:space="preserve"> тол ученический двухместный регулируемый по высоте с     кромкой   толешница      22мм с наклоном  основание металлокаркас   азмер столешницы 1200х500мм  азмер столешницы 1200х500мм  толщина      22мм с наклоном   ысота стола регулируемая 580 700 820мм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v>
      </c>
    </row>
    <row r="3287" spans="1:8" ht="89.25" x14ac:dyDescent="0.2">
      <c r="A3287" s="31" t="s">
        <v>7842</v>
      </c>
      <c r="B3287" s="27" t="s">
        <v>7843</v>
      </c>
      <c r="C3287" s="27" t="s">
        <v>7844</v>
      </c>
      <c r="D3287" s="33" t="s">
        <v>14</v>
      </c>
      <c r="E3287" s="34">
        <v>2</v>
      </c>
      <c r="F3287" s="34">
        <v>21</v>
      </c>
      <c r="G3287" s="10">
        <v>61122</v>
      </c>
      <c r="H3287" s="30" t="str">
        <f ca="1">IFERROR(__xludf.DUMMYFUNCTION("LOWER(REGEXREPLACE(B3287&amp;"" ""&amp;C3287,""[^а-яa-z0-9 ]"","" ""))")," тол ученический двухместный с бортиками  размер 1100х520х700мм  основание металлокаркас  аркас выполнен из профильной трубы  сечением 25х25мм  окрашенной в порошковую краску   толешница выполнена из       толщиной 16мм  кромка       арга выполнена из    "&amp;"    аталлические части стола изготовлены из профиля 25x25x1 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стола 1100х520х70"&amp;"0мм")</f>
        <v xml:space="preserve"> тол ученический двухместный с бортиками  размер 1100х520х700мм  основание металлокаркас  аркас выполнен из профильной трубы  сечением 25х25мм  окрашенной в порошковую краску   толешница выполнена из       толщиной 16мм  кромка       арга выполнена из        аталлические части стола изготовлены из профиля 25x25x1 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стола 1100х520х700мм</v>
      </c>
    </row>
    <row r="3288" spans="1:8" ht="267.75" x14ac:dyDescent="0.2">
      <c r="A3288" s="31" t="s">
        <v>7845</v>
      </c>
      <c r="B3288" s="27" t="s">
        <v>7846</v>
      </c>
      <c r="C3288" s="27" t="s">
        <v>7847</v>
      </c>
      <c r="D3288" s="33" t="s">
        <v>14</v>
      </c>
      <c r="E3288" s="34">
        <v>2</v>
      </c>
      <c r="F3288" s="34">
        <v>21</v>
      </c>
      <c r="G3288" s="10">
        <v>30396</v>
      </c>
      <c r="H3288" s="30" t="str">
        <f ca="1">IFERROR(__xludf.DUMMYFUNCTION("LOWER(REGEXREPLACE(B3288&amp;"" ""&amp;C3288,""[^а-яa-z0-9 ]"","" ""))")," тол ученический двухместный регулируемый по высоте с     кромкой   толешница      22 мм  основание металлокаркас   азмер столешницы 1200х500 мм 4 6 ростовая группа на круглой трубе   ромка     2мм   еталлический каркас состоит из двух боковых опор  верхн"&amp;"ей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25мм  то"&amp;"лщиной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пл"&amp;"астины для крепления горизонтальной полки   олка и усилитель выполнены из лдсп 16 мм и имеет размеры не менее 1000х300мм   егулировка высоты обеспечивается телескопическим движением труб   егулировочный механизм на каждой опорной ноге фиксируется двумя бо"&amp;"лтами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пол"&amp;"иэтилена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каркас"&amp;" должен иметь полимерное покрытие   толешница крепиться к каркасу методом скрытого соединения ")</f>
        <v xml:space="preserve"> тол ученический двухместный регулируемый по высоте с     кромкой   толешница      22 мм  основание металлокаркас   азмер столешницы 1200х500 мм 4 6 ростовая группа на круглой трубе   ромка     2мм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25мм  толщиной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лдсп 16 мм и имеет размеры не менее 1000х300мм   егулировка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v>
      </c>
    </row>
    <row r="3289" spans="1:8" ht="306" x14ac:dyDescent="0.2">
      <c r="A3289" s="31" t="s">
        <v>7848</v>
      </c>
      <c r="B3289" s="27" t="s">
        <v>7849</v>
      </c>
      <c r="C3289" s="27" t="s">
        <v>7850</v>
      </c>
      <c r="D3289" s="33" t="s">
        <v>14</v>
      </c>
      <c r="E3289" s="34">
        <v>2</v>
      </c>
      <c r="F3289" s="34">
        <v>19</v>
      </c>
      <c r="G3289" s="10">
        <v>34718</v>
      </c>
      <c r="H3289" s="30" t="str">
        <f ca="1">IFERROR(__xludf.DUMMYFUNCTION("LOWER(REGEXREPLACE(B3289&amp;"" ""&amp;C3289,""[^а-яa-z0-9 ]"","" ""))")," тол ученический двухместный нерегулируемый по высоте с     кромкой   толешница      22 мм  основание металлокаркас   азмер столешницы 1200х600 мм  ысота верхнего края столешницы над полом должна быть 760 мм   толешница должна быть эргономичной формы и из"&amp;"готовлена из      не менее 22 мм  с кромкой     не менее 2 мм   се углы должны иметь радиусные закругления радиусом 50 мм    посадочной стороны столешница должна иметь вид равнобедренной трапеции с основанием в 400 мм и ребра под углом 170 градусов    фас"&amp;"адной стороны на всю длину должна быть царга из      толщиной не менее 16 мм  шириной не менее 260 мм  с кромкой     0 4 мм   еталлический каркас должен быть из профильной трубы круглого сечения диаметром 32 мм  толщиной не менее 1 2мм и выполнен в виде д"&amp;"вух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опорам изнутри приварены кронштейны  к которым в свою очередь крепятся с "&amp;"помощью болтов  6 с плоской головкой траверсы выполненные из квадратной трубы сечением 25х25х1 2 мм  которые соединяют боковые опоры и служат элементом усиления   толешница монтируется на траверсы и находится выше боковых опор в горизонтальной плоскости  "&amp;" акже к опорам приварены пластины эргономичной формы размером 200х30мм к которым крепиться царга с помощью болтов  6 с плоской головкой и футорок   а каждой опоре должен быть травмобезопасный крючок для портфеля    основаниях опор должен быть пластиковый "&amp;"подпятник   репление столешницы и царги должно осуществляться через монтажные пластины из металлической полосы шириной 30 мм и толщиной 2 мм саморезами 4 0х16 мм   еталлический каркас должен быть с полимерным покрытием по каталогу     ")</f>
        <v xml:space="preserve"> тол ученический двухместный нерегулируемый по высоте с     кромкой   толешница      22 мм  основание металлокаркас   азмер столешницы 1200х600 мм  ысота верхнего края столешницы над полом должна быть 760 мм   толешница должна быть эргономичной формы и изготовлена из      не менее 22 мм  с кромкой     не менее 2 мм   се углы должны иметь радиусные закругления радиусом 50 мм    посадочной стороны столешница должна иметь вид равнобедренной трапеции с основанием в 400 мм и ребра под углом 170 градусов    фасадной стороны на всю длину должна быть царга из      толщиной не менее 16 мм  шириной не менее 260 мм  с кромкой     0 4 мм   еталлический каркас должен быть из профильной трубы круглого сечения диаметром 32 мм  толщиной не менее 1 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опорам изнутри приварены кронштейны  к которым в свою очередь крепятся с помощью болтов  6 с плоской головкой траверсы выполненные из квадратной трубы сечением 25х25х1 2 мм  которые соединяют боковые опоры и служат элементом усиления   толешница монтируется на траверсы и находится выше боковых опор в горизонтальной плоскости   акже к опорам приварены пластины эргономичной формы размером 200х30мм к которым крепиться царга с помощью болтов  6 с плоской головкой и футорок   а каждой опоре должен быть травмобезопасный крючок для портфеля    основаниях опор должен быть пластиковый подпятник   репление столешницы и царги должно осуществляться через монтажные пластины из металлической полосы шириной 30 мм и толщиной 2 мм саморезами 4 0х16 мм   еталлический каркас должен быть с полимерным покрытием по каталогу     </v>
      </c>
    </row>
    <row r="3290" spans="1:8" ht="191.25" x14ac:dyDescent="0.2">
      <c r="A3290" s="31" t="s">
        <v>7851</v>
      </c>
      <c r="B3290" s="27" t="s">
        <v>7852</v>
      </c>
      <c r="C3290" s="27" t="s">
        <v>7853</v>
      </c>
      <c r="D3290" s="33" t="s">
        <v>14</v>
      </c>
      <c r="E3290" s="34">
        <v>2</v>
      </c>
      <c r="F3290" s="34">
        <v>19</v>
      </c>
      <c r="G3290" s="10">
        <v>39048</v>
      </c>
      <c r="H3290" s="30" t="str">
        <f ca="1">IFERROR(__xludf.DUMMYFUNCTION("LOWER(REGEXREPLACE(B3290&amp;"" ""&amp;C3290,""[^а-яa-z0-9 ]"","" ""))")," тол ученический двухместный нерегулируемый по высоте   толешница      22 мм  основание металлокаркас   азмер столешницы 1200х500 мм  тол ученический нерегулируемый 2 местный перфорированный усилитель 1200х500х760 мм  6 ростовая группа   остоит из металли"&amp;"ческого каркаса и столешницы из      22мм   аркас парты изготавливается из стальных плоскоовальных труб 50х25х1 2 мм  и представляет собой две боковые стойки с образной формы  согнутых под углом 105 градусов и 75 градусов  и траверсып образной формы гнуто"&amp;"й под прямым углом   оковые стойки гнутся по узкой стороне трубы  а траверсы по широкой стороне   раверсы крепятся к боковым стойкам посредством болтового соединения   ткрытые концы труб закрыты пластиковыми заглушками   а концах боковых опор имеются плас"&amp;"тиковые торцевые заглушки  а на сгибе трубы пластиковая опора  устанавливаемая во фронтальной части   а фронтальной части каркаса расположена царга из металлического перфорированного листа толщиной не менее 1 2 мм 1000х290 мм   ля крепления столешницы исп"&amp;"ользуются металлические пластины   еталлический каркас окрашен эпоксидно полиэфирной порошковой краской   вет по согласованию с заказчиком по каталогу     ")</f>
        <v xml:space="preserve"> тол ученический двухместный нерегулируемый по высоте   толешница      22 мм  основание металлокаркас   азмер столешницы 1200х500 мм  тол ученический нерегулируемый 2 местный перфорированный усилитель 1200х500х760 мм  6 ростовая группа   остоит из металлического каркаса и столешницы из      22мм   аркас парты изготавливается из стальных плоскоовальных труб 50х25х1 2 мм  и представляет собой две боковые стойки с образной формы  согнутых под углом 105 градусов и 75 градусов  и траверсып образной формы гнутой под прямым углом   оковые стойки гнутся по узкой стороне трубы  а траверсы по широкой стороне   раверсы крепятся к боковым стойкам посредством болтового соединения   ткрытые концы труб закрыты пластиковыми заглушками   а концах боковых опор имеются пластиковые торцевые заглушки  а на сгибе трубы пластиковая опора  устанавливаемая во фронтальной части   а фронтальной части каркаса расположена царга из металлического перфорированного листа толщиной не менее 1 2 мм 1000х290 мм   ля крепления столешницы используются металлические пластины   еталлический каркас окрашен эпоксидно полиэфирной порошковой краской   вет по согласованию с заказчиком по каталогу     </v>
      </c>
    </row>
    <row r="3291" spans="1:8" ht="255" x14ac:dyDescent="0.2">
      <c r="A3291" s="31" t="s">
        <v>7854</v>
      </c>
      <c r="B3291" s="27" t="s">
        <v>7855</v>
      </c>
      <c r="C3291" s="27" t="s">
        <v>7856</v>
      </c>
      <c r="D3291" s="33" t="s">
        <v>14</v>
      </c>
      <c r="E3291" s="34">
        <v>2</v>
      </c>
      <c r="F3291" s="34">
        <v>25</v>
      </c>
      <c r="G3291" s="10">
        <v>39072</v>
      </c>
      <c r="H3291" s="30" t="str">
        <f ca="1">IFERROR(__xludf.DUMMYFUNCTION("LOWER(REGEXREPLACE(B3291&amp;"" ""&amp;C3291,""[^а-яa-z0-9 ]"","" ""))")," тол с бортиками двухместный  столешница из      22 мм  кромка      металлический каркас  размеры 1300х600х760 мм  тол должен быть рассчитан на 2 посадочных места   азмер столешницы должен быть не менее 1300х600 мм   ысота верхнего края столешницы над пол"&amp;"ом должна быть 760 мм   толешница должна быть изготовлена из      не менее 22 мм с кромкой     не менее 2 мм   толешница должна быть эргономичной формы  все углы должны иметь радиусные закругления радиусом 50 мм    фронтальной стороны столешница должна им"&amp;"еть вид равнобедренной трапеции с основанием в 900 мм и ребра под углом 135 градусов   а столешнице по периметру  в виде трапеции  должны быть размещены бортики высотой не менее 60 мм   тступ от края столешницы должен быть не более 30 мм   ортики должны р"&amp;"асполагаться с трех сторон  на стороне ученика углы бортиков должны иметь радиусное закругление радиусом 50 мм   репление к столешнице должно производиться конфирматами   еталлический каркас должен состоять из двух боковых опор  выполненных в виде прямоуг"&amp;"ольников  изготовленных из профильной трубы прямоугольного сечения 50х25х1 2 мм   ертикальные стойки должны быть высотой не менее 730 мм   оризонтальные стойки должны быть длиной не менее 400 мм   олжны быть предусмотрены регулируемые подпятники для компе"&amp;"нсации неровностей пола    фронтальной стороны боковые опоры должны быть соединены между собой болтовыми соединениями  двумя царгами 1060х150 мм   репление столешницы к боковым опорам осуществляется саморезами путем скрытого монтажа   еталлокаркас должен "&amp;"быть с полимерным покрытием ")</f>
        <v xml:space="preserve"> тол с бортиками двухместный  столешница из      22 мм  кромка      металлический каркас  размеры 1300х600х760 мм  тол должен быть рассчитан на 2 посадочных места   азмер столешницы должен быть не менее 1300х600 мм   ысота верхнего края столешницы над полом должна быть 760 мм   толешница должна быть изготовлена из      не менее 22 мм с кромкой     не менее 2 мм   толешница должна быть эргономичной формы  все углы должны иметь радиусные закругления радиусом 50 мм    фронтальной стороны столешница должна иметь вид равнобедренной трапеции с основанием в 900 мм и ребра под углом 135 градусов   а столешнице по периметру  в виде трапеции  должны быть размещены бортики высотой не менее 60 мм   тступ от края столешницы должен быть не более 30 мм   ортики должны располагаться с трех сторон  на стороне ученика углы бортиков должны иметь радиусное закругление радиусом 50 мм   репление к столешнице должно производиться конфирматами   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 2 мм   ертикальные стойки должны быть высотой не менее 730 мм   оризонтальные стойки должны быть длиной не менее 400 мм   олжны быть предусмотрены регулируемые подпятники для компенсации неровностей пола    фронтальной стороны боковые опоры должны быть соединены между собой болтовыми соединениями  двумя царгами 1060х150 мм   репление столешницы к боковым опорам осуществляется саморезами путем скрытого монтажа   еталлокаркас должен быть с полимерным покрытием </v>
      </c>
    </row>
    <row r="3292" spans="1:8" ht="12.75" x14ac:dyDescent="0.2">
      <c r="A3292" s="31" t="s">
        <v>7857</v>
      </c>
      <c r="B3292" s="27" t="s">
        <v>7858</v>
      </c>
      <c r="C3292" s="27"/>
      <c r="D3292" s="33" t="s">
        <v>14</v>
      </c>
      <c r="E3292" s="9"/>
      <c r="F3292" s="32"/>
      <c r="G3292" s="10"/>
      <c r="H3292" s="30" t="str">
        <f ca="1">IFERROR(__xludf.DUMMYFUNCTION("LOWER(REGEXREPLACE(B3292&amp;"" ""&amp;C3292,""[^а-яa-z0-9 ]"","" ""))")," тол ученический лабораторный без раковины ")</f>
        <v xml:space="preserve"> тол ученический лабораторный без раковины </v>
      </c>
    </row>
    <row r="3293" spans="1:8" ht="89.25" x14ac:dyDescent="0.2">
      <c r="A3293" s="31" t="s">
        <v>7859</v>
      </c>
      <c r="B3293" s="8" t="s">
        <v>7860</v>
      </c>
      <c r="C3293" s="27" t="s">
        <v>7861</v>
      </c>
      <c r="D3293" s="33" t="s">
        <v>14</v>
      </c>
      <c r="E3293" s="9"/>
      <c r="F3293" s="34">
        <v>40</v>
      </c>
      <c r="G3293" s="10">
        <v>364211</v>
      </c>
      <c r="H3293" s="30" t="str">
        <f ca="1">IFERROR(__xludf.DUMMYFUNCTION("LOWER(REGEXREPLACE(B3293&amp;"" ""&amp;C3293,""[^а-яa-z0-9 ]"","" ""))"),"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1200х750х750м"&amp;"м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1200х750х7"&amp;"50мм ")</f>
        <v xml:space="preserve">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1200х750х750мм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1200х750х750мм </v>
      </c>
    </row>
    <row r="3294" spans="1:8" ht="114.75" x14ac:dyDescent="0.2">
      <c r="A3294" s="31" t="s">
        <v>7862</v>
      </c>
      <c r="B3294" s="8" t="s">
        <v>7863</v>
      </c>
      <c r="C3294" s="27" t="s">
        <v>7864</v>
      </c>
      <c r="D3294" s="33" t="s">
        <v>14</v>
      </c>
      <c r="E3294" s="34">
        <v>2</v>
      </c>
      <c r="F3294" s="34">
        <v>19</v>
      </c>
      <c r="G3294" s="10">
        <v>170301</v>
      </c>
      <c r="H3294" s="30" t="str">
        <f ca="1">IFERROR(__xludf.DUMMYFUNCTION("LOWER(REGEXREPLACE(B3294&amp;"" ""&amp;C3294,""[^а-яa-z0-9 ]"","" ""))")," тол ученический лабораторный с розетками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60"&amp;"0 750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пл"&amp;"астика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парте подведены две розетки ")</f>
        <v xml:space="preserve"> тол ученический лабораторный с розетками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600 750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парте подведены две розетки </v>
      </c>
    </row>
    <row r="3295" spans="1:8" ht="140.25" x14ac:dyDescent="0.2">
      <c r="A3295" s="31" t="s">
        <v>7865</v>
      </c>
      <c r="B3295" s="27" t="s">
        <v>7866</v>
      </c>
      <c r="C3295" s="27" t="s">
        <v>7867</v>
      </c>
      <c r="D3295" s="33" t="s">
        <v>14</v>
      </c>
      <c r="E3295" s="34">
        <v>2</v>
      </c>
      <c r="F3295" s="34">
        <v>26</v>
      </c>
      <c r="G3295" s="10">
        <v>117008</v>
      </c>
      <c r="H3295" s="30" t="str">
        <f ca="1">IFERROR(__xludf.DUMMYFUNCTION("LOWER(REGEXREPLACE(B3295&amp;"" ""&amp;C3295,""[^а-яa-z0-9 ]"","" ""))")," тол ученический лабораторный с розетками  двумя боковыми опорами   толешница из химически стойкой плиты постформинг 25 мм   снование металлокаркас  размер стола 1200х600х750мм   тол лабораторный учинический двухместный   азмер столешницы 1200х600мм   ате"&amp;"риал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соб"&amp;"ой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"&amp;"подпятники для компенсации неровностей пола    столу подведены розетки   56 с защитной шторкой ")</f>
        <v xml:space="preserve"> тол ученический лабораторный с розетками  двумя боковыми опорами   толешница из химически стойкой плиты постформинг 25 мм   снование металлокаркас  размер стола 1200х600х750мм   тол лабораторный учинический двухместный   азмер столешницы 1200х600мм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подпятники для компенсации неровностей пола    столу подведены розетки   56 с защитной шторкой </v>
      </c>
    </row>
    <row r="3296" spans="1:8" ht="76.5" x14ac:dyDescent="0.2">
      <c r="A3296" s="31" t="s">
        <v>7868</v>
      </c>
      <c r="B3296" s="8" t="s">
        <v>7869</v>
      </c>
      <c r="C3296" s="27" t="s">
        <v>7870</v>
      </c>
      <c r="D3296" s="33" t="s">
        <v>14</v>
      </c>
      <c r="E3296" s="34">
        <v>2</v>
      </c>
      <c r="F3296" s="34">
        <v>27</v>
      </c>
      <c r="G3296" s="10">
        <v>195250</v>
      </c>
      <c r="H3296" s="30" t="str">
        <f ca="1">IFERROR(__xludf.DUMMYFUNCTION("LOWER(REGEXREPLACE(B3296&amp;"" ""&amp;C3296,""[^а-яa-z0-9 ]"","" ""))")," тол ученический лабораторный с розетками  двумя боковыми опорами и тумбой для скрытия коммуникаций   толешница из      22 мм   снование металлокаркас  размер стола 1500х750 750мм  озетки с защитой   56 2 штуки   толешница изготовлена из       толщиной 22"&amp;" мм    лектропроводка скрытая  вывод кабеля с изделия в металлическом гибком рукаве   ицевая сторона стола закрыта царгой   арга перфорированная размером 1350х350 мм    середине стола имеется тумба размером 728х380мм   акрывается на ключ ")</f>
        <v xml:space="preserve"> тол ученический лабораторный с розетками  двумя боковыми опорами и тумбой для скрытия коммуникаций   толешница из      22 мм   снование металлокаркас  размер стола 1500х750 750мм  озетки с защитой   56 2 штуки   толешница изготовлена из       толщиной 22 мм    лектропроводка скрытая  вывод кабеля с изделия в металлическом гибком рукаве   ицевая сторона стола закрыта царгой   арга перфорированная размером 1350х350 мм    середине стола имеется тумба размером 728х380мм   акрывается на ключ </v>
      </c>
    </row>
    <row r="3297" spans="1:8" ht="140.25" x14ac:dyDescent="0.2">
      <c r="A3297" s="31" t="s">
        <v>7871</v>
      </c>
      <c r="B3297" s="27" t="s">
        <v>7872</v>
      </c>
      <c r="C3297" s="27" t="s">
        <v>7873</v>
      </c>
      <c r="D3297" s="33" t="s">
        <v>14</v>
      </c>
      <c r="E3297" s="34">
        <v>2</v>
      </c>
      <c r="F3297" s="34">
        <v>62</v>
      </c>
      <c r="G3297" s="10">
        <v>122544</v>
      </c>
      <c r="H3297" s="30" t="str">
        <f ca="1">IFERROR(__xludf.DUMMYFUNCTION("LOWER(REGEXREPLACE(B3297&amp;"" ""&amp;C3297,""[^а-яa-z0-9 ]"","" ""))")," тол ученический лабораторный с розетками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бортиками с тр х сторон   толешница из"&amp;" химически стойкой плиты постформинг 25 мм  бортики из      16 мм  отверстия для проводов    внутренних сторон опор розетки с защитными шторками 2 шт   одвод электричества скрыт в коробе опор   ромки деталей облицованы полимерным кромочным материалам     "&amp;"   толщиной 1 5 мм   урнитура  конфирмат  стяжка       розетки со шторкой   аркас металлический состоит из двух опор   окраска полимерно порошковая краска   порная площадка должна иметь отверстие для возможности подведения электрического кабеля   пора сос"&amp;"тоит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f>
        <v xml:space="preserve"> тол ученический лабораторный с розетками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бортиками с тр х сторон   толешница из химически стойкой плиты постформинг 25 мм  бортики из      16 мм  отверстия для проводов    внутренних сторон опор розетки с защитными шторками 2 шт   одвод электричества скрыт в коробе опор   ромки деталей облицованы полимерным кромочным материалам        толщиной 1 5 мм   урнитура  конфирмат  стяжка       розетки со шторкой   аркас металлический состоит из двух опор   окраска полимерно порошковая краска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v>
      </c>
    </row>
    <row r="3298" spans="1:8" ht="102" x14ac:dyDescent="0.2">
      <c r="A3298" s="31" t="s">
        <v>7874</v>
      </c>
      <c r="B3298" s="27" t="s">
        <v>7875</v>
      </c>
      <c r="C3298" s="27" t="s">
        <v>7876</v>
      </c>
      <c r="D3298" s="33" t="s">
        <v>14</v>
      </c>
      <c r="E3298" s="34">
        <v>2</v>
      </c>
      <c r="F3298" s="34">
        <v>62</v>
      </c>
      <c r="G3298" s="10">
        <v>262113</v>
      </c>
      <c r="H3298" s="30" t="str">
        <f ca="1">IFERROR(__xludf.DUMMYFUNCTION("LOWER(REGEXREPLACE(B3298&amp;"" ""&amp;C3298,""[^а-яa-z0-9 ]"","" ""))")," тол ученический лабораторный с розетками  двумя боковыми опорами   толешница из химстойкой панели    12 мм   снование металлокаркас  размер стола 1400х600х750мм   тол лабораторный 2 х местный   а столешнице расположен лючок на 3 модуля  2 розетки    44 и"&amp;" сетевой разъем   толешница выполнена из химстойкой панели    12 мм   еталлические опоры выполнены из овального профиля толщиной 1 5 мм  окрашены электростатической порошковой краской   ля предотвращения дефектов из за дефектов пола под ножки подложены пл"&amp;"астиковые регулируемые подпятники    нижней части гибкий кабель канал для скрытия кабелей   оверхность стола крепится к металлическому каркасу на евровинты ")</f>
        <v xml:space="preserve"> тол ученический лабораторный с розетками  двумя боковыми опорами   толешница из химстойкой панели    12 мм   снование металлокаркас  размер стола 1400х600х750мм   тол лабораторный 2 х местный   а столешнице расположен лючок на 3 модуля  2 розетки    44 и сетевой разъем   толешница выполнена из химстойкой панели    12 мм   еталлические опоры выполнены из овального профиля толщиной 1 5 мм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нижней части гибкий кабель канал для скрытия кабелей   оверхность стола крепится к металлическому каркасу на евровинты </v>
      </c>
    </row>
    <row r="3299" spans="1:8" ht="242.25" x14ac:dyDescent="0.2">
      <c r="A3299" s="31" t="s">
        <v>7877</v>
      </c>
      <c r="B3299" s="27" t="s">
        <v>7878</v>
      </c>
      <c r="C3299" s="27" t="s">
        <v>7879</v>
      </c>
      <c r="D3299" s="33" t="s">
        <v>14</v>
      </c>
      <c r="E3299" s="34">
        <v>2</v>
      </c>
      <c r="F3299" s="34">
        <v>57</v>
      </c>
      <c r="G3299" s="10">
        <v>94627</v>
      </c>
      <c r="H3299" s="30" t="str">
        <f ca="1">IFERROR(__xludf.DUMMYFUNCTION("LOWER(REGEXREPLACE(B3299&amp;"" ""&amp;C3299,""[^а-яa-z0-9 ]"","" ""))")," тол лабораторный островной на 4 места  столешница из      22 мм с ударопрочным пластиковым покрытием 0 6 мм  торцы отделаны кромкой     2 мм  основание металлокаркас  размеры 1200х1200х760 мм  ысота верхнего края столешницы над уровнем пола должна быть 7"&amp;"60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самор"&amp;"езами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представлять"&amp;"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сече"&amp;"ния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"&amp;"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f>
        <v xml:space="preserve"> тол лабораторный островной на 4 места  столешница из      22 мм с ударопрочным пластиковым покрытием 0 6 мм  торцы отделаны кромкой     2 мм  основание металлокаркас  размеры 1200х1200х760 мм  ысота верхнего края столешницы над уровнем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v>
      </c>
    </row>
    <row r="3300" spans="1:8" ht="344.25" x14ac:dyDescent="0.2">
      <c r="A3300" s="31" t="s">
        <v>7880</v>
      </c>
      <c r="B3300" s="27" t="s">
        <v>7881</v>
      </c>
      <c r="C3300" s="27" t="s">
        <v>7882</v>
      </c>
      <c r="D3300" s="33" t="s">
        <v>14</v>
      </c>
      <c r="E3300" s="34">
        <v>2</v>
      </c>
      <c r="F3300" s="34">
        <v>75</v>
      </c>
      <c r="G3300" s="10">
        <v>111154</v>
      </c>
      <c r="H3300" s="30" t="str">
        <f ca="1">IFERROR(__xludf.DUMMYFUNCTION("LOWER(REGEXREPLACE(B3300&amp;"" ""&amp;C3300,""[^а-яa-z0-9 ]"","" ""))")," тол лабораторный островной на 4 места с надстройкой из полок  столешница из      22 мм с ударопрочным пластиковым покрытием 0 6 мм  торцы отделаны кромкой     2 мм  основание металлокаркасразмеры 1200х1200х760 мм  ысота верхнего края столешницы над уровн"&amp;"ем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к"&amp;"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каркас"&amp;"а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труб"&amp;"ы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1110"&amp;"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неровнос"&amp;"тей пола   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 2 мм  стянутых между собой двумя ребрами жесткости путем "&amp;"болтового соединения   ебра жесткости должны быть изготовлены из профильной трубы квадратного сечения 25х25х1 2 мм на всю длину стола   а высоте 400 и 700 мм на них должны крепиться две полки размером 1200х200 мм  изготовленные из      толщиной не менее 1"&amp;"6 мм   орцы полок должны быть отделаны кромкой     толщиной не менее 0 4 мм   олки должны крепиться к металлокаркасу саморезами методом скрытого соединения ")</f>
        <v xml:space="preserve"> тол лабораторный островной на 4 места с надстройкой из полок  столешница из      22 мм с ударопрочным пластиковым покрытием 0 6 мм  торцы отделаны кромкой     2 мм  основание металлокаркасразмеры 1200х1200х760 мм  ысота верхнего края столешницы над уровнем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 2 мм  стянутых между собой двумя ребрами жесткости путем болтового соединения   ебра жесткости должны быть изготовлены из профильной трубы квадратного сечения 25х25х1 2 мм на всю длину стола   а высоте 400 и 700 мм на них должны крепиться две полки размером 1200х200 мм  изготовленные из      толщиной не менее 16 мм   орцы полок должны быть отделаны кромкой     толщиной не менее 0 4 мм   олки должны крепиться к металлокаркасу саморезами методом скрытого соединения </v>
      </c>
    </row>
    <row r="3301" spans="1:8" ht="12.75" x14ac:dyDescent="0.2">
      <c r="A3301" s="31" t="s">
        <v>7883</v>
      </c>
      <c r="B3301" s="27" t="s">
        <v>7884</v>
      </c>
      <c r="C3301" s="27"/>
      <c r="D3301" s="33" t="s">
        <v>14</v>
      </c>
      <c r="E3301" s="9"/>
      <c r="F3301" s="32"/>
      <c r="G3301" s="10"/>
      <c r="H3301" s="30" t="str">
        <f ca="1">IFERROR(__xludf.DUMMYFUNCTION("LOWER(REGEXREPLACE(B3301&amp;"" ""&amp;C3301,""[^а-яa-z0-9 ]"","" ""))")," тол для кабинета ")</f>
        <v xml:space="preserve"> тол для кабинета </v>
      </c>
    </row>
    <row r="3302" spans="1:8" ht="25.5" x14ac:dyDescent="0.2">
      <c r="A3302" s="31" t="s">
        <v>7885</v>
      </c>
      <c r="B3302" s="27" t="s">
        <v>7886</v>
      </c>
      <c r="C3302" s="27"/>
      <c r="D3302" s="33" t="s">
        <v>14</v>
      </c>
      <c r="E3302" s="9"/>
      <c r="F3302" s="32"/>
      <c r="G3302" s="10">
        <v>102762</v>
      </c>
      <c r="H3302" s="30" t="str">
        <f ca="1">IFERROR(__xludf.DUMMYFUNCTION("LOWER(REGEXREPLACE(B3302&amp;"" ""&amp;C3302,""[^а-яa-z0-9 ]"","" ""))")," тол с бенч системой одноместный 1180х680х750 мм ")</f>
        <v xml:space="preserve"> тол с бенч системой одноместный 1180х680х750 мм </v>
      </c>
    </row>
    <row r="3303" spans="1:8" ht="25.5" x14ac:dyDescent="0.2">
      <c r="A3303" s="31" t="s">
        <v>7887</v>
      </c>
      <c r="B3303" s="27" t="s">
        <v>7888</v>
      </c>
      <c r="C3303" s="27"/>
      <c r="D3303" s="33" t="s">
        <v>14</v>
      </c>
      <c r="E3303" s="9"/>
      <c r="F3303" s="32"/>
      <c r="G3303" s="10">
        <v>108827</v>
      </c>
      <c r="H3303" s="30" t="str">
        <f ca="1">IFERROR(__xludf.DUMMYFUNCTION("LOWER(REGEXREPLACE(B3303&amp;"" ""&amp;C3303,""[^а-яa-z0-9 ]"","" ""))")," тол с бенч системой одноместный 1380х680х750 мм ")</f>
        <v xml:space="preserve"> тол с бенч системой одноместный 1380х680х750 мм </v>
      </c>
    </row>
    <row r="3304" spans="1:8" ht="25.5" x14ac:dyDescent="0.2">
      <c r="A3304" s="31" t="s">
        <v>7889</v>
      </c>
      <c r="B3304" s="27" t="s">
        <v>7890</v>
      </c>
      <c r="C3304" s="27"/>
      <c r="D3304" s="33" t="s">
        <v>14</v>
      </c>
      <c r="E3304" s="9"/>
      <c r="F3304" s="32"/>
      <c r="G3304" s="10">
        <v>117504</v>
      </c>
      <c r="H3304" s="30" t="str">
        <f ca="1">IFERROR(__xludf.DUMMYFUNCTION("LOWER(REGEXREPLACE(B3304&amp;"" ""&amp;C3304,""[^а-яa-z0-9 ]"","" ""))")," тол с бенч системой одноместный 1580х680х750 мм ")</f>
        <v xml:space="preserve"> тол с бенч системой одноместный 1580х680х750 мм </v>
      </c>
    </row>
    <row r="3305" spans="1:8" ht="25.5" x14ac:dyDescent="0.2">
      <c r="A3305" s="31" t="s">
        <v>7891</v>
      </c>
      <c r="B3305" s="27" t="s">
        <v>7892</v>
      </c>
      <c r="C3305" s="27"/>
      <c r="D3305" s="33" t="s">
        <v>14</v>
      </c>
      <c r="E3305" s="9"/>
      <c r="F3305" s="32"/>
      <c r="G3305" s="10">
        <v>122846</v>
      </c>
      <c r="H3305" s="30" t="str">
        <f ca="1">IFERROR(__xludf.DUMMYFUNCTION("LOWER(REGEXREPLACE(B3305&amp;"" ""&amp;C3305,""[^а-яa-z0-9 ]"","" ""))")," тол с бенч системой одноместный 1780х680х750 мм ")</f>
        <v xml:space="preserve"> тол с бенч системой одноместный 1780х680х750 мм </v>
      </c>
    </row>
    <row r="3306" spans="1:8" ht="25.5" x14ac:dyDescent="0.2">
      <c r="A3306" s="31" t="s">
        <v>7893</v>
      </c>
      <c r="B3306" s="27" t="s">
        <v>7894</v>
      </c>
      <c r="C3306" s="27"/>
      <c r="D3306" s="33" t="s">
        <v>14</v>
      </c>
      <c r="E3306" s="9"/>
      <c r="F3306" s="32"/>
      <c r="G3306" s="10">
        <v>109123</v>
      </c>
      <c r="H3306" s="30" t="str">
        <f ca="1">IFERROR(__xludf.DUMMYFUNCTION("LOWER(REGEXREPLACE(B3306&amp;"" ""&amp;C3306,""[^а-яa-z0-9 ]"","" ""))")," тол с бенч системой одноместный 1180х780х750 мм ")</f>
        <v xml:space="preserve"> тол с бенч системой одноместный 1180х780х750 мм </v>
      </c>
    </row>
    <row r="3307" spans="1:8" ht="25.5" x14ac:dyDescent="0.2">
      <c r="A3307" s="31" t="s">
        <v>7895</v>
      </c>
      <c r="B3307" s="27" t="s">
        <v>7896</v>
      </c>
      <c r="C3307" s="27"/>
      <c r="D3307" s="33" t="s">
        <v>14</v>
      </c>
      <c r="E3307" s="9"/>
      <c r="F3307" s="32"/>
      <c r="G3307" s="10">
        <v>114683</v>
      </c>
      <c r="H3307" s="30" t="str">
        <f ca="1">IFERROR(__xludf.DUMMYFUNCTION("LOWER(REGEXREPLACE(B3307&amp;"" ""&amp;C3307,""[^а-яa-z0-9 ]"","" ""))")," тол с бенч системой одноместный 1380х780х750 мм ")</f>
        <v xml:space="preserve"> тол с бенч системой одноместный 1380х780х750 мм </v>
      </c>
    </row>
    <row r="3308" spans="1:8" ht="25.5" x14ac:dyDescent="0.2">
      <c r="A3308" s="31" t="s">
        <v>7897</v>
      </c>
      <c r="B3308" s="27" t="s">
        <v>7898</v>
      </c>
      <c r="C3308" s="27"/>
      <c r="D3308" s="33" t="s">
        <v>14</v>
      </c>
      <c r="E3308" s="9"/>
      <c r="F3308" s="32"/>
      <c r="G3308" s="10">
        <v>123689</v>
      </c>
      <c r="H3308" s="30" t="str">
        <f ca="1">IFERROR(__xludf.DUMMYFUNCTION("LOWER(REGEXREPLACE(B3308&amp;"" ""&amp;C3308,""[^а-яa-z0-9 ]"","" ""))")," тол с бенч системой одноместный 1580х780х750 мм ")</f>
        <v xml:space="preserve"> тол с бенч системой одноместный 1580х780х750 мм </v>
      </c>
    </row>
    <row r="3309" spans="1:8" ht="25.5" x14ac:dyDescent="0.2">
      <c r="A3309" s="31" t="s">
        <v>7899</v>
      </c>
      <c r="B3309" s="27" t="s">
        <v>7900</v>
      </c>
      <c r="C3309" s="27"/>
      <c r="D3309" s="33" t="s">
        <v>14</v>
      </c>
      <c r="E3309" s="9"/>
      <c r="F3309" s="32"/>
      <c r="G3309" s="10">
        <v>129527</v>
      </c>
      <c r="H3309" s="30" t="str">
        <f ca="1">IFERROR(__xludf.DUMMYFUNCTION("LOWER(REGEXREPLACE(B3309&amp;"" ""&amp;C3309,""[^а-яa-z0-9 ]"","" ""))")," тол с бенч системой одноместный 1780х780х750 мм ")</f>
        <v xml:space="preserve"> тол с бенч системой одноместный 1780х780х750 мм </v>
      </c>
    </row>
    <row r="3310" spans="1:8" ht="25.5" x14ac:dyDescent="0.2">
      <c r="A3310" s="31" t="s">
        <v>7901</v>
      </c>
      <c r="B3310" s="27" t="s">
        <v>7902</v>
      </c>
      <c r="C3310" s="27"/>
      <c r="D3310" s="33" t="s">
        <v>14</v>
      </c>
      <c r="E3310" s="9"/>
      <c r="F3310" s="32"/>
      <c r="G3310" s="10">
        <v>165567</v>
      </c>
      <c r="H3310" s="30" t="str">
        <f ca="1">IFERROR(__xludf.DUMMYFUNCTION("LOWER(REGEXREPLACE(B3310&amp;"" ""&amp;C3310,""[^а-яa-z0-9 ]"","" ""))")," тол с бенч системой 2 х местный 1180х1380х750 мм ")</f>
        <v xml:space="preserve"> тол с бенч системой 2 х местный 1180х1380х750 мм </v>
      </c>
    </row>
    <row r="3311" spans="1:8" ht="25.5" x14ac:dyDescent="0.2">
      <c r="A3311" s="31" t="s">
        <v>7903</v>
      </c>
      <c r="B3311" s="27" t="s">
        <v>7904</v>
      </c>
      <c r="C3311" s="27"/>
      <c r="D3311" s="33" t="s">
        <v>14</v>
      </c>
      <c r="E3311" s="9"/>
      <c r="F3311" s="32"/>
      <c r="G3311" s="10">
        <v>185268</v>
      </c>
      <c r="H3311" s="30" t="str">
        <f ca="1">IFERROR(__xludf.DUMMYFUNCTION("LOWER(REGEXREPLACE(B3311&amp;"" ""&amp;C3311,""[^а-яa-z0-9 ]"","" ""))")," тол с бенч системой 2 х местный 1380х1380х750 мм ")</f>
        <v xml:space="preserve"> тол с бенч системой 2 х местный 1380х1380х750 мм </v>
      </c>
    </row>
    <row r="3312" spans="1:8" ht="25.5" x14ac:dyDescent="0.2">
      <c r="A3312" s="31" t="s">
        <v>7905</v>
      </c>
      <c r="B3312" s="27" t="s">
        <v>7906</v>
      </c>
      <c r="C3312" s="27"/>
      <c r="D3312" s="33" t="s">
        <v>14</v>
      </c>
      <c r="E3312" s="9"/>
      <c r="F3312" s="32"/>
      <c r="G3312" s="10">
        <v>309657</v>
      </c>
      <c r="H3312" s="30" t="str">
        <f ca="1">IFERROR(__xludf.DUMMYFUNCTION("LOWER(REGEXREPLACE(B3312&amp;"" ""&amp;C3312,""[^а-яa-z0-9 ]"","" ""))")," тол с бенч системой 4 х местный 2360х1380х750 мм ")</f>
        <v xml:space="preserve"> тол с бенч системой 4 х местный 2360х1380х750 мм </v>
      </c>
    </row>
    <row r="3313" spans="1:8" ht="25.5" x14ac:dyDescent="0.2">
      <c r="A3313" s="31" t="s">
        <v>7907</v>
      </c>
      <c r="B3313" s="27" t="s">
        <v>7908</v>
      </c>
      <c r="C3313" s="27"/>
      <c r="D3313" s="33" t="s">
        <v>14</v>
      </c>
      <c r="E3313" s="9"/>
      <c r="F3313" s="32"/>
      <c r="G3313" s="10">
        <v>345411</v>
      </c>
      <c r="H3313" s="30" t="str">
        <f ca="1">IFERROR(__xludf.DUMMYFUNCTION("LOWER(REGEXREPLACE(B3313&amp;"" ""&amp;C3313,""[^а-яa-z0-9 ]"","" ""))")," тол с бенч системой 4 х местный 2760х1380х750 мм ")</f>
        <v xml:space="preserve"> тол с бенч системой 4 х местный 2760х1380х750 мм </v>
      </c>
    </row>
    <row r="3314" spans="1:8" ht="25.5" x14ac:dyDescent="0.2">
      <c r="A3314" s="31" t="s">
        <v>7909</v>
      </c>
      <c r="B3314" s="27" t="s">
        <v>7910</v>
      </c>
      <c r="C3314" s="27"/>
      <c r="D3314" s="33" t="s">
        <v>14</v>
      </c>
      <c r="E3314" s="9"/>
      <c r="F3314" s="32"/>
      <c r="G3314" s="10">
        <v>451975</v>
      </c>
      <c r="H3314" s="30" t="str">
        <f ca="1">IFERROR(__xludf.DUMMYFUNCTION("LOWER(REGEXREPLACE(B3314&amp;"" ""&amp;C3314,""[^а-яa-z0-9 ]"","" ""))")," тол с бенч системой 6 ти местный 3540х1380х750 мм ")</f>
        <v xml:space="preserve"> тол с бенч системой 6 ти местный 3540х1380х750 мм </v>
      </c>
    </row>
    <row r="3315" spans="1:8" ht="25.5" x14ac:dyDescent="0.2">
      <c r="A3315" s="31" t="s">
        <v>7911</v>
      </c>
      <c r="B3315" s="27" t="s">
        <v>7912</v>
      </c>
      <c r="C3315" s="27"/>
      <c r="D3315" s="33" t="s">
        <v>14</v>
      </c>
      <c r="E3315" s="9"/>
      <c r="F3315" s="32"/>
      <c r="G3315" s="10">
        <v>504771</v>
      </c>
      <c r="H3315" s="30" t="str">
        <f ca="1">IFERROR(__xludf.DUMMYFUNCTION("LOWER(REGEXREPLACE(B3315&amp;"" ""&amp;C3315,""[^а-яa-z0-9 ]"","" ""))")," тол с бенч системой 6 ти местный 4140х1380х750 мм ")</f>
        <v xml:space="preserve"> тол с бенч системой 6 ти местный 4140х1380х750 мм </v>
      </c>
    </row>
    <row r="3316" spans="1:8" ht="25.5" x14ac:dyDescent="0.2">
      <c r="A3316" s="31" t="s">
        <v>7913</v>
      </c>
      <c r="B3316" s="27" t="s">
        <v>7914</v>
      </c>
      <c r="C3316" s="27" t="s">
        <v>7915</v>
      </c>
      <c r="D3316" s="33" t="s">
        <v>14</v>
      </c>
      <c r="E3316" s="34">
        <v>2</v>
      </c>
      <c r="F3316" s="35">
        <v>16.100000000000001</v>
      </c>
      <c r="G3316" s="10">
        <v>20350</v>
      </c>
      <c r="H3316" s="30" t="str">
        <f ca="1">IFERROR(__xludf.DUMMYFUNCTION("LOWER(REGEXREPLACE(B3316&amp;"" ""&amp;C3316,""[^а-яa-z0-9 ]"","" ""))")," гловой сегмент 700х700х750мм       16мм  толешница из      16мм  каркас выполнен из      ированной     16мм   орцы облицованы  кромкой     толщиной 2мм ")</f>
        <v xml:space="preserve"> гловой сегмент 700х700х750мм       16мм  толешница из      16мм  каркас выполнен из      ированной     16мм   орцы облицованы  кромкой     толщиной 2мм </v>
      </c>
    </row>
    <row r="3317" spans="1:8" ht="51" x14ac:dyDescent="0.2">
      <c r="A3317" s="31" t="s">
        <v>7916</v>
      </c>
      <c r="B3317" s="8" t="s">
        <v>7917</v>
      </c>
      <c r="C3317" s="27" t="s">
        <v>7918</v>
      </c>
      <c r="D3317" s="33" t="s">
        <v>14</v>
      </c>
      <c r="E3317" s="34">
        <v>2</v>
      </c>
      <c r="F3317" s="35">
        <v>49.1</v>
      </c>
      <c r="G3317" s="10">
        <v>53876</v>
      </c>
      <c r="H3317" s="30" t="str">
        <f ca="1">IFERROR(__xludf.DUMMYFUNCTION("LOWER(REGEXREPLACE(B3317&amp;"" ""&amp;C3317,""[^а-яa-z0-9 ]"","" ""))")," тол гримировальный с зеркалом 1200х600х750 1200мм       16мм  2 выдвижных ящика  римировальный стол   абаритные размеры  1200х600х750 1200мм   ыполнен из      толщиной 16мм  торцы обработаны кромкой     толщиной 2мм   редусмотрены 2 выдвижных ящика на ша"&amp;"риковых направляющих  зеркало 1100х450мм  ручки металлические ")</f>
        <v xml:space="preserve"> тол гримировальный с зеркалом 1200х600х750 1200мм       16мм  2 выдвижных ящика  римировальный стол   абаритные размеры  1200х600х750 1200мм   ыполнен из      толщиной 16мм  торцы обработаны кромкой     толщиной 2мм   редусмотрены 2 выдвижных ящика на шариковых направляющих  зеркало 1100х450мм  ручки металлические </v>
      </c>
    </row>
    <row r="3318" spans="1:8" ht="76.5" x14ac:dyDescent="0.2">
      <c r="A3318" s="31" t="s">
        <v>7919</v>
      </c>
      <c r="B3318" s="27" t="s">
        <v>7920</v>
      </c>
      <c r="C3318" s="27" t="s">
        <v>7921</v>
      </c>
      <c r="D3318" s="33" t="s">
        <v>14</v>
      </c>
      <c r="E3318" s="34">
        <v>2</v>
      </c>
      <c r="F3318" s="34">
        <v>34</v>
      </c>
      <c r="G3318" s="10">
        <v>92216</v>
      </c>
      <c r="H3318" s="30" t="str">
        <f ca="1">IFERROR(__xludf.DUMMYFUNCTION("LOWER(REGEXREPLACE(B3318&amp;"" ""&amp;C3318,""[^а-яa-z0-9 ]"","" ""))")," тол гримировальный с зеркалом 1200х600х875мм   толешница из      16мм  основание металло каркас  выдвижной ящик  снование металло каркас  покрашенный в полимерно порошковую краску по выбору   толешница      16 мм с кромкой     1200х600х875мм   азмер зерк"&amp;"ала 800х900мм   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f>
        <v xml:space="preserve"> тол гримировальный с зеркалом 1200х600х875мм   толешница из      16мм  основание металло каркас  выдвижной ящик  снование металло каркас  покрашенный в полимерно порошковую краску по выбору   толешница      16 мм с кромкой     1200х600х875мм   азмер зеркала 800х900мм   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v>
      </c>
    </row>
    <row r="3319" spans="1:8" ht="12.75" x14ac:dyDescent="0.2">
      <c r="A3319" s="31" t="s">
        <v>7922</v>
      </c>
      <c r="B3319" s="27" t="s">
        <v>7923</v>
      </c>
      <c r="C3319" s="27"/>
      <c r="D3319" s="33" t="s">
        <v>14</v>
      </c>
      <c r="E3319" s="9"/>
      <c r="F3319" s="32"/>
      <c r="G3319" s="10"/>
      <c r="H3319" s="30" t="str">
        <f ca="1">IFERROR(__xludf.DUMMYFUNCTION("LOWER(REGEXREPLACE(B3319&amp;"" ""&amp;C3319,""[^а-яa-z0-9 ]"","" ""))")," тол читательский рабочий ")</f>
        <v xml:space="preserve"> тол читательский рабочий </v>
      </c>
    </row>
    <row r="3320" spans="1:8" ht="38.25" x14ac:dyDescent="0.2">
      <c r="A3320" s="31" t="s">
        <v>7924</v>
      </c>
      <c r="B3320" s="27" t="s">
        <v>7925</v>
      </c>
      <c r="C3320" s="27" t="s">
        <v>7926</v>
      </c>
      <c r="D3320" s="33" t="s">
        <v>14</v>
      </c>
      <c r="E3320" s="34">
        <v>2</v>
      </c>
      <c r="F3320" s="34">
        <v>51</v>
      </c>
      <c r="G3320" s="10">
        <v>33815</v>
      </c>
      <c r="H3320" s="30" t="str">
        <f ca="1">IFERROR(__xludf.DUMMYFUNCTION("LOWER(REGEXREPLACE(B3320&amp;"" ""&amp;C3320,""[^а-яa-z0-9 ]"","" ""))")," тол читательский одноместный 900х600х870 мм   атериал      16 мм  тол читательский одноместный   атериал      16 мм   оковые стенки имеют полимерные не регулируемые подпятники   азмеры  900х600х870мм")</f>
        <v xml:space="preserve"> тол читательский одноместный 900х600х870 мм   атериал      16 мм  тол читательский одноместный   атериал      16 мм   оковые стенки имеют полимерные не регулируемые подпятники   азмеры  900х600х870мм</v>
      </c>
    </row>
    <row r="3321" spans="1:8" ht="51" x14ac:dyDescent="0.2">
      <c r="A3321" s="31" t="s">
        <v>7927</v>
      </c>
      <c r="B3321" s="27" t="s">
        <v>7928</v>
      </c>
      <c r="C3321" s="27" t="s">
        <v>7929</v>
      </c>
      <c r="D3321" s="33" t="s">
        <v>14</v>
      </c>
      <c r="E3321" s="34">
        <v>2</v>
      </c>
      <c r="F3321" s="34">
        <v>32</v>
      </c>
      <c r="G3321" s="10">
        <v>31664</v>
      </c>
      <c r="H3321" s="30" t="str">
        <f ca="1">IFERROR(__xludf.DUMMYFUNCTION("LOWER(REGEXREPLACE(B3321&amp;"" ""&amp;C3321,""[^а-яa-z0-9 ]"","" ""))")," тол читательский       16мм  размеры 1400х500х750мм  тол читательский       16мм   азмеры 1400х500х750мм   тол имеет подпятники   атериал        снование      металлокаркас  толщина стенки не менее 1 0 мм   ез острых углов   орцы закатаны кромочным матер"&amp;"иалом     не менее 1 0 мм ")</f>
        <v xml:space="preserve"> тол читательский       16мм  размеры 1400х500х750мм  тол читательский       16мм   азмеры 1400х500х750мм   тол имеет подпятники   атериал        снование      металлокаркас  толщина стенки не менее 1 0 мм   ез острых углов   орцы закатаны кромочным материалом     не менее 1 0 мм </v>
      </c>
    </row>
    <row r="3322" spans="1:8" ht="102" x14ac:dyDescent="0.2">
      <c r="A3322" s="31" t="s">
        <v>7930</v>
      </c>
      <c r="B3322" s="27" t="s">
        <v>7931</v>
      </c>
      <c r="C3322" s="27" t="s">
        <v>7932</v>
      </c>
      <c r="D3322" s="33" t="s">
        <v>14</v>
      </c>
      <c r="E3322" s="34">
        <v>2</v>
      </c>
      <c r="F3322" s="34">
        <v>53</v>
      </c>
      <c r="G3322" s="10">
        <v>132221</v>
      </c>
      <c r="H3322" s="30" t="str">
        <f ca="1">IFERROR(__xludf.DUMMYFUNCTION("LOWER(REGEXREPLACE(B3322&amp;"" ""&amp;C3322,""[^а-яa-z0-9 ]"","" ""))")," тол читательский 2 местный       32мм  каркас металлический  розетки  размер 1800х800х750 мм  толешница выполненая из      с закругленными углами  толщиной 32 мм   борудован двумя розетками  двух групповая    по две на каждой из металлических опор на вну"&amp;"тренней стороне   ромки деталей облицованы полимерным кромочным материалам        толщиной 1 5 мм   арас металлический состоит из двух зеркально изготовленных опор  левой и правой    окраска полимерно порошковой краской   порная площадка имеет отверстие д"&amp;"ля возможности подведения электрического и интернет кабеля    столе отверстие для провода на каждого пользователя ")</f>
        <v xml:space="preserve"> тол читательский 2 местный       32мм  каркас металлический  розетки  размер 1800х800х750 мм  толешница выполненая из      с закругленными углами  толщиной 32 мм   борудован двумя розетками  двух групповая    по две на каждой из металлических опор на внутренней стороне   ромки деталей облицованы полимерным кромочным материалам        толщиной 1 5 мм   арас металлический состоит из двух зеркально изготовленных опор  левой и правой    окраска полимерно порошковой краской   порная площадка имеет отверстие для возможности подведения электрического и интернет кабеля    столе отверстие для провода на каждого пользователя </v>
      </c>
    </row>
    <row r="3323" spans="1:8" ht="12.75" x14ac:dyDescent="0.2">
      <c r="A3323" s="31" t="s">
        <v>7933</v>
      </c>
      <c r="B3323" s="27" t="s">
        <v>7934</v>
      </c>
      <c r="C3323" s="27"/>
      <c r="D3323" s="33" t="s">
        <v>14</v>
      </c>
      <c r="E3323" s="9"/>
      <c r="F3323" s="32"/>
      <c r="G3323" s="10"/>
      <c r="H3323" s="30" t="str">
        <f ca="1">IFERROR(__xludf.DUMMYFUNCTION("LOWER(REGEXREPLACE(B3323&amp;"" ""&amp;C3323,""[^а-яa-z0-9 ]"","" ""))")," тол ученический лабораторный с раковиной ")</f>
        <v xml:space="preserve"> тол ученический лабораторный с раковиной </v>
      </c>
    </row>
    <row r="3324" spans="1:8" ht="102" x14ac:dyDescent="0.2">
      <c r="A3324" s="31" t="s">
        <v>7935</v>
      </c>
      <c r="B3324" s="8" t="s">
        <v>7936</v>
      </c>
      <c r="C3324" s="27" t="s">
        <v>7937</v>
      </c>
      <c r="D3324" s="33" t="s">
        <v>14</v>
      </c>
      <c r="E3324" s="9"/>
      <c r="F3324" s="34">
        <v>58</v>
      </c>
      <c r="G3324" s="10">
        <v>526082</v>
      </c>
      <c r="H3324" s="30" t="str">
        <f ca="1">IFERROR(__xludf.DUMMYFUNCTION("LOWER(REGEXREPLACE(B3324&amp;"" ""&amp;C3324,""[^а-яa-z0-9 ]"","" ""))")," тол ученический лабораторный с раковиной  розетками и автоматическим выключателем дифференциального тока   толешница из химически стойкого монолитного пластика  abgrade 16мм   снование разборный каркас  сталь листовая  стальные прямоугольные трубы   азме"&amp;"р стола 1200х750х750мм   тол ученический лабораторный с раковиной  розетками и автоматическим выключателем дифференциального тока   ся проводка изолирована в металл рукаве   толешница из химически стойкого монолитного пластика  abgrade 16мм   снование раз"&amp;"борный каркас  сталь листовая  стальные прямоугольные трубы   азмер стола 1200х750х750мм ")</f>
        <v xml:space="preserve"> тол ученический лабораторный с раковиной  розетками и автоматическим выключателем дифференциального тока   толешница из химически стойкого монолитного пластика  abgrade 16мм   снование разборный каркас  сталь листовая  стальные прямоугольные трубы   азмер стола 1200х750х750мм   тол ученический лабораторный с раковиной  розетками и автоматическим выключателем дифференциального тока   ся проводка изолирована в металл рукаве   толешница из химически стойкого монолитного пластика  abgrade 16мм   снование разборный каркас  сталь листовая  стальные прямоугольные трубы   азмер стола 1200х750х750мм </v>
      </c>
    </row>
    <row r="3325" spans="1:8" ht="114.75" x14ac:dyDescent="0.2">
      <c r="A3325" s="31" t="s">
        <v>7938</v>
      </c>
      <c r="B3325" s="8" t="s">
        <v>7939</v>
      </c>
      <c r="C3325" s="27" t="s">
        <v>7940</v>
      </c>
      <c r="D3325" s="33" t="s">
        <v>14</v>
      </c>
      <c r="E3325" s="34">
        <v>2</v>
      </c>
      <c r="F3325" s="34">
        <v>19</v>
      </c>
      <c r="G3325" s="10">
        <v>219728</v>
      </c>
      <c r="H3325" s="30" t="str">
        <f ca="1">IFERROR(__xludf.DUMMYFUNCTION("LOWER(REGEXREPLACE(B3325&amp;"" ""&amp;C3325,""[^а-яa-z0-9 ]"","" ""))")," тол ученический лабораторный с раковиной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60"&amp;"0 750мм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"&amp;"пластика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аковина сделана из полипропилена  размером 300х150мм ")</f>
        <v xml:space="preserve"> тол ученический лабораторный с раковиной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600 750мм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аковина сделана из полипропилена  размером 300х150мм </v>
      </c>
    </row>
    <row r="3326" spans="1:8" ht="153" x14ac:dyDescent="0.2">
      <c r="A3326" s="31" t="s">
        <v>7941</v>
      </c>
      <c r="B3326" s="8" t="s">
        <v>7942</v>
      </c>
      <c r="C3326" s="27" t="s">
        <v>7943</v>
      </c>
      <c r="D3326" s="33" t="s">
        <v>14</v>
      </c>
      <c r="E3326" s="34">
        <v>2</v>
      </c>
      <c r="F3326" s="34">
        <v>29</v>
      </c>
      <c r="G3326" s="10">
        <v>170977</v>
      </c>
      <c r="H3326" s="30" t="str">
        <f ca="1">IFERROR(__xludf.DUMMYFUNCTION("LOWER(REGEXREPLACE(B3326&amp;"" ""&amp;C3326,""[^а-яa-z0-9 ]"","" ""))")," тол ученический лабораторный с раковиной  розетками  двумя боковыми опорами и тумбой для скрытия коммуникаций   толешница из химически стойкой плиты постформинг 25 мм   снование металлокаркас  размер стола 1200х600х750мм   тол ученический лабораторный дв"&amp;"ухместный с мойкой и лабораторным краном 1200х600х750 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еталлич"&amp;"еский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"&amp;"справа приварены 2 однорожковых крючка для портфелей   меются подпятники для компенсации неровностей пола    столу подведены все коммуникации  розетки   56 с защитной шторкой  с краном и раковиной ")</f>
        <v xml:space="preserve"> тол ученический лабораторный с раковиной  розетками  двумя боковыми опорами и тумбой для скрытия коммуникаций   толешница из химически стойкой плиты постформинг 25 мм   снование металлокаркас  размер стола 1200х600х750мм   тол ученический лабораторный двухместный с мойкой и лабораторным краном 1200х600х750 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подпятники для компенсации неровностей пола    столу подведены все коммуникации  розетки   56 с защитной шторкой  с краном и раковиной </v>
      </c>
    </row>
    <row r="3327" spans="1:8" ht="102" x14ac:dyDescent="0.2">
      <c r="A3327" s="31" t="s">
        <v>7944</v>
      </c>
      <c r="B3327" s="27" t="s">
        <v>7945</v>
      </c>
      <c r="C3327" s="27" t="s">
        <v>7946</v>
      </c>
      <c r="D3327" s="33" t="s">
        <v>14</v>
      </c>
      <c r="E3327" s="34">
        <v>2</v>
      </c>
      <c r="F3327" s="34">
        <v>28</v>
      </c>
      <c r="G3327" s="10">
        <v>215937</v>
      </c>
      <c r="H3327" s="30" t="str">
        <f ca="1">IFERROR(__xludf.DUMMYFUNCTION("LOWER(REGEXREPLACE(B3327&amp;"" ""&amp;C3327,""[^а-яa-z0-9 ]"","" ""))")," тол ученический лабораторный с раковиной  розетками  двумя боковыми опорами и тумбой для скрытия коммуникаций   толешница из      22 мм   снование металлокаркас  размер стола 1500х600 750мм  озетки с защитой   56 2 штуки   толешница изготовлена из       "&amp;"толщиной 22 мм   лектропроводка скрытая  вывод кабеля с изделия в металлическом гибком рукаве   аковина установлена по центру  вровень со столешницей с сифоном и гибким гофрированным шлангом для подключения к канализации квадратной формы   пециальный кран"&amp;" для холодной воды   ицевая сторона стола закрыта царгой   арга перфорированная размером 1350х350 мм    середине стола имеется тумба размером 728х380   акрывается на ключ ")</f>
        <v xml:space="preserve"> тол ученический лабораторный с раковиной  розетками  двумя боковыми опорами и тумбой для скрытия коммуникаций   толешница из      22 мм   снование металлокаркас  размер стола 1500х600 750мм  озетки с защитой   56 2 штуки   толешница изготовлена из       толщиной 22 мм   лектропроводка скрытая  вывод кабеля с изделия в металлическом гибком рукаве   аковина установлена по центру  вровень со столешницей с сифоном и гибким гофрированным шлангом для подключения к канализации квадратной формы   пециальный кран для холодной воды   ицевая сторона стола закрыта царгой   арга перфорированная размером 1350х350 мм    середине стола имеется тумба размером 728х380   акрывается на ключ </v>
      </c>
    </row>
    <row r="3328" spans="1:8" ht="153" x14ac:dyDescent="0.2">
      <c r="A3328" s="31" t="s">
        <v>7947</v>
      </c>
      <c r="B3328" s="8" t="s">
        <v>7948</v>
      </c>
      <c r="C3328" s="27" t="s">
        <v>7949</v>
      </c>
      <c r="D3328" s="33" t="s">
        <v>14</v>
      </c>
      <c r="E3328" s="34">
        <v>2</v>
      </c>
      <c r="F3328" s="34">
        <v>63</v>
      </c>
      <c r="G3328" s="10">
        <v>178303</v>
      </c>
      <c r="H3328" s="30" t="str">
        <f ca="1">IFERROR(__xludf.DUMMYFUNCTION("LOWER(REGEXREPLACE(B3328&amp;"" ""&amp;C3328,""[^а-яa-z0-9 ]"","" ""))")," тол ученический лабораторный с раковиной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тол ученический лабораторный 1200х600х7"&amp;"50 мм   атериал  столешница выполнена из химически стойкой плиты постформинг  толщиной 25 мм  предусмотрены отверстия для проводов для каждого пользователя   ромки деталей облицованы полимерным кромочным материалом        толщиной 1 5 мм   о центру столеш"&amp;"ницы имеется смеситель с раковиной из химически стойкого пластика диаметром 14 см  глубиной  до сливного отверстия  12 см   ля скрытия коммуникаций снизу предусмотрен короб с мебельным замком   урнитура  конфирмат  стяжка       розетка со шторкой на каждо"&amp;"го пользователя  кран лабораторный  мойка дабораторная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электриче"&amp;"ского кабеля ")</f>
        <v xml:space="preserve"> тол ученический лабораторный с раковиной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тол ученический лабораторный 1200х600х750 мм   атериал  столешница выполнена из химически стойкой плиты постформинг  толщиной 25 мм  предусмотрены отверстия для проводов для каждого пользователя   ромки деталей облицованы полимерным кромочным материалом        толщиной 1 5 мм   о центру столешницы имеется смеситель с раковиной из химически стойкого пластика диаметром 14 см  глубиной  до сливного отверстия  12 см   ля скрытия коммуникаций снизу предусмотрен короб с мебельным замком   урнитура  конфирмат  стяжка       розетка со шторкой на каждого пользователя  кран лабораторный  мойка дабораторная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электрического кабеля </v>
      </c>
    </row>
    <row r="3329" spans="1:8" ht="153" x14ac:dyDescent="0.2">
      <c r="A3329" s="31" t="s">
        <v>7950</v>
      </c>
      <c r="B3329" s="27" t="s">
        <v>7951</v>
      </c>
      <c r="C3329" s="27" t="s">
        <v>7952</v>
      </c>
      <c r="D3329" s="33" t="s">
        <v>14</v>
      </c>
      <c r="E3329" s="34">
        <v>2</v>
      </c>
      <c r="F3329" s="34">
        <v>32</v>
      </c>
      <c r="G3329" s="10">
        <v>143111</v>
      </c>
      <c r="H3329" s="30" t="str">
        <f ca="1">IFERROR(__xludf.DUMMYFUNCTION("LOWER(REGEXREPLACE(B3329&amp;"" ""&amp;C3329,""[^а-яa-z0-9 ]"","" ""))")," тол ученический лабораторный с раковиной  розетками  двумя боковыми опорами и коробом для скрытия коммуникаций   толешница из химически стойкой плиты постформинг 25мм  с бортиками   снование металлокаркас  размер стола 1200х600х700 760мм  толешница выпол"&amp;"нена из химически стойкой плиты постформиг  толщиной 25 мм   борудован двумя розетками со шторками   ромки деталей облицованы полимерным кромочным материалам        толшиной 1 5 мм   аркас металлический состоит из двух зеркально изготовленных опор  левой "&amp;"и правой   покрытый полимерно порошковой краской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кронштейны для крепления стол"&amp;"ешницы и царги  крючок для портфеля  проушины для крепления опор к полу   ысота стола зависит от группы роста и соответствует следующим значениям  группа роста 5  высота 700мм  группа роста 6  высота 760мм")</f>
        <v xml:space="preserve"> тол ученический лабораторный с раковиной  розетками  двумя боковыми опорами и коробом для скрытия коммуникаций   толешница из химически стойкой плиты постформинг 25мм  с бортиками   снование металлокаркас  размер стола 1200х600х700 760мм  толешница выполнена из химически стойкой плиты постформиг  толщиной 25 мм   борудован двумя розетками со шторками   ромки деталей облицованы полимерным кромочным материалам        толшиной 1 5 мм   аркас металлический состоит из двух зеркально изготовленных опор  левой и правой   покрытый полимерно порошковой краской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ысота стола зависит от группы роста и соответствует следующим значениям  группа роста 5  высота 700мм  группа роста 6  высота 760мм</v>
      </c>
    </row>
    <row r="3330" spans="1:8" ht="191.25" x14ac:dyDescent="0.2">
      <c r="A3330" s="31" t="s">
        <v>7953</v>
      </c>
      <c r="B3330" s="8" t="s">
        <v>7954</v>
      </c>
      <c r="C3330" s="27" t="s">
        <v>7955</v>
      </c>
      <c r="D3330" s="33" t="s">
        <v>14</v>
      </c>
      <c r="E3330" s="34">
        <v>2</v>
      </c>
      <c r="F3330" s="34">
        <v>43</v>
      </c>
      <c r="G3330" s="10">
        <v>341395</v>
      </c>
      <c r="H3330" s="30" t="str">
        <f ca="1">IFERROR(__xludf.DUMMYFUNCTION("LOWER(REGEXREPLACE(B3330&amp;"" ""&amp;C3330,""[^а-яa-z0-9 ]"","" ""))")," тол ученический лабораторный с раковиной  розетками  двумя боковыми опорами и тумбой для скрытия коммуникаций   толешница из химического стойкого пластика     панели12 мм   снование металлокаркас  размер стола1400х600х750мм   тол лабораторный 2 х местный"&amp;"    абораторный стол ученика с раковиной  смесителем  с розеткой  двумя боковыми опорами и шкафом для скрытия коммуникаций      лектрическая панель с 2 розетками 220      54  с закрытым корпусом  с защитой контактов     аковина  из полипропилена  установл"&amp;"ена по центру переда стола    размерами 180 180 220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замок 1 шт   ключ универсальный    абораторный см"&amp;"еситель  твердый латунный химически стойкий кран с одним выходом  покрытый полимерно порошковой краской  толешница выполнена из химстойкой панели      undermax12 мм для лабораторных поверхностей   еталлические детали выполнены из овального профиля толщино"&amp;"й 1 5 мм   еталлические детали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азмеры стола составляют 1400х600х750 мм ")</f>
        <v xml:space="preserve"> тол ученический лабораторный с раковиной  розетками  двумя боковыми опорами и тумбой для скрытия коммуникаций   толешница из химического стойкого пластика     панели12 мм   снование металлокаркас  размер стола1400х600х750мм   тол лабораторный 2 х местный    абораторный стол ученика с раковиной  смесителем  с розеткой  двумя боковыми опорами и шкафом для скрытия коммуникаций      лектрическая панель с 2 розетками 220      54  с закрытым корпусом  с защитой контактов     аковина  из полипропилена  установлена по центру переда стола    размерами 180 180 220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замок 1 шт   ключ универсальный    абораторный смеситель  твердый латунный химически стойкий кран с одним выходом  покрытый полимерно порошковой краской  толешница выполнена из химстойкой панели      undermax12 мм для лабораторных поверхностей   еталлические детали выполнены из овального профиля толщиной 1 5 мм   еталлические детали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азмеры стола составляют 1400х600х750 мм </v>
      </c>
    </row>
    <row r="3331" spans="1:8" ht="255" x14ac:dyDescent="0.2">
      <c r="A3331" s="31" t="s">
        <v>7956</v>
      </c>
      <c r="B3331" s="27" t="s">
        <v>7957</v>
      </c>
      <c r="C3331" s="27" t="s">
        <v>7958</v>
      </c>
      <c r="D3331" s="33" t="s">
        <v>14</v>
      </c>
      <c r="E3331" s="34">
        <v>2</v>
      </c>
      <c r="F3331" s="34">
        <v>39</v>
      </c>
      <c r="G3331" s="10">
        <v>80698</v>
      </c>
      <c r="H3331" s="30" t="str">
        <f ca="1">IFERROR(__xludf.DUMMYFUNCTION("LOWER(REGEXREPLACE(B3331&amp;"" ""&amp;C3331,""[^а-яa-z0-9 ]"","" ""))")," тол ученический двухместный лабораторный с раковиной  размеры 1200х600х760 мм   толешница из      22 мм  кромка      металлический каркас из двух боковых опор  раковина полипропиленовая диаметром 140 мм  толешница изготовлена из      толщиной не менее 22"&amp;" мм   ромка     не менее 2 мм   рая столешницы должны быть скруглены   а передней и задней стороне столешницы по всей длине должны быть декоративные вставки   а столешнице должен быть вырез диаметром 140мм  для установки раковины полипропиленовой   еталли"&amp;"ческий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толеш"&amp;"ница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должн"&amp;"ы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с"&amp;"толешницей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од столешницей должен располагаться короб для скрытия коммуникаций размером 200х330 м"&amp;"м  с глухой дверкой и врезным замком   олжны быть регулируемые металлические подпятники для компенсации неровностей пола ")</f>
        <v xml:space="preserve"> тол ученический двухместный лабораторный с раковиной  размеры 1200х600х760 мм   толешница из      22 мм  кромка      металлический каркас из двух боковых опор  раковина полипропиленовая диаметром 140 мм  толешница изготовлена из      толщиной не менее 22 мм   ромка     не менее 2 мм   рая столешницы должны быть скруглены   а передней и задней стороне столешницы по всей длине должны быть декоративные вставки   а столешнице должен быть вырез диаметром 140мм  для установки раковины полипропиленовой   еталлический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од столешницей должен располагаться короб для скрытия коммуникаций размером 200х330 мм  с глухой дверкой и врезным замком   олжны быть регулируемые металлические подпятники для компенсации неровностей пола </v>
      </c>
    </row>
    <row r="3332" spans="1:8" ht="12.75" x14ac:dyDescent="0.2">
      <c r="A3332" s="31" t="s">
        <v>7959</v>
      </c>
      <c r="B3332" s="27" t="s">
        <v>7960</v>
      </c>
      <c r="C3332" s="27"/>
      <c r="D3332" s="33" t="s">
        <v>14</v>
      </c>
      <c r="E3332" s="9"/>
      <c r="F3332" s="32"/>
      <c r="G3332" s="10"/>
      <c r="H3332" s="30" t="str">
        <f ca="1">IFERROR(__xludf.DUMMYFUNCTION("LOWER(REGEXREPLACE(B3332&amp;"" ""&amp;C3332,""[^а-яa-z0-9 ]"","" ""))")," тол демонстрационный без раковины ")</f>
        <v xml:space="preserve"> тол демонстрационный без раковины </v>
      </c>
    </row>
    <row r="3333" spans="1:8" ht="51" x14ac:dyDescent="0.2">
      <c r="A3333" s="31" t="s">
        <v>7961</v>
      </c>
      <c r="B3333" s="27" t="s">
        <v>7962</v>
      </c>
      <c r="C3333" s="27" t="s">
        <v>7962</v>
      </c>
      <c r="D3333" s="33" t="s">
        <v>14</v>
      </c>
      <c r="E3333" s="9"/>
      <c r="F3333" s="32"/>
      <c r="G3333" s="10">
        <v>244479</v>
      </c>
      <c r="H3333" s="30" t="str">
        <f ca="1">IFERROR(__xludf.DUMMYFUNCTION("LOWER(REGEXREPLACE(B3333&amp;"" ""&amp;C3333,""[^а-яa-z0-9 ]"","" ""))")," тол демонстрационный без раковины  составной из двух столов однотумбовых  с бортом  розеткой   толешница  тумбы и стенки      16мм   азмер 2400х750х900 мм   тол демонстрационный без раковины  составной из двух столов однотумбовых  с бортом  розеткой   то"&amp;"лешница  тумбы и стенки      16мм   азмер 2400х750х900 мм ")</f>
        <v xml:space="preserve"> тол демонстрационный без раковины  составной из двух столов однотумбовых  с бортом  розеткой   толешница  тумбы и стенки      16мм   азмер 2400х750х900 мм   тол демонстрационный без раковины  составной из двух столов однотумбовых  с бортом  розеткой   толешница  тумбы и стенки      16мм   азмер 2400х750х900 мм </v>
      </c>
    </row>
    <row r="3334" spans="1:8" ht="63.75" x14ac:dyDescent="0.2">
      <c r="A3334" s="31" t="s">
        <v>7963</v>
      </c>
      <c r="B3334" s="27" t="s">
        <v>7964</v>
      </c>
      <c r="C3334" s="27" t="s">
        <v>7965</v>
      </c>
      <c r="D3334" s="33" t="s">
        <v>14</v>
      </c>
      <c r="E3334" s="9"/>
      <c r="F3334" s="32"/>
      <c r="G3334" s="10">
        <v>106738</v>
      </c>
      <c r="H3334" s="30" t="str">
        <f ca="1">IFERROR(__xludf.DUMMYFUNCTION("LOWER(REGEXREPLACE(B3334&amp;"" ""&amp;C3334,""[^а-яa-z0-9 ]"","" ""))"),"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  тол без раковины массивный двухтумбовый с розеткой   толешница     16мм"&amp;" с декоративно пластиковым покрытием  тумбы и стенки      16мм  боковины металлокаркас   азмер  1500х800х800 мм")</f>
        <v xml:space="preserve">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v>
      </c>
    </row>
    <row r="3335" spans="1:8" ht="76.5" x14ac:dyDescent="0.2">
      <c r="A3335" s="31" t="s">
        <v>7966</v>
      </c>
      <c r="B3335" s="8" t="s">
        <v>7967</v>
      </c>
      <c r="C3335" s="27" t="s">
        <v>7968</v>
      </c>
      <c r="D3335" s="33" t="s">
        <v>14</v>
      </c>
      <c r="E3335" s="9"/>
      <c r="F3335" s="32"/>
      <c r="G3335" s="10">
        <v>103625</v>
      </c>
      <c r="H3335" s="30" t="str">
        <f ca="1">IFERROR(__xludf.DUMMYFUNCTION("LOWER(REGEXREPLACE(B3335&amp;"" ""&amp;C3335,""[^а-яa-z0-9 ]"","" ""))"),"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  тол демонстрационный без рако"&amp;"вины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f>
        <v xml:space="preserve">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v>
      </c>
    </row>
    <row r="3336" spans="1:8" ht="102" x14ac:dyDescent="0.2">
      <c r="A3336" s="31" t="s">
        <v>7969</v>
      </c>
      <c r="B3336" s="27" t="s">
        <v>7970</v>
      </c>
      <c r="C3336" s="27" t="s">
        <v>7971</v>
      </c>
      <c r="D3336" s="33" t="s">
        <v>14</v>
      </c>
      <c r="E3336" s="34">
        <v>2</v>
      </c>
      <c r="F3336" s="34">
        <v>22</v>
      </c>
      <c r="G3336" s="10">
        <v>290352</v>
      </c>
      <c r="H3336" s="30" t="str">
        <f ca="1">IFERROR(__xludf.DUMMYFUNCTION("LOWER(REGEXREPLACE(B3336&amp;"" ""&amp;C3336,""[^а-яa-z0-9 ]"","" ""))")," тол демонстрационный лабораторный без раковины со встроенными тумбами и двумя розетками   толешница из химического стойкого пластика 16мм  основание металлокаркас  размер 1800х750х900мм   тол демонстрационный для кабинета физики 1800 750 900мм   тол на 2"&amp;"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химически стойкого пластика белого цвета толщиной 16 мм   оверхность усто"&amp;"йчива к воздействию щелочей  органических растворителей  концентрированных кислот   а также к воздействию высокой температуры  в столе установлены 2 розетки на боковой панели")</f>
        <v xml:space="preserve"> тол демонстрационный лабораторный без раковины со встроенными тумбами и двумя розетками   толешница из химического стойкого пластика 16мм  основание металлокаркас  размер 1800х750х900мм   тол демонстрационный для кабинета физики 1800 750 900мм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химически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в столе установлены 2 розетки на боковой панели</v>
      </c>
    </row>
    <row r="3337" spans="1:8" ht="204" x14ac:dyDescent="0.2">
      <c r="A3337" s="31" t="s">
        <v>7972</v>
      </c>
      <c r="B3337" s="27" t="s">
        <v>7973</v>
      </c>
      <c r="C3337" s="27" t="s">
        <v>7974</v>
      </c>
      <c r="D3337" s="33" t="s">
        <v>14</v>
      </c>
      <c r="E3337" s="34">
        <v>2</v>
      </c>
      <c r="F3337" s="35">
        <v>74.5</v>
      </c>
      <c r="G3337" s="10">
        <v>647598</v>
      </c>
      <c r="H3337" s="30" t="str">
        <f ca="1">IFERROR(__xludf.DUMMYFUNCTION("LOWER(REGEXREPLACE(B3337&amp;"" ""&amp;C3337,""[^а-яa-z0-9 ]"","" ""))")," тол демонстрационный лабораторный без раковины  c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лабораторн"&amp;"ого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18"&amp;"0 градусов по  ельсию   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   система индивидуального включения отключения пода"&amp;"чи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листова"&amp;"я     толщина 0 8 мм окрашенные порошковым методом эпоксиполиэфирной краской пепельного цвета     7035   ервисные колонны имеют регулируемые опоры и торцевые заглушки из полипропилена  изготовленные из легированной стали  покрытой порошковым методом эпокс"&amp;"иполиэфирной краской пепельного цвета     7035")</f>
        <v xml:space="preserve"> тол демонстрационный лабораторный без раковины  c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ельсию   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толщина 0 8 мм окрашенные порошковым методом эпоксиполиэфирной краской пепельного цвета     7035   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7035</v>
      </c>
    </row>
    <row r="3338" spans="1:8" ht="140.25" x14ac:dyDescent="0.2">
      <c r="A3338" s="31" t="s">
        <v>7975</v>
      </c>
      <c r="B3338" s="27" t="s">
        <v>7976</v>
      </c>
      <c r="C3338" s="27" t="s">
        <v>7977</v>
      </c>
      <c r="D3338" s="33" t="s">
        <v>14</v>
      </c>
      <c r="E3338" s="34">
        <v>2</v>
      </c>
      <c r="F3338" s="34">
        <v>87</v>
      </c>
      <c r="G3338" s="10">
        <v>108605</v>
      </c>
      <c r="H3338" s="30" t="str">
        <f ca="1">IFERROR(__xludf.DUMMYFUNCTION("LOWER(REGEXREPLACE(B3338&amp;"" ""&amp;C3338,""[^а-яa-z0-9 ]"","" ""))")," тол демонстрационный размеры 1600х750х910 мм  столешница из      толщиной 22 мм  ысота верхнего края столешницы над уровнем пола должна быть не менее 900 мм   атериал столешницы должен быть      толщиной не менее 22 мм  покрытая пластиком толщиной не мен"&amp;"ее 0 5 мм   ромка должна быть из     не менее 2 мм   олжны быть две боковые опоры  глухая передняя панель   нутренние полки должны быть изготовлены из      толщиной не менее 16 мм   верцы должны быть изготовлены из цветного      толщиной не менее 16 мм   "&amp;"нутри стола должна быть полка и вертикальная перегородка на всю высоту   нутреннее пространство стола должно быть поделено на 4 отдела   верцы должны быть раздвижные на направляющих   верцы должны быть с ручками   ебельные ножки должны регулироваться по в"&amp;"ысоте для компенсации неровностей пола ")</f>
        <v xml:space="preserve"> тол демонстрационный размеры 1600х750х910 мм  столешница из      толщиной 22 мм  ысота верхнего края столешницы над уровнем пола должна быть не менее 900 мм   атериал столешницы должен быть      толщиной не менее 22 мм  покрытая пластиком толщиной не менее 0 5 мм   ромка должна быть из     не менее 2 мм   олжны быть две боковые опоры  глухая передняя панель   нутренние полки должны быть изготовлены из      толщиной не менее 16 мм   верцы должны быть изготовлены из цветного      толщиной не менее 16 мм   нутри стола должна быть полка и вертикальная перегородка на всю высоту   нутреннее пространство стола должно быть поделено на 4 отдела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v>
      </c>
    </row>
    <row r="3339" spans="1:8" ht="204" x14ac:dyDescent="0.2">
      <c r="A3339" s="31" t="s">
        <v>7978</v>
      </c>
      <c r="B3339" s="27" t="s">
        <v>7979</v>
      </c>
      <c r="C3339" s="27" t="s">
        <v>7980</v>
      </c>
      <c r="D3339" s="33" t="s">
        <v>14</v>
      </c>
      <c r="E3339" s="34">
        <v>2</v>
      </c>
      <c r="F3339" s="34">
        <v>92</v>
      </c>
      <c r="G3339" s="10">
        <v>143266</v>
      </c>
      <c r="H3339" s="30" t="str">
        <f ca="1">IFERROR(__xludf.DUMMYFUNCTION("LOWER(REGEXREPLACE(B3339&amp;"" ""&amp;C3339,""[^а-яa-z0-9 ]"","" ""))")," тол демонстрационный мобильный на колесах  размеры 1500х640х900 мм  столешница      22мм  кромка      ысота верхнего края столешницы над уровнем пола должна быть 900 мм   атериал столешницы      должен быть толщиной не менее 22 мм  покрытая пластиком тол"&amp;"щиной не менее 0 5 мм   ромка должна быть из     не менее 2 мм   аркас стола должен состоять из двух боковых опор  изготовленных из труб квадратного сечения 40х40  толщиной не менее 1 2мм  которые должны соединяться между собой верхней и нижней рамой  изг"&amp;"отовленной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"&amp;"не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вертикальн"&amp;"ыми перегородками на всю высоту  каждый отдел должен быть оборудован полкой   верцы должны быть изготовлены из цветного      толщиной не менее 16 мм   асады должны быть снабжены металлическими ручками и петлями с быстросъемным механизмом  и функцией  soft"&amp;"close  ")</f>
        <v xml:space="preserve"> тол демонстрационный мобильный на колесах  размеры 1500х640х900 мм  столешница      22мм  кромка      ысота верхнего края столешницы над уровнем пола должна быть 900 мм   атериал столешницы      должен быть толщиной не менее 22 мм  покрытая пластиком толщиной не менее 0 5 мм   ромка должна быть из     не менее 2 мм   аркас стола должен состоять из двух боковых опор  изготовленных из труб квадратного сечения 40х40  толщиной не менее 1 2мм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верцы должны быть изготовлены из цветного      толщиной не менее 16 мм   асады должны быть снабжены металлическими ручками и петлями с быстросъемным механизмом  и функцией  softclose  </v>
      </c>
    </row>
    <row r="3340" spans="1:8" ht="12.75" x14ac:dyDescent="0.2">
      <c r="A3340" s="31" t="s">
        <v>7981</v>
      </c>
      <c r="B3340" s="27" t="s">
        <v>7982</v>
      </c>
      <c r="C3340" s="27"/>
      <c r="D3340" s="33" t="s">
        <v>14</v>
      </c>
      <c r="E3340" s="9"/>
      <c r="F3340" s="32"/>
      <c r="G3340" s="10"/>
      <c r="H3340" s="30" t="str">
        <f ca="1">IFERROR(__xludf.DUMMYFUNCTION("LOWER(REGEXREPLACE(B3340&amp;"" ""&amp;C3340,""[^а-яa-z0-9 ]"","" ""))")," тол лабораторный ")</f>
        <v xml:space="preserve"> тол лабораторный </v>
      </c>
    </row>
    <row r="3341" spans="1:8" ht="38.25" x14ac:dyDescent="0.2">
      <c r="A3341" s="31" t="s">
        <v>7983</v>
      </c>
      <c r="B3341" s="27" t="s">
        <v>7984</v>
      </c>
      <c r="C3341" s="27" t="s">
        <v>7984</v>
      </c>
      <c r="D3341" s="33" t="s">
        <v>14</v>
      </c>
      <c r="E3341" s="9"/>
      <c r="F3341" s="32"/>
      <c r="G3341" s="10">
        <v>78432</v>
      </c>
      <c r="H3341" s="30" t="str">
        <f ca="1">IFERROR(__xludf.DUMMYFUNCTION("LOWER(REGEXREPLACE(B3341&amp;"" ""&amp;C3341,""[^а-яa-z0-9 ]"","" ""))")," тол лабораторный  столешница постформинг 28мм  основание металлокаркас  ящики  размер 1000х600х850мм  постформиг     2  тол лабораторный  столешница постформинг 28мм  основание металлокаркас  ящики  размер 1000х600х850мм  постформиг     2")</f>
        <v xml:space="preserve"> тол лабораторный  столешница постформинг 28мм  основание металлокаркас  ящики  размер 1000х600х850мм  постформиг     2  тол лабораторный  столешница постформинг 28мм  основание металлокаркас  ящики  размер 1000х600х850мм  постформиг     2</v>
      </c>
    </row>
    <row r="3342" spans="1:8" ht="63.75" x14ac:dyDescent="0.2">
      <c r="A3342" s="31" t="s">
        <v>7985</v>
      </c>
      <c r="B3342" s="8" t="s">
        <v>7986</v>
      </c>
      <c r="C3342" s="27" t="s">
        <v>7987</v>
      </c>
      <c r="D3342" s="33" t="s">
        <v>14</v>
      </c>
      <c r="E3342" s="9"/>
      <c r="F3342" s="32"/>
      <c r="G3342" s="10">
        <v>96984</v>
      </c>
      <c r="H3342" s="30" t="str">
        <f ca="1">IFERROR(__xludf.DUMMYFUNCTION("LOWER(REGEXREPLACE(B3342&amp;"" ""&amp;C3342,""[^а-яa-z0-9 ]"","" ""))")," тол лабораторный  столешница постформинг 28мм  основание металлокаркас  декоративные панели  ящик  размер 1500х600х850мм  постформинг     3      тол лабораторный  столешница постформинг 28мм  основание металлокаркас  декоративные панели  ящик  размер 150"&amp;"0х600х850мм  постформинг     3    ")</f>
        <v xml:space="preserve"> тол лабораторный  столешница постформинг 28мм  основание металлокаркас  декоративные панели  ящик  размер 1500х600х850мм  постформинг     3      тол лабораторный  столешница постформинг 28мм  основание металлокаркас  декоративные панели  ящик  размер 1500х600х850мм  постформинг     3    </v>
      </c>
    </row>
    <row r="3343" spans="1:8" ht="51" x14ac:dyDescent="0.2">
      <c r="A3343" s="31" t="s">
        <v>7988</v>
      </c>
      <c r="B3343" s="27" t="s">
        <v>7989</v>
      </c>
      <c r="C3343" s="27" t="s">
        <v>7989</v>
      </c>
      <c r="D3343" s="33" t="s">
        <v>14</v>
      </c>
      <c r="E3343" s="9"/>
      <c r="F3343" s="32"/>
      <c r="G3343" s="10">
        <v>96382</v>
      </c>
      <c r="H3343" s="30" t="str">
        <f ca="1">IFERROR(__xludf.DUMMYFUNCTION("LOWER(REGEXREPLACE(B3343&amp;"" ""&amp;C3343,""[^а-яa-z0-9 ]"","" ""))")," тол лабораторный  столешница керамогранит  усиленная подложкой      16мм  основание металлокаркас  декоратиные панели  ящик  размер 1520х610х850мм  керамогранит     3      тол лабораторный  столешница керамогранит  усиленная подложкой      16мм  основани"&amp;"е металлокаркас  декоратиные панели  ящик  размер 1520х610х850мм  керамогранит     3    ")</f>
        <v xml:space="preserve"> тол лабораторный  столешница керамогранит  усиленная подложкой      16мм  основание металлокаркас  декоратиные панели  ящик  размер 1520х610х850мм  керамогранит     3      тол лабораторный  столешница керамогранит  усиленная подложкой      16мм  основание металлокаркас  декоратиные панели  ящик  размер 1520х610х850мм  керамогранит     3    </v>
      </c>
    </row>
    <row r="3344" spans="1:8" ht="63.75" x14ac:dyDescent="0.2">
      <c r="A3344" s="31" t="s">
        <v>7990</v>
      </c>
      <c r="B3344" s="27" t="s">
        <v>7991</v>
      </c>
      <c r="C3344" s="27" t="s">
        <v>7991</v>
      </c>
      <c r="D3344" s="33" t="s">
        <v>14</v>
      </c>
      <c r="E3344" s="9"/>
      <c r="F3344" s="34">
        <v>50</v>
      </c>
      <c r="G3344" s="10">
        <v>528945</v>
      </c>
      <c r="H3344" s="30" t="str">
        <f ca="1">IFERROR(__xludf.DUMMYFUNCTION("LOWER(REGEXREPLACE(B3344&amp;"" ""&amp;C3344,""[^а-яa-z0-9 ]"","" ""))"),"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  тол лабораторный для преподавателя  розетки и а"&amp;"втомат      тумба подвесная с 3 выдвижными ящиками   толешница из монолитного слоистого пластика  abgrade 16мм  основание металлокаркас  размер 1500х750х750мм")</f>
        <v xml:space="preserve">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v>
      </c>
    </row>
    <row r="3345" spans="1:8" ht="102" x14ac:dyDescent="0.2">
      <c r="A3345" s="31" t="s">
        <v>7992</v>
      </c>
      <c r="B3345" s="8" t="s">
        <v>7993</v>
      </c>
      <c r="C3345" s="27" t="s">
        <v>7994</v>
      </c>
      <c r="D3345" s="33" t="s">
        <v>14</v>
      </c>
      <c r="E3345" s="34">
        <v>2</v>
      </c>
      <c r="F3345" s="34">
        <v>19</v>
      </c>
      <c r="G3345" s="10">
        <v>185684</v>
      </c>
      <c r="H3345" s="30" t="str">
        <f ca="1">IFERROR(__xludf.DUMMYFUNCTION("LOWER(REGEXREPLACE(B3345&amp;"" ""&amp;C3345,""[^а-яa-z0-9 ]"","" ""))")," тол лабораторный для преподавателя со встроенной тумбой и розетками   толешница из химического стойкого пластика 16мм  основание металлокаркас  размер 1200х750х750мм   тол учителя 1200 750 750 выполнен из металлического корпуса  со встроенной тумбой   то"&amp;"л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оверхност"&amp;"ь устойчива к воздействию щелочей  органических растворителей  концентрированных кислот   а также к воздействию высокой температуры  к столу подведены две розетки ")</f>
        <v xml:space="preserve"> тол лабораторный для преподавателя со встроенной тумбой и розетками   толешница из химического стойкого пластика 16мм  основание металлокаркас  размер 1200х750х750мм   тол учителя 1200 750 750 выполнен из металлического корпуса  со встроенной тумбой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к столу подведены две розетки </v>
      </c>
    </row>
    <row r="3346" spans="1:8" ht="216.75" x14ac:dyDescent="0.2">
      <c r="A3346" s="31" t="s">
        <v>7995</v>
      </c>
      <c r="B3346" s="27" t="s">
        <v>7996</v>
      </c>
      <c r="C3346" s="27" t="s">
        <v>7997</v>
      </c>
      <c r="D3346" s="33" t="s">
        <v>14</v>
      </c>
      <c r="E3346" s="34">
        <v>2</v>
      </c>
      <c r="F3346" s="34">
        <v>78</v>
      </c>
      <c r="G3346" s="10">
        <v>112033</v>
      </c>
      <c r="H3346" s="30" t="str">
        <f ca="1">IFERROR(__xludf.DUMMYFUNCTION("LOWER(REGEXREPLACE(B3346&amp;"" ""&amp;C3346,""[^а-яa-z0-9 ]"","" ""))")," тол лабораторный двухсторонний для      лабораторий  размеры 1500х1300х960 мм  две столешницы с надстройкой       22 мм  основание металлокаркас  абораторный стол состоит из двух одинаковых столов  соединяющихся верхней надстройкой   ысота верхнего края "&amp;"столешницы над уровнем пола должна быть 760 мм   атериал столешницы должен быть      толщиной 22 мм   орцы столешницы должны быть отделаны кромкой     толщиной не менее 2мм   толешница должна крепиться к металлокаркасу саморезами методом скрытого соединен"&amp;"ия   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онструкция каждой боковой опоры каркаса должна представлять из себя прямоугольни"&amp;"к размером 550х718  изготовленные из профильной трубы прямоугольного сечения не менее 50х25х1 2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метал"&amp;"лических подпятников с пластиковой головкой  служащих для компенсации неровностей пола   адстройка должна представлять из себя две боковые опоры стянутых между собой двумя ребрами жесткости   рышка надстройки имеет размер 1500х200   адстройка крепится к с"&amp;"толам с помощью конфирматов ")</f>
        <v xml:space="preserve"> тол лабораторный двухсторонний для      лабораторий  размеры 1500х1300х960 мм  две столешницы с надстройкой       22 мм  основание металлокаркас  абораторный стол состоит из двух одинаковых столов  соединяющихся верхней надстройкой   ысота верхнего края столешницы над уровнем пола должна быть 760 мм   атериал столешницы должен быть      толщиной 22 мм   орцы столешницы должны быть отделаны кромкой     толщиной не менее 2мм   толешница должна крепиться к металлокаркасу саморезами методом скрытого соединения   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 2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адстройка должна представлять из себя две боковые опоры стянутых между собой двумя ребрами жесткости   рышка надстройки имеет размер 1500х200   адстройка крепится к столам с помощью конфирматов </v>
      </c>
    </row>
    <row r="3347" spans="1:8" ht="242.25" x14ac:dyDescent="0.2">
      <c r="A3347" s="31" t="s">
        <v>7998</v>
      </c>
      <c r="B3347" s="27" t="s">
        <v>7999</v>
      </c>
      <c r="C3347" s="27" t="s">
        <v>8000</v>
      </c>
      <c r="D3347" s="33" t="s">
        <v>14</v>
      </c>
      <c r="E3347" s="34">
        <v>2</v>
      </c>
      <c r="F3347" s="34">
        <v>31</v>
      </c>
      <c r="G3347" s="10">
        <v>43427</v>
      </c>
      <c r="H3347" s="30" t="str">
        <f ca="1">IFERROR(__xludf.DUMMYFUNCTION("LOWER(REGEXREPLACE(B3347&amp;"" ""&amp;C3347,""[^а-яa-z0-9 ]"","" ""))")," тол ученический двухместный лабораторный  размеры столешницы 1200х600 мм       22 мм  кромка      основание металлокаркас  ысота верхнего края столешницы над полом 760 мм   толешница изготовлена из      толщиной не менее 22 мм   ромка     не менее 2 мм  "&amp;" рая столешницы должны быть скруглены   а передней и задней стороне столешницы по всей длине должны быть декоративные вставки   еталлический каркас должен состоять из двух боковых опор  двух вертикальных стоек и двух рамок усилителей   оковые опоры с верт"&amp;"икальными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20х20х"&amp;"1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должна"&amp;"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"&amp;"крепиться к каркасу методом скрытого крепления   олжны быть регулируемые металлические подпятники для компенсации неровностей пола ")</f>
        <v xml:space="preserve"> тол ученический двухместный лабораторный  размеры столешницы 1200х600 мм       22 мм  кромка      основание металлокаркас  ысота верхнего края столешницы над полом 760 мм   толешница изготовлена из      толщиной не менее 22 мм   ромка     не менее 2 мм   рая столешницы должны быть скруглены   а передней и задней стороне столешницы по всей длине должны быть декоративные вставки   еталлический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олжны быть регулируемые металлические подпятники для компенсации неровностей пола </v>
      </c>
    </row>
    <row r="3348" spans="1:8" ht="12.75" x14ac:dyDescent="0.2">
      <c r="A3348" s="31" t="s">
        <v>8001</v>
      </c>
      <c r="B3348" s="27" t="s">
        <v>8002</v>
      </c>
      <c r="C3348" s="27"/>
      <c r="D3348" s="33" t="s">
        <v>14</v>
      </c>
      <c r="E3348" s="9"/>
      <c r="F3348" s="32"/>
      <c r="G3348" s="10"/>
      <c r="H3348" s="30" t="str">
        <f ca="1">IFERROR(__xludf.DUMMYFUNCTION("LOWER(REGEXREPLACE(B3348&amp;"" ""&amp;C3348,""[^а-яa-z0-9 ]"","" ""))")," тол письменный ")</f>
        <v xml:space="preserve"> тол письменный </v>
      </c>
    </row>
    <row r="3349" spans="1:8" ht="51" x14ac:dyDescent="0.2">
      <c r="A3349" s="31" t="s">
        <v>8003</v>
      </c>
      <c r="B3349" s="27" t="s">
        <v>8004</v>
      </c>
      <c r="C3349" s="27"/>
      <c r="D3349" s="33" t="s">
        <v>14</v>
      </c>
      <c r="E3349" s="9"/>
      <c r="F3349" s="32"/>
      <c r="G3349" s="10">
        <v>130396</v>
      </c>
      <c r="H3349" s="30" t="str">
        <f ca="1">IFERROR(__xludf.DUMMYFUNCTION("LOWER(REGEXREPLACE(B3349&amp;"" ""&amp;C3349,""[^а-яa-z0-9 ]"","" ""))")," тол письменый open space 1250х650х750 мм  с эффектом  парящей  столешницы из      22 мм  на сварных   образных опорах  труба сечением 60х30 мм ")</f>
        <v xml:space="preserve"> тол письменый open space 1250х650х750 мм  с эффектом  парящей  столешницы из      22 мм  на сварных   образных опорах  труба сечением 60х30 мм </v>
      </c>
    </row>
    <row r="3350" spans="1:8" ht="51" x14ac:dyDescent="0.2">
      <c r="A3350" s="31" t="s">
        <v>8005</v>
      </c>
      <c r="B3350" s="27" t="s">
        <v>8006</v>
      </c>
      <c r="C3350" s="27"/>
      <c r="D3350" s="33" t="s">
        <v>14</v>
      </c>
      <c r="E3350" s="9"/>
      <c r="F3350" s="32"/>
      <c r="G3350" s="10">
        <v>148382</v>
      </c>
      <c r="H3350" s="30" t="str">
        <f ca="1">IFERROR(__xludf.DUMMYFUNCTION("LOWER(REGEXREPLACE(B3350&amp;"" ""&amp;C3350,""[^а-яa-z0-9 ]"","" ""))")," тол письменый open space 1250х750х1320 мм  с эффектом  парящей  столешницы из      22 мм  на сварных   образных опорах  труба сечением 60х30 мм ")</f>
        <v xml:space="preserve"> тол письменый open space 1250х750х1320 мм  с эффектом  парящей  столешницы из      22 мм  на сварных   образных опорах  труба сечением 60х30 мм </v>
      </c>
    </row>
    <row r="3351" spans="1:8" ht="51" x14ac:dyDescent="0.2">
      <c r="A3351" s="31" t="s">
        <v>8007</v>
      </c>
      <c r="B3351" s="27" t="s">
        <v>8008</v>
      </c>
      <c r="C3351" s="27"/>
      <c r="D3351" s="33" t="s">
        <v>14</v>
      </c>
      <c r="E3351" s="9"/>
      <c r="F3351" s="32"/>
      <c r="G3351" s="10">
        <v>163670</v>
      </c>
      <c r="H3351" s="30" t="str">
        <f ca="1">IFERROR(__xludf.DUMMYFUNCTION("LOWER(REGEXREPLACE(B3351&amp;"" ""&amp;C3351,""[^а-яa-z0-9 ]"","" ""))")," тол письменый open space 1350х750х1320 мм  с эффектом  парящей  столешницы из      22 мм  на сварных   образных опорах  труба сечением 60х30 мм ")</f>
        <v xml:space="preserve"> тол письменый open space 1350х750х1320 мм  с эффектом  парящей  столешницы из      22 мм  на сварных   образных опорах  труба сечением 60х30 мм </v>
      </c>
    </row>
    <row r="3352" spans="1:8" ht="51" x14ac:dyDescent="0.2">
      <c r="A3352" s="31" t="s">
        <v>8009</v>
      </c>
      <c r="B3352" s="27" t="s">
        <v>8010</v>
      </c>
      <c r="C3352" s="27"/>
      <c r="D3352" s="33" t="s">
        <v>14</v>
      </c>
      <c r="E3352" s="9"/>
      <c r="F3352" s="32"/>
      <c r="G3352" s="10">
        <v>130396</v>
      </c>
      <c r="H3352" s="30" t="str">
        <f ca="1">IFERROR(__xludf.DUMMYFUNCTION("LOWER(REGEXREPLACE(B3352&amp;"" ""&amp;C3352,""[^а-яa-z0-9 ]"","" ""))")," тол письменый open space 1250х750х650 мм  с эффектом  парящей  столешницы из      22 мм  на сварных   образных опорах  труба сечением 60х30 мм ")</f>
        <v xml:space="preserve"> тол письменый open space 1250х750х650 мм  с эффектом  парящей  столешницы из      22 мм  на сварных   образных опорах  труба сечением 60х30 мм </v>
      </c>
    </row>
    <row r="3353" spans="1:8" ht="51" x14ac:dyDescent="0.2">
      <c r="A3353" s="31" t="s">
        <v>8011</v>
      </c>
      <c r="B3353" s="27" t="s">
        <v>8012</v>
      </c>
      <c r="C3353" s="27"/>
      <c r="D3353" s="33" t="s">
        <v>14</v>
      </c>
      <c r="E3353" s="9"/>
      <c r="F3353" s="32"/>
      <c r="G3353" s="10">
        <v>130396</v>
      </c>
      <c r="H3353" s="30" t="str">
        <f ca="1">IFERROR(__xludf.DUMMYFUNCTION("LOWER(REGEXREPLACE(B3353&amp;"" ""&amp;C3353,""[^а-яa-z0-9 ]"","" ""))")," тол письменый open space 1350х750х650 мм  с эффектом  парящей  столешницы из      22 мм  на сварных   образных опорах  труба сечением 60х30 мм ")</f>
        <v xml:space="preserve"> тол письменый open space 1350х750х650 мм  с эффектом  парящей  столешницы из      22 мм  на сварных   образных опорах  труба сечением 60х30 мм </v>
      </c>
    </row>
    <row r="3354" spans="1:8" ht="51" x14ac:dyDescent="0.2">
      <c r="A3354" s="31" t="s">
        <v>8013</v>
      </c>
      <c r="B3354" s="27" t="s">
        <v>8014</v>
      </c>
      <c r="C3354" s="27"/>
      <c r="D3354" s="33" t="s">
        <v>14</v>
      </c>
      <c r="E3354" s="9"/>
      <c r="F3354" s="32"/>
      <c r="G3354" s="10">
        <v>139389</v>
      </c>
      <c r="H3354" s="30" t="str">
        <f ca="1">IFERROR(__xludf.DUMMYFUNCTION("LOWER(REGEXREPLACE(B3354&amp;"" ""&amp;C3354,""[^а-яa-z0-9 ]"","" ""))")," тол письменый open space 1600х750х650 мм  с эффектом  парящей  столешницы из      22 мм  на сварных   образных опорах  труба сечением 60х30 мм ")</f>
        <v xml:space="preserve"> тол письменый open space 1600х750х650 мм  с эффектом  парящей  столешницы из      22 мм  на сварных   образных опорах  труба сечением 60х30 мм </v>
      </c>
    </row>
    <row r="3355" spans="1:8" ht="63.75" x14ac:dyDescent="0.2">
      <c r="A3355" s="31" t="s">
        <v>8015</v>
      </c>
      <c r="B3355" s="27" t="s">
        <v>8016</v>
      </c>
      <c r="C3355" s="27"/>
      <c r="D3355" s="33" t="s">
        <v>14</v>
      </c>
      <c r="E3355" s="9"/>
      <c r="F3355" s="32"/>
      <c r="G3355" s="10">
        <v>130396</v>
      </c>
      <c r="H3355" s="30" t="str">
        <f ca="1">IFERROR(__xludf.DUMMYFUNCTION("LOWER(REGEXREPLACE(B3355&amp;"" ""&amp;C3355,""[^а-яa-z0-9 ]"","" ""))")," тол письменый open space 1250х750х650 мм со столешницей из      22мм и царгой не менее 18мм  с эффектом  парящей  столешницы на сварных   образных опорах  труба сечением 40х40 мм  ")</f>
        <v xml:space="preserve"> тол письменый open space 1250х750х650 мм со столешницей из      22мм и царгой не менее 18мм  с эффектом  парящей  столешницы на сварных   образных опорах  труба сечением 40х40 мм  </v>
      </c>
    </row>
    <row r="3356" spans="1:8" ht="63.75" x14ac:dyDescent="0.2">
      <c r="A3356" s="31" t="s">
        <v>8017</v>
      </c>
      <c r="B3356" s="27" t="s">
        <v>8018</v>
      </c>
      <c r="C3356" s="27"/>
      <c r="D3356" s="33" t="s">
        <v>14</v>
      </c>
      <c r="E3356" s="9"/>
      <c r="F3356" s="32"/>
      <c r="G3356" s="10">
        <v>139389</v>
      </c>
      <c r="H3356" s="30" t="str">
        <f ca="1">IFERROR(__xludf.DUMMYFUNCTION("LOWER(REGEXREPLACE(B3356&amp;"" ""&amp;C3356,""[^а-яa-z0-9 ]"","" ""))")," тол письменый open space 1350х750х650 мм  со столешницей из      22мм и царгой не менее 18мм  с эффектом  парящей  столешницы на сварных   образных опорах  труба сечением 40х40 мм  ")</f>
        <v xml:space="preserve"> тол письменый open space 1350х750х650 мм  со столешницей из      22мм и царгой не менее 18мм  с эффектом  парящей  столешницы на сварных   образных опорах  труба сечением 40х40 мм  </v>
      </c>
    </row>
    <row r="3357" spans="1:8" ht="51" x14ac:dyDescent="0.2">
      <c r="A3357" s="31" t="s">
        <v>8019</v>
      </c>
      <c r="B3357" s="27" t="s">
        <v>8020</v>
      </c>
      <c r="C3357" s="27"/>
      <c r="D3357" s="33" t="s">
        <v>14</v>
      </c>
      <c r="E3357" s="9"/>
      <c r="F3357" s="32"/>
      <c r="G3357" s="10">
        <v>139389</v>
      </c>
      <c r="H3357" s="30" t="str">
        <f ca="1">IFERROR(__xludf.DUMMYFUNCTION("LOWER(REGEXREPLACE(B3357&amp;"" ""&amp;C3357,""[^а-яa-z0-9 ]"","" ""))")," тол письменый open space 1600х750х650 мм  с эффектом  парящей  столешницы из      22 мм  на сварных   образных опорах  труба сечением 40х40 мм ")</f>
        <v xml:space="preserve"> тол письменый open space 1600х750х650 мм  с эффектом  парящей  столешницы из      22 мм  на сварных   образных опорах  труба сечением 40х40 мм </v>
      </c>
    </row>
    <row r="3358" spans="1:8" ht="51" x14ac:dyDescent="0.2">
      <c r="A3358" s="31" t="s">
        <v>8021</v>
      </c>
      <c r="B3358" s="27" t="s">
        <v>8022</v>
      </c>
      <c r="C3358" s="27"/>
      <c r="D3358" s="33" t="s">
        <v>14</v>
      </c>
      <c r="E3358" s="9"/>
      <c r="F3358" s="32"/>
      <c r="G3358" s="10">
        <v>116907</v>
      </c>
      <c r="H3358" s="30" t="str">
        <f ca="1">IFERROR(__xludf.DUMMYFUNCTION("LOWER(REGEXREPLACE(B3358&amp;"" ""&amp;C3358,""[^а-яa-z0-9 ]"","" ""))")," тол письменый open space 900х750х650 мм  с эффектом  парящей  столешницы из      22 мм  на сварных   образных опорах  труба сечением 40х40 мм ")</f>
        <v xml:space="preserve"> тол письменый open space 900х750х650 мм  с эффектом  парящей  столешницы из      22 мм  на сварных   образных опорах  труба сечением 40х40 мм </v>
      </c>
    </row>
    <row r="3359" spans="1:8" ht="51" x14ac:dyDescent="0.2">
      <c r="A3359" s="31" t="s">
        <v>8023</v>
      </c>
      <c r="B3359" s="27" t="s">
        <v>8024</v>
      </c>
      <c r="C3359" s="27"/>
      <c r="D3359" s="33" t="s">
        <v>14</v>
      </c>
      <c r="E3359" s="9"/>
      <c r="F3359" s="32"/>
      <c r="G3359" s="10">
        <v>124101</v>
      </c>
      <c r="H3359" s="30" t="str">
        <f ca="1">IFERROR(__xludf.DUMMYFUNCTION("LOWER(REGEXREPLACE(B3359&amp;"" ""&amp;C3359,""[^а-яa-z0-9 ]"","" ""))")," тол письменый open space 1000х750х650 мм  с эффектом  парящей  столешницы из      22 мм  на сварных   образных опорах  труба сечением 40х40 мм ")</f>
        <v xml:space="preserve"> тол письменый open space 1000х750х650 мм  с эффектом  парящей  столешницы из      22 мм  на сварных   образных опорах  труба сечением 40х40 мм </v>
      </c>
    </row>
    <row r="3360" spans="1:8" ht="51" x14ac:dyDescent="0.2">
      <c r="A3360" s="31" t="s">
        <v>8025</v>
      </c>
      <c r="B3360" s="27" t="s">
        <v>8026</v>
      </c>
      <c r="C3360" s="27"/>
      <c r="D3360" s="33" t="s">
        <v>14</v>
      </c>
      <c r="E3360" s="9"/>
      <c r="F3360" s="32"/>
      <c r="G3360" s="10">
        <v>124101</v>
      </c>
      <c r="H3360" s="30" t="str">
        <f ca="1">IFERROR(__xludf.DUMMYFUNCTION("LOWER(REGEXREPLACE(B3360&amp;"" ""&amp;C3360,""[^а-яa-z0-9 ]"","" ""))")," тол письменый open space 1100х750х650 мм  с эффектом  парящей  столешницы из      22 мм  на сварных   образных опорах  труба сечением 40х40 мм ")</f>
        <v xml:space="preserve"> тол письменый open space 1100х750х650 мм  с эффектом  парящей  столешницы из      22 мм  на сварных   образных опорах  труба сечением 40х40 мм </v>
      </c>
    </row>
    <row r="3361" spans="1:8" ht="51" x14ac:dyDescent="0.2">
      <c r="A3361" s="31" t="s">
        <v>8027</v>
      </c>
      <c r="B3361" s="27" t="s">
        <v>8028</v>
      </c>
      <c r="C3361" s="27"/>
      <c r="D3361" s="33" t="s">
        <v>14</v>
      </c>
      <c r="E3361" s="9"/>
      <c r="F3361" s="32"/>
      <c r="G3361" s="10">
        <v>130396</v>
      </c>
      <c r="H3361" s="30" t="str">
        <f ca="1">IFERROR(__xludf.DUMMYFUNCTION("LOWER(REGEXREPLACE(B3361&amp;"" ""&amp;C3361,""[^а-яa-z0-9 ]"","" ""))")," тол письменый open space 1250х750х650 мм  с эффектом  парящей  столешницы из      22 мм  на сварных   образных опорах  труба сечением 40х40 мм ")</f>
        <v xml:space="preserve"> тол письменый open space 1250х750х650 мм  с эффектом  парящей  столешницы из      22 мм  на сварных   образных опорах  труба сечением 40х40 мм </v>
      </c>
    </row>
    <row r="3362" spans="1:8" ht="51" x14ac:dyDescent="0.2">
      <c r="A3362" s="31" t="s">
        <v>8029</v>
      </c>
      <c r="B3362" s="27" t="s">
        <v>8030</v>
      </c>
      <c r="C3362" s="27"/>
      <c r="D3362" s="33" t="s">
        <v>14</v>
      </c>
      <c r="E3362" s="9"/>
      <c r="F3362" s="32"/>
      <c r="G3362" s="10">
        <v>130396</v>
      </c>
      <c r="H3362" s="30" t="str">
        <f ca="1">IFERROR(__xludf.DUMMYFUNCTION("LOWER(REGEXREPLACE(B3362&amp;"" ""&amp;C3362,""[^а-яa-z0-9 ]"","" ""))")," тол письменый open space 1350х750х650 мм  с эффектом  парящей  столешницы из      22 мм  на сварных   образных опорах  труба сечением 40х40 мм ")</f>
        <v xml:space="preserve"> тол письменый open space 1350х750х650 мм  с эффектом  парящей  столешницы из      22 мм  на сварных   образных опорах  труба сечением 40х40 мм </v>
      </c>
    </row>
    <row r="3363" spans="1:8" ht="51" x14ac:dyDescent="0.2">
      <c r="A3363" s="31" t="s">
        <v>8031</v>
      </c>
      <c r="B3363" s="27" t="s">
        <v>8032</v>
      </c>
      <c r="C3363" s="27"/>
      <c r="D3363" s="33" t="s">
        <v>14</v>
      </c>
      <c r="E3363" s="9"/>
      <c r="F3363" s="32"/>
      <c r="G3363" s="10">
        <v>148382</v>
      </c>
      <c r="H3363" s="30" t="str">
        <f ca="1">IFERROR(__xludf.DUMMYFUNCTION("LOWER(REGEXREPLACE(B3363&amp;"" ""&amp;C3363,""[^а-яa-z0-9 ]"","" ""))")," тол письменый open space 1250х750х1320 мм   с эффектом  парящей  столешницы из      22 мм  на сварных   образных опорах  труба сечением 40х40 мм ")</f>
        <v xml:space="preserve"> тол письменый open space 1250х750х1320 мм   с эффектом  парящей  столешницы из      22 мм  на сварных   образных опорах  труба сечением 40х40 мм </v>
      </c>
    </row>
    <row r="3364" spans="1:8" ht="51" x14ac:dyDescent="0.2">
      <c r="A3364" s="31" t="s">
        <v>8033</v>
      </c>
      <c r="B3364" s="27" t="s">
        <v>8034</v>
      </c>
      <c r="C3364" s="27"/>
      <c r="D3364" s="33" t="s">
        <v>14</v>
      </c>
      <c r="E3364" s="9"/>
      <c r="F3364" s="32"/>
      <c r="G3364" s="10">
        <v>148382</v>
      </c>
      <c r="H3364" s="30" t="str">
        <f ca="1">IFERROR(__xludf.DUMMYFUNCTION("LOWER(REGEXREPLACE(B3364&amp;"" ""&amp;C3364,""[^а-яa-z0-9 ]"","" ""))")," тол письменый open space 1350х750х1320 мм с эффектом  парящей  столешницы из      22 мм  на сварных   образных опорах труба сечением 40х40 мм  ")</f>
        <v xml:space="preserve"> тол письменый open space 1350х750х1320 мм с эффектом  парящей  столешницы из      22 мм  на сварных   образных опорах труба сечением 40х40 мм  </v>
      </c>
    </row>
    <row r="3365" spans="1:8" ht="63.75" x14ac:dyDescent="0.2">
      <c r="A3365" s="31" t="s">
        <v>8035</v>
      </c>
      <c r="B3365" s="27" t="s">
        <v>8036</v>
      </c>
      <c r="C3365" s="27"/>
      <c r="D3365" s="33" t="s">
        <v>14</v>
      </c>
      <c r="E3365" s="9"/>
      <c r="F3365" s="32"/>
      <c r="G3365" s="10">
        <v>148382</v>
      </c>
      <c r="H3365" s="30" t="str">
        <f ca="1">IFERROR(__xludf.DUMMYFUNCTION("LOWER(REGEXREPLACE(B3365&amp;"" ""&amp;C3365,""[^а-яa-z0-9 ]"","" ""))"),"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60х15 мм ")</f>
        <v xml:space="preserve">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60х15 мм </v>
      </c>
    </row>
    <row r="3366" spans="1:8" ht="63.75" x14ac:dyDescent="0.2">
      <c r="A3366" s="31" t="s">
        <v>8037</v>
      </c>
      <c r="B3366" s="27" t="s">
        <v>8038</v>
      </c>
      <c r="C3366" s="27"/>
      <c r="D3366" s="33" t="s">
        <v>14</v>
      </c>
      <c r="E3366" s="9"/>
      <c r="F3366" s="32"/>
      <c r="G3366" s="10">
        <v>148382</v>
      </c>
      <c r="H3366" s="30" t="str">
        <f ca="1">IFERROR(__xludf.DUMMYFUNCTION("LOWER(REGEXREPLACE(B3366&amp;"" ""&amp;C3366,""[^а-яa-z0-9 ]"","" ""))"),"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60х15 мм ")</f>
        <v xml:space="preserve">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60х15 мм </v>
      </c>
    </row>
    <row r="3367" spans="1:8" ht="89.25" x14ac:dyDescent="0.2">
      <c r="A3367" s="31" t="s">
        <v>8039</v>
      </c>
      <c r="B3367" s="27" t="s">
        <v>8040</v>
      </c>
      <c r="C3367" s="27" t="s">
        <v>8041</v>
      </c>
      <c r="D3367" s="33" t="s">
        <v>14</v>
      </c>
      <c r="E3367" s="34">
        <v>2</v>
      </c>
      <c r="F3367" s="34">
        <v>18</v>
      </c>
      <c r="G3367" s="10">
        <v>111760</v>
      </c>
      <c r="H3367" s="30" t="str">
        <f ca="1">IFERROR(__xludf.DUMMYFUNCTION("LOWER(REGEXREPLACE(B3367&amp;"" ""&amp;C3367,""[^а-яa-z0-9 ]"","" ""))")," тол письменный 1200х600х750мм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динамичност"&amp;"и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се"&amp;"чением не менее 40х20мм   се металлические элементы покрашены полимерно порошковой краской ")</f>
        <v xml:space="preserve"> тол письменный 1200х600х750мм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сечением не менее 40х20мм   се металлические элементы покрашены полимерно порошковой краской </v>
      </c>
    </row>
    <row r="3368" spans="1:8" ht="89.25" x14ac:dyDescent="0.2">
      <c r="A3368" s="31" t="s">
        <v>8042</v>
      </c>
      <c r="B3368" s="27" t="s">
        <v>8043</v>
      </c>
      <c r="C3368" s="27" t="s">
        <v>8041</v>
      </c>
      <c r="D3368" s="33" t="s">
        <v>14</v>
      </c>
      <c r="E3368" s="34">
        <v>2</v>
      </c>
      <c r="F3368" s="34">
        <v>18</v>
      </c>
      <c r="G3368" s="10">
        <v>167775</v>
      </c>
      <c r="H3368" s="30" t="str">
        <f ca="1">IFERROR(__xludf.DUMMYFUNCTION("LOWER(REGEXREPLACE(B3368&amp;"" ""&amp;C3368,""[^а-яa-z0-9 ]"","" ""))")," тол письменный 1350х600х750мм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динамичност"&amp;"и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се"&amp;"чением не менее 40х20мм   се металлические элементы покрашены полимерно порошковой краской ")</f>
        <v xml:space="preserve"> тол письменный 1350х600х750мм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сечением не менее 40х20мм   се металлические элементы покрашены полимерно порошковой краской </v>
      </c>
    </row>
    <row r="3369" spans="1:8" ht="63.75" x14ac:dyDescent="0.2">
      <c r="A3369" s="31" t="s">
        <v>8044</v>
      </c>
      <c r="B3369" s="27" t="s">
        <v>8045</v>
      </c>
      <c r="C3369" s="27"/>
      <c r="D3369" s="33" t="s">
        <v>14</v>
      </c>
      <c r="E3369" s="9"/>
      <c r="F3369" s="32"/>
      <c r="G3369" s="10">
        <v>148382</v>
      </c>
      <c r="H3369" s="30" t="str">
        <f ca="1">IFERROR(__xludf.DUMMYFUNCTION("LOWER(REGEXREPLACE(B3369&amp;"" ""&amp;C3369,""[^а-яa-z0-9 ]"","" ""))")," тол письменый open space 1250х750х1320 мм  со столешницей и царгой из      22мм  с эффектом  парящей  столешницы  на сварных   образных опорах со вставками из       труба сечением 60х15 мм ")</f>
        <v xml:space="preserve"> тол письменый open space 1250х750х1320 мм  со столешницей и царгой из      22мм  с эффектом  парящей  столешницы  на сварных   образных опорах со вставками из       труба сечением 60х15 мм </v>
      </c>
    </row>
    <row r="3370" spans="1:8" ht="63.75" x14ac:dyDescent="0.2">
      <c r="A3370" s="31" t="s">
        <v>8046</v>
      </c>
      <c r="B3370" s="27" t="s">
        <v>8047</v>
      </c>
      <c r="C3370" s="27"/>
      <c r="D3370" s="33" t="s">
        <v>14</v>
      </c>
      <c r="E3370" s="9"/>
      <c r="F3370" s="32"/>
      <c r="G3370" s="10">
        <v>170864</v>
      </c>
      <c r="H3370" s="30" t="str">
        <f ca="1">IFERROR(__xludf.DUMMYFUNCTION("LOWER(REGEXREPLACE(B3370&amp;"" ""&amp;C3370,""[^а-яa-z0-9 ]"","" ""))")," тол письменый open space 1350х750х1320 мм  со столешницей и царгой из      22мм  с эффектом  парящей  столешницы  на сварных   образных опорах со вставками из       труба сечением 60х15 мм  ")</f>
        <v xml:space="preserve"> тол письменый open space 1350х750х1320 мм  со столешницей и царгой из      22мм  с эффектом  парящей  столешницы  на сварных   образных опорах со вставками из       труба сечением 60х15 мм  </v>
      </c>
    </row>
    <row r="3371" spans="1:8" ht="63.75" x14ac:dyDescent="0.2">
      <c r="A3371" s="31" t="s">
        <v>8048</v>
      </c>
      <c r="B3371" s="27" t="s">
        <v>8049</v>
      </c>
      <c r="C3371" s="27"/>
      <c r="D3371" s="33" t="s">
        <v>14</v>
      </c>
      <c r="E3371" s="9"/>
      <c r="F3371" s="32"/>
      <c r="G3371" s="10">
        <v>130396</v>
      </c>
      <c r="H3371" s="30" t="str">
        <f ca="1">IFERROR(__xludf.DUMMYFUNCTION("LOWER(REGEXREPLACE(B3371&amp;"" ""&amp;C3371,""[^а-яa-z0-9 ]"","" ""))"),"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60х30 мм ")</f>
        <v xml:space="preserve">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60х30 мм </v>
      </c>
    </row>
    <row r="3372" spans="1:8" ht="63.75" x14ac:dyDescent="0.2">
      <c r="A3372" s="31" t="s">
        <v>8050</v>
      </c>
      <c r="B3372" s="27" t="s">
        <v>8051</v>
      </c>
      <c r="C3372" s="27"/>
      <c r="D3372" s="33" t="s">
        <v>14</v>
      </c>
      <c r="E3372" s="9"/>
      <c r="F3372" s="32"/>
      <c r="G3372" s="10">
        <v>130396</v>
      </c>
      <c r="H3372" s="30" t="str">
        <f ca="1">IFERROR(__xludf.DUMMYFUNCTION("LOWER(REGEXREPLACE(B3372&amp;"" ""&amp;C3372,""[^а-яa-z0-9 ]"","" ""))"),"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60х30 мм ")</f>
        <v xml:space="preserve">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60х30 мм </v>
      </c>
    </row>
    <row r="3373" spans="1:8" ht="63.75" x14ac:dyDescent="0.2">
      <c r="A3373" s="31" t="s">
        <v>8052</v>
      </c>
      <c r="B3373" s="27" t="s">
        <v>8053</v>
      </c>
      <c r="C3373" s="27"/>
      <c r="D3373" s="33" t="s">
        <v>14</v>
      </c>
      <c r="E3373" s="9"/>
      <c r="F3373" s="32"/>
      <c r="G3373" s="10">
        <v>166368</v>
      </c>
      <c r="H3373" s="30" t="str">
        <f ca="1">IFERROR(__xludf.DUMMYFUNCTION("LOWER(REGEXREPLACE(B3373&amp;"" ""&amp;C3373,""[^а-яa-z0-9 ]"","" ""))")," тол письменый open space 1600х750х650 мм  со столешницей и царгой из      22мм  с эффектом  парящей  столешницы  на сварных   образных опорах со вставками из       труба сечением 60х30 мм ")</f>
        <v xml:space="preserve"> тол письменый open space 1600х750х650 мм  со столешницей и царгой из      22мм  с эффектом  парящей  столешницы  на сварных   образных опорах со вставками из       труба сечением 60х30 мм </v>
      </c>
    </row>
    <row r="3374" spans="1:8" ht="51" x14ac:dyDescent="0.2">
      <c r="A3374" s="31" t="s">
        <v>8054</v>
      </c>
      <c r="B3374" s="27" t="s">
        <v>8055</v>
      </c>
      <c r="C3374" s="27"/>
      <c r="D3374" s="33" t="s">
        <v>14</v>
      </c>
      <c r="E3374" s="9"/>
      <c r="F3374" s="32"/>
      <c r="G3374" s="10">
        <v>175361</v>
      </c>
      <c r="H3374" s="30" t="str">
        <f ca="1">IFERROR(__xludf.DUMMYFUNCTION("LOWER(REGEXREPLACE(B3374&amp;"" ""&amp;C3374,""[^а-яa-z0-9 ]"","" ""))")," тол письменый open space 1600х750х1320 мм  с эффектом  парящей  столешницы из      22 мм  на сварных   образных опорах  труба сечением 40х40 мм ")</f>
        <v xml:space="preserve"> тол письменый open space 1600х750х1320 мм  с эффектом  парящей  столешницы из      22 мм  на сварных   образных опорах  труба сечением 40х40 мм </v>
      </c>
    </row>
    <row r="3375" spans="1:8" ht="12.75" x14ac:dyDescent="0.2">
      <c r="A3375" s="31" t="s">
        <v>8056</v>
      </c>
      <c r="B3375" s="27" t="s">
        <v>8057</v>
      </c>
      <c r="C3375" s="27" t="s">
        <v>8058</v>
      </c>
      <c r="D3375" s="33" t="s">
        <v>14</v>
      </c>
      <c r="E3375" s="34">
        <v>2</v>
      </c>
      <c r="F3375" s="34">
        <v>30</v>
      </c>
      <c r="G3375" s="10">
        <v>38008</v>
      </c>
      <c r="H3375" s="30" t="str">
        <f ca="1">IFERROR(__xludf.DUMMYFUNCTION("LOWER(REGEXREPLACE(B3375&amp;"" ""&amp;C3375,""[^а-яa-z0-9 ]"","" ""))")," тол письменный 1500х600х750 мм  тол письменный 1500х600х750 мм       16мм ")</f>
        <v xml:space="preserve"> тол письменный 1500х600х750 мм  тол письменный 1500х600х750 мм       16мм </v>
      </c>
    </row>
    <row r="3376" spans="1:8" ht="38.25" x14ac:dyDescent="0.2">
      <c r="A3376" s="31" t="s">
        <v>8059</v>
      </c>
      <c r="B3376" s="8" t="s">
        <v>8060</v>
      </c>
      <c r="C3376" s="27" t="s">
        <v>8061</v>
      </c>
      <c r="D3376" s="33" t="s">
        <v>14</v>
      </c>
      <c r="E3376" s="34">
        <v>2</v>
      </c>
      <c r="F3376" s="34">
        <v>20</v>
      </c>
      <c r="G3376" s="10">
        <v>24439</v>
      </c>
      <c r="H3376" s="30" t="str">
        <f ca="1">IFERROR(__xludf.DUMMYFUNCTION("LOWER(REGEXREPLACE(B3376&amp;"" ""&amp;C3376,""[^а-яa-z0-9 ]"","" ""))")," тол письменный 1200х600х750 мм  материал      16мм  кромка      атериал корпуса и столешницы из      16мм  кромка       ля предотвращения воздействия воды и влаги на стол предусмотрены пластиковые подпятники ")</f>
        <v xml:space="preserve"> тол письменный 1200х600х750 мм  материал      16мм  кромка      атериал корпуса и столешницы из      16мм  кромка       ля предотвращения воздействия воды и влаги на стол предусмотрены пластиковые подпятники </v>
      </c>
    </row>
    <row r="3377" spans="1:8" ht="12.75" x14ac:dyDescent="0.2">
      <c r="A3377" s="31" t="s">
        <v>8062</v>
      </c>
      <c r="B3377" s="27" t="s">
        <v>8063</v>
      </c>
      <c r="C3377" s="27" t="s">
        <v>8064</v>
      </c>
      <c r="D3377" s="33" t="s">
        <v>14</v>
      </c>
      <c r="E3377" s="9"/>
      <c r="F3377" s="32"/>
      <c r="G3377" s="10">
        <v>22321</v>
      </c>
      <c r="H3377" s="30" t="str">
        <f ca="1">IFERROR(__xludf.DUMMYFUNCTION("LOWER(REGEXREPLACE(B3377&amp;"" ""&amp;C3377,""[^а-яa-z0-9 ]"","" ""))")," тол письменный 1000х600х750 мм  тол письменный 1000х600х750 мм       16мм ")</f>
        <v xml:space="preserve"> тол письменный 1000х600х750 мм  тол письменный 1000х600х750 мм       16мм </v>
      </c>
    </row>
    <row r="3378" spans="1:8" ht="12.75" x14ac:dyDescent="0.2">
      <c r="A3378" s="31" t="s">
        <v>8065</v>
      </c>
      <c r="B3378" s="27" t="s">
        <v>8066</v>
      </c>
      <c r="C3378" s="27" t="s">
        <v>8067</v>
      </c>
      <c r="D3378" s="33" t="s">
        <v>14</v>
      </c>
      <c r="E3378" s="9"/>
      <c r="F3378" s="32"/>
      <c r="G3378" s="10">
        <v>22321</v>
      </c>
      <c r="H3378" s="30" t="str">
        <f ca="1">IFERROR(__xludf.DUMMYFUNCTION("LOWER(REGEXREPLACE(B3378&amp;"" ""&amp;C3378,""[^а-яa-z0-9 ]"","" ""))")," тол письменный 1000х500х750 мм  тол письменный 1000х500х750 мм       16мм ")</f>
        <v xml:space="preserve"> тол письменный 1000х500х750 мм  тол письменный 1000х500х750 мм       16мм </v>
      </c>
    </row>
    <row r="3379" spans="1:8" ht="89.25" x14ac:dyDescent="0.2">
      <c r="A3379" s="31" t="s">
        <v>8068</v>
      </c>
      <c r="B3379" s="8" t="s">
        <v>8069</v>
      </c>
      <c r="C3379" s="27" t="s">
        <v>8070</v>
      </c>
      <c r="D3379" s="33" t="s">
        <v>14</v>
      </c>
      <c r="E3379" s="34">
        <v>2</v>
      </c>
      <c r="F3379" s="34">
        <v>25</v>
      </c>
      <c r="G3379" s="10">
        <v>131618</v>
      </c>
      <c r="H3379" s="30" t="str">
        <f ca="1">IFERROR(__xludf.DUMMYFUNCTION("LOWER(REGEXREPLACE(B3379&amp;"" ""&amp;C3379,""[^а-яa-z0-9 ]"","" ""))")," тол офисный складной типа  uno 1200х600мм  тол  фисный  юкс модель складной  ffice  able  range   атериал холоднокатаная сталь  электростатическая окраска   ерхняя доска  еламин     22мм  стандарт  1     или       оковое основание  холоднокатаная сталь т"&amp;"олщиной 1 5 мм  электростатическая окраска   олонна и балка  холоднокатаная сталь толщиной 1 5 мм  электростатическая окраска   олик  нейлоновый ролик  азмер  высота 750мм  глубина 600мм  ширина 1200мм")</f>
        <v xml:space="preserve"> тол офисный складной типа  uno 1200х600мм  тол  фисный  юкс модель складной  ffice  able  range   атериал холоднокатаная сталь  электростатическая окраска   ерхняя доска  еламин     22мм  стандарт  1     или       оковое основание  холоднокатаная сталь толщиной 1 5 мм  электростатическая окраска   олонна и балка  холоднокатаная сталь толщиной 1 5 мм  электростатическая окраска   олик  нейлоновый ролик  азмер  высота 750мм  глубина 600мм  ширина 1200мм</v>
      </c>
    </row>
    <row r="3380" spans="1:8" ht="51" x14ac:dyDescent="0.2">
      <c r="A3380" s="31" t="s">
        <v>8071</v>
      </c>
      <c r="B3380" s="27" t="s">
        <v>8072</v>
      </c>
      <c r="C3380" s="27" t="s">
        <v>8073</v>
      </c>
      <c r="D3380" s="33" t="s">
        <v>14</v>
      </c>
      <c r="E3380" s="34">
        <v>2</v>
      </c>
      <c r="F3380" s="34">
        <v>43</v>
      </c>
      <c r="G3380" s="10">
        <v>44502</v>
      </c>
      <c r="H3380" s="30" t="str">
        <f ca="1">IFERROR(__xludf.DUMMYFUNCTION("LOWER(REGEXREPLACE(B3380&amp;"" ""&amp;C3380,""[^а-яa-z0-9 ]"","" ""))")," тол письменный 1200х600х750 мм   атериал      толщиной 16мм  столешница 32 мм  тол письменный 1200х600х750 мм   атериал      толщиной 16мм  столешница 32 мм   ромки деталей облицованы полимерным кромочным материалам        толщиной 1 5 мм   урнитура  кон"&amp;"фирмат  стяжка     ")</f>
        <v xml:space="preserve"> тол письменный 1200х600х750 мм   атериал      толщиной 16мм  столешница 32 мм  тол письменный 1200х600х750 мм   атериал      толщиной 16мм  столешница 32 мм   ромки деталей облицованы полимерным кромочным материалам        толщиной 1 5 мм   урнитура  конфирмат  стяжка     </v>
      </c>
    </row>
    <row r="3381" spans="1:8" ht="38.25" x14ac:dyDescent="0.2">
      <c r="A3381" s="31" t="s">
        <v>8074</v>
      </c>
      <c r="B3381" s="27" t="s">
        <v>8075</v>
      </c>
      <c r="C3381" s="27" t="s">
        <v>7420</v>
      </c>
      <c r="D3381" s="33" t="s">
        <v>14</v>
      </c>
      <c r="E3381" s="34">
        <v>2</v>
      </c>
      <c r="F3381" s="35">
        <v>29.8</v>
      </c>
      <c r="G3381" s="10">
        <v>23947</v>
      </c>
      <c r="H3381" s="30" t="str">
        <f ca="1">IFERROR(__xludf.DUMMYFUNCTION("LOWER(REGEXREPLACE(B3381&amp;"" ""&amp;C3381,""[^а-яa-z0-9 ]"","" ""))")," тол письменный 1200х700х750мм  ирина   1200мм  глубина   700мм  высота   750мм   толешница из      16мм  каркас выполнен из      16мм   орцы облицованы  кромкой     толщиной 2мм ")</f>
        <v xml:space="preserve"> тол письменный 1200х700х750мм  ирина   1200мм  глубина   700мм  высота   750мм   толешница из      16мм  каркас выполнен из      16мм   орцы облицованы  кромкой     толщиной 2мм </v>
      </c>
    </row>
    <row r="3382" spans="1:8" ht="114.75" x14ac:dyDescent="0.2">
      <c r="A3382" s="31" t="s">
        <v>8076</v>
      </c>
      <c r="B3382" s="27" t="s">
        <v>8077</v>
      </c>
      <c r="C3382" s="27" t="s">
        <v>8078</v>
      </c>
      <c r="D3382" s="33" t="s">
        <v>14</v>
      </c>
      <c r="E3382" s="34">
        <v>2</v>
      </c>
      <c r="F3382" s="34">
        <v>35</v>
      </c>
      <c r="G3382" s="10">
        <v>147629</v>
      </c>
      <c r="H3382" s="30" t="str">
        <f ca="1">IFERROR(__xludf.DUMMYFUNCTION("LOWER(REGEXREPLACE(B3382&amp;"" ""&amp;C3382,""[^а-яa-z0-9 ]"","" ""))")," тол письменый open space 1250х750х1320 мм  со столешницей и царгой из      16мм  с эффектом  парящей  столешницы  на сварных   образных опорах со вставками из       труба сечением 60х30 мм  тол письменый open space 1250х750х1320 мм  труба сечением 60х30 "&amp;"мм  тол со столешницей и царгой из      толщина 16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части"&amp;"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f>
        <v xml:space="preserve"> тол письменый open space 1250х750х1320 мм  со столешницей и царгой из      16мм  с эффектом  парящей  столешницы  на сварных   образных опорах со вставками из       труба сечением 60х30 мм  тол письменый open space 1250х750х1320 мм  труба сечением 60х30 мм  тол со столешницей и царгой из      толщина 16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v>
      </c>
    </row>
    <row r="3383" spans="1:8" ht="102" x14ac:dyDescent="0.2">
      <c r="A3383" s="31" t="s">
        <v>8079</v>
      </c>
      <c r="B3383" s="8" t="s">
        <v>8080</v>
      </c>
      <c r="C3383" s="27" t="s">
        <v>8081</v>
      </c>
      <c r="D3383" s="33" t="s">
        <v>14</v>
      </c>
      <c r="E3383" s="34">
        <v>2</v>
      </c>
      <c r="F3383" s="34">
        <v>20</v>
      </c>
      <c r="G3383" s="10">
        <v>130338</v>
      </c>
      <c r="H3383" s="30" t="str">
        <f ca="1">IFERROR(__xludf.DUMMYFUNCTION("LOWER(REGEXREPLACE(B3383&amp;"" ""&amp;C3383,""[^а-яa-z0-9 ]"","" ""))")," тол письменый open space 1250х650х750 мм  с эффектом  парящей  столешницы из      16 мм  на сварных   образныхопорах  труба сечением 60х20х2 мм  тол письменый open space 1250х650х750 мм  труба сечением 60х30 мм   тол со столешницей и царгой из      16мм "&amp;"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изде"&amp;"лий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f>
        <v xml:space="preserve"> тол письменый open space 1250х650х750 мм  с эффектом  парящей  столешницы из      16 мм  на сварных   образныхопорах  труба сечением 60х20х2 мм  тол письменый open space 1250х650х750 мм  труба сечением 60х30 мм   тол со столешницей и царгой из      16мм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v>
      </c>
    </row>
    <row r="3384" spans="1:8" ht="114.75" x14ac:dyDescent="0.2">
      <c r="A3384" s="31" t="s">
        <v>8082</v>
      </c>
      <c r="B3384" s="27" t="s">
        <v>8083</v>
      </c>
      <c r="C3384" s="27" t="s">
        <v>8084</v>
      </c>
      <c r="D3384" s="33" t="s">
        <v>14</v>
      </c>
      <c r="E3384" s="34">
        <v>2</v>
      </c>
      <c r="F3384" s="34">
        <v>37</v>
      </c>
      <c r="G3384" s="10">
        <v>49946</v>
      </c>
      <c r="H3384" s="30" t="str">
        <f ca="1">IFERROR(__xludf.DUMMYFUNCTION("LOWER(REGEXREPLACE(B3384&amp;"" ""&amp;C3384,""[^а-яa-z0-9 ]"","" ""))")," тол рабочий  размеры 1200х600х750 мм  столешница из      толщиной 32 мм  металлический цельносварной каркас  толешница      32 мм имеет вырез глубиной 60 мм и радиусом 780 мм  закреплена на металлическом цельносварном каркасе  выполненном из прямоугольно"&amp;"й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2"&amp;"50 мм соединенные с верхней частью рамы  на правой опоре так же установлены дополнительные трубы для фиксации полки под    220х560 мм   асположенные на высоте 120 мм    опорах установлены регулируемые опоры для избежания повреждения полового покрытия ")</f>
        <v xml:space="preserve"> тол рабочий  размеры 1200х600х750 мм  столешница из      толщиной 32 мм  металлический цельносварной каркас  толешница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220х560 мм   асположенные на высоте 120 мм    опорах установлены регулируемые опоры для избежания повреждения полового покрытия </v>
      </c>
    </row>
    <row r="3385" spans="1:8" ht="306" x14ac:dyDescent="0.2">
      <c r="A3385" s="31" t="s">
        <v>8085</v>
      </c>
      <c r="B3385" s="27" t="s">
        <v>8086</v>
      </c>
      <c r="C3385" s="27" t="s">
        <v>8087</v>
      </c>
      <c r="D3385" s="33" t="s">
        <v>14</v>
      </c>
      <c r="E3385" s="34">
        <v>2</v>
      </c>
      <c r="F3385" s="34">
        <v>59</v>
      </c>
      <c r="G3385" s="10">
        <v>134472</v>
      </c>
      <c r="H3385" s="30" t="str">
        <f ca="1">IFERROR(__xludf.DUMMYFUNCTION("LOWER(REGEXREPLACE(B3385&amp;"" ""&amp;C3385,""[^а-яa-z0-9 ]"","" ""))")," тол рабочий с приставной тумбой  размеры 1950х1500х760 мм  столешница из      22 мм  кромка      каркас из профильной трубы  тол с приставной тумбой справа или слева по согласованию   абаритные размеры столешницы 1850х700 мм   ысота верхнего края столешн"&amp;"ицы над уровнем пола 760 мм   атериал столешницы      толщиной не менее 22 мм   орцы столешницы отделаны кромкой     толщиной 2 мм   толешница крепится к металлокаркасу саморезами методом скрытого соединения   тол состоит из двух боковых л образных опор  "&amp;"изготовленных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оп"&amp;"орами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сторон"&amp;"а стола закрыта царгой    углу столешницы предусмотрено отверстие с заглушкой кабель канал для соединительных проводов   умба с габаритными размерами  1500х500х550 мм    тумбе имеется 3 выдвижных ящика  две ниши с глухими дверками за которыми располагаетс"&amp;"я полка и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т"&amp;"олщиной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f>
        <v xml:space="preserve"> тол рабочий с приставной тумбой  размеры 1950х1500х760 мм  столешница из      22 мм  кромка      каркас из профильной трубы  тол с приставной тумбой справа или слева по согласованию   абаритные размеры столешницы 1850х700 мм   ысота верхнего края столешницы над уровнем пола 760 мм   атериал столешницы      толщиной не менее 22 мм   орцы столешницы отделаны кромкой     толщиной 2 мм   толешница крепится к металлокаркасу саморезами методом скрытого соединения   тол состоит из двух боковых л образных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1500х500х550 мм    тумбе имеется 3 выдвижных ящика  две ниши с глухими дверками за которыми располагается полка и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v>
      </c>
    </row>
    <row r="3386" spans="1:8" ht="127.5" x14ac:dyDescent="0.2">
      <c r="A3386" s="31" t="s">
        <v>8088</v>
      </c>
      <c r="B3386" s="27" t="s">
        <v>8089</v>
      </c>
      <c r="C3386" s="27" t="s">
        <v>8090</v>
      </c>
      <c r="D3386" s="33" t="s">
        <v>14</v>
      </c>
      <c r="E3386" s="34">
        <v>2</v>
      </c>
      <c r="F3386" s="34">
        <v>80</v>
      </c>
      <c r="G3386" s="10">
        <v>76534</v>
      </c>
      <c r="H3386" s="30" t="str">
        <f ca="1">IFERROR(__xludf.DUMMYFUNCTION("LOWER(REGEXREPLACE(B3386&amp;"" ""&amp;C3386,""[^а-яa-z0-9 ]"","" ""))")," тол с надстройкой  столешница из      22 мм  кромка      размеры 1200х1400х1134 мм  ысота верхнего края столешницы должна быть над полом не менее 760 мм   тол состоит из двух столов  соединенных сверху надстройкой   адстройка имеет нишу и глухую панель с"&amp;"о стороны сидящего   лубина надстройки не менее 350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"&amp;"из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 должны быть пластиковые подпят"&amp;"ники ")</f>
        <v xml:space="preserve"> тол с надстройкой  столешница из      22 мм  кромка      размеры 1200х1400х1134 мм  ысота верхнего края столешницы должна быть над полом не менее 760 мм   тол состоит из двух столов  соединенных сверху надстройкой   адстройка имеет нишу и глухую панель со стороны сидящего   лубина надстройки не менее 350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 должны быть пластиковые подпятники </v>
      </c>
    </row>
    <row r="3387" spans="1:8" ht="153" x14ac:dyDescent="0.2">
      <c r="A3387" s="31" t="s">
        <v>8091</v>
      </c>
      <c r="B3387" s="27" t="s">
        <v>8092</v>
      </c>
      <c r="C3387" s="27" t="s">
        <v>8093</v>
      </c>
      <c r="D3387" s="33" t="s">
        <v>14</v>
      </c>
      <c r="E3387" s="34">
        <v>2</v>
      </c>
      <c r="F3387" s="34">
        <v>41</v>
      </c>
      <c r="G3387" s="10">
        <v>64252</v>
      </c>
      <c r="H3387" s="30" t="str">
        <f ca="1">IFERROR(__xludf.DUMMYFUNCTION("LOWER(REGEXREPLACE(B3387&amp;"" ""&amp;C3387,""[^а-яa-z0-9 ]"","" ""))")," тол рабочий  столешница из      22 мм  кромка      металлический каркас  размеры 1400х1000х760 мм  ысота верхнего края столешницы над уровнем пола 760 мм   атериал столешницы      толщиной не менее 22 мм   орцы столешницы отделаны кромкой     толщиной 2м"&amp;"м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пом"&amp;"ощью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"&amp;"с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f>
        <v xml:space="preserve"> тол рабочий  столешница из      22 мм  кромка      металлический каркас  размеры 1400х1000х760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v>
      </c>
    </row>
    <row r="3388" spans="1:8" ht="280.5" x14ac:dyDescent="0.2">
      <c r="A3388" s="31" t="s">
        <v>8094</v>
      </c>
      <c r="B3388" s="27" t="s">
        <v>8095</v>
      </c>
      <c r="C3388" s="27" t="s">
        <v>8096</v>
      </c>
      <c r="D3388" s="33" t="s">
        <v>14</v>
      </c>
      <c r="E3388" s="34">
        <v>2</v>
      </c>
      <c r="F3388" s="34">
        <v>46</v>
      </c>
      <c r="G3388" s="10">
        <v>123161</v>
      </c>
      <c r="H3388" s="30" t="str">
        <f ca="1">IFERROR(__xludf.DUMMYFUNCTION("LOWER(REGEXREPLACE(B3388&amp;"" ""&amp;C3388,""[^а-яa-z0-9 ]"","" ""))")," тол рабочий с тумбой  столешница из      22 мм  кромка      металлический каркас  размеры 1400х700х760 мм  тол с тумбой справа или слева по согласованию   абаритные размеры столешницы 1400х700 мм   ысота верхнего края столешницы над уровнем пола 760 мм  "&amp;"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профильной"&amp;"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п"&amp;"ридает столешнице  парящий эффект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ицевая сторона стола закрыта ца"&amp;"ргой    углу столешницы предусмотрено отверстие с заглушкой кабель канал для соединительных проводов   умба с габаритными размерами  500х700х636 мм    тумбе имеется 3 выдвижных ящика   учки должны быть металлические  шариковые направляющие с функцией  oft"&amp;"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"&amp;"еста установки креп жных изделий должны быть закрыты заглушками    основании тумбы должны быть пластиковые подпятники ")</f>
        <v xml:space="preserve"> тол рабочий с тумбой  столешница из      22 мм  кромка      металлический каркас  размеры 1400х700х760 мм  тол с тумбой справа или слева по согласованию   абаритные размеры столешницы 1400х700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500х700х636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пластиковые подпятники </v>
      </c>
    </row>
    <row r="3389" spans="1:8" ht="293.25" x14ac:dyDescent="0.2">
      <c r="A3389" s="31" t="s">
        <v>8097</v>
      </c>
      <c r="B3389" s="27" t="s">
        <v>8098</v>
      </c>
      <c r="C3389" s="27" t="s">
        <v>8099</v>
      </c>
      <c r="D3389" s="33" t="s">
        <v>14</v>
      </c>
      <c r="E3389" s="34">
        <v>2</v>
      </c>
      <c r="F3389" s="34">
        <v>73</v>
      </c>
      <c r="G3389" s="10">
        <v>249708</v>
      </c>
      <c r="H3389" s="30" t="str">
        <f ca="1">IFERROR(__xludf.DUMMYFUNCTION("LOWER(REGEXREPLACE(B3389&amp;"" ""&amp;C3389,""[^а-яa-z0-9 ]"","" ""))")," тол с двумя мобильными тумбами  тремя опорами  бенч система  столешница из      22 мм  кромка      каркас металлический  размеры 2750х700х1160 мм  тол состоит из двух мобильных тумб  трех опор  столешницы и бенч системы   толешница состоит из двух частей"&amp;"  каждая габаритными размерами1375х700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метод"&amp;"ом скрытого соединения   тол состоит из трех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воз"&amp;"вышения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неровно"&amp;"стей пола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функцией"&amp;"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конфирмат"&amp;"ов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f>
        <v xml:space="preserve"> тол с двумя мобильными тумбами  тремя опорами  бенч система  столешница из      22 мм  кромка      каркас металлический  размеры 2750х700х1160 мм  тол состоит из двух мобильных тумб  трех опор  столешницы и бенч системы   толешница состоит из двух частей  каждая габаритными размерами1375х700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трех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v>
      </c>
    </row>
    <row r="3390" spans="1:8" ht="255" x14ac:dyDescent="0.2">
      <c r="A3390" s="31" t="s">
        <v>8100</v>
      </c>
      <c r="B3390" s="27" t="s">
        <v>8101</v>
      </c>
      <c r="C3390" s="27" t="s">
        <v>8102</v>
      </c>
      <c r="D3390" s="33" t="s">
        <v>14</v>
      </c>
      <c r="E3390" s="34">
        <v>2</v>
      </c>
      <c r="F3390" s="34">
        <v>39</v>
      </c>
      <c r="G3390" s="10">
        <v>111008</v>
      </c>
      <c r="H3390" s="30" t="str">
        <f ca="1">IFERROR(__xludf.DUMMYFUNCTION("LOWER(REGEXREPLACE(B3390&amp;"" ""&amp;C3390,""[^а-яa-z0-9 ]"","" ""))")," тол рабочий с мобильной тумбой  столешница из      22 мм  кромка      металлический каркас  размеры 1400х700х760 мм  тол состоит из мобильной тумбы  двух опор и столешницы   ысота верхнего края столешницы над уровнем пола 760 мм   атериал столешницы     "&amp;"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боковыхл образных опор  изготовленных из профильной трубы прямоугольного сечени"&amp;"я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пол"&amp;"имерной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с"&amp;"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ром"&amp;"ка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опоры"&amp;" ")</f>
        <v xml:space="preserve"> тол рабочий с мобильной тумбой  столешница из      22 мм  кромка      металлический каркас  размеры 1400х700х760 мм  тол состоит из мобильной тумбы  двух опор и столешницы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боковыхл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v>
      </c>
    </row>
    <row r="3391" spans="1:8" ht="127.5" x14ac:dyDescent="0.2">
      <c r="A3391" s="31" t="s">
        <v>8103</v>
      </c>
      <c r="B3391" s="27" t="s">
        <v>8104</v>
      </c>
      <c r="C3391" s="27" t="s">
        <v>8105</v>
      </c>
      <c r="D3391" s="33" t="s">
        <v>14</v>
      </c>
      <c r="E3391" s="34">
        <v>2</v>
      </c>
      <c r="F3391" s="34">
        <v>24</v>
      </c>
      <c r="G3391" s="10">
        <v>42532</v>
      </c>
      <c r="H3391" s="30" t="str">
        <f ca="1">IFERROR(__xludf.DUMMYFUNCTION("LOWER(REGEXREPLACE(B3391&amp;"" ""&amp;C3391,""[^а-яa-z0-9 ]"","" ""))")," тол универсальный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толщин"&amp;"ой 2мм   толешница крепится к металлокаркасу саморезами методом скрытого соединения   тол состоит из двух боковых п образных опор  изготовленных из профильной трубы прямоугольного сечения 50х25х1 2 мм    опорам приварены кронштейны  к которым крепятся с п"&amp;"омощью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"&amp;"служащих для сохранения напольного покрытия ")</f>
        <v xml:space="preserve"> тол универсальный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v>
      </c>
    </row>
    <row r="3392" spans="1:8" ht="165.75" x14ac:dyDescent="0.2">
      <c r="A3392" s="31" t="s">
        <v>8106</v>
      </c>
      <c r="B3392" s="27" t="s">
        <v>8107</v>
      </c>
      <c r="C3392" s="27" t="s">
        <v>8108</v>
      </c>
      <c r="D3392" s="33" t="s">
        <v>14</v>
      </c>
      <c r="E3392" s="34">
        <v>2</v>
      </c>
      <c r="F3392" s="34">
        <v>143</v>
      </c>
      <c r="G3392" s="10">
        <v>308016</v>
      </c>
      <c r="H3392" s="30" t="str">
        <f ca="1">IFERROR(__xludf.DUMMYFUNCTION("LOWER(REGEXREPLACE(B3392&amp;"" ""&amp;C3392,""[^а-яa-z0-9 ]"","" ""))")," тол с бенч системой  столешница из      22 мм  кромка      металлический каркас  размеры 4100х1400х1160 мм  тол состоит из четырех опор  шести столешниц и бенч системы   ысота верхнего края столешницы над уровнем пола 760 мм   атериал столешницы      тол"&amp;"щиной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четырех боковых п образных опор  изготовленных из профильной трубы прямоугольного сечени"&amp;"я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пол"&amp;"имерной краски    основании опор предусмотрены пластиковые заглушки  служащих для сохранения напольного покрытия   енч система высотой не менее 400мм  и изготавливается из      16мм и стекла толщиной не менее 4мм ")</f>
        <v xml:space="preserve"> тол с бенч системой  столешница из      22 мм  кромка      металлический каркас  размеры 4100х1400х1160 мм  тол состоит из четырех опор  шести столешниц и бенч системы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четырех боковых 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енч система высотой не менее 400мм  и изготавливается из      16мм и стекла толщиной не менее 4мм </v>
      </c>
    </row>
    <row r="3393" spans="1:8" ht="280.5" x14ac:dyDescent="0.2">
      <c r="A3393" s="31" t="s">
        <v>8109</v>
      </c>
      <c r="B3393" s="27" t="s">
        <v>8110</v>
      </c>
      <c r="C3393" s="27" t="s">
        <v>8111</v>
      </c>
      <c r="D3393" s="33" t="s">
        <v>14</v>
      </c>
      <c r="E3393" s="34">
        <v>2</v>
      </c>
      <c r="F3393" s="34">
        <v>44</v>
      </c>
      <c r="G3393" s="10">
        <v>141339</v>
      </c>
      <c r="H3393" s="30" t="str">
        <f ca="1">IFERROR(__xludf.DUMMYFUNCTION("LOWER(REGEXREPLACE(B3393&amp;"" ""&amp;C3393,""[^а-яa-z0-9 ]"","" ""))")," тол с бенч системой  мобильной тумбой  столешница из      22 мм  кромка      размеры 1400х700х1160 мм  тол состоит из мобильной тумбы  двух опор  столешницы и бенч системы   ысота верхнего края столешницы над уровнем пола 760 мм   атериал столешницы     "&amp;"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боковыхп образных опор  изготовленных из профильной трубы прямоугольного сечени"&amp;"я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пол"&amp;"имерной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с"&amp;"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ром"&amp;"ка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опоры"&amp;"  енч система высотой не менее 400мм  и изготавливается из      16мм и стекла толщиной не менее 4мм ")</f>
        <v xml:space="preserve"> тол с бенч системой  мобильной тумбой  столешница из      22 мм  кромка      размеры 1400х700х1160 мм  тол состоит из мобильной тумбы  двух опор  столешницы и бенч системы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v>
      </c>
    </row>
    <row r="3394" spans="1:8" ht="293.25" x14ac:dyDescent="0.2">
      <c r="A3394" s="31" t="s">
        <v>8112</v>
      </c>
      <c r="B3394" s="27" t="s">
        <v>8113</v>
      </c>
      <c r="C3394" s="27" t="s">
        <v>8114</v>
      </c>
      <c r="D3394" s="33" t="s">
        <v>14</v>
      </c>
      <c r="E3394" s="34">
        <v>2</v>
      </c>
      <c r="F3394" s="34">
        <v>94</v>
      </c>
      <c r="G3394" s="10">
        <v>194369</v>
      </c>
      <c r="H3394" s="30" t="str">
        <f ca="1">IFERROR(__xludf.DUMMYFUNCTION("LOWER(REGEXREPLACE(B3394&amp;"" ""&amp;C3394,""[^а-яa-z0-9 ]"","" ""))")," тол с бенч системой  двумя тумбами  двумя столешницами  соединяющей тумбой  столешница из      22 мм  кромка      размеры 3180х680х1150 мм  тол состоит из двух тумб  металлического каркаса  столешницы и соединяющей тумбы   аждая столешница габаритными ра"&amp;"змерами 1350х680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соединения"&amp;"   тол состоит из боковой укороченной опоры  которая опирается на тумбу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возв"&amp;"ышения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углу столешницы предусмотрено отверстие с заглушкой кабель канал для сое"&amp;"динительных проводов   умба с габаритными размерами  500х675х586 мм    тумбе имеется 3 выдвижных ящика и открытая ниша для системного блока   ариковые направляющие с функцией pushtoopen   оединяющая тумба габаритными размерами 180х680х1150 мм    ней имеют"&amp;"ся отверстие с заглушкой кабель канал для соединительных проводов    тумбе крепятся металлокаркас стола   ля изготовления несущих частей и различных элементов используется      толщиной не менее 16 мм   ромка из     должна быть толщиной не менее 0 4 мм   "&amp;"репление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 с ящиками должны быть регулируемые опоры  для компенсации неровностей пола ")</f>
        <v xml:space="preserve"> тол с бенч системой  двумя тумбами  двумя столешницами  соединяющей тумбой  столешница из      22 мм  кромка      размеры 3180х680х1150 мм  тол состоит из двух тумб  металлического каркаса  столешницы и соединяющей тумбы   аждая столешница габаритными размерами 1350х680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укороченной опоры  которая опирается на тумбу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500х675х586 мм    тумбе имеется 3 выдвижных ящика и открытая ниша для системного блока   ариковые направляющие с функцией pushtoopen   оединяющая тумба габаритными размерами 180х680х1150 мм    ней имеются отверстие с заглушкой кабель канал для соединительных проводов    тумбе крепятся металлокаркас стола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 с ящиками должны быть регулируемые опоры  для компенсации неровностей пола </v>
      </c>
    </row>
    <row r="3395" spans="1:8" ht="357" x14ac:dyDescent="0.2">
      <c r="A3395" s="31" t="s">
        <v>8115</v>
      </c>
      <c r="B3395" s="27" t="s">
        <v>8116</v>
      </c>
      <c r="C3395" s="27" t="s">
        <v>8117</v>
      </c>
      <c r="D3395" s="33" t="s">
        <v>14</v>
      </c>
      <c r="E3395" s="34">
        <v>2</v>
      </c>
      <c r="F3395" s="34">
        <v>67</v>
      </c>
      <c r="G3395" s="10">
        <v>175207</v>
      </c>
      <c r="H3395" s="30" t="str">
        <f ca="1">IFERROR(__xludf.DUMMYFUNCTION("LOWER(REGEXREPLACE(B3395&amp;"" ""&amp;C3395,""[^а-яa-z0-9 ]"","" ""))")," тол с брифинг приставкой  двумя тумбами  столешница из      22 мм  кромка      размеры 2100х1500х760 мм  тол состоит из двух тумб  металлического каркаса  столешницы и брифинг стола   толешница габаритными размерами1600х700 мм   ысота верхнего края столе"&amp;"шницы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боковых укороченных опор  кот"&amp;"орые опирается на тумбы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очеред"&amp;"ь придает столешнице  парящий эффект   окрытие металлокаркаса из порошковой полимерной краски   ицевая сторона стола закрыта царгой   умбы с габаритными размерами  500х700х636 мм    одной тумбе имеется 3 выдвижных ящика  а вторая закрыта глухой дверцей  з"&amp;"а которой находится полка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0"&amp;"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рифинг стол габаритными размерами 800х600 мм   ысота верхнего края столешницы над ур"&amp;"овнем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которая изготовлена из про"&amp;"фильной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окрыти"&amp;"е металлокаркаса из порошковой полимерной краски ")</f>
        <v xml:space="preserve"> тол с брифинг приставкой  двумя тумбами  столешница из      22 мм  кромка      размеры 2100х1500х760 мм  тол состоит из двух тумб  металлического каркаса  столешницы и брифинг стола   толешница габаритными размерами1600х700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боковых укороченных опор  которые опирается на тумбы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умбы с габаритными размерами  500х700х636 мм    одной тумбе имеется 3 выдвижных ящика  а вторая закрыта глухой дверцей  за которой находится полка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рифинг стол габаритными размерами 800х600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которая изготовлена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v>
      </c>
    </row>
    <row r="3396" spans="1:8" ht="318.75" x14ac:dyDescent="0.2">
      <c r="A3396" s="31" t="s">
        <v>8118</v>
      </c>
      <c r="B3396" s="27" t="s">
        <v>8119</v>
      </c>
      <c r="C3396" s="27" t="s">
        <v>8120</v>
      </c>
      <c r="D3396" s="33" t="s">
        <v>14</v>
      </c>
      <c r="E3396" s="34">
        <v>2</v>
      </c>
      <c r="F3396" s="34">
        <v>48</v>
      </c>
      <c r="G3396" s="10">
        <v>152613</v>
      </c>
      <c r="H3396" s="30" t="str">
        <f ca="1">IFERROR(__xludf.DUMMYFUNCTION("LOWER(REGEXREPLACE(B3396&amp;"" ""&amp;C3396,""[^а-яa-z0-9 ]"","" ""))")," тол с перфорацией  приставной тумбой  столешница из      22 мм  кромка      размеры 1600х1400х760 мм  тол с приставной тумбой справа или слева по согласованию   абаритные размеры столешницы 1600х700 мм   ысота верхнего края столешницы над уровнем пола 76"&amp;"0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проф"&amp;"ильной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оче"&amp;"редь придает столешнице  парящий эффект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краск"&amp;"и    основании одной из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разме"&amp;"рами  1400х500х550 мм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учки должны быть металлические  шариковые направляющие и петли с фу"&amp;"нкцией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кон"&amp;"фирматов   еста установки креп жных изделий должны быть закрыты заглушками    основании тумбы должны быть регулируемые опоры ")</f>
        <v xml:space="preserve"> тол с перфорацией  приставной тумбой  столешница из      22 мм  кромка      размеры 1600х1400х760 мм  тол с приставной тумбой справа или слева по согласованию   абаритные размеры столешницы 1600х700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размерами  1400х500х550 мм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v>
      </c>
    </row>
    <row r="3397" spans="1:8" ht="165.75" x14ac:dyDescent="0.2">
      <c r="A3397" s="31" t="s">
        <v>8121</v>
      </c>
      <c r="B3397" s="27" t="s">
        <v>8122</v>
      </c>
      <c r="C3397" s="27" t="s">
        <v>8123</v>
      </c>
      <c r="D3397" s="33" t="s">
        <v>14</v>
      </c>
      <c r="E3397" s="34">
        <v>2</v>
      </c>
      <c r="F3397" s="34">
        <v>27</v>
      </c>
      <c r="G3397" s="10">
        <v>57267</v>
      </c>
      <c r="H3397" s="30" t="str">
        <f ca="1">IFERROR(__xludf.DUMMYFUNCTION("LOWER(REGEXREPLACE(B3397&amp;"" ""&amp;C3397,""[^а-яa-z0-9 ]"","" ""))")," тол с перфорацией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толщи"&amp;"ной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крепятся"&amp;" с помощью болтов трубы усилители для придания жесткости и возвышения столешницы над опорами  что в свою очередь придает столешнице  парящий эффект    каждой опоре имеется декоративный элемент  изготовленный из листового металла толщиной не менее 1 2мм  в"&amp;" котором с помощью лазерной резки выполнен рисунок орнамент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f>
        <v xml:space="preserve"> тол с перфорацией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каждой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v>
      </c>
    </row>
    <row r="3398" spans="1:8" ht="140.25" x14ac:dyDescent="0.2">
      <c r="A3398" s="31" t="s">
        <v>8124</v>
      </c>
      <c r="B3398" s="27" t="s">
        <v>8125</v>
      </c>
      <c r="C3398" s="27" t="s">
        <v>8126</v>
      </c>
      <c r="D3398" s="33" t="s">
        <v>14</v>
      </c>
      <c r="E3398" s="34">
        <v>2</v>
      </c>
      <c r="F3398" s="34">
        <v>67</v>
      </c>
      <c r="G3398" s="10">
        <v>144896</v>
      </c>
      <c r="H3398" s="30" t="str">
        <f ca="1">IFERROR(__xludf.DUMMYFUNCTION("LOWER(REGEXREPLACE(B3398&amp;"" ""&amp;C3398,""[^а-яa-z0-9 ]"","" ""))")," тол с тумбой  столешница из      22мм  размеры 1600х1400х760 мм  толешница        не менее 22 мм    левой части основного стола должна быть тумба   азмер тумбы должен быть не менее  1400х500х630 мм    тумбе имеется 3 выдвижных ящика  одна ниши с глухой д"&amp;"веркой  за которой располагается полка и одна открытая ниша с 4 ячейками   учки должны быть металлические  шариковые направляющие и петли с функцией  oft  lose   ицевая сторона стола должна быть закрыта царгой    углу столешницы предусмотрено отверстие с "&amp;"заглушкой кабель канал для соединительных проводов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по"&amp;"мощи эксцентриковых стяжек и конфирматов   еста установки креп жных изделий должны быть закрыты заглушками ")</f>
        <v xml:space="preserve"> тол с тумбой  столешница из      22мм  размеры 1600х1400х760 мм  толешница        не менее 22 мм    левой части основного стола должна быть тумба   азмер тумбы должен быть не менее  1400х500х630 мм    тумбе имеется 3 выдвижных ящика  одна ниши с глухой дверкой  за которой располагается полка и одна открытая ниша с 4 ячейками   учки должны быть металлические  шариковые направляющие и петли с функцией  oft  lose   ицевая сторона стола должна быть закрыта царгой    углу столешницы предусмотрено отверстие с заглушкой кабель канал для соединительных проводов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v>
      </c>
    </row>
    <row r="3399" spans="1:8" ht="76.5" x14ac:dyDescent="0.2">
      <c r="A3399" s="31" t="s">
        <v>8127</v>
      </c>
      <c r="B3399" s="27" t="s">
        <v>8128</v>
      </c>
      <c r="C3399" s="27" t="s">
        <v>8129</v>
      </c>
      <c r="D3399" s="33" t="s">
        <v>14</v>
      </c>
      <c r="E3399" s="34">
        <v>2</v>
      </c>
      <c r="F3399" s="34">
        <v>49</v>
      </c>
      <c r="G3399" s="10">
        <v>96327</v>
      </c>
      <c r="H3399" s="30" t="str">
        <f ca="1">IFERROR(__xludf.DUMMYFUNCTION("LOWER(REGEXREPLACE(B3399&amp;"" ""&amp;C3399,""[^а-яa-z0-9 ]"","" ""))")," тол ведущего телестудии на колесиках  размеры 1800х600х780 мм  столешница из      22 мм  две боковые опоры      32 мм  атериал      16 мм и 32 мм  кромка     0 4 мм и 2 мм   толешница выполнена из      22 мм   тол имеет две боковые опоры толщиной 32 мм  "&amp;"выполнены комбинированным цветом   оковые опоры снабжены колесами  которые крепятся на металлические пластины   арга также выполнена в двух цветовых решениях и имеет трапециевидный элемент 600х118х650  который монтируется с наружной части царги ")</f>
        <v xml:space="preserve"> тол ведущего телестудии на колесиках  размеры 1800х600х780 мм  столешница из      22 мм  две боковые опоры      32 мм  атериал      16 мм и 32 мм  кромка     0 4 мм и 2 мм   толешница выполнена из      22 мм   тол имеет две боковые опоры толщиной 32 мм  выполнены комбинированным цветом   оковые опоры снабжены колесами  которые крепятся на металлические пластины   арга также выполнена в двух цветовых решениях и имеет трапециевидный элемент 600х118х650  который монтируется с наружной части царги </v>
      </c>
    </row>
    <row r="3400" spans="1:8" ht="178.5" x14ac:dyDescent="0.2">
      <c r="A3400" s="31" t="s">
        <v>8130</v>
      </c>
      <c r="B3400" s="27" t="s">
        <v>8131</v>
      </c>
      <c r="C3400" s="27" t="s">
        <v>8132</v>
      </c>
      <c r="D3400" s="33" t="s">
        <v>14</v>
      </c>
      <c r="E3400" s="34">
        <v>2</v>
      </c>
      <c r="F3400" s="34">
        <v>67</v>
      </c>
      <c r="G3400" s="10">
        <v>96400</v>
      </c>
      <c r="H3400" s="30" t="str">
        <f ca="1">IFERROR(__xludf.DUMMYFUNCTION("LOWER(REGEXREPLACE(B3400&amp;"" ""&amp;C3400,""[^а-яa-z0-9 ]"","" ""))")," тол ведущего телестудии с планками  размер 1800х600х780мм  столешница из      22 мм  две боковые опоры      32 мм  азмеры столешницы должны быть  не менее 1800х600 мм   ысота верхнего края столешницы должна быть над полом не менее 780 мм   толешница долж"&amp;"на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одну из боковых"&amp;" опор толщиной 32 мм   ицевая сторона стола должна быть закрыта планками шириной не менее 50мм  а также панелью усилителем и панелью со скошенным углом   анные панели имеют комбинированный цвет   толешница с лицевой стороны закрыта фальш панелью с переход"&amp;"ом на одну из боковин  которая внешне увеличивает толщину столешницы и боковой опоры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осно"&amp;"вании опоры снабжены колесами  которые крепятся на металлические пластины ")</f>
        <v xml:space="preserve"> тол ведущего телестудии с планками  размер 1800х600х780мм  столешница из      22 мм  две боковые опоры      32 мм  азмеры столешницы должны быть  не менее 1800х600 мм   ысота верхнего края столешницы должна быть над полом не менее 780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одну из боковых опор толщиной 32 мм   ицевая сторона стола должна быть закрыта планками шириной не менее 50мм  а также панелью усилителем и панелью со скошенным углом   анные панели имеют комбинированный цвет   толешница с лицевой стороны закрыта фальш панелью с переходом на одну из боковин  которая внешне увеличивает толщину столешницы и боковой опоры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металлические пластины </v>
      </c>
    </row>
    <row r="3401" spans="1:8" ht="12.75" x14ac:dyDescent="0.2">
      <c r="A3401" s="31" t="s">
        <v>8133</v>
      </c>
      <c r="B3401" s="27" t="s">
        <v>8134</v>
      </c>
      <c r="C3401" s="27"/>
      <c r="D3401" s="33" t="s">
        <v>14</v>
      </c>
      <c r="E3401" s="9"/>
      <c r="F3401" s="32"/>
      <c r="G3401" s="10"/>
      <c r="H3401" s="30" t="str">
        <f ca="1">IFERROR(__xludf.DUMMYFUNCTION("LOWER(REGEXREPLACE(B3401&amp;"" ""&amp;C3401,""[^а-яa-z0-9 ]"","" ""))")," тол детский ")</f>
        <v xml:space="preserve"> тол детский </v>
      </c>
    </row>
    <row r="3402" spans="1:8" ht="25.5" x14ac:dyDescent="0.2">
      <c r="A3402" s="31" t="s">
        <v>8135</v>
      </c>
      <c r="B3402" s="27" t="s">
        <v>8136</v>
      </c>
      <c r="C3402" s="27" t="s">
        <v>8137</v>
      </c>
      <c r="D3402" s="33" t="s">
        <v>14</v>
      </c>
      <c r="E3402" s="9"/>
      <c r="F3402" s="32"/>
      <c r="G3402" s="10">
        <v>12816</v>
      </c>
      <c r="H3402" s="30" t="str">
        <f ca="1">IFERROR(__xludf.DUMMYFUNCTION("LOWER(REGEXREPLACE(B3402&amp;"" ""&amp;C3402,""[^а-яa-z0-9 ]"","" ""))")," тол детский   вадратик    700х700х 580  каркас мет   3рг   толешница из      16 мм  все углы закруглены   снование металлокаркас   азмеры  700х700х  580мм")</f>
        <v xml:space="preserve"> тол детский   вадратик    700х700х 580  каркас мет   3рг   толешница из      16 мм  все углы закруглены   снование металлокаркас   азмеры  700х700х  580мм</v>
      </c>
    </row>
    <row r="3403" spans="1:8" ht="25.5" x14ac:dyDescent="0.2">
      <c r="A3403" s="31" t="s">
        <v>8138</v>
      </c>
      <c r="B3403" s="27" t="s">
        <v>8139</v>
      </c>
      <c r="C3403" s="27" t="s">
        <v>8140</v>
      </c>
      <c r="D3403" s="33" t="s">
        <v>14</v>
      </c>
      <c r="E3403" s="9"/>
      <c r="F3403" s="32"/>
      <c r="G3403" s="10">
        <v>14945</v>
      </c>
      <c r="H3403" s="30" t="str">
        <f ca="1">IFERROR(__xludf.DUMMYFUNCTION("LOWER(REGEXREPLACE(B3403&amp;"" ""&amp;C3403,""[^а-яa-z0-9 ]"","" ""))")," тол детский   вадратик   регулируемый по высоте 700х700х520 640  2 4рг   толешница из       16 мм  все углы закруглены   тол игровой регулируемый по высоте   азмеры  700х700х 520 640мм")</f>
        <v xml:space="preserve"> тол детский   вадратик   регулируемый по высоте 700х700х520 640  2 4рг   толешница из       16 мм  все углы закруглены   тол игровой регулируемый по высоте   азмеры  700х700х 520 640мм</v>
      </c>
    </row>
    <row r="3404" spans="1:8" ht="25.5" x14ac:dyDescent="0.2">
      <c r="A3404" s="31" t="s">
        <v>8141</v>
      </c>
      <c r="B3404" s="27" t="s">
        <v>8142</v>
      </c>
      <c r="C3404" s="27" t="s">
        <v>8143</v>
      </c>
      <c r="D3404" s="33" t="s">
        <v>14</v>
      </c>
      <c r="E3404" s="9"/>
      <c r="F3404" s="32"/>
      <c r="G3404" s="10">
        <v>6071</v>
      </c>
      <c r="H3404" s="30" t="str">
        <f ca="1">IFERROR(__xludf.DUMMYFUNCTION("LOWER(REGEXREPLACE(B3404&amp;"" ""&amp;C3404,""[^а-яa-z0-9 ]"","" ""))")," тол детский размерами 500х700х520 мм  толешница     16мм   еталлический каркас   азмер 600 800 620мм")</f>
        <v xml:space="preserve"> тол детский размерами 500х700х520 мм  толешница     16мм   еталлический каркас   азмер 600 800 620мм</v>
      </c>
    </row>
    <row r="3405" spans="1:8" ht="25.5" x14ac:dyDescent="0.2">
      <c r="A3405" s="31" t="s">
        <v>8144</v>
      </c>
      <c r="B3405" s="27" t="s">
        <v>8145</v>
      </c>
      <c r="C3405" s="27" t="s">
        <v>8146</v>
      </c>
      <c r="D3405" s="33" t="s">
        <v>14</v>
      </c>
      <c r="E3405" s="9"/>
      <c r="F3405" s="32"/>
      <c r="G3405" s="10">
        <v>6964</v>
      </c>
      <c r="H3405" s="30" t="str">
        <f ca="1">IFERROR(__xludf.DUMMYFUNCTION("LOWER(REGEXREPLACE(B3405&amp;"" ""&amp;C3405,""[^а-яa-z0-9 ]"","" ""))")," тол детский размерами 600х800х620 мм  толешница     16мм   еталлический каркас   азмер 500 700 520мм")</f>
        <v xml:space="preserve"> тол детский размерами 600х800х620 мм  толешница     16мм   еталлический каркас   азмер 500 700 520мм</v>
      </c>
    </row>
    <row r="3406" spans="1:8" ht="25.5" x14ac:dyDescent="0.2">
      <c r="A3406" s="31" t="s">
        <v>8147</v>
      </c>
      <c r="B3406" s="27" t="s">
        <v>8148</v>
      </c>
      <c r="C3406" s="27" t="s">
        <v>8149</v>
      </c>
      <c r="D3406" s="33" t="s">
        <v>14</v>
      </c>
      <c r="E3406" s="9"/>
      <c r="F3406" s="32"/>
      <c r="G3406" s="10">
        <v>6964</v>
      </c>
      <c r="H3406" s="30" t="str">
        <f ca="1">IFERROR(__xludf.DUMMYFUNCTION("LOWER(REGEXREPLACE(B3406&amp;"" ""&amp;C3406,""[^а-яa-z0-9 ]"","" ""))")," тол детский размерами 750х520 мм  толешница     16мм   еталлический каркас   азмер 750 520мм")</f>
        <v xml:space="preserve"> тол детский размерами 750х520 мм  толешница     16мм   еталлический каркас   азмер 750 520мм</v>
      </c>
    </row>
    <row r="3407" spans="1:8" ht="12.75" x14ac:dyDescent="0.2">
      <c r="A3407" s="31" t="s">
        <v>8150</v>
      </c>
      <c r="B3407" s="27" t="s">
        <v>8151</v>
      </c>
      <c r="C3407" s="27"/>
      <c r="D3407" s="33" t="s">
        <v>14</v>
      </c>
      <c r="E3407" s="9"/>
      <c r="F3407" s="32"/>
      <c r="G3407" s="10"/>
      <c r="H3407" s="30" t="str">
        <f ca="1">IFERROR(__xludf.DUMMYFUNCTION("LOWER(REGEXREPLACE(B3407&amp;"" ""&amp;C3407,""[^а-яa-z0-9 ]"","" ""))")," тул полумягкий ")</f>
        <v xml:space="preserve"> тул полумягкий </v>
      </c>
    </row>
    <row r="3408" spans="1:8" ht="25.5" x14ac:dyDescent="0.2">
      <c r="A3408" s="31" t="s">
        <v>8152</v>
      </c>
      <c r="B3408" s="27" t="s">
        <v>8151</v>
      </c>
      <c r="C3408" s="27" t="s">
        <v>8153</v>
      </c>
      <c r="D3408" s="33" t="s">
        <v>14</v>
      </c>
      <c r="E3408" s="9"/>
      <c r="F3408" s="32"/>
      <c r="G3408" s="10">
        <v>10512</v>
      </c>
      <c r="H3408" s="30" t="str">
        <f ca="1">IFERROR(__xludf.DUMMYFUNCTION("LOWER(REGEXREPLACE(B3408&amp;"" ""&amp;C3408,""[^а-яa-z0-9 ]"","" ""))")," тул полумягкий  снование металлокаркас   идение и спинка стула сделаны из фанеры  облицованы мебельной тканью   гобелен")</f>
        <v xml:space="preserve"> тул полумягкий  снование металлокаркас   идение и спинка стула сделаны из фанеры  облицованы мебельной тканью   гобелен</v>
      </c>
    </row>
    <row r="3409" spans="1:8" ht="25.5" x14ac:dyDescent="0.2">
      <c r="A3409" s="31" t="s">
        <v>8154</v>
      </c>
      <c r="B3409" s="27" t="s">
        <v>8155</v>
      </c>
      <c r="C3409" s="27" t="s">
        <v>8156</v>
      </c>
      <c r="D3409" s="33" t="s">
        <v>14</v>
      </c>
      <c r="E3409" s="9"/>
      <c r="F3409" s="32"/>
      <c r="G3409" s="10">
        <v>9821</v>
      </c>
      <c r="H3409" s="30" t="str">
        <f ca="1">IFERROR(__xludf.DUMMYFUNCTION("LOWER(REGEXREPLACE(B3409&amp;"" ""&amp;C3409,""[^а-яa-z0-9 ]"","" ""))")," тул полумягкий   инилискожа   снование металлокаркас   идение и спинка стула сделаны из фанеры  облицованы мебельной тканью   винилискожа")</f>
        <v xml:space="preserve"> тул полумягкий   инилискожа   снование металлокаркас   идение и спинка стула сделаны из фанеры  облицованы мебельной тканью   винилискожа</v>
      </c>
    </row>
    <row r="3410" spans="1:8" ht="25.5" x14ac:dyDescent="0.2">
      <c r="A3410" s="31" t="s">
        <v>8157</v>
      </c>
      <c r="B3410" s="27" t="s">
        <v>8158</v>
      </c>
      <c r="C3410" s="27" t="s">
        <v>8159</v>
      </c>
      <c r="D3410" s="33" t="s">
        <v>14</v>
      </c>
      <c r="E3410" s="9"/>
      <c r="F3410" s="32"/>
      <c r="G3410" s="10">
        <v>9764</v>
      </c>
      <c r="H3410" s="30" t="str">
        <f ca="1">IFERROR(__xludf.DUMMYFUNCTION("LOWER(REGEXREPLACE(B3410&amp;"" ""&amp;C3410,""[^а-яa-z0-9 ]"","" ""))")," тул полумягкий  ткань меб   снование металлокаркас   идение и спинка стула сделаны из фанеры  облицованы мебельной тканью")</f>
        <v xml:space="preserve"> тул полумягкий  ткань меб   снование металлокаркас   идение и спинка стула сделаны из фанеры  облицованы мебельной тканью</v>
      </c>
    </row>
    <row r="3411" spans="1:8" ht="63.75" x14ac:dyDescent="0.2">
      <c r="A3411" s="31" t="s">
        <v>8160</v>
      </c>
      <c r="B3411" s="27" t="s">
        <v>8161</v>
      </c>
      <c r="C3411" s="27" t="s">
        <v>8162</v>
      </c>
      <c r="D3411" s="33" t="s">
        <v>14</v>
      </c>
      <c r="E3411" s="34">
        <v>2</v>
      </c>
      <c r="F3411" s="35">
        <v>6.5</v>
      </c>
      <c r="G3411" s="10">
        <v>56860</v>
      </c>
      <c r="H3411" s="30" t="str">
        <f ca="1">IFERROR(__xludf.DUMMYFUNCTION("LOWER(REGEXREPLACE(B3411&amp;"" ""&amp;C3411,""[^а-яa-z0-9 ]"","" ""))")," тул полумягкий на колесах   олиуретановый ролик  ножка из круглой трубы  черный подлокотник  черный пластик сзади  складное сиденье из пенополиуретана   азмеры 540 850 550 мм  тул на колесах   олиуретановый ролик  ножка из круглой трубы  черный подлокотн"&amp;"ик  черный пластик сзади  складное сиденье из пенополиуретана   азмеры 540 850 550 мм")</f>
        <v xml:space="preserve"> тул полумягкий на колесах   олиуретановый ролик  ножка из круглой трубы  черный подлокотник  черный пластик сзади  складное сиденье из пенополиуретана   азмеры 540 850 550 мм  тул на колесах   олиуретановый ролик  ножка из круглой трубы  черный подлокотник  черный пластик сзади  складное сиденье из пенополиуретана   азмеры 540 850 550 мм</v>
      </c>
    </row>
    <row r="3412" spans="1:8" ht="51" x14ac:dyDescent="0.2">
      <c r="A3412" s="31" t="s">
        <v>8163</v>
      </c>
      <c r="B3412" s="27" t="s">
        <v>8164</v>
      </c>
      <c r="C3412" s="27" t="s">
        <v>8165</v>
      </c>
      <c r="D3412" s="33" t="s">
        <v>14</v>
      </c>
      <c r="E3412" s="34">
        <v>2</v>
      </c>
      <c r="F3412" s="34">
        <v>6</v>
      </c>
      <c r="G3412" s="10">
        <v>51283</v>
      </c>
      <c r="H3412" s="30" t="str">
        <f ca="1">IFERROR(__xludf.DUMMYFUNCTION("LOWER(REGEXREPLACE(B3412&amp;"" ""&amp;C3412,""[^а-яa-z0-9 ]"","" ""))")," тул полумягкий   иденье и спинка из монолитного пластика  мягкая накидка для сиденья съ мное  металлический каркас из круглой трубы   азмеры 550 835 560 мм  тул полумягкий   иденье и спинка из монолитного пластика  мягкая накидка для сиденья съ мное  мет"&amp;"аллический каркас из круглой трубы   азмеры 550 835 560 мм")</f>
        <v xml:space="preserve"> тул полумягкий   иденье и спинка из монолитного пластика  мягкая накидка для сиденья съ мное  металлический каркас из круглой трубы   азмеры 550 835 560 мм  тул полумягкий   иденье и спинка из монолитного пластика  мягкая накидка для сиденья съ мное  металлический каркас из круглой трубы   азмеры 550 835 560 мм</v>
      </c>
    </row>
    <row r="3413" spans="1:8" ht="25.5" x14ac:dyDescent="0.2">
      <c r="A3413" s="31" t="s">
        <v>8166</v>
      </c>
      <c r="B3413" s="27" t="s">
        <v>8167</v>
      </c>
      <c r="C3413" s="27" t="s">
        <v>8168</v>
      </c>
      <c r="D3413" s="33" t="s">
        <v>14</v>
      </c>
      <c r="E3413" s="34">
        <v>2</v>
      </c>
      <c r="F3413" s="34">
        <v>5</v>
      </c>
      <c r="G3413" s="10">
        <v>15757</v>
      </c>
      <c r="H3413" s="30" t="str">
        <f ca="1">IFERROR(__xludf.DUMMYFUNCTION("LOWER(REGEXREPLACE(B3413&amp;"" ""&amp;C3413,""[^а-яa-z0-9 ]"","" ""))")," тул полумягкий   еталлический каркас   азмер  400х465х800мм  еталлический каркас   атериал обивки и цвет по согласованию с заказчиком ")</f>
        <v xml:space="preserve"> тул полумягкий   еталлический каркас   азмер  400х465х800мм  еталлический каркас   атериал обивки и цвет по согласованию с заказчиком </v>
      </c>
    </row>
    <row r="3414" spans="1:8" ht="25.5" x14ac:dyDescent="0.2">
      <c r="A3414" s="31" t="s">
        <v>8169</v>
      </c>
      <c r="B3414" s="27" t="s">
        <v>8170</v>
      </c>
      <c r="C3414" s="27" t="s">
        <v>8171</v>
      </c>
      <c r="D3414" s="33" t="s">
        <v>14</v>
      </c>
      <c r="E3414" s="34">
        <v>2</v>
      </c>
      <c r="F3414" s="34">
        <v>5</v>
      </c>
      <c r="G3414" s="10">
        <v>15127</v>
      </c>
      <c r="H3414" s="30" t="str">
        <f ca="1">IFERROR(__xludf.DUMMYFUNCTION("LOWER(REGEXREPLACE(B3414&amp;"" ""&amp;C3414,""[^а-яa-z0-9 ]"","" ""))")," тул полумягкий   аркас металлический   азмер  460х520х830мм  аркас металлический  цвет черный    атериал обивки и цвет по согласованию с заказчиком ")</f>
        <v xml:space="preserve"> тул полумягкий   аркас металлический   азмер  460х520х830мм  аркас металлический  цвет черный    атериал обивки и цвет по согласованию с заказчиком </v>
      </c>
    </row>
    <row r="3415" spans="1:8" ht="25.5" x14ac:dyDescent="0.2">
      <c r="A3415" s="31" t="s">
        <v>8172</v>
      </c>
      <c r="B3415" s="27" t="s">
        <v>8173</v>
      </c>
      <c r="C3415" s="27" t="s">
        <v>8174</v>
      </c>
      <c r="D3415" s="33" t="s">
        <v>14</v>
      </c>
      <c r="E3415" s="34">
        <v>2</v>
      </c>
      <c r="F3415" s="34">
        <v>5</v>
      </c>
      <c r="G3415" s="10">
        <v>20523</v>
      </c>
      <c r="H3415" s="30" t="str">
        <f ca="1">IFERROR(__xludf.DUMMYFUNCTION("LOWER(REGEXREPLACE(B3415&amp;"" ""&amp;C3415,""[^а-яa-z0-9 ]"","" ""))")," тул полумягкий   аркас металлический крашенный   азмер  550x600x830мм  аркас металлический крашенный    атериал обивки и цвет по согласованию с заказчиком ")</f>
        <v xml:space="preserve"> тул полумягкий   аркас металлический крашенный   азмер  550x600x830мм  аркас металлический крашенный    атериал обивки и цвет по согласованию с заказчиком </v>
      </c>
    </row>
    <row r="3416" spans="1:8" ht="25.5" x14ac:dyDescent="0.2">
      <c r="A3416" s="31" t="s">
        <v>8175</v>
      </c>
      <c r="B3416" s="27" t="s">
        <v>8176</v>
      </c>
      <c r="C3416" s="27" t="s">
        <v>8177</v>
      </c>
      <c r="D3416" s="33" t="s">
        <v>14</v>
      </c>
      <c r="E3416" s="34">
        <v>2</v>
      </c>
      <c r="F3416" s="34">
        <v>5</v>
      </c>
      <c r="G3416" s="10">
        <v>23131</v>
      </c>
      <c r="H3416" s="30" t="str">
        <f ca="1">IFERROR(__xludf.DUMMYFUNCTION("LOWER(REGEXREPLACE(B3416&amp;"" ""&amp;C3416,""[^а-яa-z0-9 ]"","" ""))")," тул полумягкий   ромированный каркас   азмер  550x600x830мм  ромированный каркас   атериал обивки и цвет по согласованию с заказчиком ")</f>
        <v xml:space="preserve"> тул полумягкий   ромированный каркас   азмер  550x600x830мм  ромированный каркас   атериал обивки и цвет по согласованию с заказчиком </v>
      </c>
    </row>
    <row r="3417" spans="1:8" ht="51" x14ac:dyDescent="0.2">
      <c r="A3417" s="31" t="s">
        <v>8178</v>
      </c>
      <c r="B3417" s="27" t="s">
        <v>8179</v>
      </c>
      <c r="C3417" s="27" t="s">
        <v>8180</v>
      </c>
      <c r="D3417" s="33" t="s">
        <v>14</v>
      </c>
      <c r="E3417" s="34">
        <v>2</v>
      </c>
      <c r="F3417" s="34">
        <v>5</v>
      </c>
      <c r="G3417" s="10">
        <v>31045</v>
      </c>
      <c r="H3417" s="30" t="str">
        <f ca="1">IFERROR(__xludf.DUMMYFUNCTION("LOWER(REGEXREPLACE(B3417&amp;"" ""&amp;C3417,""[^а-яa-z0-9 ]"","" ""))")," тул полумягкий   атериал обивки ткань эко кожа   еталлический каркас  окрашен порошковой полимерной краской   азмер 410х560х940мм  вет по согласованию с заказчиком   опустимая нагрузка до 180 кг ")</f>
        <v xml:space="preserve"> тул полумягкий   атериал обивки ткань эко кожа   еталлический каркас  окрашен порошковой полимерной краской   азмер 410х560х940мм  вет по согласованию с заказчиком   опустимая нагрузка до 180 кг </v>
      </c>
    </row>
    <row r="3418" spans="1:8" ht="38.25" x14ac:dyDescent="0.2">
      <c r="A3418" s="31" t="s">
        <v>8181</v>
      </c>
      <c r="B3418" s="27" t="s">
        <v>8182</v>
      </c>
      <c r="C3418" s="27" t="s">
        <v>8182</v>
      </c>
      <c r="D3418" s="33" t="s">
        <v>14</v>
      </c>
      <c r="E3418" s="34">
        <v>2</v>
      </c>
      <c r="F3418" s="34">
        <v>5</v>
      </c>
      <c r="G3418" s="10">
        <v>46063</v>
      </c>
      <c r="H3418" s="30" t="str">
        <f ca="1">IFERROR(__xludf.DUMMYFUNCTION("LOWER(REGEXREPLACE(B3418&amp;"" ""&amp;C3418,""[^а-яa-z0-9 ]"","" ""))")," тул полумягкий   ромированный каркас  без подлокотников   атериал обивки  экокожа   азмер  490x500x840мм  тул полумягкий   ромированный каркас  без подлокотников   атериал обивки  экокожа   азмер  490x500x840мм")</f>
        <v xml:space="preserve"> тул полумягкий   ромированный каркас  без подлокотников   атериал обивки  экокожа   азмер  490x500x840мм  тул полумягкий   ромированный каркас  без подлокотников   атериал обивки  экокожа   азмер  490x500x840мм</v>
      </c>
    </row>
    <row r="3419" spans="1:8" ht="38.25" x14ac:dyDescent="0.2">
      <c r="A3419" s="31" t="s">
        <v>8183</v>
      </c>
      <c r="B3419" s="27" t="s">
        <v>8184</v>
      </c>
      <c r="C3419" s="27" t="s">
        <v>8184</v>
      </c>
      <c r="D3419" s="33" t="s">
        <v>14</v>
      </c>
      <c r="E3419" s="34">
        <v>2</v>
      </c>
      <c r="F3419" s="34">
        <v>5</v>
      </c>
      <c r="G3419" s="10">
        <v>26953</v>
      </c>
      <c r="H3419" s="30" t="str">
        <f ca="1">IFERROR(__xludf.DUMMYFUNCTION("LOWER(REGEXREPLACE(B3419&amp;"" ""&amp;C3419,""[^а-яa-z0-9 ]"","" ""))")," тул полумягкий   еталлический каркас черный   атериал обивки  эко кожа   азмер  510x510x735мм  тул полумягкий   еталлический каркас черный   атериал обивки  эко кожа   азмер  510x510x735мм")</f>
        <v xml:space="preserve"> тул полумягкий   еталлический каркас черный   атериал обивки  эко кожа   азмер  510x510x735мм  тул полумягкий   еталлический каркас черный   атериал обивки  эко кожа   азмер  510x510x735мм</v>
      </c>
    </row>
    <row r="3420" spans="1:8" ht="38.25" x14ac:dyDescent="0.2">
      <c r="A3420" s="31" t="s">
        <v>8185</v>
      </c>
      <c r="B3420" s="27" t="s">
        <v>8186</v>
      </c>
      <c r="C3420" s="27" t="s">
        <v>8186</v>
      </c>
      <c r="D3420" s="33" t="s">
        <v>14</v>
      </c>
      <c r="E3420" s="34">
        <v>2</v>
      </c>
      <c r="F3420" s="34">
        <v>5</v>
      </c>
      <c r="G3420" s="10">
        <v>38959</v>
      </c>
      <c r="H3420" s="30" t="str">
        <f ca="1">IFERROR(__xludf.DUMMYFUNCTION("LOWER(REGEXREPLACE(B3420&amp;"" ""&amp;C3420,""[^а-яa-z0-9 ]"","" ""))")," тул полумягкий   еталлический каркас  хром   атериал обивки  эко кожа   азмер  510x510x735мм  тул полумягкий   еталлический каркас  хром   атериал обивки  эко кожа   азмер  510x510x735мм")</f>
        <v xml:space="preserve"> тул полумягкий   еталлический каркас  хром   атериал обивки  эко кожа   азмер  510x510x735мм  тул полумягкий   еталлический каркас  хром   атериал обивки  эко кожа   азмер  510x510x735мм</v>
      </c>
    </row>
    <row r="3421" spans="1:8" ht="51" x14ac:dyDescent="0.2">
      <c r="A3421" s="31" t="s">
        <v>8187</v>
      </c>
      <c r="B3421" s="27" t="s">
        <v>8188</v>
      </c>
      <c r="C3421" s="27" t="s">
        <v>8189</v>
      </c>
      <c r="D3421" s="33" t="s">
        <v>14</v>
      </c>
      <c r="E3421" s="34">
        <v>2</v>
      </c>
      <c r="F3421" s="34">
        <v>11</v>
      </c>
      <c r="G3421" s="10">
        <v>48784</v>
      </c>
      <c r="H3421" s="30" t="str">
        <f ca="1">IFERROR(__xludf.DUMMYFUNCTION("LOWER(REGEXREPLACE(B3421&amp;"" ""&amp;C3421,""[^а-яa-z0-9 ]"","" ""))")," тул полумягкий   олозья металлические разборные  крашеные черные   одлокотники пластиковые    атериал обивки  спинка   сетка  сиденье   ткань   азмер  475х395х925мм  граничение по весу  120 кг   атериал обивки   пинка   сетка  сиденье   ткань")</f>
        <v xml:space="preserve"> тул полумягкий   олозья металлические разборные  крашеные черные   одлокотники пластиковые    атериал обивки  спинка   сетка  сиденье   ткань   азмер  475х395х925мм  граничение по весу  120 кг   атериал обивки   пинка   сетка  сиденье   ткань</v>
      </c>
    </row>
    <row r="3422" spans="1:8" ht="38.25" x14ac:dyDescent="0.2">
      <c r="A3422" s="31" t="s">
        <v>8190</v>
      </c>
      <c r="B3422" s="27" t="s">
        <v>8191</v>
      </c>
      <c r="C3422" s="27" t="s">
        <v>8192</v>
      </c>
      <c r="D3422" s="33" t="s">
        <v>14</v>
      </c>
      <c r="E3422" s="34">
        <v>2</v>
      </c>
      <c r="F3422" s="34">
        <v>11</v>
      </c>
      <c r="G3422" s="10">
        <v>53321</v>
      </c>
      <c r="H3422" s="30" t="str">
        <f ca="1">IFERROR(__xludf.DUMMYFUNCTION("LOWER(REGEXREPLACE(B3422&amp;"" ""&amp;C3422,""[^а-яa-z0-9 ]"","" ""))")," тул полумягкий   ромированный каркас   еталлические подлокотники с накладками из эко кожи дерева  ромированный каркас   стойчивая металлическая рама   еталлические подлокотники с накладками из эко кожи дерево   атериал обивки и цвет по согласованию с зак"&amp;"азчиком ")</f>
        <v xml:space="preserve"> тул полумягкий   ромированный каркас   еталлические подлокотники с накладками из эко кожи дерева  ромированный каркас   стойчивая металлическая рама   еталлические подлокотники с накладками из эко кожи дерево   атериал обивки и цвет по согласованию с заказчиком </v>
      </c>
    </row>
    <row r="3423" spans="1:8" ht="51" x14ac:dyDescent="0.2">
      <c r="A3423" s="31" t="s">
        <v>8193</v>
      </c>
      <c r="B3423" s="27" t="s">
        <v>8194</v>
      </c>
      <c r="C3423" s="27" t="s">
        <v>8195</v>
      </c>
      <c r="D3423" s="33" t="s">
        <v>14</v>
      </c>
      <c r="E3423" s="34">
        <v>2</v>
      </c>
      <c r="F3423" s="34">
        <v>11</v>
      </c>
      <c r="G3423" s="10">
        <v>49054</v>
      </c>
      <c r="H3423" s="30" t="str">
        <f ca="1">IFERROR(__xludf.DUMMYFUNCTION("LOWER(REGEXREPLACE(B3423&amp;"" ""&amp;C3423,""[^а-яa-z0-9 ]"","" ""))")," тул полумягкий   еталлический каркас  цвет черный   еталлические подлокотники с накладками из дерева эко кожи   азмер  600x560x860мм  еталлический каркас  цвет черный   стойчивая металлическая рама   еталлические подлокотники с накладками из дерева эко к"&amp;"ожи   атериал обивки и цвет по согласованию с заказчиком ")</f>
        <v xml:space="preserve"> тул полумягкий   еталлический каркас  цвет черный   еталлические подлокотники с накладками из дерева эко кожи   азмер  600x560x860мм  еталлический каркас  цвет черный   стойчивая металлическая рама   еталлические подлокотники с накладками из дерева эко кожи   атериал обивки и цвет по согласованию с заказчиком </v>
      </c>
    </row>
    <row r="3424" spans="1:8" ht="51" x14ac:dyDescent="0.2">
      <c r="A3424" s="31" t="s">
        <v>8196</v>
      </c>
      <c r="B3424" s="27" t="s">
        <v>8197</v>
      </c>
      <c r="C3424" s="27" t="s">
        <v>8198</v>
      </c>
      <c r="D3424" s="33" t="s">
        <v>14</v>
      </c>
      <c r="E3424" s="34">
        <v>2</v>
      </c>
      <c r="F3424" s="34">
        <v>11</v>
      </c>
      <c r="G3424" s="10">
        <v>53011</v>
      </c>
      <c r="H3424" s="30" t="str">
        <f ca="1">IFERROR(__xludf.DUMMYFUNCTION("LOWER(REGEXREPLACE(B3424&amp;"" ""&amp;C3424,""[^а-яa-z0-9 ]"","" ""))")," тул полумягкий   атериал обивки эко кожа   аркас металлический  подлокотники с пластиковыми накладками  полозья черные   азмер  510х475х870мм  аркас металлический   ластиковые накладки на подлокотники   вет полозьев  черный   граничение по весу  120 кг  "&amp;" атериал обивки  эко кожа")</f>
        <v xml:space="preserve"> тул полумягкий   атериал обивки эко кожа   аркас металлический  подлокотники с пластиковыми накладками  полозья черные   азмер  510х475х870мм  аркас металлический   ластиковые накладки на подлокотники   вет полозьев  черный   граничение по весу  120 кг   атериал обивки  эко кожа</v>
      </c>
    </row>
    <row r="3425" spans="1:8" ht="38.25" x14ac:dyDescent="0.2">
      <c r="A3425" s="31" t="s">
        <v>8199</v>
      </c>
      <c r="B3425" s="27" t="s">
        <v>8200</v>
      </c>
      <c r="C3425" s="27" t="s">
        <v>8201</v>
      </c>
      <c r="D3425" s="33" t="s">
        <v>14</v>
      </c>
      <c r="E3425" s="34">
        <v>2</v>
      </c>
      <c r="F3425" s="34">
        <v>11</v>
      </c>
      <c r="G3425" s="10">
        <v>85385</v>
      </c>
      <c r="H3425" s="30" t="str">
        <f ca="1">IFERROR(__xludf.DUMMYFUNCTION("LOWER(REGEXREPLACE(B3425&amp;"" ""&amp;C3425,""[^а-яa-z0-9 ]"","" ""))")," тул полумягкий   атериал обивки  ткань эко кожа   еталлические ножки   азмер  470х420х890мм  еталлические ножки с пластиковыми заглушками   атериал обивки  ткань эко кожа  цвет по согласованию с заказчиком   граничение по весу  120 кг")</f>
        <v xml:space="preserve"> тул полумягкий   атериал обивки  ткань эко кожа   еталлические ножки   азмер  470х420х890мм  еталлические ножки с пластиковыми заглушками   атериал обивки  ткань эко кожа  цвет по согласованию с заказчиком   граничение по весу  120 кг</v>
      </c>
    </row>
    <row r="3426" spans="1:8" ht="51" x14ac:dyDescent="0.2">
      <c r="A3426" s="31" t="s">
        <v>8202</v>
      </c>
      <c r="B3426" s="8" t="s">
        <v>8203</v>
      </c>
      <c r="C3426" s="27" t="s">
        <v>8204</v>
      </c>
      <c r="D3426" s="33" t="s">
        <v>14</v>
      </c>
      <c r="E3426" s="34">
        <v>2</v>
      </c>
      <c r="F3426" s="34">
        <v>15</v>
      </c>
      <c r="G3426" s="10">
        <v>126408</v>
      </c>
      <c r="H3426" s="30" t="str">
        <f ca="1">IFERROR(__xludf.DUMMYFUNCTION("LOWER(REGEXREPLACE(B3426&amp;"" ""&amp;C3426,""[^а-яa-z0-9 ]"","" ""))")," тул полумягкий   ромированный каркас  металлические подлокотники с  накладками из эко кожи   атериал обивки  экокожа   азмер  620х680х1020мм  ромированный каркас  металлические подлокотники с  накладками из эко кожи   атериал обивки  экокожа")</f>
        <v xml:space="preserve"> тул полумягкий   ромированный каркас  металлические подлокотники с  накладками из эко кожи   атериал обивки  экокожа   азмер  620х680х1020мм  ромированный каркас  металлические подлокотники с  накладками из эко кожи   атериал обивки  экокожа</v>
      </c>
    </row>
    <row r="3427" spans="1:8" ht="63.75" x14ac:dyDescent="0.2">
      <c r="A3427" s="31" t="s">
        <v>8205</v>
      </c>
      <c r="B3427" s="27" t="s">
        <v>8206</v>
      </c>
      <c r="C3427" s="27" t="s">
        <v>8207</v>
      </c>
      <c r="D3427" s="33" t="s">
        <v>14</v>
      </c>
      <c r="E3427" s="34">
        <v>2</v>
      </c>
      <c r="F3427" s="34">
        <v>7</v>
      </c>
      <c r="G3427" s="10">
        <v>46331</v>
      </c>
      <c r="H3427" s="30" t="str">
        <f ca="1">IFERROR(__xludf.DUMMYFUNCTION("LOWER(REGEXREPLACE(B3427&amp;"" ""&amp;C3427,""[^а-яa-z0-9 ]"","" ""))")," тул полумягкий   иденье и спинка из литого полипропиленового пластика  каркас из металлического прута   тул эргономичный штабилируемый   иденье и спинка из литого крепкого и износостойкого  полипропиленового пластика   еталлокаркас выполнен из металическ"&amp;"ого прута   зделия окрашены методом электростатического порошкового напыления   ля предотвращения воздействия воды и влаги на ножки стула предусмотрены пластиковые подпятники ")</f>
        <v xml:space="preserve"> тул полумягкий   иденье и спинка из литого полипропиленового пластика  каркас из металлического прута   тул эргономичный штабилируемый   иденье и спинка из литого крепкого и износостойкого  полипропиленового пластика   еталлокаркас выполнен из металического прута   зделия окрашены методом электростатического порошкового напыления   ля предотвращения воздействия воды и влаги на ножки стула предусмотрены пластиковые подпятники </v>
      </c>
    </row>
    <row r="3428" spans="1:8" ht="51" x14ac:dyDescent="0.2">
      <c r="A3428" s="31" t="s">
        <v>8208</v>
      </c>
      <c r="B3428" s="8" t="s">
        <v>8209</v>
      </c>
      <c r="C3428" s="27" t="s">
        <v>8210</v>
      </c>
      <c r="D3428" s="33" t="s">
        <v>14</v>
      </c>
      <c r="E3428" s="34">
        <v>2</v>
      </c>
      <c r="F3428" s="34">
        <v>14</v>
      </c>
      <c r="G3428" s="10">
        <v>74736</v>
      </c>
      <c r="H3428" s="30" t="str">
        <f ca="1">IFERROR(__xludf.DUMMYFUNCTION("LOWER(REGEXREPLACE(B3428&amp;"" ""&amp;C3428,""[^а-яa-z0-9 ]"","" ""))")," тул полумягкий с подлокотниками   пинка из сетчатой ткани   иденье из ткани или искусственной кожи   еталлические   образные ножки   пинка из сетчатой ткани   иденье из ткани или искусственной кожи   еталлические   образные ножки   еханизм спинки и опора"&amp;" подлокотника фиксированная   одлокотники металлические с пластиковыми вставками ")</f>
        <v xml:space="preserve"> тул полумягкий с подлокотниками   пинка из сетчатой ткани   иденье из ткани или искусственной кожи   еталлические   образные ножки   пинка из сетчатой ткани   иденье из ткани или искусственной кожи   еталлические   образные ножки   еханизм спинки и опора подлокотника фиксированная   одлокотники металлические с пластиковыми вставками </v>
      </c>
    </row>
    <row r="3429" spans="1:8" ht="38.25" x14ac:dyDescent="0.2">
      <c r="A3429" s="31" t="s">
        <v>8211</v>
      </c>
      <c r="B3429" s="27" t="s">
        <v>8212</v>
      </c>
      <c r="C3429" s="27" t="s">
        <v>8213</v>
      </c>
      <c r="D3429" s="33" t="s">
        <v>14</v>
      </c>
      <c r="E3429" s="34">
        <v>2</v>
      </c>
      <c r="F3429" s="34">
        <v>9</v>
      </c>
      <c r="G3429" s="10">
        <v>57823</v>
      </c>
      <c r="H3429" s="30" t="str">
        <f ca="1">IFERROR(__xludf.DUMMYFUNCTION("LOWER(REGEXREPLACE(B3429&amp;"" ""&amp;C3429,""[^а-яa-z0-9 ]"","" ""))")," тул полумягкий   атериал основания и спинки пластик  ножки металлические   азмеры 710х570х500 мм  азмеры  710х570х500мм   тул с пластиковым основанием и порошковым покрытием")</f>
        <v xml:space="preserve"> тул полумягкий   атериал основания и спинки пластик  ножки металлические   азмеры 710х570х500 мм  азмеры  710х570х500мм   тул с пластиковым основанием и порошковым покрытием</v>
      </c>
    </row>
    <row r="3430" spans="1:8" ht="38.25" x14ac:dyDescent="0.2">
      <c r="A3430" s="31" t="s">
        <v>8214</v>
      </c>
      <c r="B3430" s="27" t="s">
        <v>8215</v>
      </c>
      <c r="C3430" s="27" t="s">
        <v>8216</v>
      </c>
      <c r="D3430" s="33" t="s">
        <v>14</v>
      </c>
      <c r="E3430" s="34">
        <v>2</v>
      </c>
      <c r="F3430" s="34">
        <v>10</v>
      </c>
      <c r="G3430" s="10">
        <v>65441</v>
      </c>
      <c r="H3430" s="30" t="str">
        <f ca="1">IFERROR(__xludf.DUMMYFUNCTION("LOWER(REGEXREPLACE(B3430&amp;"" ""&amp;C3430,""[^а-яa-z0-9 ]"","" ""))")," тул полумягкий на колесах с пюпитром   азмеры 675 677 710 мм  атериал основания  металлическое   атериал сиденья  формованная пена высокой плотности   вета  зеленый  оранжевый  синий  черный  серый с пюпитром ")</f>
        <v xml:space="preserve"> тул полумягкий на колесах с пюпитром   азмеры 675 677 710 мм  атериал основания  металлическое   атериал сиденья  формованная пена высокой плотности   вета  зеленый  оранжевый  синий  черный  серый с пюпитром </v>
      </c>
    </row>
    <row r="3431" spans="1:8" ht="25.5" x14ac:dyDescent="0.2">
      <c r="A3431" s="31" t="s">
        <v>8217</v>
      </c>
      <c r="B3431" s="27" t="s">
        <v>8218</v>
      </c>
      <c r="C3431" s="27" t="s">
        <v>8219</v>
      </c>
      <c r="D3431" s="33" t="s">
        <v>14</v>
      </c>
      <c r="E3431" s="34">
        <v>2</v>
      </c>
      <c r="F3431" s="34">
        <v>20</v>
      </c>
      <c r="G3431" s="10">
        <v>36672</v>
      </c>
      <c r="H3431" s="30" t="str">
        <f ca="1">IFERROR(__xludf.DUMMYFUNCTION("LOWER(REGEXREPLACE(B3431&amp;"" ""&amp;C3431,""[^а-яa-z0-9 ]"","" ""))")," тул полумягкий   атериал сиденья и спинки ткань  ножки хромированные  азмеры  730 400 400 мм    вет по согласованию")</f>
        <v xml:space="preserve"> тул полумягкий   атериал сиденья и спинки ткань  ножки хромированные  азмеры  730 400 400 мм    вет по согласованию</v>
      </c>
    </row>
    <row r="3432" spans="1:8" ht="63.75" x14ac:dyDescent="0.2">
      <c r="A3432" s="31" t="s">
        <v>8220</v>
      </c>
      <c r="B3432" s="27" t="s">
        <v>8221</v>
      </c>
      <c r="C3432" s="27" t="s">
        <v>8222</v>
      </c>
      <c r="D3432" s="33" t="s">
        <v>14</v>
      </c>
      <c r="E3432" s="34">
        <v>2</v>
      </c>
      <c r="F3432" s="35">
        <v>4.3</v>
      </c>
      <c r="G3432" s="10">
        <v>12321</v>
      </c>
      <c r="H3432" s="30" t="str">
        <f ca="1">IFERROR(__xludf.DUMMYFUNCTION("LOWER(REGEXREPLACE(B3432&amp;"" ""&amp;C3432,""[^а-яa-z0-9 ]"","" ""))")," тул полумягкий  материал кожзам   аркас металлический   азмер сиденья  400х380мм   азмер спинки  380х390мм  аркас стула  стальная труба  22  толщина стенки 1 2 мм   окрытие   порошковая полиэфирная краска   идение  спинка  фанерные заготовки   аполнитель"&amp;"  мебельный поролон  плотностью 25 36   ысота от пола до сидения  460 мм   ысота стула  860 мм ")</f>
        <v xml:space="preserve"> тул полумягкий  материал кожзам   аркас металлический   азмер сиденья  400х380мм   азмер спинки  380х390мм  аркас стула  стальная труба  22  толщина стенки 1 2 мм   окрытие   порошковая полиэфирная краска   идение  спинка  фанерные заготовки   аполнитель  мебельный поролон  плотностью 25 36   ысота от пола до сидения  460 мм   ысота стула  860 мм </v>
      </c>
    </row>
    <row r="3433" spans="1:8" ht="25.5" x14ac:dyDescent="0.2">
      <c r="A3433" s="31" t="s">
        <v>8223</v>
      </c>
      <c r="B3433" s="27" t="s">
        <v>8224</v>
      </c>
      <c r="C3433" s="27" t="s">
        <v>8225</v>
      </c>
      <c r="D3433" s="33" t="s">
        <v>14</v>
      </c>
      <c r="E3433" s="34">
        <v>2</v>
      </c>
      <c r="F3433" s="34">
        <v>8</v>
      </c>
      <c r="G3433" s="10">
        <v>12640</v>
      </c>
      <c r="H3433" s="30" t="str">
        <f ca="1">IFERROR(__xludf.DUMMYFUNCTION("LOWER(REGEXREPLACE(B3433&amp;"" ""&amp;C3433,""[^а-яa-z0-9 ]"","" ""))")," тул полумягкий типа  зо   аркас металлический цветной   азмер  435х440х840мм  аркас металлический цветной   атериал обивки и цвет по согласованию с заказчиком ")</f>
        <v xml:space="preserve"> тул полумягкий типа  зо   аркас металлический цветной   азмер  435х440х840мм  аркас металлический цветной   атериал обивки и цвет по согласованию с заказчиком </v>
      </c>
    </row>
    <row r="3434" spans="1:8" ht="25.5" x14ac:dyDescent="0.2">
      <c r="A3434" s="31" t="s">
        <v>8226</v>
      </c>
      <c r="B3434" s="27" t="s">
        <v>8227</v>
      </c>
      <c r="C3434" s="27" t="s">
        <v>8228</v>
      </c>
      <c r="D3434" s="33" t="s">
        <v>14</v>
      </c>
      <c r="E3434" s="34">
        <v>2</v>
      </c>
      <c r="F3434" s="34">
        <v>8</v>
      </c>
      <c r="G3434" s="10">
        <v>7959</v>
      </c>
      <c r="H3434" s="30" t="str">
        <f ca="1">IFERROR(__xludf.DUMMYFUNCTION("LOWER(REGEXREPLACE(B3434&amp;"" ""&amp;C3434,""[^а-яa-z0-9 ]"","" ""))")," тул полумягкий типа    7   аркас металлический цветной   азмер  460х350х820мм  ысота от пола до сиденья 470мм   аркас металлический цветной   аглушки стандартные заглушки")</f>
        <v xml:space="preserve"> тул полумягкий типа    7   аркас металлический цветной   азмер  460х350х820мм  ысота от пола до сиденья 470мм   аркас металлический цветной   аглушки стандартные заглушки</v>
      </c>
    </row>
    <row r="3435" spans="1:8" ht="38.25" x14ac:dyDescent="0.2">
      <c r="A3435" s="31" t="s">
        <v>8229</v>
      </c>
      <c r="B3435" s="27" t="s">
        <v>8230</v>
      </c>
      <c r="C3435" s="27" t="s">
        <v>8231</v>
      </c>
      <c r="D3435" s="33" t="s">
        <v>14</v>
      </c>
      <c r="E3435" s="34">
        <v>2</v>
      </c>
      <c r="F3435" s="34">
        <v>8</v>
      </c>
      <c r="G3435" s="10">
        <v>13169</v>
      </c>
      <c r="H3435" s="30" t="str">
        <f ca="1">IFERROR(__xludf.DUMMYFUNCTION("LOWER(REGEXREPLACE(B3435&amp;"" ""&amp;C3435,""[^а-яa-z0-9 ]"","" ""))")," тул полумягкий типа        аркас металлический цветной   бивка гобелен   азмер  440х410х970мм  ысота от пола до сиденья 460мм   аркас металлический цветной ")</f>
        <v xml:space="preserve"> тул полумягкий типа        аркас металлический цветной   бивка гобелен   азмер  440х410х970мм  ысота от пола до сиденья 460мм   аркас металлический цветной </v>
      </c>
    </row>
    <row r="3436" spans="1:8" ht="51" x14ac:dyDescent="0.2">
      <c r="A3436" s="31" t="s">
        <v>8232</v>
      </c>
      <c r="B3436" s="27" t="s">
        <v>8233</v>
      </c>
      <c r="C3436" s="27" t="s">
        <v>8234</v>
      </c>
      <c r="D3436" s="33" t="s">
        <v>14</v>
      </c>
      <c r="E3436" s="34">
        <v>2</v>
      </c>
      <c r="F3436" s="34">
        <v>11</v>
      </c>
      <c r="G3436" s="10">
        <v>34897</v>
      </c>
      <c r="H3436" s="30" t="str">
        <f ca="1">IFERROR(__xludf.DUMMYFUNCTION("LOWER(REGEXREPLACE(B3436&amp;"" ""&amp;C3436,""[^а-яa-z0-9 ]"","" ""))")," тул полумягкий типа  ино   аркас металлический цветной   бивка экокожа   одлокотники с деревянными накладками   азмер  420х380х850мм  аркас металлический цветной   одлокотники деревянные   интаж ")</f>
        <v xml:space="preserve"> тул полумягкий типа  ино   аркас металлический цветной   бивка экокожа   одлокотники с деревянными накладками   азмер  420х380х850мм  аркас металлический цветной   одлокотники деревянные   интаж </v>
      </c>
    </row>
    <row r="3437" spans="1:8" ht="38.25" x14ac:dyDescent="0.2">
      <c r="A3437" s="31" t="s">
        <v>8235</v>
      </c>
      <c r="B3437" s="27" t="s">
        <v>8236</v>
      </c>
      <c r="C3437" s="27" t="s">
        <v>8236</v>
      </c>
      <c r="D3437" s="33" t="s">
        <v>14</v>
      </c>
      <c r="E3437" s="34">
        <v>2</v>
      </c>
      <c r="F3437" s="34">
        <v>11</v>
      </c>
      <c r="G3437" s="10">
        <v>14400</v>
      </c>
      <c r="H3437" s="30" t="str">
        <f ca="1">IFERROR(__xludf.DUMMYFUNCTION("LOWER(REGEXREPLACE(B3437&amp;"" ""&amp;C3437,""[^а-яa-z0-9 ]"","" ""))")," тул полумягкий типа  еймс   аркас металлический цветной   бивка экокожа   азмер  520х500х880мм  тул полумягкий типа  еймс   аркас металлический цветной   бивка экокожа   азмер  520х500х880мм")</f>
        <v xml:space="preserve"> тул полумягкий типа  еймс   аркас металлический цветной   бивка экокожа   азмер  520х500х880мм  тул полумягкий типа  еймс   аркас металлический цветной   бивка экокожа   азмер  520х500х880мм</v>
      </c>
    </row>
    <row r="3438" spans="1:8" ht="38.25" x14ac:dyDescent="0.2">
      <c r="A3438" s="31" t="s">
        <v>8237</v>
      </c>
      <c r="B3438" s="27" t="s">
        <v>8238</v>
      </c>
      <c r="C3438" s="27" t="s">
        <v>8239</v>
      </c>
      <c r="D3438" s="33" t="s">
        <v>14</v>
      </c>
      <c r="E3438" s="34">
        <v>2</v>
      </c>
      <c r="F3438" s="34">
        <v>11</v>
      </c>
      <c r="G3438" s="10">
        <v>21102</v>
      </c>
      <c r="H3438" s="30" t="str">
        <f ca="1">IFERROR(__xludf.DUMMYFUNCTION("LOWER(REGEXREPLACE(B3438&amp;"" ""&amp;C3438,""[^а-яa-z0-9 ]"","" ""))")," тул полумягкий типа  иаф   аркас металлический цветной   бивка сетка   азмер  470х450х840мм  ысота от пола до сиденья 470мм   аркас металлический цветной")</f>
        <v xml:space="preserve"> тул полумягкий типа  иаф   аркас металлический цветной   бивка сетка   азмер  470х450х840мм  ысота от пола до сиденья 470мм   аркас металлический цветной</v>
      </c>
    </row>
    <row r="3439" spans="1:8" ht="89.25" x14ac:dyDescent="0.2">
      <c r="A3439" s="31" t="s">
        <v>8240</v>
      </c>
      <c r="B3439" s="27" t="s">
        <v>8241</v>
      </c>
      <c r="C3439" s="27" t="s">
        <v>8242</v>
      </c>
      <c r="D3439" s="33" t="s">
        <v>14</v>
      </c>
      <c r="E3439" s="34">
        <v>2</v>
      </c>
      <c r="F3439" s="35">
        <v>4.5</v>
      </c>
      <c r="G3439" s="10">
        <v>36585</v>
      </c>
      <c r="H3439" s="30" t="str">
        <f ca="1">IFERROR(__xludf.DUMMYFUNCTION("LOWER(REGEXREPLACE(B3439&amp;"" ""&amp;C3439,""[^а-яa-z0-9 ]"","" ""))")," тул на металлических круглях ногах  сиденье выполнено из полипропилена  размеры 460х500х780 мм  тул на металлических круглях ногах  размером ширина стула 460 мм  высота стула 780 мм  глубина стула 500 мм  высота сиденья 450 мм  ширина сиденья 440 мм  глу"&amp;"бина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плоскоо"&amp;"вальной трубы 30х15х1 2 мм с помощью полуавтоматической сварки ")</f>
        <v xml:space="preserve"> тул на металлических круглях ногах  сиденье выполнено из полипропилена  размеры 460х500х780 мм  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 30х15х1 2 мм с помощью полуавтоматической сварки </v>
      </c>
    </row>
    <row r="3440" spans="1:8" ht="89.25" x14ac:dyDescent="0.2">
      <c r="A3440" s="31" t="s">
        <v>8243</v>
      </c>
      <c r="B3440" s="27" t="s">
        <v>8244</v>
      </c>
      <c r="C3440" s="27" t="s">
        <v>8245</v>
      </c>
      <c r="D3440" s="33" t="s">
        <v>14</v>
      </c>
      <c r="E3440" s="34">
        <v>2</v>
      </c>
      <c r="F3440" s="35">
        <v>4.5</v>
      </c>
      <c r="G3440" s="10">
        <v>41628</v>
      </c>
      <c r="H3440" s="30" t="str">
        <f ca="1">IFERROR(__xludf.DUMMYFUNCTION("LOWER(REGEXREPLACE(B3440&amp;"" ""&amp;C3440,""[^а-яa-z0-9 ]"","" ""))")," тул на металлических полозьях  сиденье выполнено из полипропилена  размеры 520х530х780 мм  тул на металлических ногах полозьях  ширина стула 520 мм  высота стула 780 мм  глубина стула 530 мм  высота сиденья 450 мм  ширина сиденья 440 мм  глубина сиденья "&amp;"420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трубы"&amp;" 30х15х1 2 с помощью полуавтоматической сварки ")</f>
        <v xml:space="preserve"> тул на металлических полозьях  сиденье выполнено из полипропилена  размеры 520х530х780 мм  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 30х15х1 2 с помощью полуавтоматической сварки </v>
      </c>
    </row>
    <row r="3441" spans="1:8" ht="12.75" x14ac:dyDescent="0.2">
      <c r="A3441" s="31" t="s">
        <v>8246</v>
      </c>
      <c r="B3441" s="27" t="s">
        <v>8247</v>
      </c>
      <c r="C3441" s="27"/>
      <c r="D3441" s="33" t="s">
        <v>14</v>
      </c>
      <c r="E3441" s="9"/>
      <c r="F3441" s="32"/>
      <c r="G3441" s="10"/>
      <c r="H3441" s="30" t="str">
        <f ca="1">IFERROR(__xludf.DUMMYFUNCTION("LOWER(REGEXREPLACE(B3441&amp;"" ""&amp;C3441,""[^а-яa-z0-9 ]"","" ""))")," тул детский ")</f>
        <v xml:space="preserve"> тул детский </v>
      </c>
    </row>
    <row r="3442" spans="1:8" ht="38.25" x14ac:dyDescent="0.2">
      <c r="A3442" s="31" t="s">
        <v>8248</v>
      </c>
      <c r="B3442" s="27" t="s">
        <v>8249</v>
      </c>
      <c r="C3442" s="27" t="s">
        <v>8250</v>
      </c>
      <c r="D3442" s="33" t="s">
        <v>14</v>
      </c>
      <c r="E3442" s="9"/>
      <c r="F3442" s="32"/>
      <c r="G3442" s="10">
        <v>5846</v>
      </c>
      <c r="H3442" s="30" t="str">
        <f ca="1">IFERROR(__xludf.DUMMYFUNCTION("LOWER(REGEXREPLACE(B3442&amp;"" ""&amp;C3442,""[^а-яa-z0-9 ]"","" ""))")," тул детский марки   13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f>
        <v xml:space="preserve"> тул детский марки   13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v>
      </c>
    </row>
    <row r="3443" spans="1:8" ht="38.25" x14ac:dyDescent="0.2">
      <c r="A3443" s="31" t="s">
        <v>8251</v>
      </c>
      <c r="B3443" s="27" t="s">
        <v>8252</v>
      </c>
      <c r="C3443" s="27" t="s">
        <v>8250</v>
      </c>
      <c r="D3443" s="33" t="s">
        <v>14</v>
      </c>
      <c r="E3443" s="9"/>
      <c r="F3443" s="32"/>
      <c r="G3443" s="10">
        <v>5883</v>
      </c>
      <c r="H3443" s="30" t="str">
        <f ca="1">IFERROR(__xludf.DUMMYFUNCTION("LOWER(REGEXREPLACE(B3443&amp;"" ""&amp;C3443,""[^а-яa-z0-9 ]"","" ""))")," тул детский марки   21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f>
        <v xml:space="preserve"> тул детский марки   21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v>
      </c>
    </row>
    <row r="3444" spans="1:8" ht="38.25" x14ac:dyDescent="0.2">
      <c r="A3444" s="31" t="s">
        <v>8253</v>
      </c>
      <c r="B3444" s="27" t="s">
        <v>8254</v>
      </c>
      <c r="C3444" s="27" t="s">
        <v>8250</v>
      </c>
      <c r="D3444" s="33" t="s">
        <v>14</v>
      </c>
      <c r="E3444" s="9"/>
      <c r="F3444" s="32"/>
      <c r="G3444" s="10">
        <v>5937</v>
      </c>
      <c r="H3444" s="30" t="str">
        <f ca="1">IFERROR(__xludf.DUMMYFUNCTION("LOWER(REGEXREPLACE(B3444&amp;"" ""&amp;C3444,""[^а-яa-z0-9 ]"","" ""))")," тул детский марки   22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f>
        <v xml:space="preserve"> тул детский марки   22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v>
      </c>
    </row>
    <row r="3445" spans="1:8" ht="12.75" x14ac:dyDescent="0.2">
      <c r="A3445" s="31" t="s">
        <v>8255</v>
      </c>
      <c r="B3445" s="27" t="s">
        <v>8256</v>
      </c>
      <c r="C3445" s="27" t="s">
        <v>8257</v>
      </c>
      <c r="D3445" s="33" t="s">
        <v>14</v>
      </c>
      <c r="E3445" s="9"/>
      <c r="F3445" s="32"/>
      <c r="G3445" s="10">
        <v>7958</v>
      </c>
      <c r="H3445" s="30" t="str">
        <f ca="1">IFERROR(__xludf.DUMMYFUNCTION("LOWER(REGEXREPLACE(B3445&amp;"" ""&amp;C3445,""[^а-яa-z0-9 ]"","" ""))")," тул детский марки  02 31  атериал   лакированная фанера   ысота 340мм")</f>
        <v xml:space="preserve"> тул детский марки  02 31  атериал   лакированная фанера   ысота 340мм</v>
      </c>
    </row>
    <row r="3446" spans="1:8" ht="25.5" x14ac:dyDescent="0.2">
      <c r="A3446" s="31" t="s">
        <v>8258</v>
      </c>
      <c r="B3446" s="27" t="s">
        <v>8259</v>
      </c>
      <c r="C3446" s="27" t="s">
        <v>8260</v>
      </c>
      <c r="D3446" s="33" t="s">
        <v>14</v>
      </c>
      <c r="E3446" s="9"/>
      <c r="F3446" s="32"/>
      <c r="G3446" s="10">
        <v>3125</v>
      </c>
      <c r="H3446" s="30" t="str">
        <f ca="1">IFERROR(__xludf.DUMMYFUNCTION("LOWER(REGEXREPLACE(B3446&amp;"" ""&amp;C3446,""[^а-яa-z0-9 ]"","" ""))")," тул детский   алакай  размерами 280х230х500 мм  еталлический каркас  полимерно порошковое покрытие  основание фанера  280 230 580мм")</f>
        <v xml:space="preserve"> тул детский   алакай  размерами 280х230х500 мм  еталлический каркас  полимерно порошковое покрытие  основание фанера  280 230 580мм</v>
      </c>
    </row>
    <row r="3447" spans="1:8" ht="25.5" x14ac:dyDescent="0.2">
      <c r="A3447" s="31" t="s">
        <v>8261</v>
      </c>
      <c r="B3447" s="27" t="s">
        <v>8262</v>
      </c>
      <c r="C3447" s="27" t="s">
        <v>8263</v>
      </c>
      <c r="D3447" s="33" t="s">
        <v>14</v>
      </c>
      <c r="E3447" s="9"/>
      <c r="F3447" s="32"/>
      <c r="G3447" s="10">
        <v>4018</v>
      </c>
      <c r="H3447" s="30" t="str">
        <f ca="1">IFERROR(__xludf.DUMMYFUNCTION("LOWER(REGEXREPLACE(B3447&amp;"" ""&amp;C3447,""[^а-яa-z0-9 ]"","" ""))")," тул детский   астар  размерами 320х320х600 мм  еталлический каркас  полимерно порошковое покрытие  основание фанера 320 320 600мм")</f>
        <v xml:space="preserve"> тул детский   астар  размерами 320х320х600 мм  еталлический каркас  полимерно порошковое покрытие  основание фанера 320 320 600мм</v>
      </c>
    </row>
    <row r="3448" spans="1:8" ht="12.75" x14ac:dyDescent="0.2">
      <c r="A3448" s="31" t="s">
        <v>8264</v>
      </c>
      <c r="B3448" s="27" t="s">
        <v>8265</v>
      </c>
      <c r="C3448" s="27"/>
      <c r="D3448" s="33" t="s">
        <v>14</v>
      </c>
      <c r="E3448" s="9"/>
      <c r="F3448" s="32"/>
      <c r="G3448" s="10"/>
      <c r="H3448" s="30" t="str">
        <f ca="1">IFERROR(__xludf.DUMMYFUNCTION("LOWER(REGEXREPLACE(B3448&amp;"" ""&amp;C3448,""[^а-яa-z0-9 ]"","" ""))")," тул ученический ")</f>
        <v xml:space="preserve"> тул ученический </v>
      </c>
    </row>
    <row r="3449" spans="1:8" ht="38.25" x14ac:dyDescent="0.2">
      <c r="A3449" s="31" t="s">
        <v>8266</v>
      </c>
      <c r="B3449" s="27" t="s">
        <v>8267</v>
      </c>
      <c r="C3449" s="27" t="s">
        <v>8268</v>
      </c>
      <c r="D3449" s="33" t="s">
        <v>14</v>
      </c>
      <c r="E3449" s="9"/>
      <c r="F3449" s="32"/>
      <c r="G3449" s="10">
        <v>11530</v>
      </c>
      <c r="H3449" s="30" t="str">
        <f ca="1">IFERROR(__xludf.DUMMYFUNCTION("LOWER(REGEXREPLACE(B3449&amp;"" ""&amp;C3449,""[^а-яa-z0-9 ]"","" ""))")," тул ученический рег   2018 100     размер спинки и сиденья согласно               1729 1 2019  тул ученический регулируемый   снование металлокаркас   иденье и спинка из гнутоклеенной фанеры ")</f>
        <v xml:space="preserve"> тул ученический рег   2018 100     размер спинки и сиденья согласно               1729 1 2019  тул ученический регулируемый   снование металлокаркас   иденье и спинка из гнутоклеенной фанеры </v>
      </c>
    </row>
    <row r="3450" spans="1:8" ht="38.25" x14ac:dyDescent="0.2">
      <c r="A3450" s="31" t="s">
        <v>8269</v>
      </c>
      <c r="B3450" s="27" t="s">
        <v>8270</v>
      </c>
      <c r="C3450" s="27" t="s">
        <v>8268</v>
      </c>
      <c r="D3450" s="33" t="s">
        <v>14</v>
      </c>
      <c r="E3450" s="9"/>
      <c r="F3450" s="32"/>
      <c r="G3450" s="10">
        <v>10329</v>
      </c>
      <c r="H3450" s="30" t="str">
        <f ca="1">IFERROR(__xludf.DUMMYFUNCTION("LOWER(REGEXREPLACE(B3450&amp;"" ""&amp;C3450,""[^а-яa-z0-9 ]"","" ""))")," тул ученический рег   2020 100     размер спинки и сиденья согласно               1729 1 2019  тул ученический регулируемый   снование металлокаркас   иденье и спинка из гнутоклеенной фанеры ")</f>
        <v xml:space="preserve"> тул ученический рег   2020 100     размер спинки и сиденья согласно               1729 1 2019  тул ученический регулируемый   снование металлокаркас   иденье и спинка из гнутоклеенной фанеры </v>
      </c>
    </row>
    <row r="3451" spans="1:8" ht="191.25" x14ac:dyDescent="0.2">
      <c r="A3451" s="31" t="s">
        <v>8271</v>
      </c>
      <c r="B3451" s="27" t="s">
        <v>8272</v>
      </c>
      <c r="C3451" s="27" t="s">
        <v>8273</v>
      </c>
      <c r="D3451" s="33" t="s">
        <v>14</v>
      </c>
      <c r="E3451" s="34">
        <v>2</v>
      </c>
      <c r="F3451" s="34">
        <v>4</v>
      </c>
      <c r="G3451" s="10">
        <v>33791</v>
      </c>
      <c r="H3451" s="30" t="str">
        <f ca="1">IFERROR(__xludf.DUMMYFUNCTION("LOWER(REGEXREPLACE(B3451&amp;"" ""&amp;C3451,""[^а-яa-z0-9 ]"","" ""))")," тул ученический регулируемый по высоте  основание металлокаркас  размер плоскоовальной трубы 40х20х1 2 1 4 мм и 30х15х1 2 1 4 мм  сиденье и спинка из полипропилена путем выдувного формования  размер спинки и сиденья согласно               1729 1 2019  ту"&amp;"л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а          1729 1 2019   ченический стул в основе имеет сборно разборный металлический каркас "&amp;"  ысота сиденья стула от пола до нижнего края регулируемая от 380 до 460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40х20х1 2 1 4 мм и 30х15х1 2"&amp;" 1 4 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цвет по согласованию с заказчиком    иденье стула изготавливается эргономичной фо"&amp;"рмой и имеет эффект воздушной  подушки     спинке имеется отверстие для руки   меются ударопрочные пластиковые подпятники на основание стула   а спинке стула имеется национальный узор")</f>
        <v xml:space="preserve"> тул ученический регулируемый по высоте  основание металлокаркас  размер плоскоовальной трубы 40х20х1 2 1 4 мм и 30х15х1 2 1 4 мм  сиденье и спинка из полипропилена путем выдувного формования  размер спинки и сиденья согласно               1729 1 2019  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а          1729 1 2019   ченический стул в основе имеет сборно разборный металлический каркас   ысота сиденья стула от пола до нижнего края регулируемая от 380 до 460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40х20х1 2 1 4 мм и 30х15х1 2 1 4 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цвет по согласованию с заказчиком    иденье стула изготавливается эргономичной формой и имеет эффект воздушной  подушки     спинке имеется отверстие для руки   меются ударопрочные пластиковые подпятники на основание стула   а спинке стула имеется национальный узор</v>
      </c>
    </row>
    <row r="3452" spans="1:8" ht="51" x14ac:dyDescent="0.2">
      <c r="A3452" s="31" t="s">
        <v>8274</v>
      </c>
      <c r="B3452" s="27" t="s">
        <v>8275</v>
      </c>
      <c r="C3452" s="27" t="s">
        <v>8276</v>
      </c>
      <c r="D3452" s="33" t="s">
        <v>14</v>
      </c>
      <c r="E3452" s="9"/>
      <c r="F3452" s="34">
        <v>6</v>
      </c>
      <c r="G3452" s="10">
        <v>45461</v>
      </c>
      <c r="H3452" s="30" t="str">
        <f ca="1">IFERROR(__xludf.DUMMYFUNCTION("LOWER(REGEXREPLACE(B3452&amp;"" ""&amp;C3452,""[^а-яa-z0-9 ]"","" ""))")," тул ученический  сиденье и спинка из полипропилена  каркас металлический  тул ученический  сиденье и спинка из полипропилена  для средних и старших классов    ысота сиденья от пола 460 мм   лубина и ширина сиденья стула не менее 400мм   рая имеют округле"&amp;"нную форму   меет выемку для ручки ")</f>
        <v xml:space="preserve"> тул ученический  сиденье и спинка из полипропилена  каркас металлический  тул ученический  сиденье и спинка из полипропилена  для средних и старших классов    ысота сиденья от пола 460 мм   лубина и ширина сиденья стула не менее 400мм   рая имеют округленную форму   меет выемку для ручки </v>
      </c>
    </row>
    <row r="3453" spans="1:8" ht="38.25" x14ac:dyDescent="0.2">
      <c r="A3453" s="31" t="s">
        <v>8277</v>
      </c>
      <c r="B3453" s="27" t="s">
        <v>8278</v>
      </c>
      <c r="C3453" s="27" t="s">
        <v>8278</v>
      </c>
      <c r="D3453" s="33" t="s">
        <v>14</v>
      </c>
      <c r="E3453" s="9"/>
      <c r="F3453" s="34">
        <v>8</v>
      </c>
      <c r="G3453" s="10">
        <v>55357</v>
      </c>
      <c r="H3453" s="30" t="str">
        <f ca="1">IFERROR(__xludf.DUMMYFUNCTION("LOWER(REGEXREPLACE(B3453&amp;"" ""&amp;C3453,""[^а-яa-z0-9 ]"","" ""))")," тул ученический лабораторный с регулирующим механизмом  сиденье и спинка из полипропилена  тул ученический лабораторный с регулирующим механизмом  сиденье и спинка из полипропилена")</f>
        <v xml:space="preserve"> тул ученический лабораторный с регулирующим механизмом  сиденье и спинка из полипропилена  тул ученический лабораторный с регулирующим механизмом  сиденье и спинка из полипропилена</v>
      </c>
    </row>
    <row r="3454" spans="1:8" ht="38.25" x14ac:dyDescent="0.2">
      <c r="A3454" s="31" t="s">
        <v>8279</v>
      </c>
      <c r="B3454" s="27" t="s">
        <v>8280</v>
      </c>
      <c r="C3454" s="27" t="s">
        <v>8281</v>
      </c>
      <c r="D3454" s="33" t="s">
        <v>14</v>
      </c>
      <c r="E3454" s="9"/>
      <c r="F3454" s="32"/>
      <c r="G3454" s="10">
        <v>24640</v>
      </c>
      <c r="H3454" s="30" t="str">
        <f ca="1">IFERROR(__xludf.DUMMYFUNCTION("LOWER(REGEXREPLACE(B3454&amp;"" ""&amp;C3454,""[^а-яa-z0-9 ]"","" ""))")," тул ученический  основание металлокаркас  сиденье и спинка из фанеры  размер спинки и сиденья согласно               1729 1 2019  тул ученический  основание металлокаркас  сиденье и спинка из фанеры")</f>
        <v xml:space="preserve"> тул ученический  основание металлокаркас  сиденье и спинка из фанеры  размер спинки и сиденья согласно               1729 1 2019  тул ученический  основание металлокаркас  сиденье и спинка из фанеры</v>
      </c>
    </row>
    <row r="3455" spans="1:8" ht="153" x14ac:dyDescent="0.2">
      <c r="A3455" s="31" t="s">
        <v>8282</v>
      </c>
      <c r="B3455" s="27" t="s">
        <v>8283</v>
      </c>
      <c r="C3455" s="27" t="s">
        <v>8284</v>
      </c>
      <c r="D3455" s="33" t="s">
        <v>14</v>
      </c>
      <c r="E3455" s="34">
        <v>2</v>
      </c>
      <c r="F3455" s="35">
        <v>4.5999999999999996</v>
      </c>
      <c r="G3455" s="10">
        <v>41385</v>
      </c>
      <c r="H3455" s="30" t="str">
        <f ca="1">IFERROR(__xludf.DUMMYFUNCTION("LOWER(REGEXREPLACE(B3455&amp;"" ""&amp;C3455,""[^а-яa-z0-9 ]"","" ""))")," тул ученический регулируемый по высоте не менее 420 460мм и 340 380 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ченически"&amp;"й стул в основе имеет полностью сварной металлический каркас   ысота сиденья стула регулируемая не менее 420 460мм и 340 380 мм   тул ученический состоит из сборно разборного металлического каркаса   борно разборный каркас стула изготавливается из плоскоо"&amp;"вальной трубы размерами 50х25мм и 40х20мм и 30х15мм  толщина стенки трубы не менее 1 4мм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"&amp;" сиденье имеет 4 гайки с фланцем и насечкой  6 и крепяться к каркасу стула при помощи винта   6 20 мм  цвет по согласованию с заказчиком    спинке имеется отверстие для руки   меются ударопрочные пластиковые подпятники на основание стула ")</f>
        <v xml:space="preserve"> тул ученический регулируемый по высоте не менее 420 460мм и 340 380 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полностью сварной металлический каркас   ысота сиденья стула регулируемая не менее 420 460мм и 340 380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30х15мм  толщина стенки трубы не менее 1 4мм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сиденье имеет 4 гайки с фланцем и насечкой  6 и крепяться к каркасу стула при помощи винта   6 20 мм  цвет по согласованию с заказчиком    спинке имеется отверстие для руки   меются ударопрочные пластиковые подпятники на основание стула </v>
      </c>
    </row>
    <row r="3456" spans="1:8" ht="63.75" x14ac:dyDescent="0.2">
      <c r="A3456" s="31" t="s">
        <v>8285</v>
      </c>
      <c r="B3456" s="27" t="s">
        <v>8286</v>
      </c>
      <c r="C3456" s="27" t="s">
        <v>8287</v>
      </c>
      <c r="D3456" s="33" t="s">
        <v>14</v>
      </c>
      <c r="E3456" s="34">
        <v>2</v>
      </c>
      <c r="F3456" s="35">
        <v>3.6</v>
      </c>
      <c r="G3456" s="10">
        <v>13503</v>
      </c>
      <c r="H3456" s="30" t="str">
        <f ca="1">IFERROR(__xludf.DUMMYFUNCTION("LOWER(REGEXREPLACE(B3456&amp;"" ""&amp;C3456,""[^а-яa-z0-9 ]"","" ""))")," тул ученический типа  uno  сиденье и спинка из высокопрочного пластика   аркас из металической трубы плоскоовального сечения  иденье и спинка стула выполнены из высокопрочного пластика   аркас изготовлен из металической трубы плоскоовального сечения и ок"&amp;"рашен износостойкой порошковой краской   абаритные размеры  ширина 430мм  глубина 430 мм  высота сидения 450 мм  высота с учетом спинки 810 мм")</f>
        <v xml:space="preserve"> тул ученический типа  uno  сиденье и спинка из высокопрочного пластика   аркас из металической трубы плоскоовального сечения  иденье и спинка стула выполнены из высокопрочного пластика   аркас изготовлен из металической трубы плоскоовального сечения и окрашен износостойкой порошковой краской   абаритные размеры  ширина 430мм  глубина 430 мм  высота сидения 450 мм  высота с учетом спинки 810 мм</v>
      </c>
    </row>
    <row r="3457" spans="1:8" ht="76.5" x14ac:dyDescent="0.2">
      <c r="A3457" s="31" t="s">
        <v>8288</v>
      </c>
      <c r="B3457" s="27" t="s">
        <v>8289</v>
      </c>
      <c r="C3457" s="27" t="s">
        <v>8290</v>
      </c>
      <c r="D3457" s="33" t="s">
        <v>14</v>
      </c>
      <c r="E3457" s="34">
        <v>2</v>
      </c>
      <c r="F3457" s="34">
        <v>9</v>
      </c>
      <c r="G3457" s="10">
        <v>12616</v>
      </c>
      <c r="H3457" s="30" t="str">
        <f ca="1">IFERROR(__xludf.DUMMYFUNCTION("LOWER(REGEXREPLACE(B3457&amp;"" ""&amp;C3457,""[^а-яa-z0-9 ]"","" ""))")," тул ученический нерегулируемый по высоте  основание металлокаркас  сиденье и спинка из фанеры  размер спинки и сиденья согласно               1729 1 2019  ченический стул в основе имеет сварной металлический каркас  который изготовлен из плоскоовальных т"&amp;"руб размером 25х25мм  толщина стенки трубы не менее 1 4мм  окрашенной порошковой краской  цвет по согласованию с заказчиком   иденье и спинка стула изготовлены из фанеры  толщиной 10мм   оличество ножек 2шт ")</f>
        <v xml:space="preserve"> тул ученический нерегулируемый по высоте  основание металлокаркас  сиденье и спинка из фанеры  размер спинки и сиденья согласно               1729 1 2019  ченический стул в основе имеет сварной металлический каркас  который изготовлен из плоскоовальных труб размером 25х25мм  толщина стенки трубы не менее 1 4мм  окрашенной порошковой краской  цвет по согласованию с заказчиком   иденье и спинка стула изготовлены из фанеры  толщиной 10мм   оличество ножек 2шт </v>
      </c>
    </row>
    <row r="3458" spans="1:8" ht="38.25" x14ac:dyDescent="0.2">
      <c r="A3458" s="31" t="s">
        <v>8291</v>
      </c>
      <c r="B3458" s="27" t="s">
        <v>8292</v>
      </c>
      <c r="C3458" s="27" t="s">
        <v>8293</v>
      </c>
      <c r="D3458" s="33" t="s">
        <v>14</v>
      </c>
      <c r="E3458" s="34">
        <v>2</v>
      </c>
      <c r="F3458" s="34">
        <v>10</v>
      </c>
      <c r="G3458" s="10">
        <v>26215</v>
      </c>
      <c r="H3458" s="30" t="str">
        <f ca="1">IFERROR(__xludf.DUMMYFUNCTION("LOWER(REGEXREPLACE(B3458&amp;"" ""&amp;C3458,""[^а-яa-z0-9 ]"","" ""))")," тул ученический  сиденье и спинка из высокопрочного пластика   аркас из металической трубы плоскоовального сечения  атериал спинки и сиденья  пластик   атериал каркаса  металл   азмеры     х   х     380x750x380мм ")</f>
        <v xml:space="preserve"> тул ученический  сиденье и спинка из высокопрочного пластика   аркас из металической трубы плоскоовального сечения  атериал спинки и сиденья  пластик   атериал каркаса  металл   азмеры     х   х     380x750x380мм </v>
      </c>
    </row>
    <row r="3459" spans="1:8" ht="165.75" x14ac:dyDescent="0.2">
      <c r="A3459" s="31" t="s">
        <v>8294</v>
      </c>
      <c r="B3459" s="27" t="s">
        <v>8295</v>
      </c>
      <c r="C3459" s="27" t="s">
        <v>8296</v>
      </c>
      <c r="D3459" s="33" t="s">
        <v>14</v>
      </c>
      <c r="E3459" s="34">
        <v>2</v>
      </c>
      <c r="F3459" s="34">
        <v>8</v>
      </c>
      <c r="G3459" s="10">
        <v>28808</v>
      </c>
      <c r="H3459" s="30" t="str">
        <f ca="1">IFERROR(__xludf.DUMMYFUNCTION("LOWER(REGEXREPLACE(B3459&amp;"" ""&amp;C3459,""[^а-яa-z0-9 ]"","" ""))")," тул ученический регулируемый по высоте  основание металлокаркас  размер плоскоовальной трубы 50х25 1 4 мм и 40х20 1 4 мм  сиденье и спинка из полипропилена путем выдувного формования  размер спинки и сиденья согласно               1729 1 2019  тул ученич"&amp;"еский состоит из сборно разборного металлического каркаса регулируемый  изготовленных из полипропилена путем выдувного формования   борно разборный каркас стула состоит их верхней и нижней части   ерхняя часть каркаса стула изготавливается из плоскоовальн"&amp;"ой трубы 50х25мм и 40х20мм  толщина стенки трубы не менее 1 4мм  окрашенной полимерно порошковой краской  цвет по согласованию с заказчиком   иденье стула изготавливается эргономичной формой и имеет эффект воздушной  подушки    олщина сиденья без нагрузки"&amp;" 45мм   оверхность сиденья имеет перфорацию в виде отверстий диаметром 1мм   ередние углы сидения скруглены радиусом 80мм    середине спинки стула имеется отверстие в форме ручки для подъема и переноса стула   вет металлического каркаса по согласованию   "&amp;"аглушки на основании ножек и переходник пластиковые черного цвета ")</f>
        <v xml:space="preserve"> тул ученический регулируемый по высоте  основание металлокаркас  размер плоскоовальной трубы 50х25 1 4 мм и 40х20 1 4 мм  сиденье и спинка из полипропилена путем выдувного формования  размер спинки и сиденья согласно               1729 1 2019  тул ученический состоит из сборно разборного металлического каркаса регулируемый  изготовленных из полипропилена путем выдувного формования   борно разборный каркас стула состоит их верхней и нижней части   ерхняя часть каркаса стула изготавливается из плоскоовальной трубы 50х25мм и 40х20мм  толщина стенки трубы не менее 1 4мм  окрашенной полимерно порошковой краской  цвет по согласованию с заказчиком   иденье стула изготавливается эргономичной формой и имеет эффект воздушной  подушки    олщина сиденья без нагрузки 45мм   оверхность сиденья имеет перфорацию в виде отверстий диаметром 1мм   ередние углы сидения скруглены радиусом 80мм    середине спинки стула имеется отверстие в форме ручки для подъема и переноса стула   вет металлического каркаса по согласованию   аглушки на основании ножек и переходник пластиковые черного цвета </v>
      </c>
    </row>
    <row r="3460" spans="1:8" ht="114.75" x14ac:dyDescent="0.2">
      <c r="A3460" s="31" t="s">
        <v>8297</v>
      </c>
      <c r="B3460" s="27" t="s">
        <v>8298</v>
      </c>
      <c r="C3460" s="27" t="s">
        <v>8299</v>
      </c>
      <c r="D3460" s="33" t="s">
        <v>14</v>
      </c>
      <c r="E3460" s="34">
        <v>2</v>
      </c>
      <c r="F3460" s="34">
        <v>6</v>
      </c>
      <c r="G3460" s="10">
        <v>44088</v>
      </c>
      <c r="H3460" s="30" t="str">
        <f ca="1">IFERROR(__xludf.DUMMYFUNCTION("LOWER(REGEXREPLACE(B3460&amp;"" ""&amp;C3460,""[^а-яa-z0-9 ]"","" ""))")," тул ученический  сиденье и спинка из полипропилена  сиденье 400х400мм  металлический каркас  тул школьный   ожки из круглого профиля из гнутой стали диаметром 21 3 мм  толщиной 2 8 мм  ножки имеют   образную форму  однородный гнутый стальной профиль без "&amp;"сварных швов  покрашен полимерной порошковой краской  шестая ростовая группа  имеет пластиковые заглушки   иденье   полипропилен 60 мм с двойными стенками и надутой подушкой  сиденье имеет перфорацию 2 мм для воздухонепроницаемости   лубина и ширина сиден"&amp;"ья стула 400 мм  края округленой формы   пинка имеет отверстия 80 мм  ширина спинки 400мм  высота спинки от сидения 400мм  высота спинки от пола 860мм ")</f>
        <v xml:space="preserve"> тул ученический  сиденье и спинка из полипропилена  сиденье 400х400мм  металлический каркас  тул школьный   ожки из круглого профиля из гнутой стали диаметром 21 3 мм  толщиной 2 8 мм  ножки имеют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иденье   полипропилен 60 мм с двойными стенками и надутой подушкой  сиденье имеет перфорацию 2 мм для воздухонепроницаемости   лубина и ширина сиденья стула 400 мм  края округленой формы   пинка имеет отверстия 80 мм  ширина спинки 400мм  высота спинки от сидения 400мм  высота спинки от пола 860мм </v>
      </c>
    </row>
    <row r="3461" spans="1:8" ht="153" x14ac:dyDescent="0.2">
      <c r="A3461" s="31" t="s">
        <v>8300</v>
      </c>
      <c r="B3461" s="8" t="s">
        <v>8301</v>
      </c>
      <c r="C3461" s="27" t="s">
        <v>8302</v>
      </c>
      <c r="D3461" s="33" t="s">
        <v>14</v>
      </c>
      <c r="E3461" s="34">
        <v>2</v>
      </c>
      <c r="F3461" s="34">
        <v>5</v>
      </c>
      <c r="G3461" s="10">
        <v>43185</v>
      </c>
      <c r="H3461" s="30" t="str">
        <f ca="1">IFERROR(__xludf.DUMMYFUNCTION("LOWER(REGEXREPLACE(B3461&amp;"" ""&amp;C3461,""[^а-яa-z0-9 ]"","" ""))")," тул ученический регулируемый по высоте 420 460мм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"&amp;"полностью сварной металлический каркас   ысота сиденья стула регулируемая 420 460мм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"&amp;"30х15мм  толщина стенки трубы не менее 1 4мм   еталлические детали окрашены методом электростатического порошкового напыления   иденье и спинка стула  изготовлены из прочного полипропилена путем выдувного формования  устойчивы к    лучам и не обесцвечиваю"&amp;"тся   олщина пластика 3 мм    спинке имеется отверстие для руки   меются ударопрочные пластиковые литьевые заглушки стула   иденье крепится к каркасу с помощью винта  6x25мм  вкручивая его в отверстия каркаса ")</f>
        <v xml:space="preserve"> тул ученический регулируемый по высоте 420 460мм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полностью сварной металлический каркас   ысота сиденья стула регулируемая 420 460мм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30х15мм  толщина стенки трубы не менее 1 4мм   еталлические детали окрашены методом электростатического порошкового напыления   иденье и спинка стула  изготовлены из прочного полипропилена путем выдувного формования  устойчивы к    лучам и не обесцвечиваются   олщина пластика 3 мм    спинке имеется отверстие для руки   меются ударопрочные пластиковые литьевые заглушки стула   иденье крепится к каркасу с помощью винта  6x25мм  вкручивая его в отверстия каркаса </v>
      </c>
    </row>
    <row r="3462" spans="1:8" ht="51" x14ac:dyDescent="0.2">
      <c r="A3462" s="31" t="s">
        <v>8303</v>
      </c>
      <c r="B3462" s="27" t="s">
        <v>8304</v>
      </c>
      <c r="C3462" s="27" t="s">
        <v>8305</v>
      </c>
      <c r="D3462" s="33" t="s">
        <v>14</v>
      </c>
      <c r="E3462" s="34">
        <v>2</v>
      </c>
      <c r="F3462" s="35">
        <v>4.8</v>
      </c>
      <c r="G3462" s="10">
        <v>16368</v>
      </c>
      <c r="H3462" s="30" t="str">
        <f ca="1">IFERROR(__xludf.DUMMYFUNCTION("LOWER(REGEXREPLACE(B3462&amp;"" ""&amp;C3462,""[^а-яa-z0-9 ]"","" ""))")," тул ученический регулируемый по высоте  основание металлокаркас  сиденье и спинка из фанеры  размер спинки и сиденья согласно               1729 1 2019  тул ученический   иденье и спинка из гнутоклееной фанеры   аркас на прямоугольной трубе   егулировка "&amp;"высоты осуществляется в соответствие с ростовыми группами  1 4   3 5   3 6   5 7")</f>
        <v xml:space="preserve"> тул ученический регулируемый по высоте  основание металлокаркас  сиденье и спинка из фанеры  размер спинки и сиденья согласно               1729 1 2019  тул ученический   иденье и спинка из гнутоклееной фанеры   аркас на прямоугольной трубе   егулировка высоты осуществляется в соответствие с ростовыми группами  1 4   3 5   3 6   5 7</v>
      </c>
    </row>
    <row r="3463" spans="1:8" ht="63.75" x14ac:dyDescent="0.2">
      <c r="A3463" s="31" t="s">
        <v>8306</v>
      </c>
      <c r="B3463" s="8" t="s">
        <v>8307</v>
      </c>
      <c r="C3463" s="27" t="s">
        <v>8308</v>
      </c>
      <c r="D3463" s="33" t="s">
        <v>14</v>
      </c>
      <c r="E3463" s="34">
        <v>2</v>
      </c>
      <c r="F3463" s="34">
        <v>7</v>
      </c>
      <c r="G3463" s="10">
        <v>35099</v>
      </c>
      <c r="H3463" s="30" t="str">
        <f ca="1">IFERROR(__xludf.DUMMYFUNCTION("LOWER(REGEXREPLACE(B3463&amp;"" ""&amp;C3463,""[^а-яa-z0-9 ]"","" ""))")," тул ученический  сиденье и спинка из полипропилен  стальные смешанные   образные  металлические ножки  тул ученический типа  оноблок  полипропилен  надувной пластиковый моноблок   тальные смешанные   образные  металлические ножки  окрашенные электростати"&amp;"ческим порошком  цвет пластика и ножек по согласованию   азмеры  ширина сиденья  430мм  глубина сиденья  468мм  высота сиденья  435мм  высота стула  860мм")</f>
        <v xml:space="preserve"> тул ученический  сиденье и спинка из полипропилен  стальные смешанные   образные  металлические ножки  тул ученический типа  оноблок  полипропилен  надувной пластиковый моноблок   тальные смешанные   образные  металлические ножки  окрашенные электростатическим порошком  цвет пластика и ножек по согласованию   азмеры  ширина сиденья  430мм  глубина сиденья  468мм  высота сиденья  435мм  высота стула  860мм</v>
      </c>
    </row>
    <row r="3464" spans="1:8" ht="114.75" x14ac:dyDescent="0.2">
      <c r="A3464" s="31" t="s">
        <v>8309</v>
      </c>
      <c r="B3464" s="27" t="s">
        <v>8310</v>
      </c>
      <c r="C3464" s="27" t="s">
        <v>8311</v>
      </c>
      <c r="D3464" s="33" t="s">
        <v>14</v>
      </c>
      <c r="E3464" s="34">
        <v>2</v>
      </c>
      <c r="F3464" s="34">
        <v>8</v>
      </c>
      <c r="G3464" s="10">
        <v>32022</v>
      </c>
      <c r="H3464" s="30" t="str">
        <f ca="1">IFERROR(__xludf.DUMMYFUNCTION("LOWER(REGEXREPLACE(B3464&amp;"" ""&amp;C3464,""[^а-яa-z0-9 ]"","" ""))")," тул ученический регулируемый по высоте  основание металлокаркас  сиденье и спинка из пластика  размер спинки и сиденья согласно               1729 1 2019  ысота сиденья стула от пола до нижнего края регулируемая 420 460 500мм в соответствие с ростовой гр"&amp;"уппой  5 7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плоскоовально"&amp;"го сечения между опорами  толщина стенки трубы не менее 1 4мм   аркас окрашен полиэфирной порошковой краской   пинка и сиденье изготовлены из пластика   иденье с выжимом и изгибом переднего края   пинка радиусная с поясничным изгибом в нижней части   репя"&amp;"тся к каркасу с помощью винтов ")</f>
        <v xml:space="preserve"> тул ученический регулируемый по высоте  основание металлокаркас  сиденье и спинка из пластика  размер спинки и сиденья согласно               1729 1 2019  ысота сиденья стула от пола до нижнего края регулируемая 420 460 500мм в соответствие с ростовой группой  5 7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 4мм   аркас окрашен полиэфирной порошковой краской   пинка и сиденье изготовлены из пластика   иденье с выжимом и изгибом переднего края   пинка радиусная с поясничным изгибом в нижней части   репятся к каркасу с помощью винтов </v>
      </c>
    </row>
    <row r="3465" spans="1:8" ht="114.75" x14ac:dyDescent="0.2">
      <c r="A3465" s="31" t="s">
        <v>8312</v>
      </c>
      <c r="B3465" s="27" t="s">
        <v>8313</v>
      </c>
      <c r="C3465" s="27" t="s">
        <v>8314</v>
      </c>
      <c r="D3465" s="33" t="s">
        <v>14</v>
      </c>
      <c r="E3465" s="34">
        <v>2</v>
      </c>
      <c r="F3465" s="34">
        <v>8</v>
      </c>
      <c r="G3465" s="10">
        <v>26255</v>
      </c>
      <c r="H3465" s="30" t="str">
        <f ca="1">IFERROR(__xludf.DUMMYFUNCTION("LOWER(REGEXREPLACE(B3465&amp;"" ""&amp;C3465,""[^а-яa-z0-9 ]"","" ""))")," 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сиденья стула от пола до нижнего края регулируемая 340 380"&amp;"мм в соответствие с ростовой группой  3 4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с"&amp;"иденьем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f>
        <v xml:space="preserve"> 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сиденья стула от пола до нижнего края регулируемая 340 380мм в соответствие с ростовой группой  3 4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v>
      </c>
    </row>
    <row r="3466" spans="1:8" ht="102" x14ac:dyDescent="0.2">
      <c r="A3466" s="31" t="s">
        <v>8315</v>
      </c>
      <c r="B3466" s="27" t="s">
        <v>8316</v>
      </c>
      <c r="C3466" s="27" t="s">
        <v>8317</v>
      </c>
      <c r="D3466" s="33" t="s">
        <v>14</v>
      </c>
      <c r="E3466" s="34">
        <v>2</v>
      </c>
      <c r="F3466" s="34">
        <v>7</v>
      </c>
      <c r="G3466" s="10">
        <v>22027</v>
      </c>
      <c r="H3466" s="30" t="str">
        <f ca="1">IFERROR(__xludf.DUMMYFUNCTION("LOWER(REGEXREPLACE(B3466&amp;"" ""&amp;C3466,""[^а-яa-z0-9 ]"","" ""))")," 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стула фиксируемая 380мм   зделие базируется на прочном к"&amp;"аркасе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тр"&amp;"убы не менее 1 4мм   аркас окрашен полиэфирной порошковой краской   пинка и сиденье изготовлены из гнутоклееной березовой фанеры толщиной 9 мм ")</f>
        <v xml:space="preserve"> 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стула фиксируемая 380мм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v>
      </c>
    </row>
    <row r="3467" spans="1:8" ht="51" x14ac:dyDescent="0.2">
      <c r="A3467" s="31" t="s">
        <v>8318</v>
      </c>
      <c r="B3467" s="27" t="s">
        <v>8319</v>
      </c>
      <c r="C3467" s="27" t="s">
        <v>8320</v>
      </c>
      <c r="D3467" s="33" t="s">
        <v>14</v>
      </c>
      <c r="E3467" s="34">
        <v>2</v>
      </c>
      <c r="F3467" s="34">
        <v>4</v>
      </c>
      <c r="G3467" s="10">
        <v>23181</v>
      </c>
      <c r="H3467" s="30" t="str">
        <f ca="1">IFERROR(__xludf.DUMMYFUNCTION("LOWER(REGEXREPLACE(B3467&amp;"" ""&amp;C3467,""[^а-яa-z0-9 ]"","" ""))")," тул ученический лабораторный винтовой   иденье из     пластика диаметром 300мм  каркас из овальной трубы  тул лабораторный   тул диаметром 300мм и высотой 450 500мм   иденье из     пластика   аркас из овальной трубы размером 40 х 20 х 1 5 мм  окрашенной "&amp;"порошковой светло серой краской")</f>
        <v xml:space="preserve"> тул ученический лабораторный винтовой   иденье из     пластика диаметром 300мм  каркас из овальной трубы  тул лабораторный   тул диаметром 300мм и высотой 450 500мм   иденье из     пластика   аркас из овальной трубы размером 40 х 20 х 1 5 мм  окрашенной порошковой светло серой краской</v>
      </c>
    </row>
    <row r="3468" spans="1:8" ht="178.5" x14ac:dyDescent="0.2">
      <c r="A3468" s="31" t="s">
        <v>8321</v>
      </c>
      <c r="B3468" s="27" t="s">
        <v>8322</v>
      </c>
      <c r="C3468" s="27" t="s">
        <v>8323</v>
      </c>
      <c r="D3468" s="33" t="s">
        <v>14</v>
      </c>
      <c r="E3468" s="34">
        <v>2</v>
      </c>
      <c r="F3468" s="34">
        <v>6</v>
      </c>
      <c r="G3468" s="10">
        <v>17345</v>
      </c>
      <c r="H3468" s="30" t="str">
        <f ca="1">IFERROR(__xludf.DUMMYFUNCTION("LOWER(REGEXREPLACE(B3468&amp;"" ""&amp;C3468,""[^а-яa-z0-9 ]"","" ""))")," тул ученический регулируемый по высоте  основание металлокаркас  спинка и сиденье изготовлены из гнутоклеенной фанеры  тул ученический регулируемый на круглой трубе  регулируемый  гр 3 5    ысота стула регулируется и соответствует ростовой группе  3 5   "&amp;"ижняя часть каркаса сделана из трубы диаметром 25 мм  толщиной стенки 1 2 мм   ерхняя часть регулировочного механизма  сделана из трубы диаметром 28 мм  толщиной стенки 1 2 мм   а верхняя часть каркаса стула изготовлена из трубы диаметром 25 мм и толщиной"&amp;" 1 2 мм   есткость каркаса обеспечивается перемычкой из металлического прута диаметром 10 мм  под сидением   порная часть ноги имеет дугообразную форму с внутренним радиусом изгиба     иксирование по высоте должно происходить болтовым соединением  путем с"&amp;"овмещения отверстий  соответствующих ростовой группе   пинка и сиденье изготовлены из гнутоклеенной фанеры эргономичной формы  с многослойным покрытием бесцветным лаком   се углы притуплены и имеют радиус закругления   репеж спинки и сидушки осуществляетс"&amp;"я с помощью заклепки  а регулировка металлокаркаса с помощью винта и гайки   асвободныхконцахтрубустановленызаглушкиизударопрочныхполимеров ")</f>
        <v xml:space="preserve"> тул ученический регулируемый по высоте  основание металлокаркас  спинка и сиденье изготовлены из гнутоклеенной фанеры  тул ученический регулируемый на круглой трубе  регулируемый  гр 3 5    ысота стула регулируется и соответствует ростовой группе  3 5   ижняя часть каркаса сделана из трубы диаметром 25 мм  толщиной стенки 1 2 мм   ерхняя часть регулировочного механизма  сделана из трубы диаметром 28 мм  толщиной стенки 1 2 мм   а верхняя часть каркаса стула изготовлена из трубы диаметром 25 мм и толщиной 1 2 мм   есткость каркаса обеспечивается перемычкой из металлического прута диаметром 10 мм  под сидением   порная часть ноги имеет дугообразную форму с внутренним радиусом изгиба     иксирование по высоте должно происходить болтовым соединением  путем совмещения отверстий  соответствующих ростовой группе   пинка и сиденье изготовлены из гнутоклеенной фанеры эргономичной формы  с многослойным покрытием бесцветным лаком   се углы притуплены и имеют радиус закругления   репеж спинки и сидушки осуществляется с помощью заклепки  а регулировка металлокаркаса с помощью винта и гайки   асвободныхконцахтрубустановленызаглушкиизударопрочныхполимеров </v>
      </c>
    </row>
    <row r="3469" spans="1:8" ht="191.25" x14ac:dyDescent="0.2">
      <c r="A3469" s="31" t="s">
        <v>8324</v>
      </c>
      <c r="B3469" s="27" t="s">
        <v>8325</v>
      </c>
      <c r="C3469" s="27" t="s">
        <v>8326</v>
      </c>
      <c r="D3469" s="33" t="s">
        <v>14</v>
      </c>
      <c r="E3469" s="34">
        <v>2</v>
      </c>
      <c r="F3469" s="34">
        <v>5</v>
      </c>
      <c r="G3469" s="10">
        <v>17341</v>
      </c>
      <c r="H3469" s="30" t="str">
        <f ca="1">IFERROR(__xludf.DUMMYFUNCTION("LOWER(REGEXREPLACE(B3469&amp;"" ""&amp;C3469,""[^а-яa-z0-9 ]"","" ""))")," 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  тул по высоте соответствует 6 ростовой группе   тул состоит из металлического "&amp;"каркаса  спинка и сиденье эргономичной формы  толщиной не менее 20 мм из полиэтилена высокой плотности   азмер сидения 400х400 мм   а сидении имеются отверстия   ередние углы скруглены   аркас стула изготавливается из стальных плоскоовальных труб размерам"&amp;"и  40х20х1 2 мм и 30х15х1 2 мм   оковые опоры из плоскоовальной трубы по двум углам 148 и 78 градусов    снование крепятся к боковым стойкам посредством сварки и выполнено из трубы 30х15х1 2 мм   ежду боковыми опорами  устанавливается два усилителя перемы"&amp;"чки     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ля крепления сиденья имеются металлические пластины  через которые с помощью винтов  6 к"&amp;"репится сиденье   пинка одевается на боковые опоры и крепится с помощью саморезов   еталлический каркас окрашен эпоксидно полиэфирной порошковой краской   вет по согласованию с заказчиком по каталогу     ")</f>
        <v xml:space="preserve"> 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  тул по высоте соответствует 6 ростовой группе   тул состоит из металлического каркаса  спинка и сиденье эргономичной формы  толщиной не менее 20 мм из полиэтилена высокой плотности   азмер сидения 400х400 мм   а сидении имеются отверстия   ередние углы скруглены   аркас стула изготавливается из стальных плоскоовальных труб размерами  40х20х1 2 мм и 30х15х1 2 мм   оковые опоры из плоскоовальной трубы по двум углам 148 и 78 градусов    снование крепятся к боковым стойкам посредством сварки и выполнено из трубы 30х15х1 2 мм   ежду боковыми опорами  устанавливается два усилителя перемычки     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ля крепления сиденья имеются металлические пластины  через которые с помощью винтов  6 крепится сиденье   пинка одевается на боковые опоры и крепится с помощью саморезов   еталлический каркас окрашен эпоксидно полиэфирной порошковой краской   вет по согласованию с заказчиком по каталогу     </v>
      </c>
    </row>
    <row r="3470" spans="1:8" ht="12.75" x14ac:dyDescent="0.2">
      <c r="A3470" s="31" t="s">
        <v>8327</v>
      </c>
      <c r="B3470" s="27" t="s">
        <v>8328</v>
      </c>
      <c r="C3470" s="27"/>
      <c r="D3470" s="33" t="s">
        <v>14</v>
      </c>
      <c r="E3470" s="9"/>
      <c r="F3470" s="32"/>
      <c r="G3470" s="10"/>
      <c r="H3470" s="30" t="str">
        <f ca="1">IFERROR(__xludf.DUMMYFUNCTION("LOWER(REGEXREPLACE(B3470&amp;"" ""&amp;C3470,""[^а-яa-z0-9 ]"","" ""))")," тул или кресло для президиума ")</f>
        <v xml:space="preserve"> тул или кресло для президиума </v>
      </c>
    </row>
    <row r="3471" spans="1:8" ht="38.25" x14ac:dyDescent="0.2">
      <c r="A3471" s="31" t="s">
        <v>8329</v>
      </c>
      <c r="B3471" s="27" t="s">
        <v>8330</v>
      </c>
      <c r="C3471" s="27" t="s">
        <v>8331</v>
      </c>
      <c r="D3471" s="33" t="s">
        <v>14</v>
      </c>
      <c r="E3471" s="34">
        <v>2</v>
      </c>
      <c r="F3471" s="34">
        <v>12</v>
      </c>
      <c r="G3471" s="10">
        <v>40514</v>
      </c>
      <c r="H3471" s="30" t="str">
        <f ca="1">IFERROR(__xludf.DUMMYFUNCTION("LOWER(REGEXREPLACE(B3471&amp;"" ""&amp;C3471,""[^а-яa-z0-9 ]"","" ""))")," ресло для конференц зала типа  uno  крестовина хром  подголовник нерегулируемый  подлокотники хромированные  екомендованная максимальная нагрузка до 120 кг   вет подлокотника и каркаса  белый   атериал обивки  ткань сетка")</f>
        <v xml:space="preserve"> ресло для конференц зала типа  uno  крестовина хром  подголовник нерегулируемый  подлокотники хромированные  екомендованная максимальная нагрузка до 120 кг   вет подлокотника и каркаса  белый   атериал обивки  ткань сетка</v>
      </c>
    </row>
    <row r="3472" spans="1:8" ht="12.75" x14ac:dyDescent="0.2">
      <c r="A3472" s="31" t="s">
        <v>8332</v>
      </c>
      <c r="B3472" s="27" t="s">
        <v>8333</v>
      </c>
      <c r="C3472" s="27"/>
      <c r="D3472" s="33" t="s">
        <v>14</v>
      </c>
      <c r="E3472" s="9"/>
      <c r="F3472" s="32"/>
      <c r="G3472" s="10"/>
      <c r="H3472" s="30" t="str">
        <f ca="1">IFERROR(__xludf.DUMMYFUNCTION("LOWER(REGEXREPLACE(B3472&amp;"" ""&amp;C3472,""[^а-яa-z0-9 ]"","" ""))")," ресло руководителя ")</f>
        <v xml:space="preserve"> ресло руководителя </v>
      </c>
    </row>
    <row r="3473" spans="1:8" ht="76.5" x14ac:dyDescent="0.2">
      <c r="A3473" s="31" t="s">
        <v>8334</v>
      </c>
      <c r="B3473" s="8" t="s">
        <v>8335</v>
      </c>
      <c r="C3473" s="27"/>
      <c r="D3473" s="33" t="s">
        <v>14</v>
      </c>
      <c r="E3473" s="9"/>
      <c r="F3473" s="32"/>
      <c r="G3473" s="10">
        <v>50216</v>
      </c>
      <c r="H3473" s="30" t="str">
        <f ca="1">IFERROR(__xludf.DUMMYFUNCTION("LOWER(REGEXREPLACE(B3473&amp;"" ""&amp;C3473,""[^а-яa-z0-9 ]"","" ""))")," ресло  модель     555    ысота  1090 1190 мм  высота от пола до сидения  460 560 мм  высота спинки  645 мм  ширина  510 мм  глубина  480 мм  материал  крестовина d700     подлокотники   пластик 303  эко кожа   обивка   эко кожа ")</f>
        <v xml:space="preserve"> ресло  модель     555    ысота  1090 1190 мм  высота от пола до сидения  460 560 мм  высота спинки  645 мм  ширина  510 мм  глубина  480 мм  материал  крестовина d700     подлокотники   пластик 303  эко кожа   обивка   эко кожа </v>
      </c>
    </row>
    <row r="3474" spans="1:8" ht="63.75" x14ac:dyDescent="0.2">
      <c r="A3474" s="31" t="s">
        <v>8336</v>
      </c>
      <c r="B3474" s="27" t="s">
        <v>8337</v>
      </c>
      <c r="C3474" s="27"/>
      <c r="D3474" s="33" t="s">
        <v>14</v>
      </c>
      <c r="E3474" s="9"/>
      <c r="F3474" s="32"/>
      <c r="G3474" s="10">
        <v>43705</v>
      </c>
      <c r="H3474" s="30" t="str">
        <f ca="1">IFERROR(__xludf.DUMMYFUNCTION("LOWER(REGEXREPLACE(B3474&amp;"" ""&amp;C3474,""[^а-яa-z0-9 ]"","" ""))")," ресло  модель     555    ысота  1090 1190 мм  высота от пола до сидения  460 560 мм  высота спинки  645 мм  ширина  510 мм  глубина  480 мм  материал  крестовина пластик  подлокотники   пластик  енатор  обивка   эко кожа ")</f>
        <v xml:space="preserve"> ресло  модель     555    ысота  1090 1190 мм  высота от пола до сидения  460 560 мм  высота спинки  645 мм  ширина  510 мм  глубина  480 мм  материал  крестовина пластик  подлокотники   пластик  енатор  обивка   эко кожа </v>
      </c>
    </row>
    <row r="3475" spans="1:8" ht="63.75" x14ac:dyDescent="0.2">
      <c r="A3475" s="31" t="s">
        <v>8338</v>
      </c>
      <c r="B3475" s="27" t="s">
        <v>8339</v>
      </c>
      <c r="C3475" s="27"/>
      <c r="D3475" s="33" t="s">
        <v>14</v>
      </c>
      <c r="E3475" s="9"/>
      <c r="F3475" s="32"/>
      <c r="G3475" s="10">
        <v>45643</v>
      </c>
      <c r="H3475" s="30" t="str">
        <f ca="1">IFERROR(__xludf.DUMMYFUNCTION("LOWER(REGEXREPLACE(B3475&amp;"" ""&amp;C3475,""[^а-яa-z0-9 ]"","" ""))")," ресло  модель     88    ысота  1160 мм  высота спинки  700 мм  ширина  480 мм  глубина  480 мм  материал  крестовина   хром металл       подлокотники   хром 196 506  обивка   сетка  гобелен ")</f>
        <v xml:space="preserve"> ресло  модель     88    ысота  1160 мм  высота спинки  700 мм  ширина  480 мм  глубина  480 мм  материал  крестовина   хром металл       подлокотники   хром 196 506  обивка   сетка  гобелен </v>
      </c>
    </row>
    <row r="3476" spans="1:8" ht="63.75" x14ac:dyDescent="0.2">
      <c r="A3476" s="31" t="s">
        <v>8340</v>
      </c>
      <c r="B3476" s="27" t="s">
        <v>8341</v>
      </c>
      <c r="C3476" s="27"/>
      <c r="D3476" s="33" t="s">
        <v>14</v>
      </c>
      <c r="E3476" s="9"/>
      <c r="F3476" s="32"/>
      <c r="G3476" s="10">
        <v>79848</v>
      </c>
      <c r="H3476" s="30" t="str">
        <f ca="1">IFERROR(__xludf.DUMMYFUNCTION("LOWER(REGEXREPLACE(B3476&amp;"" ""&amp;C3476,""[^а-яa-z0-9 ]"","" ""))")," ресло  модель     888    ысота  1200 1300 мм  высота от пола до сидения  480 580 мм  высота спинки  770 мм  ширина  500 мм  глубина  490 мм  подлокотники    01     крестовина хромированная ")</f>
        <v xml:space="preserve"> ресло  модель     888    ысота  1200 1300 мм  высота от пола до сидения  480 580 мм  высота спинки  770 мм  ширина  500 мм  глубина  490 мм  подлокотники    01     крестовина хромированная </v>
      </c>
    </row>
    <row r="3477" spans="1:8" ht="63.75" x14ac:dyDescent="0.2">
      <c r="A3477" s="31" t="s">
        <v>8342</v>
      </c>
      <c r="B3477" s="27" t="s">
        <v>8343</v>
      </c>
      <c r="C3477" s="27"/>
      <c r="D3477" s="33" t="s">
        <v>14</v>
      </c>
      <c r="E3477" s="9"/>
      <c r="F3477" s="32"/>
      <c r="G3477" s="10">
        <v>76336</v>
      </c>
      <c r="H3477" s="30" t="str">
        <f ca="1">IFERROR(__xludf.DUMMYFUNCTION("LOWER(REGEXREPLACE(B3477&amp;"" ""&amp;C3477,""[^а-яa-z0-9 ]"","" ""))")," ресло  модель     888    ысота  1200 1300 мм  высота от пола до сидения  480 580 мм  высота спинки  770 мм  ширина  500 мм  глубина  490 мм  подлокотники хромированные   16   17  крестовина хромированная ")</f>
        <v xml:space="preserve"> ресло  модель     888    ысота  1200 1300 мм  высота от пола до сидения  480 580 мм  высота спинки  770 мм  ширина  500 мм  глубина  490 мм  подлокотники хромированные   16   17  крестовина хромированная </v>
      </c>
    </row>
    <row r="3478" spans="1:8" ht="51" x14ac:dyDescent="0.2">
      <c r="A3478" s="31" t="s">
        <v>8344</v>
      </c>
      <c r="B3478" s="27" t="s">
        <v>8345</v>
      </c>
      <c r="C3478" s="27"/>
      <c r="D3478" s="33" t="s">
        <v>14</v>
      </c>
      <c r="E3478" s="9"/>
      <c r="F3478" s="32"/>
      <c r="G3478" s="10">
        <v>60077</v>
      </c>
      <c r="H3478" s="30" t="str">
        <f ca="1">IFERROR(__xludf.DUMMYFUNCTION("LOWER(REGEXREPLACE(B3478&amp;"" ""&amp;C3478,""[^а-яa-z0-9 ]"","" ""))")," ресло  модель   зат    ысота спинки  760 мм  ширина  500 мм  длина  510 мм  материал  крестовина  пластик  подлокотники   пластик  енатор  обивка   эко кожа ")</f>
        <v xml:space="preserve"> ресло  модель   зат    ысота спинки  760 мм  ширина  500 мм  длина  510 мм  материал  крестовина  пластик  подлокотники   пластик  енатор  обивка   эко кожа </v>
      </c>
    </row>
    <row r="3479" spans="1:8" ht="51" x14ac:dyDescent="0.2">
      <c r="A3479" s="31" t="s">
        <v>8346</v>
      </c>
      <c r="B3479" s="27" t="s">
        <v>8347</v>
      </c>
      <c r="C3479" s="27"/>
      <c r="D3479" s="33" t="s">
        <v>14</v>
      </c>
      <c r="E3479" s="9"/>
      <c r="F3479" s="32"/>
      <c r="G3479" s="10">
        <v>55846</v>
      </c>
      <c r="H3479" s="30" t="str">
        <f ca="1">IFERROR(__xludf.DUMMYFUNCTION("LOWER(REGEXREPLACE(B3479&amp;"" ""&amp;C3479,""[^а-яa-z0-9 ]"","" ""))")," ресло  модель   зат    ысота спинки  760 мм  ширина  500 мм  глубина  510 мм  материал  полозья   металл  подлокотники   пластик 818  эко кожа   обивка   гобелен  эко кожа ")</f>
        <v xml:space="preserve"> ресло  модель   зат    ысота спинки  760 мм  ширина  500 мм  глубина  510 мм  материал  полозья   металл  подлокотники   пластик 818  эко кожа   обивка   гобелен  эко кожа </v>
      </c>
    </row>
    <row r="3480" spans="1:8" ht="63.75" x14ac:dyDescent="0.2">
      <c r="A3480" s="31" t="s">
        <v>8348</v>
      </c>
      <c r="B3480" s="27" t="s">
        <v>8349</v>
      </c>
      <c r="C3480" s="27"/>
      <c r="D3480" s="33" t="s">
        <v>14</v>
      </c>
      <c r="E3480" s="9"/>
      <c r="F3480" s="32"/>
      <c r="G3480" s="10">
        <v>53391</v>
      </c>
      <c r="H3480" s="30" t="str">
        <f ca="1">IFERROR(__xludf.DUMMYFUNCTION("LOWER(REGEXREPLACE(B3480&amp;"" ""&amp;C3480,""[^а-яa-z0-9 ]"","" ""))")," ресло  модель   зат    ысота спинки  760 мм  ширина  500 мм  глубина  510 мм  материал  крестовина   пластик d680  подлокотники   пластик 818 1  эко кожа   обивка   гобелен  эко кожа ")</f>
        <v xml:space="preserve"> ресло  модель   зат    ысота спинки  760 мм  ширина  500 мм  глубина  510 мм  материал  крестовина   пластик d680  подлокотники   пластик 818 1  эко кожа   обивка   гобелен  эко кожа </v>
      </c>
    </row>
    <row r="3481" spans="1:8" ht="51" x14ac:dyDescent="0.2">
      <c r="A3481" s="31" t="s">
        <v>8350</v>
      </c>
      <c r="B3481" s="27" t="s">
        <v>8351</v>
      </c>
      <c r="C3481" s="27"/>
      <c r="D3481" s="33" t="s">
        <v>14</v>
      </c>
      <c r="E3481" s="9"/>
      <c r="F3481" s="32"/>
      <c r="G3481" s="10">
        <v>60077</v>
      </c>
      <c r="H3481" s="30" t="str">
        <f ca="1">IFERROR(__xludf.DUMMYFUNCTION("LOWER(REGEXREPLACE(B3481&amp;"" ""&amp;C3481,""[^а-яa-z0-9 ]"","" ""))")," ресло  модель   зат    ысота спинки  760 мм  ширина  500 мм  глубина  510 мм  материал  крестовина   пластик d680     подлокотники   пластик 818 1  эко кожа   обивка   эко кожа ")</f>
        <v xml:space="preserve"> ресло  модель   зат    ысота спинки  760 мм  ширина  500 мм  глубина  510 мм  материал  крестовина   пластик d680     подлокотники   пластик 818 1  эко кожа   обивка   эко кожа </v>
      </c>
    </row>
    <row r="3482" spans="1:8" ht="63.75" x14ac:dyDescent="0.2">
      <c r="A3482" s="31" t="s">
        <v>8352</v>
      </c>
      <c r="B3482" s="8" t="s">
        <v>8353</v>
      </c>
      <c r="C3482" s="27"/>
      <c r="D3482" s="33" t="s">
        <v>14</v>
      </c>
      <c r="E3482" s="9"/>
      <c r="F3482" s="32"/>
      <c r="G3482" s="10">
        <v>74933</v>
      </c>
      <c r="H3482" s="30" t="str">
        <f ca="1">IFERROR(__xludf.DUMMYFUNCTION("LOWER(REGEXREPLACE(B3482&amp;"" ""&amp;C3482,""[^а-яa-z0-9 ]"","" ""))")," ресло  модель   зат    ысота спинки  760 мм  ширина  500 мм  глубина  510 мм  материал  крестовина   хром  подлокотники   хром  эко кожа 420  обивка   гобелен  эко кожа ")</f>
        <v xml:space="preserve"> ресло  модель   зат    ысота спинки  760 мм  ширина  500 мм  глубина  510 мм  материал  крестовина   хром  подлокотники   хром  эко кожа 420  обивка   гобелен  эко кожа </v>
      </c>
    </row>
    <row r="3483" spans="1:8" ht="51" x14ac:dyDescent="0.2">
      <c r="A3483" s="31" t="s">
        <v>8354</v>
      </c>
      <c r="B3483" s="27" t="s">
        <v>8355</v>
      </c>
      <c r="C3483" s="27"/>
      <c r="D3483" s="33" t="s">
        <v>14</v>
      </c>
      <c r="E3483" s="9"/>
      <c r="F3483" s="32"/>
      <c r="G3483" s="10">
        <v>73611</v>
      </c>
      <c r="H3483" s="30" t="str">
        <f ca="1">IFERROR(__xludf.DUMMYFUNCTION("LOWER(REGEXREPLACE(B3483&amp;"" ""&amp;C3483,""[^а-яa-z0-9 ]"","" ""))")," ресло  модель   льберт    ысота спинки  770 мм  ширина  500 мм  глубина  500 мм  материал  крестовина   хром  подлокотники   хром  эко кожа 420 ")</f>
        <v xml:space="preserve"> ресло  модель   льберт    ысота спинки  770 мм  ширина  500 мм  глубина  500 мм  материал  крестовина   хром  подлокотники   хром  эко кожа 420 </v>
      </c>
    </row>
    <row r="3484" spans="1:8" ht="51" x14ac:dyDescent="0.2">
      <c r="A3484" s="31" t="s">
        <v>8356</v>
      </c>
      <c r="B3484" s="8" t="s">
        <v>8357</v>
      </c>
      <c r="C3484" s="27"/>
      <c r="D3484" s="33" t="s">
        <v>14</v>
      </c>
      <c r="E3484" s="9"/>
      <c r="F3484" s="32"/>
      <c r="G3484" s="10">
        <v>57284</v>
      </c>
      <c r="H3484" s="30" t="str">
        <f ca="1">IFERROR(__xludf.DUMMYFUNCTION("LOWER(REGEXREPLACE(B3484&amp;"" ""&amp;C3484,""[^а-яa-z0-9 ]"","" ""))")," ресло  модель   льберт    ысота спинки  770 мм  ширина  500 мм  глубина  500 мм  материал  крестовина пластик 680  подлокотники   пластик 818  эко кожа  ")</f>
        <v xml:space="preserve"> ресло  модель   льберт    ысота спинки  770 мм  ширина  500 мм  глубина  500 мм  материал  крестовина пластик 680  подлокотники   пластик 818  эко кожа  </v>
      </c>
    </row>
    <row r="3485" spans="1:8" ht="63.75" x14ac:dyDescent="0.2">
      <c r="A3485" s="31" t="s">
        <v>8358</v>
      </c>
      <c r="B3485" s="27" t="s">
        <v>8359</v>
      </c>
      <c r="C3485" s="27"/>
      <c r="D3485" s="33" t="s">
        <v>14</v>
      </c>
      <c r="E3485" s="9"/>
      <c r="F3485" s="32"/>
      <c r="G3485" s="10">
        <v>53615</v>
      </c>
      <c r="H3485" s="30" t="str">
        <f ca="1">IFERROR(__xludf.DUMMYFUNCTION("LOWER(REGEXREPLACE(B3485&amp;"" ""&amp;C3485,""[^а-яa-z0-9 ]"","" ""))")," ресло  модель   рлан    ысота спинки  750 мм  ширина  510 мм  глубина  535 мм  материал  крестовина  пластик d680    011  подлокотники   пластик 818  эко кожа  двойная строчка   обивка    эко кожа  двойная строчка ")</f>
        <v xml:space="preserve"> ресло  модель   рлан    ысота спинки  750 мм  ширина  510 мм  глубина  535 мм  материал  крестовина  пластик d680    011  подлокотники   пластик 818  эко кожа  двойная строчка   обивка    эко кожа  двойная строчка </v>
      </c>
    </row>
    <row r="3486" spans="1:8" ht="51" x14ac:dyDescent="0.2">
      <c r="A3486" s="31" t="s">
        <v>8360</v>
      </c>
      <c r="B3486" s="27" t="s">
        <v>8361</v>
      </c>
      <c r="C3486" s="27"/>
      <c r="D3486" s="33" t="s">
        <v>14</v>
      </c>
      <c r="E3486" s="9"/>
      <c r="F3486" s="32"/>
      <c r="G3486" s="10">
        <v>53777</v>
      </c>
      <c r="H3486" s="30" t="str">
        <f ca="1">IFERROR(__xludf.DUMMYFUNCTION("LOWER(REGEXREPLACE(B3486&amp;"" ""&amp;C3486,""[^а-яa-z0-9 ]"","" ""))")," ресло  модель   ртур  2    ысота спинки  670 мм  ширина  500 мм  глубина  500 мм  материал  крестовина d680  подлокотники   пластик  эко кожа   обивка    эко кожа ")</f>
        <v xml:space="preserve"> ресло  модель   ртур  2    ысота спинки  670 мм  ширина  500 мм  глубина  500 мм  материал  крестовина d680  подлокотники   пластик  эко кожа   обивка    эко кожа </v>
      </c>
    </row>
    <row r="3487" spans="1:8" ht="51" x14ac:dyDescent="0.2">
      <c r="A3487" s="31" t="s">
        <v>8362</v>
      </c>
      <c r="B3487" s="27" t="s">
        <v>8363</v>
      </c>
      <c r="C3487" s="27"/>
      <c r="D3487" s="33" t="s">
        <v>14</v>
      </c>
      <c r="E3487" s="9"/>
      <c r="F3487" s="32"/>
      <c r="G3487" s="10">
        <v>53777</v>
      </c>
      <c r="H3487" s="30" t="str">
        <f ca="1">IFERROR(__xludf.DUMMYFUNCTION("LOWER(REGEXREPLACE(B3487&amp;"" ""&amp;C3487,""[^а-яa-z0-9 ]"","" ""))")," ресло  модель   ртур  2    ысота спинки  670 мм  ширина  500 мм  глубина  500 мм  материал  крестовина d680  подлокотники   пластик 818 1  эко кожа   обивка    эко кожа ")</f>
        <v xml:space="preserve"> ресло  модель   ртур  2    ысота спинки  670 мм  ширина  500 мм  глубина  500 мм  материал  крестовина d680  подлокотники   пластик 818 1  эко кожа   обивка    эко кожа </v>
      </c>
    </row>
    <row r="3488" spans="1:8" ht="38.25" x14ac:dyDescent="0.2">
      <c r="A3488" s="31" t="s">
        <v>8364</v>
      </c>
      <c r="B3488" s="27" t="s">
        <v>8365</v>
      </c>
      <c r="C3488" s="27"/>
      <c r="D3488" s="33" t="s">
        <v>14</v>
      </c>
      <c r="E3488" s="9"/>
      <c r="F3488" s="32"/>
      <c r="G3488" s="10">
        <v>85643</v>
      </c>
      <c r="H3488" s="30" t="str">
        <f ca="1">IFERROR(__xludf.DUMMYFUNCTION("LOWER(REGEXREPLACE(B3488&amp;"" ""&amp;C3488,""[^а-яa-z0-9 ]"","" ""))")," ресло экокожа  подлокотники дерево хром  крестовина хром  высота сиденья регулируется  модель      879 ")</f>
        <v xml:space="preserve"> ресло экокожа  подлокотники дерево хром  крестовина хром  высота сиденья регулируется  модель      879 </v>
      </c>
    </row>
    <row r="3489" spans="1:8" ht="63.75" x14ac:dyDescent="0.2">
      <c r="A3489" s="31" t="s">
        <v>8366</v>
      </c>
      <c r="B3489" s="8" t="s">
        <v>8367</v>
      </c>
      <c r="C3489" s="27"/>
      <c r="D3489" s="33" t="s">
        <v>14</v>
      </c>
      <c r="E3489" s="9"/>
      <c r="F3489" s="32"/>
      <c r="G3489" s="10">
        <v>35427</v>
      </c>
      <c r="H3489" s="30" t="str">
        <f ca="1">IFERROR(__xludf.DUMMYFUNCTION("LOWER(REGEXREPLACE(B3489&amp;"" ""&amp;C3489,""[^а-яa-z0-9 ]"","" ""))")," ресло  модель     иректор  мет каркас     ысота спинки  640 мм  ширина  500 мм  глубина  480 мм  материал  крестовина пластик d660  подлокотники   пластик  енатор  обивка   гобелен ")</f>
        <v xml:space="preserve"> ресло  модель     иректор  мет каркас     ысота спинки  640 мм  ширина  500 мм  глубина  480 мм  материал  крестовина пластик d660  подлокотники   пластик  енатор  обивка   гобелен </v>
      </c>
    </row>
    <row r="3490" spans="1:8" ht="63.75" x14ac:dyDescent="0.2">
      <c r="A3490" s="31" t="s">
        <v>8368</v>
      </c>
      <c r="B3490" s="27" t="s">
        <v>8369</v>
      </c>
      <c r="C3490" s="27"/>
      <c r="D3490" s="33" t="s">
        <v>14</v>
      </c>
      <c r="E3490" s="9"/>
      <c r="F3490" s="32"/>
      <c r="G3490" s="10">
        <v>38330</v>
      </c>
      <c r="H3490" s="30" t="str">
        <f ca="1">IFERROR(__xludf.DUMMYFUNCTION("LOWER(REGEXREPLACE(B3490&amp;"" ""&amp;C3490,""[^а-яa-z0-9 ]"","" ""))")," ресло  модель     иректор  2    ысота спинки  640 мм  ширина  520 мм  глубина  490 мм  материал  крестовина   пластик  подлокотники   пластик  енатор  обивка   гобелен ")</f>
        <v xml:space="preserve"> ресло  модель     иректор  2    ысота спинки  640 мм  ширина  520 мм  глубина  490 мм  материал  крестовина   пластик  подлокотники   пластик  енатор  обивка   гобелен </v>
      </c>
    </row>
    <row r="3491" spans="1:8" ht="76.5" x14ac:dyDescent="0.2">
      <c r="A3491" s="31" t="s">
        <v>8370</v>
      </c>
      <c r="B3491" s="27" t="s">
        <v>8371</v>
      </c>
      <c r="C3491" s="27"/>
      <c r="D3491" s="33" t="s">
        <v>14</v>
      </c>
      <c r="E3491" s="9"/>
      <c r="F3491" s="32"/>
      <c r="G3491" s="10">
        <v>55808</v>
      </c>
      <c r="H3491" s="30" t="str">
        <f ca="1">IFERROR(__xludf.DUMMYFUNCTION("LOWER(REGEXREPLACE(B3491&amp;"" ""&amp;C3491,""[^а-яa-z0-9 ]"","" ""))")," ресло  модель     иректор  2    ысота  1040 1140 мм  высота от пола до сидения  470 570 мм  высота спинки  620 мм  ширина  530 мм  глубина  500 мм  материал  крестовина   пластик  350 10  350 8  подлокотники   пластик 603 609 613 627  обивка    эко кожа "&amp;"уплотненная ")</f>
        <v xml:space="preserve"> ресло  модель     иректор  2    ысота  1040 1140 мм  высота от пола до сидения  470 570 мм  высота спинки  620 мм  ширина  530 мм  глубина  500 мм  материал  крестовина   пластик  350 10  350 8  подлокотники   пластик 603 609 613 627  обивка    эко кожа уплотненная </v>
      </c>
    </row>
    <row r="3492" spans="1:8" ht="76.5" x14ac:dyDescent="0.2">
      <c r="A3492" s="31" t="s">
        <v>8372</v>
      </c>
      <c r="B3492" s="27" t="s">
        <v>8373</v>
      </c>
      <c r="C3492" s="27"/>
      <c r="D3492" s="33" t="s">
        <v>14</v>
      </c>
      <c r="E3492" s="9"/>
      <c r="F3492" s="32"/>
      <c r="G3492" s="10">
        <v>44107</v>
      </c>
      <c r="H3492" s="30" t="str">
        <f ca="1">IFERROR(__xludf.DUMMYFUNCTION("LOWER(REGEXREPLACE(B3492&amp;"" ""&amp;C3492,""[^а-яa-z0-9 ]"","" ""))")," ресло  модель     иректор  2    ысота  1040 1140 мм  высота от пола до сидения  470 570 мм  высота спинки  620 мм  ширина  530 мм  глубина  500 мм  материал  крестовина   пластик  подлокотники   пластик  енатор  обивка    эко кожа ")</f>
        <v xml:space="preserve"> ресло  модель     иректор  2    ысота  1040 1140 мм  высота от пола до сидения  470 570 мм  высота спинки  620 мм  ширина  530 мм  глубина  500 мм  материал  крестовина   пластик  подлокотники   пластик  енатор  обивка    эко кожа </v>
      </c>
    </row>
    <row r="3493" spans="1:8" ht="25.5" x14ac:dyDescent="0.2">
      <c r="A3493" s="31" t="s">
        <v>8374</v>
      </c>
      <c r="B3493" s="27" t="s">
        <v>8375</v>
      </c>
      <c r="C3493" s="27"/>
      <c r="D3493" s="33" t="s">
        <v>14</v>
      </c>
      <c r="E3493" s="9"/>
      <c r="F3493" s="32"/>
      <c r="G3493" s="10">
        <v>136206</v>
      </c>
      <c r="H3493" s="30" t="str">
        <f ca="1">IFERROR(__xludf.DUMMYFUNCTION("LOWER(REGEXREPLACE(B3493&amp;"" ""&amp;C3493,""[^а-яa-z0-9 ]"","" ""))")," ресло кожзам с деревянными подлокотниками  крестовина дерево  модель  естерфилд ")</f>
        <v xml:space="preserve"> ресло кожзам с деревянными подлокотниками  крестовина дерево  модель  естерфилд </v>
      </c>
    </row>
    <row r="3494" spans="1:8" ht="63.75" x14ac:dyDescent="0.2">
      <c r="A3494" s="31" t="s">
        <v>8376</v>
      </c>
      <c r="B3494" s="8" t="s">
        <v>8377</v>
      </c>
      <c r="C3494" s="27"/>
      <c r="D3494" s="33" t="s">
        <v>14</v>
      </c>
      <c r="E3494" s="9"/>
      <c r="F3494" s="32"/>
      <c r="G3494" s="10">
        <v>143496</v>
      </c>
      <c r="H3494" s="30" t="str">
        <f ca="1">IFERROR(__xludf.DUMMYFUNCTION("LOWER(REGEXREPLACE(B3494&amp;"" ""&amp;C3494,""[^а-яa-z0-9 ]"","" ""))")," ресло  модель   атыр    ысота спинки  760 мм  ширина  580 мм  глубина  550 мм  материал  крестовина   дерево  подлокотники   дерево  омб  обивка   эко кожа ")</f>
        <v xml:space="preserve"> ресло  модель   атыр    ысота спинки  760 мм  ширина  580 мм  глубина  550 мм  материал  крестовина   дерево  подлокотники   дерево  омб  обивка   эко кожа </v>
      </c>
    </row>
    <row r="3495" spans="1:8" ht="25.5" x14ac:dyDescent="0.2">
      <c r="A3495" s="31" t="s">
        <v>8378</v>
      </c>
      <c r="B3495" s="27" t="s">
        <v>8379</v>
      </c>
      <c r="C3495" s="27"/>
      <c r="D3495" s="33" t="s">
        <v>14</v>
      </c>
      <c r="E3495" s="9"/>
      <c r="F3495" s="32"/>
      <c r="G3495" s="10">
        <v>54578</v>
      </c>
      <c r="H3495" s="30" t="str">
        <f ca="1">IFERROR(__xludf.DUMMYFUNCTION("LOWER(REGEXREPLACE(B3495&amp;"" ""&amp;C3495,""[^а-яa-z0-9 ]"","" ""))")," ресло кожзам с пластиковыми подлокотниками  крестовина пластик  модель  ркер 818 1 ")</f>
        <v xml:space="preserve"> ресло кожзам с пластиковыми подлокотниками  крестовина пластик  модель  ркер 818 1 </v>
      </c>
    </row>
    <row r="3496" spans="1:8" ht="51" x14ac:dyDescent="0.2">
      <c r="A3496" s="31" t="s">
        <v>8380</v>
      </c>
      <c r="B3496" s="27" t="s">
        <v>8381</v>
      </c>
      <c r="C3496" s="27"/>
      <c r="D3496" s="33" t="s">
        <v>14</v>
      </c>
      <c r="E3496" s="9"/>
      <c r="F3496" s="32"/>
      <c r="G3496" s="10">
        <v>75679</v>
      </c>
      <c r="H3496" s="30" t="str">
        <f ca="1">IFERROR(__xludf.DUMMYFUNCTION("LOWER(REGEXREPLACE(B3496&amp;"" ""&amp;C3496,""[^а-яa-z0-9 ]"","" ""))")," ресло  модель   ахыт    ысота спинки  790 мм  ширина  510 мм  глубина  490 мм  материал  крестовина   хром  подлокотники   хром 420  обивка   эко кожа ")</f>
        <v xml:space="preserve"> ресло  модель   ахыт    ысота спинки  790 мм  ширина  510 мм  глубина  490 мм  материал  крестовина   хром  подлокотники   хром 420  обивка   эко кожа </v>
      </c>
    </row>
    <row r="3497" spans="1:8" ht="38.25" x14ac:dyDescent="0.2">
      <c r="A3497" s="31" t="s">
        <v>8382</v>
      </c>
      <c r="B3497" s="27" t="s">
        <v>8383</v>
      </c>
      <c r="C3497" s="27"/>
      <c r="D3497" s="33" t="s">
        <v>14</v>
      </c>
      <c r="E3497" s="9"/>
      <c r="F3497" s="32"/>
      <c r="G3497" s="10">
        <v>56415</v>
      </c>
      <c r="H3497" s="30" t="str">
        <f ca="1">IFERROR(__xludf.DUMMYFUNCTION("LOWER(REGEXREPLACE(B3497&amp;"" ""&amp;C3497,""[^а-яa-z0-9 ]"","" ""))")," ресло  модель   ахыт    ысота спинки  790 мм  ширина  510 мм  глубина  490 мм  материал  обивка   эко кожа ")</f>
        <v xml:space="preserve"> ресло  модель   ахыт    ысота спинки  790 мм  ширина  510 мм  глубина  490 мм  материал  обивка   эко кожа </v>
      </c>
    </row>
    <row r="3498" spans="1:8" ht="38.25" x14ac:dyDescent="0.2">
      <c r="A3498" s="31" t="s">
        <v>8384</v>
      </c>
      <c r="B3498" s="27" t="s">
        <v>8385</v>
      </c>
      <c r="C3498" s="27"/>
      <c r="D3498" s="33" t="s">
        <v>14</v>
      </c>
      <c r="E3498" s="9"/>
      <c r="F3498" s="32"/>
      <c r="G3498" s="10">
        <v>107594</v>
      </c>
      <c r="H3498" s="30" t="str">
        <f ca="1">IFERROR(__xludf.DUMMYFUNCTION("LOWER(REGEXREPLACE(B3498&amp;"" ""&amp;C3498,""[^а-яa-z0-9 ]"","" ""))")," ресло  модель   ахыт    ысота спинки  790 мм  ширина  510 мм  глубина  490 мм  материал  подлокотники   420  эко кожа  ")</f>
        <v xml:space="preserve"> ресло  модель   ахыт    ысота спинки  790 мм  ширина  510 мм  глубина  490 мм  материал  подлокотники   420  эко кожа  </v>
      </c>
    </row>
    <row r="3499" spans="1:8" ht="76.5" x14ac:dyDescent="0.2">
      <c r="A3499" s="31" t="s">
        <v>8386</v>
      </c>
      <c r="B3499" s="8" t="s">
        <v>8387</v>
      </c>
      <c r="C3499" s="27"/>
      <c r="D3499" s="33" t="s">
        <v>14</v>
      </c>
      <c r="E3499" s="9"/>
      <c r="F3499" s="32"/>
      <c r="G3499" s="10">
        <v>74951</v>
      </c>
      <c r="H3499" s="30" t="str">
        <f ca="1">IFERROR(__xludf.DUMMYFUNCTION("LOWER(REGEXREPLACE(B3499&amp;"" ""&amp;C3499,""[^а-яa-z0-9 ]"","" ""))")," ресло  модель   елла    ысота  1260 1360 мм  высота от пола до сидения  550 650 мм  высота спинки  770 мм  ширина  540 мм  глубина  490 мм  материал  крестовина хром  подлокотники   420 хром  эко кожа  обивка   эко кожа ")</f>
        <v xml:space="preserve"> ресло  модель   елла    ысота  1260 1360 мм  высота от пола до сидения  550 650 мм  высота спинки  770 мм  ширина  540 мм  глубина  490 мм  материал  крестовина хром  подлокотники   420 хром  эко кожа  обивка   эко кожа </v>
      </c>
    </row>
    <row r="3500" spans="1:8" ht="51" x14ac:dyDescent="0.2">
      <c r="A3500" s="31" t="s">
        <v>8388</v>
      </c>
      <c r="B3500" s="27" t="s">
        <v>8389</v>
      </c>
      <c r="C3500" s="27"/>
      <c r="D3500" s="33" t="s">
        <v>14</v>
      </c>
      <c r="E3500" s="9"/>
      <c r="F3500" s="32"/>
      <c r="G3500" s="10">
        <v>45964</v>
      </c>
      <c r="H3500" s="30" t="str">
        <f ca="1">IFERROR(__xludf.DUMMYFUNCTION("LOWER(REGEXREPLACE(B3500&amp;"" ""&amp;C3500,""[^а-яa-z0-9 ]"","" ""))")," ресло  модель   ильгельм    ысота спинки  770 мм  ширина  500 мм  глубина  500 мм  материал  крестовина   хром  подлокотники   пластик  енатор ")</f>
        <v xml:space="preserve"> ресло  модель   ильгельм    ысота спинки  770 мм  ширина  500 мм  глубина  500 мм  материал  крестовина   хром  подлокотники   пластик  енатор </v>
      </c>
    </row>
    <row r="3501" spans="1:8" ht="63.75" x14ac:dyDescent="0.2">
      <c r="A3501" s="31" t="s">
        <v>8390</v>
      </c>
      <c r="B3501" s="27" t="s">
        <v>8391</v>
      </c>
      <c r="C3501" s="27"/>
      <c r="D3501" s="33" t="s">
        <v>14</v>
      </c>
      <c r="E3501" s="9"/>
      <c r="F3501" s="32"/>
      <c r="G3501" s="10">
        <v>58589</v>
      </c>
      <c r="H3501" s="30" t="str">
        <f ca="1">IFERROR(__xludf.DUMMYFUNCTION("LOWER(REGEXREPLACE(B3501&amp;"" ""&amp;C3501,""[^а-яa-z0-9 ]"","" ""))")," ресло  модель   ильгельм    ысота спинки  700 мм  ширина  520 мм  глубина  480 мм  материал  крестовина   пластик d680  кол сики     подлокотники   пластик 818  эко кожа   обивка    эко кожа ")</f>
        <v xml:space="preserve"> ресло  модель   ильгельм    ысота спинки  700 мм  ширина  520 мм  глубина  480 мм  материал  крестовина   пластик d680  кол сики     подлокотники   пластик 818  эко кожа   обивка    эко кожа </v>
      </c>
    </row>
    <row r="3502" spans="1:8" ht="51" x14ac:dyDescent="0.2">
      <c r="A3502" s="31" t="s">
        <v>8392</v>
      </c>
      <c r="B3502" s="27" t="s">
        <v>8393</v>
      </c>
      <c r="C3502" s="27"/>
      <c r="D3502" s="33" t="s">
        <v>14</v>
      </c>
      <c r="E3502" s="9"/>
      <c r="F3502" s="32"/>
      <c r="G3502" s="10">
        <v>65634</v>
      </c>
      <c r="H3502" s="30" t="str">
        <f ca="1">IFERROR(__xludf.DUMMYFUNCTION("LOWER(REGEXREPLACE(B3502&amp;"" ""&amp;C3502,""[^а-яa-z0-9 ]"","" ""))")," ресло  модель   ермес    ысота спинки  720 мм  ширина  520 мм  глубина  490 мм  материал  крестовина   хром     подлокотники   пластик 351 410  обивка   эко кожа ")</f>
        <v xml:space="preserve"> ресло  модель   ермес    ысота спинки  720 мм  ширина  520 мм  глубина  490 мм  материал  крестовина   хром     подлокотники   пластик 351 410  обивка   эко кожа </v>
      </c>
    </row>
    <row r="3503" spans="1:8" ht="51" x14ac:dyDescent="0.2">
      <c r="A3503" s="31" t="s">
        <v>8394</v>
      </c>
      <c r="B3503" s="27" t="s">
        <v>8395</v>
      </c>
      <c r="C3503" s="27"/>
      <c r="D3503" s="33" t="s">
        <v>14</v>
      </c>
      <c r="E3503" s="9"/>
      <c r="F3503" s="32"/>
      <c r="G3503" s="10">
        <v>56580</v>
      </c>
      <c r="H3503" s="30" t="str">
        <f ca="1">IFERROR(__xludf.DUMMYFUNCTION("LOWER(REGEXREPLACE(B3503&amp;"" ""&amp;C3503,""[^а-яa-z0-9 ]"","" ""))")," ресло  модель   ермес    ысота спинки  720 мм  ширина  520 мм  глубина  490 мм  материал  крестовина   пластик d680     подлокотники   пластик 818 1  эко кожа   обивка    эко кожа ")</f>
        <v xml:space="preserve"> ресло  модель   ермес    ысота спинки  720 мм  ширина  520 мм  глубина  490 мм  материал  крестовина   пластик d680     подлокотники   пластик 818 1  эко кожа   обивка    эко кожа </v>
      </c>
    </row>
    <row r="3504" spans="1:8" ht="63.75" x14ac:dyDescent="0.2">
      <c r="A3504" s="31" t="s">
        <v>8396</v>
      </c>
      <c r="B3504" s="8" t="s">
        <v>8397</v>
      </c>
      <c r="C3504" s="27"/>
      <c r="D3504" s="33" t="s">
        <v>14</v>
      </c>
      <c r="E3504" s="9"/>
      <c r="F3504" s="32"/>
      <c r="G3504" s="10">
        <v>57246</v>
      </c>
      <c r="H3504" s="30" t="str">
        <f ca="1">IFERROR(__xludf.DUMMYFUNCTION("LOWER(REGEXREPLACE(B3504&amp;"" ""&amp;C3504,""[^а-яa-z0-9 ]"","" ""))")," ресло  модель   ермес    ысота спинки  720 мм  ширина  520 мм  глубина  490 мм  материал  крестовина   пластик 350 10 350 8  подлокотники   пластик 603 609 613 811  обивка    эко кожа ")</f>
        <v xml:space="preserve"> ресло  модель   ермес    ысота спинки  720 мм  ширина  520 мм  глубина  490 мм  материал  крестовина   пластик 350 10 350 8  подлокотники   пластик 603 609 613 811  обивка    эко кожа </v>
      </c>
    </row>
    <row r="3505" spans="1:8" ht="63.75" x14ac:dyDescent="0.2">
      <c r="A3505" s="31" t="s">
        <v>8398</v>
      </c>
      <c r="B3505" s="8" t="s">
        <v>8399</v>
      </c>
      <c r="C3505" s="27"/>
      <c r="D3505" s="33" t="s">
        <v>14</v>
      </c>
      <c r="E3505" s="9"/>
      <c r="F3505" s="32"/>
      <c r="G3505" s="10">
        <v>61826</v>
      </c>
      <c r="H3505" s="30" t="str">
        <f ca="1">IFERROR(__xludf.DUMMYFUNCTION("LOWER(REGEXREPLACE(B3505&amp;"" ""&amp;C3505,""[^а-яa-z0-9 ]"","" ""))")," ресло  модель   ермес    ысота спинки  720 мм  ширина  520 мм  глубина  490 мм  материал  крестовина   пластик 350 10 350 8  подлокотники   пластик 627  хром вставка   обивка    эко кожа ")</f>
        <v xml:space="preserve"> ресло  модель   ермес    ысота спинки  720 мм  ширина  520 мм  глубина  490 мм  материал  крестовина   пластик 350 10 350 8  подлокотники   пластик 627  хром вставка   обивка    эко кожа </v>
      </c>
    </row>
    <row r="3506" spans="1:8" ht="51" x14ac:dyDescent="0.2">
      <c r="A3506" s="31" t="s">
        <v>8400</v>
      </c>
      <c r="B3506" s="27" t="s">
        <v>8401</v>
      </c>
      <c r="C3506" s="27"/>
      <c r="D3506" s="33" t="s">
        <v>14</v>
      </c>
      <c r="E3506" s="9"/>
      <c r="F3506" s="32"/>
      <c r="G3506" s="10">
        <v>46313</v>
      </c>
      <c r="H3506" s="30" t="str">
        <f ca="1">IFERROR(__xludf.DUMMYFUNCTION("LOWER(REGEXREPLACE(B3506&amp;"" ""&amp;C3506,""[^а-яa-z0-9 ]"","" ""))")," ресло  модель   еко  2    ысота спинки  760 мм  ширина  510 мм  глубина  500 мм  материал  крестовина   пластик d680    011  подлокотники   пластик 818  гобелен   обивка   гобелен ")</f>
        <v xml:space="preserve"> ресло  модель   еко  2    ысота спинки  760 мм  ширина  510 мм  глубина  500 мм  материал  крестовина   пластик d680    011  подлокотники   пластик 818  гобелен   обивка   гобелен </v>
      </c>
    </row>
    <row r="3507" spans="1:8" ht="63.75" x14ac:dyDescent="0.2">
      <c r="A3507" s="31" t="s">
        <v>8402</v>
      </c>
      <c r="B3507" s="27" t="s">
        <v>8403</v>
      </c>
      <c r="C3507" s="27"/>
      <c r="D3507" s="33" t="s">
        <v>14</v>
      </c>
      <c r="E3507" s="9"/>
      <c r="F3507" s="32"/>
      <c r="G3507" s="10">
        <v>43866</v>
      </c>
      <c r="H3507" s="30" t="str">
        <f ca="1">IFERROR(__xludf.DUMMYFUNCTION("LOWER(REGEXREPLACE(B3507&amp;"" ""&amp;C3507,""[^а-яa-z0-9 ]"","" ""))")," ресло  модель   еко  3 с кантом    ысота спинки  760 мм  ширина  510 мм  глубина  500 мм  материал  крестовина   пластик d680     подлокотники   пластик 818  гобелен   обивка   гобелен ")</f>
        <v xml:space="preserve"> ресло  модель   еко  3 с кантом    ысота спинки  760 мм  ширина  510 мм  глубина  500 мм  материал  крестовина   пластик d680     подлокотники   пластик 818  гобелен   обивка   гобелен </v>
      </c>
    </row>
    <row r="3508" spans="1:8" ht="51" x14ac:dyDescent="0.2">
      <c r="A3508" s="31" t="s">
        <v>8404</v>
      </c>
      <c r="B3508" s="27" t="s">
        <v>8405</v>
      </c>
      <c r="C3508" s="27"/>
      <c r="D3508" s="33" t="s">
        <v>14</v>
      </c>
      <c r="E3508" s="9"/>
      <c r="F3508" s="32"/>
      <c r="G3508" s="10">
        <v>43866</v>
      </c>
      <c r="H3508" s="30" t="str">
        <f ca="1">IFERROR(__xludf.DUMMYFUNCTION("LOWER(REGEXREPLACE(B3508&amp;"" ""&amp;C3508,""[^а-яa-z0-9 ]"","" ""))")," ресло  модель   еко  3    ысота спинки  760 мм  ширина  510 мм  глубина  500 мм  материал  крестовина   пластик d680    011  подлокотники   пластик 818  гобелен  ")</f>
        <v xml:space="preserve"> ресло  модель   еко  3    ысота спинки  760 мм  ширина  510 мм  глубина  500 мм  материал  крестовина   пластик d680    011  подлокотники   пластик 818  гобелен  </v>
      </c>
    </row>
    <row r="3509" spans="1:8" ht="51" x14ac:dyDescent="0.2">
      <c r="A3509" s="31" t="s">
        <v>8406</v>
      </c>
      <c r="B3509" s="27" t="s">
        <v>8407</v>
      </c>
      <c r="C3509" s="27"/>
      <c r="D3509" s="33" t="s">
        <v>14</v>
      </c>
      <c r="E3509" s="9"/>
      <c r="F3509" s="32"/>
      <c r="G3509" s="10">
        <v>48348</v>
      </c>
      <c r="H3509" s="30" t="str">
        <f ca="1">IFERROR(__xludf.DUMMYFUNCTION("LOWER(REGEXREPLACE(B3509&amp;"" ""&amp;C3509,""[^а-яa-z0-9 ]"","" ""))")," ресло  модель   еко  2    ысота спинки  760 мм  ширина  510 мм  глубина  500 мм  материал  крестовина   пластик d680   081  подлокотники   пластик 818  эко кожа   обивка   эко кожа ")</f>
        <v xml:space="preserve"> ресло  модель   еко  2    ысота спинки  760 мм  ширина  510 мм  глубина  500 мм  материал  крестовина   пластик d680   081  подлокотники   пластик 818  эко кожа   обивка   эко кожа </v>
      </c>
    </row>
    <row r="3510" spans="1:8" ht="63.75" x14ac:dyDescent="0.2">
      <c r="A3510" s="31" t="s">
        <v>8408</v>
      </c>
      <c r="B3510" s="27" t="s">
        <v>8409</v>
      </c>
      <c r="C3510" s="27"/>
      <c r="D3510" s="33" t="s">
        <v>14</v>
      </c>
      <c r="E3510" s="9"/>
      <c r="F3510" s="32"/>
      <c r="G3510" s="10">
        <v>48348</v>
      </c>
      <c r="H3510" s="30" t="str">
        <f ca="1">IFERROR(__xludf.DUMMYFUNCTION("LOWER(REGEXREPLACE(B3510&amp;"" ""&amp;C3510,""[^а-яa-z0-9 ]"","" ""))")," ресло  модель   еко    ысота спинки  760 мм  ширина  510 мм  глубина  500 мм  материал  крестовина   пластик d680     подлокотники   пластик 818 1  эко кожа   обивка   эко кожа   гобелен ")</f>
        <v xml:space="preserve"> ресло  модель   еко    ысота спинки  760 мм  ширина  510 мм  глубина  500 мм  материал  крестовина   пластик d680     подлокотники   пластик 818 1  эко кожа   обивка   эко кожа   гобелен </v>
      </c>
    </row>
    <row r="3511" spans="1:8" ht="63.75" x14ac:dyDescent="0.2">
      <c r="A3511" s="31" t="s">
        <v>8410</v>
      </c>
      <c r="B3511" s="27" t="s">
        <v>8411</v>
      </c>
      <c r="C3511" s="27"/>
      <c r="D3511" s="33" t="s">
        <v>14</v>
      </c>
      <c r="E3511" s="9"/>
      <c r="F3511" s="32"/>
      <c r="G3511" s="10">
        <v>41884</v>
      </c>
      <c r="H3511" s="30" t="str">
        <f ca="1">IFERROR(__xludf.DUMMYFUNCTION("LOWER(REGEXREPLACE(B3511&amp;"" ""&amp;C3511,""[^а-яa-z0-9 ]"","" ""))")," ресло  модель   еко    ысота спинки  760 мм  ширина  510 мм  глубина  500 мм  материал  крестовина   пластик  хром  дерево  подлокотники   пластик  хром  дерево  обивка   гобелен  эко кожа  кожа ")</f>
        <v xml:space="preserve"> ресло  модель   еко    ысота спинки  760 мм  ширина  510 мм  глубина  500 мм  материал  крестовина   пластик  хром  дерево  подлокотники   пластик  хром  дерево  обивка   гобелен  эко кожа  кожа </v>
      </c>
    </row>
    <row r="3512" spans="1:8" ht="51" x14ac:dyDescent="0.2">
      <c r="A3512" s="31" t="s">
        <v>8412</v>
      </c>
      <c r="B3512" s="27" t="s">
        <v>8413</v>
      </c>
      <c r="C3512" s="27"/>
      <c r="D3512" s="33" t="s">
        <v>14</v>
      </c>
      <c r="E3512" s="9"/>
      <c r="F3512" s="32"/>
      <c r="G3512" s="10">
        <v>78071</v>
      </c>
      <c r="H3512" s="30" t="str">
        <f ca="1">IFERROR(__xludf.DUMMYFUNCTION("LOWER(REGEXREPLACE(B3512&amp;"" ""&amp;C3512,""[^а-яa-z0-9 ]"","" ""))")," ресло  модель   евс    ысота спинки  730 мм  ширина  510 мм  глубина  500 мм  материал  крестовина   хром  подлокотники   хром  эко кожа  420  обивка   эко кожа ")</f>
        <v xml:space="preserve"> ресло  модель   евс    ысота спинки  730 мм  ширина  510 мм  глубина  500 мм  материал  крестовина   хром  подлокотники   хром  эко кожа  420  обивка   эко кожа </v>
      </c>
    </row>
    <row r="3513" spans="1:8" ht="51" x14ac:dyDescent="0.2">
      <c r="A3513" s="31" t="s">
        <v>8414</v>
      </c>
      <c r="B3513" s="27" t="s">
        <v>8415</v>
      </c>
      <c r="C3513" s="27"/>
      <c r="D3513" s="33" t="s">
        <v>14</v>
      </c>
      <c r="E3513" s="9"/>
      <c r="F3513" s="32"/>
      <c r="G3513" s="10">
        <v>58634</v>
      </c>
      <c r="H3513" s="30" t="str">
        <f ca="1">IFERROR(__xludf.DUMMYFUNCTION("LOWER(REGEXREPLACE(B3513&amp;"" ""&amp;C3513,""[^а-яa-z0-9 ]"","" ""))")," ресло  модель   евс    ысота спинки  730 мм  ширина  510 мм  глубина  500 мм  материал  крестовина   пластик 680 рк  подлокотники   818  эко кожа   обивка   эко кожа ")</f>
        <v xml:space="preserve"> ресло  модель   евс    ысота спинки  730 мм  ширина  510 мм  глубина  500 мм  материал  крестовина   пластик 680 рк  подлокотники   818  эко кожа   обивка   эко кожа </v>
      </c>
    </row>
    <row r="3514" spans="1:8" ht="51" x14ac:dyDescent="0.2">
      <c r="A3514" s="31" t="s">
        <v>8416</v>
      </c>
      <c r="B3514" s="27" t="s">
        <v>8417</v>
      </c>
      <c r="C3514" s="27"/>
      <c r="D3514" s="33" t="s">
        <v>14</v>
      </c>
      <c r="E3514" s="9"/>
      <c r="F3514" s="32"/>
      <c r="G3514" s="10">
        <v>63326</v>
      </c>
      <c r="H3514" s="30" t="str">
        <f ca="1">IFERROR(__xludf.DUMMYFUNCTION("LOWER(REGEXREPLACE(B3514&amp;"" ""&amp;C3514,""[^а-яa-z0-9 ]"","" ""))")," ресло  модель   евс    ысота спинки  730 мм  ширина  510 мм  глубина  500 мм  материал  крестовина   пластик d680     подлокотники   818 1  эко кожа   обивка   эко кожа ")</f>
        <v xml:space="preserve"> ресло  модель   евс    ысота спинки  730 мм  ширина  510 мм  глубина  500 мм  материал  крестовина   пластик d680     подлокотники   818 1  эко кожа   обивка   эко кожа </v>
      </c>
    </row>
    <row r="3515" spans="1:8" ht="63.75" x14ac:dyDescent="0.2">
      <c r="A3515" s="31" t="s">
        <v>8418</v>
      </c>
      <c r="B3515" s="8" t="s">
        <v>8419</v>
      </c>
      <c r="C3515" s="27"/>
      <c r="D3515" s="33" t="s">
        <v>14</v>
      </c>
      <c r="E3515" s="9"/>
      <c r="F3515" s="32"/>
      <c r="G3515" s="10">
        <v>68563</v>
      </c>
      <c r="H3515" s="30" t="str">
        <f ca="1">IFERROR(__xludf.DUMMYFUNCTION("LOWER(REGEXREPLACE(B3515&amp;"" ""&amp;C3515,""[^а-яa-z0-9 ]"","" ""))")," ресло  модель   евс    ысота спинки  730 мм  ширина  510 мм  глубина  500 мм  материал  крестовина   пластик  350 10  350 8  818  подлокотники   пластик  603 609 613 811  обивка   эко кожа ")</f>
        <v xml:space="preserve"> ресло  модель   евс    ысота спинки  730 мм  ширина  510 мм  глубина  500 мм  материал  крестовина   пластик  350 10  350 8  818  подлокотники   пластик  603 609 613 811  обивка   эко кожа </v>
      </c>
    </row>
    <row r="3516" spans="1:8" ht="38.25" x14ac:dyDescent="0.2">
      <c r="A3516" s="31" t="s">
        <v>8420</v>
      </c>
      <c r="B3516" s="27" t="s">
        <v>8421</v>
      </c>
      <c r="C3516" s="27"/>
      <c r="D3516" s="33" t="s">
        <v>14</v>
      </c>
      <c r="E3516" s="9"/>
      <c r="F3516" s="32"/>
      <c r="G3516" s="10">
        <v>73067</v>
      </c>
      <c r="H3516" s="30" t="str">
        <f ca="1">IFERROR(__xludf.DUMMYFUNCTION("LOWER(REGEXREPLACE(B3516&amp;"" ""&amp;C3516,""[^а-яa-z0-9 ]"","" ""))")," ресло  модель   аспий    ысота спинки  800 мм  ширина  470 мм  глубина  540 мм  материал  крестовина   хром  обивка   эко кожа ")</f>
        <v xml:space="preserve"> ресло  модель   аспий    ысота спинки  800 мм  ширина  470 мм  глубина  540 мм  материал  крестовина   хром  обивка   эко кожа </v>
      </c>
    </row>
    <row r="3517" spans="1:8" ht="63.75" x14ac:dyDescent="0.2">
      <c r="A3517" s="31" t="s">
        <v>8422</v>
      </c>
      <c r="B3517" s="27" t="s">
        <v>8423</v>
      </c>
      <c r="C3517" s="27"/>
      <c r="D3517" s="33" t="s">
        <v>14</v>
      </c>
      <c r="E3517" s="34">
        <v>2</v>
      </c>
      <c r="F3517" s="34">
        <v>22</v>
      </c>
      <c r="G3517" s="10">
        <v>105002</v>
      </c>
      <c r="H3517" s="30" t="str">
        <f ca="1">IFERROR(__xludf.DUMMYFUNCTION("LOWER(REGEXREPLACE(B3517&amp;"" ""&amp;C3517,""[^а-яa-z0-9 ]"","" ""))")," ресло  модель   онсул  2    ысота спинки  770 мм  длина 520 мм  ширина 535 мм  высота 1230 мм  материал  крестовина   деревянная  подлокотники   дерево  омб  обивка   уплотненная эко кожа ")</f>
        <v xml:space="preserve"> ресло  модель   онсул  2    ысота спинки  770 мм  длина 520 мм  ширина 535 мм  высота 1230 мм  материал  крестовина   деревянная  подлокотники   дерево  омб  обивка   уплотненная эко кожа </v>
      </c>
    </row>
    <row r="3518" spans="1:8" ht="63.75" x14ac:dyDescent="0.2">
      <c r="A3518" s="31" t="s">
        <v>8424</v>
      </c>
      <c r="B3518" s="8" t="s">
        <v>8425</v>
      </c>
      <c r="C3518" s="27"/>
      <c r="D3518" s="33" t="s">
        <v>14</v>
      </c>
      <c r="E3518" s="34">
        <v>2</v>
      </c>
      <c r="F3518" s="34">
        <v>22</v>
      </c>
      <c r="G3518" s="10">
        <v>114754</v>
      </c>
      <c r="H3518" s="30" t="str">
        <f ca="1">IFERROR(__xludf.DUMMYFUNCTION("LOWER(REGEXREPLACE(B3518&amp;"" ""&amp;C3518,""[^а-яa-z0-9 ]"","" ""))")," ресло  модель    онсул  2     ысота спинки  770 мм длина 500 мм  ширина 490 мм  материал  крестовина   деревянная  подлокотники   дерево  омб  обивка  натуральная кожа  задняя часть из эко кожи ")</f>
        <v xml:space="preserve"> ресло  модель    онсул  2     ысота спинки  770 мм длина 500 мм  ширина 490 мм  материал  крестовина   деревянная  подлокотники   дерево  омб  обивка  натуральная кожа  задняя часть из эко кожи </v>
      </c>
    </row>
    <row r="3519" spans="1:8" ht="63.75" x14ac:dyDescent="0.2">
      <c r="A3519" s="31" t="s">
        <v>8426</v>
      </c>
      <c r="B3519" s="27" t="s">
        <v>8427</v>
      </c>
      <c r="C3519" s="27"/>
      <c r="D3519" s="33" t="s">
        <v>14</v>
      </c>
      <c r="E3519" s="34">
        <v>2</v>
      </c>
      <c r="F3519" s="34">
        <v>20</v>
      </c>
      <c r="G3519" s="10">
        <v>49305</v>
      </c>
      <c r="H3519" s="30" t="str">
        <f ca="1">IFERROR(__xludf.DUMMYFUNCTION("LOWER(REGEXREPLACE(B3519&amp;"" ""&amp;C3519,""[^а-яa-z0-9 ]"","" ""))")," ресло  модель   онсул  2    ысота спинки  770 мм  длина 520 мм  ширина 535 мм  высота 1230 мм  материал  крестовина    680   ч рная   подлокотники     818 1   обивка   уплотненная эко кожа ")</f>
        <v xml:space="preserve"> ресло  модель   онсул  2    ысота спинки  770 мм  длина 520 мм  ширина 535 мм  высота 1230 мм  материал  крестовина    680   ч рная   подлокотники     818 1   обивка   уплотненная эко кожа </v>
      </c>
    </row>
    <row r="3520" spans="1:8" ht="51" x14ac:dyDescent="0.2">
      <c r="A3520" s="31" t="s">
        <v>8428</v>
      </c>
      <c r="B3520" s="27" t="s">
        <v>8429</v>
      </c>
      <c r="C3520" s="27"/>
      <c r="D3520" s="33" t="s">
        <v>14</v>
      </c>
      <c r="E3520" s="9"/>
      <c r="F3520" s="32"/>
      <c r="G3520" s="10">
        <v>43129</v>
      </c>
      <c r="H3520" s="30" t="str">
        <f ca="1">IFERROR(__xludf.DUMMYFUNCTION("LOWER(REGEXREPLACE(B3520&amp;"" ""&amp;C3520,""[^а-яa-z0-9 ]"","" ""))")," ресло  модель   енайс    ысота от пола до сидения  500 мм  высота спинки  800 мм  ширина  470 мм  глубина  450 мм  материал каркаса  пластик  материал сиденья  сетка  гобелен ")</f>
        <v xml:space="preserve"> ресло  модель   енайс    ысота от пола до сидения  500 мм  высота спинки  800 мм  ширина  470 мм  глубина  450 мм  материал каркаса  пластик  материал сиденья  сетка  гобелен </v>
      </c>
    </row>
    <row r="3521" spans="1:8" ht="76.5" x14ac:dyDescent="0.2">
      <c r="A3521" s="31" t="s">
        <v>8430</v>
      </c>
      <c r="B3521" s="27" t="s">
        <v>8431</v>
      </c>
      <c r="C3521" s="27"/>
      <c r="D3521" s="33" t="s">
        <v>14</v>
      </c>
      <c r="E3521" s="9"/>
      <c r="F3521" s="32"/>
      <c r="G3521" s="10">
        <v>34705</v>
      </c>
      <c r="H3521" s="30" t="str">
        <f ca="1">IFERROR(__xludf.DUMMYFUNCTION("LOWER(REGEXREPLACE(B3521&amp;"" ""&amp;C3521,""[^а-яa-z0-9 ]"","" ""))")," ресло  модель     ери    ысота  1070 мм  высота от пола до сидения  500 мм  высота спинки  610 мм  ширина  500 мм  глубина  490 мм  материал  полозья   цветной металл  подлокотники    пластик  енатор  обивка   гобелен ")</f>
        <v xml:space="preserve"> ресло  модель     ери    ысота  1070 мм  высота от пола до сидения  500 мм  высота спинки  610 мм  ширина  500 мм  глубина  490 мм  материал  полозья   цветной металл  подлокотники    пластик  енатор  обивка   гобелен </v>
      </c>
    </row>
    <row r="3522" spans="1:8" ht="76.5" x14ac:dyDescent="0.2">
      <c r="A3522" s="31" t="s">
        <v>8432</v>
      </c>
      <c r="B3522" s="8" t="s">
        <v>8433</v>
      </c>
      <c r="C3522" s="27"/>
      <c r="D3522" s="33" t="s">
        <v>14</v>
      </c>
      <c r="E3522" s="9"/>
      <c r="F3522" s="32"/>
      <c r="G3522" s="10">
        <v>50728</v>
      </c>
      <c r="H3522" s="30" t="str">
        <f ca="1">IFERROR(__xludf.DUMMYFUNCTION("LOWER(REGEXREPLACE(B3522&amp;"" ""&amp;C3522,""[^а-яa-z0-9 ]"","" ""))")," ресло  модель     ери    ысота  1040 1140 мм  высота от пола до сидения  500 600 мм  высота спинки  610 мм  ширина  510 мм  глубина  480 мм  материал  крестовина    пластик  350 10  350 8      подлокотники   пластик 603 609 613 811  эко кожа   обивка   э"&amp;"ко кожа ")</f>
        <v xml:space="preserve"> ресло  модель     ери    ысота  1040 1140 мм  высота от пола до сидения  500 600 мм  высота спинки  610 мм  ширина  510 мм  глубина  480 мм  материал  крестовина    пластик  350 10  350 8      подлокотники   пластик 603 609 613 811  эко кожа   обивка   эко кожа </v>
      </c>
    </row>
    <row r="3523" spans="1:8" ht="76.5" x14ac:dyDescent="0.2">
      <c r="A3523" s="31" t="s">
        <v>8434</v>
      </c>
      <c r="B3523" s="8" t="s">
        <v>8435</v>
      </c>
      <c r="C3523" s="27"/>
      <c r="D3523" s="33" t="s">
        <v>14</v>
      </c>
      <c r="E3523" s="9"/>
      <c r="F3523" s="32"/>
      <c r="G3523" s="10">
        <v>42888</v>
      </c>
      <c r="H3523" s="30" t="str">
        <f ca="1">IFERROR(__xludf.DUMMYFUNCTION("LOWER(REGEXREPLACE(B3523&amp;"" ""&amp;C3523,""[^а-яa-z0-9 ]"","" ""))")," ресло  модель   аджестик    ысота  1090 1190 мм  высота от пола до сидения  480 580 мм  высота спинки  660 мм  ширина  520 мм  глубина  490 мм  материал  крестовина   пластик d700     подлокотники    пластик 303  гобелен   обивка   гобелен ")</f>
        <v xml:space="preserve"> ресло  модель   аджестик    ысота  1090 1190 мм  высота от пола до сидения  480 580 мм  высота спинки  660 мм  ширина  520 мм  глубина  490 мм  материал  крестовина   пластик d700     подлокотники    пластик 303  гобелен   обивка   гобелен </v>
      </c>
    </row>
    <row r="3524" spans="1:8" ht="51" x14ac:dyDescent="0.2">
      <c r="A3524" s="31" t="s">
        <v>8436</v>
      </c>
      <c r="B3524" s="27" t="s">
        <v>8437</v>
      </c>
      <c r="C3524" s="27"/>
      <c r="D3524" s="33" t="s">
        <v>14</v>
      </c>
      <c r="E3524" s="9"/>
      <c r="F3524" s="32"/>
      <c r="G3524" s="10">
        <v>34263</v>
      </c>
      <c r="H3524" s="30" t="str">
        <f ca="1">IFERROR(__xludf.DUMMYFUNCTION("LOWER(REGEXREPLACE(B3524&amp;"" ""&amp;C3524,""[^а-яa-z0-9 ]"","" ""))")," ресло  модель   аджестик      ысота спинки  660 мм  ширина  520 мм  глубина  490 мм  материал  полозья   металл  подлокотники    пластик  енатор  обивка   гобелен ")</f>
        <v xml:space="preserve"> ресло  модель   аджестик      ысота спинки  660 мм  ширина  520 мм  глубина  490 мм  материал  полозья   металл  подлокотники    пластик  енатор  обивка   гобелен </v>
      </c>
    </row>
    <row r="3525" spans="1:8" ht="51" x14ac:dyDescent="0.2">
      <c r="A3525" s="31" t="s">
        <v>8438</v>
      </c>
      <c r="B3525" s="27" t="s">
        <v>8439</v>
      </c>
      <c r="C3525" s="27"/>
      <c r="D3525" s="33" t="s">
        <v>14</v>
      </c>
      <c r="E3525" s="9"/>
      <c r="F3525" s="32"/>
      <c r="G3525" s="10">
        <v>40835</v>
      </c>
      <c r="H3525" s="30" t="str">
        <f ca="1">IFERROR(__xludf.DUMMYFUNCTION("LOWER(REGEXREPLACE(B3525&amp;"" ""&amp;C3525,""[^а-яa-z0-9 ]"","" ""))")," ресло  модель   алибу    ысота спинки  750 мм  ширина  520 мм  глубина  480 мм  материал  крестовина   пластик  подлокотники   пластик  енатор 906 606  обивка   эко кожа ")</f>
        <v xml:space="preserve"> ресло  модель   алибу    ысота спинки  750 мм  ширина  520 мм  глубина  480 мм  материал  крестовина   пластик  подлокотники   пластик  енатор 906 606  обивка   эко кожа </v>
      </c>
    </row>
    <row r="3526" spans="1:8" ht="63.75" x14ac:dyDescent="0.2">
      <c r="A3526" s="31" t="s">
        <v>8440</v>
      </c>
      <c r="B3526" s="8" t="s">
        <v>8441</v>
      </c>
      <c r="C3526" s="27" t="s">
        <v>8442</v>
      </c>
      <c r="D3526" s="33" t="s">
        <v>14</v>
      </c>
      <c r="E3526" s="34">
        <v>2</v>
      </c>
      <c r="F3526" s="34">
        <v>15</v>
      </c>
      <c r="G3526" s="10">
        <v>129106</v>
      </c>
      <c r="H3526" s="30" t="str">
        <f ca="1">IFERROR(__xludf.DUMMYFUNCTION("LOWER(REGEXREPLACE(B3526&amp;"" ""&amp;C3526,""[^а-яa-z0-9 ]"","" ""))")," ресло  механизм качания  подлокотники хром  с мягкими накладками из эко кожи  крестовина хром  регулировка высоты  газлифт   материал обивки  эко кожа   азмер  545х475х1100мм  еханизм качания с регулировкой под вес и фиксацией в вертикальном положении   "&amp;"граничение по весу  181 кг")</f>
        <v xml:space="preserve"> ресло  механизм качания  подлокотники хром  с мягкими накладками из эко кожи  крестовина хром  регулировка высоты  газлифт   материал обивки  эко кожа   азмер  545х475х1100мм  еханизм качания с регулировкой под вес и фиксацией в вертикальном положении   граничение по весу  181 кг</v>
      </c>
    </row>
    <row r="3527" spans="1:8" ht="63.75" x14ac:dyDescent="0.2">
      <c r="A3527" s="31" t="s">
        <v>8443</v>
      </c>
      <c r="B3527" s="27" t="s">
        <v>8444</v>
      </c>
      <c r="C3527" s="27" t="s">
        <v>8445</v>
      </c>
      <c r="D3527" s="33" t="s">
        <v>14</v>
      </c>
      <c r="E3527" s="34">
        <v>2</v>
      </c>
      <c r="F3527" s="34">
        <v>15</v>
      </c>
      <c r="G3527" s="10">
        <v>126408</v>
      </c>
      <c r="H3527" s="30" t="str">
        <f ca="1">IFERROR(__xludf.DUMMYFUNCTION("LOWER(REGEXREPLACE(B3527&amp;"" ""&amp;C3527,""[^а-яa-z0-9 ]"","" ""))")," ресло  механизм качания  регулировка высоты  газлифт    ластиковая крестовина   одлокотники металлические крашеные черные с накладками из эко кожи   атериал обивки  эко кожа   азмер  490х470х1160мм   ресло офисное   еханизм качания с регулировкой под вес"&amp;" и фиксацией в вертикальном положении   граничение по весу  120 кг ")</f>
        <v xml:space="preserve"> ресло  механизм качания  регулировка высоты  газлифт    ластиковая крестовина   одлокотники металлические крашеные черные с накладками из эко кожи   атериал обивки  эко кожа   азмер  490х470х1160мм   ресло офисное   еханизм качания с регулировкой под вес и фиксацией в вертикальном положении   граничение по весу  120 кг </v>
      </c>
    </row>
    <row r="3528" spans="1:8" ht="63.75" x14ac:dyDescent="0.2">
      <c r="A3528" s="31" t="s">
        <v>8446</v>
      </c>
      <c r="B3528" s="8" t="s">
        <v>8447</v>
      </c>
      <c r="C3528" s="27" t="s">
        <v>8448</v>
      </c>
      <c r="D3528" s="33" t="s">
        <v>14</v>
      </c>
      <c r="E3528" s="34">
        <v>2</v>
      </c>
      <c r="F3528" s="34">
        <v>15</v>
      </c>
      <c r="G3528" s="10">
        <v>148081</v>
      </c>
      <c r="H3528" s="30" t="str">
        <f ca="1">IFERROR(__xludf.DUMMYFUNCTION("LOWER(REGEXREPLACE(B3528&amp;"" ""&amp;C3528,""[^а-яa-z0-9 ]"","" ""))"),"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  ресло  пятилучье хром  подлокотники хром с мягкими накладками  газ "&amp;"лифт  отклонение спинки и сидения  фиксация в рабочем положении   атериал обивки  экокожа   азмер  1160 1260х720х780мм")</f>
        <v xml:space="preserve">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v>
      </c>
    </row>
    <row r="3529" spans="1:8" ht="140.25" x14ac:dyDescent="0.2">
      <c r="A3529" s="31" t="s">
        <v>8449</v>
      </c>
      <c r="B3529" s="27" t="s">
        <v>8450</v>
      </c>
      <c r="C3529" s="27" t="s">
        <v>8451</v>
      </c>
      <c r="D3529" s="33" t="s">
        <v>14</v>
      </c>
      <c r="E3529" s="34">
        <v>2</v>
      </c>
      <c r="F3529" s="34">
        <v>25</v>
      </c>
      <c r="G3529" s="10">
        <v>116325</v>
      </c>
      <c r="H3529" s="30" t="str">
        <f ca="1">IFERROR(__xludf.DUMMYFUNCTION("LOWER(REGEXREPLACE(B3529&amp;"" ""&amp;C3529,""[^а-яa-z0-9 ]"","" ""))")," ресло типа         omfort     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  одголовник  мягкий из износостойкого материала     комплект"&amp;"уется дополнительной подушкой  увеличивающей объем подголовника   пинка  замкнутая высокая  черное полимерное покрытие каркаса с хромированным молдингом  ширина 510 мм    ид обивки спинки  сетка натяжная без прошивки   2 8   егулируемый поясничный подпор "&amp;" стальной хромированный с ремнем из экокожи   одлокотники  стальные хромированные  с мягкими накладками из износостойкого материала кожзам   иденье  мягкое объемное на столярном каркасе с хромированным молдингом без прошивки  ширина 510 мм   ид обивки сид"&amp;"енья  износостойкий материал кожзам без прошивки  ятилучье  стальное хромированное  с прямоугольным сечением лучей   олики  с полиуретановым ободком       50 мм")</f>
        <v xml:space="preserve"> ресло типа         omfort     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  одголовник  мягкий из износостойкого материала     комплектуется дополнительной подушкой  увеличивающей объем подголовника   пинка  замкнутая высокая  черное полимерное покрытие каркаса с хромированным молдингом  ширина 510 мм    ид обивки спинки  сетка натяжная без прошивки   2 8   егулируемый поясничный подпор  стальной хромированный с ремнем из экокожи   одлокотники  стальные хромированные  с мягкими накладками из износостойкого материала кожзам   иденье  мягкое объемное на столярном каркасе с хромированным молдингом без прошивки  ширина 510 мм   ид обивки сиденья  износостойкий материал кожзам без прошивки  ятилучье  стальное хромированное  с прямоугольным сечением лучей   олики  с полиуретановым ободком       50 мм</v>
      </c>
    </row>
    <row r="3530" spans="1:8" ht="38.25" x14ac:dyDescent="0.2">
      <c r="A3530" s="31" t="s">
        <v>8452</v>
      </c>
      <c r="B3530" s="8" t="s">
        <v>8453</v>
      </c>
      <c r="C3530" s="27" t="s">
        <v>8454</v>
      </c>
      <c r="D3530" s="33" t="s">
        <v>14</v>
      </c>
      <c r="E3530" s="34">
        <v>2</v>
      </c>
      <c r="F3530" s="34">
        <v>13</v>
      </c>
      <c r="G3530" s="10">
        <v>32356</v>
      </c>
      <c r="H3530" s="30" t="str">
        <f ca="1">IFERROR(__xludf.DUMMYFUNCTION("LOWER(REGEXREPLACE(B3530&amp;"" ""&amp;C3530,""[^а-яa-z0-9 ]"","" ""))")," ресло  регулировка высоты   рестовина пластик   одлокотники пластиковые   пинка сетчатая   азмер  490х460х1240мм  ысота регулируется   рестовина черная пластиковая   ртопедическое сиденье   одголовник   одлокотники пластиковые   етчатая спинка   гол накл"&amp;"она регулируется ")</f>
        <v xml:space="preserve"> ресло  регулировка высоты   рестовина пластик   одлокотники пластиковые   пинка сетчатая   азмер  490х460х1240мм  ысота регулируется   рестовина черная пластиковая   ртопедическое сиденье   одголовник   одлокотники пластиковые   етчатая спинка   гол наклона регулируется </v>
      </c>
    </row>
    <row r="3531" spans="1:8" ht="63.75" x14ac:dyDescent="0.2">
      <c r="A3531" s="31" t="s">
        <v>8455</v>
      </c>
      <c r="B3531" s="8" t="s">
        <v>8456</v>
      </c>
      <c r="C3531" s="27" t="s">
        <v>8457</v>
      </c>
      <c r="D3531" s="33" t="s">
        <v>14</v>
      </c>
      <c r="E3531" s="34">
        <v>2</v>
      </c>
      <c r="F3531" s="34">
        <v>14</v>
      </c>
      <c r="G3531" s="10">
        <v>41188</v>
      </c>
      <c r="H3531" s="30" t="str">
        <f ca="1">IFERROR(__xludf.DUMMYFUNCTION("LOWER(REGEXREPLACE(B3531&amp;"" ""&amp;C3531,""[^а-яa-z0-9 ]"","" ""))")," ресло  регулировка высоты   рестовина пластик   одлокотники пластиковые   пинка сетчатая  сиденье ортопедическое   азмер  500х450х1300мм  еталлический каркас  сиденье ортопедическое из уплотненной эко кожи  сетка   ысота регулируется   рестовина платиков"&amp;"ая   ртопедическое сиденье   одголовник   одлокотники пластиковые   етчатая спинка   гол наклона регулируется")</f>
        <v xml:space="preserve"> ресло  регулировка высоты   рестовина пластик   одлокотники пластиковые   пинка сетчатая  сиденье ортопедическое   азмер  500х450х1300мм  еталлический каркас  сиденье ортопедическое из уплотненной эко кожи  сетка   ысота регулируется   рестовина платиковая   ртопедическое сиденье   одголовник   одлокотники пластиковые   етчатая спинка   гол наклона регулируется</v>
      </c>
    </row>
    <row r="3532" spans="1:8" ht="51" x14ac:dyDescent="0.2">
      <c r="A3532" s="31" t="s">
        <v>8458</v>
      </c>
      <c r="B3532" s="8" t="s">
        <v>8459</v>
      </c>
      <c r="C3532" s="27" t="s">
        <v>8460</v>
      </c>
      <c r="D3532" s="33" t="s">
        <v>14</v>
      </c>
      <c r="E3532" s="34">
        <v>2</v>
      </c>
      <c r="F3532" s="34">
        <v>13</v>
      </c>
      <c r="G3532" s="10">
        <v>26495</v>
      </c>
      <c r="H3532" s="30" t="str">
        <f ca="1">IFERROR(__xludf.DUMMYFUNCTION("LOWER(REGEXREPLACE(B3532&amp;"" ""&amp;C3532,""[^а-яa-z0-9 ]"","" ""))")," ресло  регулировка высоты   рестовина пластик   одлокотники пластиковые   пинка сетчатая  сиденье ортопедическое   азмер  450х480х990мм  ысота регулируется   рестовина пластик   ртопедическое сиденье   одлокотники пластиковые   етчатая спинка   гол накло"&amp;"на регулируется")</f>
        <v xml:space="preserve"> ресло  регулировка высоты   рестовина пластик   одлокотники пластиковые   пинка сетчатая  сиденье ортопедическое   азмер  450х480х990мм  ысота регулируется   рестовина пластик   ртопедическое сиденье   одлокотники пластиковые   етчатая спинка   гол наклона регулируется</v>
      </c>
    </row>
    <row r="3533" spans="1:8" ht="51" x14ac:dyDescent="0.2">
      <c r="A3533" s="31" t="s">
        <v>8461</v>
      </c>
      <c r="B3533" s="8" t="s">
        <v>8462</v>
      </c>
      <c r="C3533" s="27" t="s">
        <v>8463</v>
      </c>
      <c r="D3533" s="33" t="s">
        <v>14</v>
      </c>
      <c r="E3533" s="34">
        <v>2</v>
      </c>
      <c r="F3533" s="34">
        <v>13</v>
      </c>
      <c r="G3533" s="10">
        <v>35981</v>
      </c>
      <c r="H3533" s="30" t="str">
        <f ca="1">IFERROR(__xludf.DUMMYFUNCTION("LOWER(REGEXREPLACE(B3533&amp;"" ""&amp;C3533,""[^а-яa-z0-9 ]"","" ""))")," ресло  регулировка высоты   рестовина пластик   одлокотники пластиковые   пинка сетчатая  сиденье ортопедическое   азмер  500х460х1050мм  ысота регулируется   рестовина пластик   ртопедическое сиденье   одголовник   одлокотники пластиковые   етчатая спин"&amp;"ка   гол наклона регулируется")</f>
        <v xml:space="preserve"> ресло  регулировка высоты   рестовина пластик   одлокотники пластиковые   пинка сетчатая  сиденье ортопедическое   азмер  500х460х1050мм  ысота регулируется   рестовина пластик   ртопедическое сиденье   одголовник   одлокотники пластиковые   етчатая спинка   гол наклона регулируется</v>
      </c>
    </row>
    <row r="3534" spans="1:8" ht="12.75" x14ac:dyDescent="0.2">
      <c r="A3534" s="31" t="s">
        <v>8464</v>
      </c>
      <c r="B3534" s="27" t="s">
        <v>8465</v>
      </c>
      <c r="C3534" s="27"/>
      <c r="D3534" s="33" t="s">
        <v>14</v>
      </c>
      <c r="E3534" s="9"/>
      <c r="F3534" s="32"/>
      <c r="G3534" s="10"/>
      <c r="H3534" s="30" t="str">
        <f ca="1">IFERROR(__xludf.DUMMYFUNCTION("LOWER(REGEXREPLACE(B3534&amp;"" ""&amp;C3534,""[^а-яa-z0-9 ]"","" ""))")," ресло секционное ")</f>
        <v xml:space="preserve"> ресло секционное </v>
      </c>
    </row>
    <row r="3535" spans="1:8" ht="25.5" x14ac:dyDescent="0.2">
      <c r="A3535" s="31" t="s">
        <v>8466</v>
      </c>
      <c r="B3535" s="27" t="s">
        <v>8467</v>
      </c>
      <c r="C3535" s="27" t="s">
        <v>8468</v>
      </c>
      <c r="D3535" s="33" t="s">
        <v>14</v>
      </c>
      <c r="E3535" s="9"/>
      <c r="F3535" s="32"/>
      <c r="G3535" s="10">
        <v>116799</v>
      </c>
      <c r="H3535" s="30" t="str">
        <f ca="1">IFERROR(__xludf.DUMMYFUNCTION("LOWER(REGEXREPLACE(B3535&amp;"" ""&amp;C3535,""[^а-яa-z0-9 ]"","" ""))")," ресло для конференц залов  рио мод   82 2  ресло для конференц залов  рио мод   82 2   рехместная секция ")</f>
        <v xml:space="preserve"> ресло для конференц залов  рио мод   82 2  ресло для конференц залов  рио мод   82 2   рехместная секция </v>
      </c>
    </row>
    <row r="3536" spans="1:8" ht="25.5" x14ac:dyDescent="0.2">
      <c r="A3536" s="31" t="s">
        <v>8469</v>
      </c>
      <c r="B3536" s="27" t="s">
        <v>8470</v>
      </c>
      <c r="C3536" s="27" t="s">
        <v>8471</v>
      </c>
      <c r="D3536" s="33" t="s">
        <v>14</v>
      </c>
      <c r="E3536" s="9"/>
      <c r="F3536" s="32"/>
      <c r="G3536" s="10">
        <v>147204</v>
      </c>
      <c r="H3536" s="30" t="str">
        <f ca="1">IFERROR(__xludf.DUMMYFUNCTION("LOWER(REGEXREPLACE(B3536&amp;"" ""&amp;C3536,""[^а-яa-z0-9 ]"","" ""))")," ресло для конференц залов  ракт мод   82 6  ресло для конференц залов  ракт мод   82 6   рехместная секция ")</f>
        <v xml:space="preserve"> ресло для конференц залов  ракт мод   82 6  ресло для конференц залов  ракт мод   82 6   рехместная секция </v>
      </c>
    </row>
    <row r="3537" spans="1:8" ht="25.5" x14ac:dyDescent="0.2">
      <c r="A3537" s="31" t="s">
        <v>8472</v>
      </c>
      <c r="B3537" s="27" t="s">
        <v>8473</v>
      </c>
      <c r="C3537" s="27" t="s">
        <v>8474</v>
      </c>
      <c r="D3537" s="33" t="s">
        <v>14</v>
      </c>
      <c r="E3537" s="9"/>
      <c r="F3537" s="32"/>
      <c r="G3537" s="10">
        <v>107114</v>
      </c>
      <c r="H3537" s="30" t="str">
        <f ca="1">IFERROR(__xludf.DUMMYFUNCTION("LOWER(REGEXREPLACE(B3537&amp;"" ""&amp;C3537,""[^а-яa-z0-9 ]"","" ""))")," ресло для конференц залов  ринт мод   82 3  ресло для конференц залов  ринт мод   82 3   рехместная секция ")</f>
        <v xml:space="preserve"> ресло для конференц залов  ринт мод   82 3  ресло для конференц залов  ринт мод   82 3   рехместная секция </v>
      </c>
    </row>
    <row r="3538" spans="1:8" ht="25.5" x14ac:dyDescent="0.2">
      <c r="A3538" s="31" t="s">
        <v>8475</v>
      </c>
      <c r="B3538" s="27" t="s">
        <v>8476</v>
      </c>
      <c r="C3538" s="27" t="s">
        <v>8477</v>
      </c>
      <c r="D3538" s="33" t="s">
        <v>14</v>
      </c>
      <c r="E3538" s="9"/>
      <c r="F3538" s="32"/>
      <c r="G3538" s="10">
        <v>116736</v>
      </c>
      <c r="H3538" s="30" t="str">
        <f ca="1">IFERROR(__xludf.DUMMYFUNCTION("LOWER(REGEXREPLACE(B3538&amp;"" ""&amp;C3538,""[^а-яa-z0-9 ]"","" ""))")," ресло для конференц залов     3 х местн  на раме  ресло для конференц залов     3 х местн  на раме   рехместная секция   атериал обивки экокожа ")</f>
        <v xml:space="preserve"> ресло для конференц залов     3 х местн  на раме  ресло для конференц залов     3 х местн  на раме   рехместная секция   атериал обивки экокожа </v>
      </c>
    </row>
    <row r="3539" spans="1:8" ht="51" x14ac:dyDescent="0.2">
      <c r="A3539" s="31" t="s">
        <v>8478</v>
      </c>
      <c r="B3539" s="27" t="s">
        <v>8479</v>
      </c>
      <c r="C3539" s="27" t="s">
        <v>8480</v>
      </c>
      <c r="D3539" s="33" t="s">
        <v>14</v>
      </c>
      <c r="E3539" s="34">
        <v>2</v>
      </c>
      <c r="F3539" s="34">
        <v>26</v>
      </c>
      <c r="G3539" s="10">
        <v>42421</v>
      </c>
      <c r="H3539" s="30" t="str">
        <f ca="1">IFERROR(__xludf.DUMMYFUNCTION("LOWER(REGEXREPLACE(B3539&amp;"" ""&amp;C3539,""[^а-яa-z0-9 ]"","" ""))")," камья типа  афне  2 х местная    аркас металлический цветной  подлокотники с деревянной накладкой  обивка   гобелен   азмер  1100х440х950мм  аркас металлический цветной  подлокотники с деревянной накладкой  обивка   гобелен   азмер  1100х440х950мм   ысот"&amp;"а от пола до сиденья 500мм ")</f>
        <v xml:space="preserve"> камья типа  афне  2 х местная    аркас металлический цветной  подлокотники с деревянной накладкой  обивка   гобелен   азмер  1100х440х950мм  аркас металлический цветной  подлокотники с деревянной накладкой  обивка   гобелен   азмер  1100х440х950мм   ысота от пола до сиденья 500мм </v>
      </c>
    </row>
    <row r="3540" spans="1:8" ht="204" x14ac:dyDescent="0.2">
      <c r="A3540" s="31" t="s">
        <v>8481</v>
      </c>
      <c r="B3540" s="8" t="s">
        <v>8482</v>
      </c>
      <c r="C3540" s="27" t="s">
        <v>8483</v>
      </c>
      <c r="D3540" s="33" t="s">
        <v>14</v>
      </c>
      <c r="E3540" s="34">
        <v>2</v>
      </c>
      <c r="F3540" s="34">
        <v>25</v>
      </c>
      <c r="G3540" s="10">
        <v>135892</v>
      </c>
      <c r="H3540" s="30" t="str">
        <f ca="1">IFERROR(__xludf.DUMMYFUNCTION("LOWER(REGEXREPLACE(B3540&amp;"" ""&amp;C3540,""[^а-яa-z0-9 ]"","" ""))")," камья двухместная  размеры 1250х530х720 мм   аркас цельносварной  рама из профильной стальной трубы сечением 60х30 мм и толщиной стенки не менее 1 5 мм   абариты сиденья  500 х 650 х 420 мм  ама изготовлена из профильной стальной трубы сечением 60х30 мм "&amp;"и толщиной стенки не менее 1 5 мм    раме приварены усиленные кронштейны из листовой стали толщиной 3 мм    кронштейнам  через винтовые соединения  8  крепятся сиденья   еремычка между боковыми опорами выполнена из плоскоовальной трубы 50х25 мм   оковые о"&amp;"поры изготовлены из плоскоовальной трубы 50х25 мм толщиной не менее 1 2 мм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оковые торц"&amp;"ы труб аккуратно закрыты пластиковыми заглушками  придающими заверш нность внешнему виду и предотвращающими попадание влаги внутрь профиля   ягкие элементы сидений и спинок выполнены с применением износостойкого материала  устойчивого к истиранию и легко "&amp;"очищаемого   з       вет по запросу заказчика   камья имеет полимерно порошковое покрытие  устойчивое к внешним воздействиям   озможно изменение цвета по согласованию с заказчиком ")</f>
        <v xml:space="preserve"> камья двухместная  размеры 1250х530х720 мм   аркас цельносварной  рама из профильной стальной трубы сечением 60х30 мм и толщиной стенки не менее 1 5 мм   абариты сиденья  500 х 650 х 420 мм  ама изготовлена из профильной стальной трубы сечением 60х30 мм и толщиной стенки не менее 1 5 мм    раме приварены усиленные кронштейны из листовой стали толщиной 3 мм    кронштейнам  через винтовые соединения  8  крепятся сиденья   еремычка между боковыми опорами выполнена из плоскоовальной трубы 50х25 мм   оковые опоры изготовлены из плоскоовальной трубы 50х25 мм толщиной не менее 1 2 мм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оковые торцы труб аккуратно закрыты пластиковыми заглушками  придающими заверш нность внешнему виду и предотвращающими попадание влаги внутрь профиля   ягкие элементы сидений и спинок выполнены с применением износостойкого материала  устойчивого к истиранию и легко очищаемого   з       вет по запросу заказчика   камья имеет полимерно порошковое покрытие  устойчивое к внешним воздействиям   озможно изменение цвета по согласованию с заказчиком </v>
      </c>
    </row>
    <row r="3541" spans="1:8" ht="191.25" x14ac:dyDescent="0.2">
      <c r="A3541" s="31" t="s">
        <v>8484</v>
      </c>
      <c r="B3541" s="8" t="s">
        <v>8485</v>
      </c>
      <c r="C3541" s="27" t="s">
        <v>8486</v>
      </c>
      <c r="D3541" s="33" t="s">
        <v>14</v>
      </c>
      <c r="E3541" s="34">
        <v>2</v>
      </c>
      <c r="F3541" s="34">
        <v>30</v>
      </c>
      <c r="G3541" s="10">
        <v>182469</v>
      </c>
      <c r="H3541" s="30" t="str">
        <f ca="1">IFERROR(__xludf.DUMMYFUNCTION("LOWER(REGEXREPLACE(B3541&amp;"" ""&amp;C3541,""[^а-яa-z0-9 ]"","" ""))")," камья тр хместная  размеры 1800х500х840 мм   аркас цельносварной  рама из профильной стальной трубы сечением 60х30 мм и толщиной стенки не менее 1 5 мм   абариты сиденья  580х490х440 мм  ама выполнена из профильной стальной трубы сечением 60 30 мм и толщ"&amp;"иной стенки не менее 1 5 мм    раме приварены усиленные гнутые кронштейны из листовой стали толщиной 3 мм   оковые опоры изготовлены из плоскоовальной трубы 50х25 мм толщиной не менее 1 2 мм    нижней части опор установлены регулируемые подпятники  компен"&amp;"сирующие неровности пола   аркас сидений выполнен из плоскоовальной трубы 30х15 мм с толщиной стенки 1 5 мм   лементы каркаса соединяются между собой при помощи перемычек 30х15 мм    каркасу приваривается усиленное сиденье и спинка  выполненные из холодно"&amp;"катанного стального листа толщиной 1 2 мм с перфорацией   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 5 мм   се торцевые концы "&amp;"труб оснащены пластиковыми заглушками   камья имеет полимерно порошковое покрытие  устойчивое к внешним воздействиям   озможно изменение цвета по согласованию с заказчиком ")</f>
        <v xml:space="preserve"> камья тр хместная  размеры 1800х500х840 мм   аркас цельносварной  рама из профильной стальной трубы сечением 60х30 мм и толщиной стенки не менее 1 5 мм   абариты сиденья  580х490х440 мм  ама выполнена из профильной стальной трубы сечением 60 30 мм и толщиной стенки не менее 1 5 мм    раме приварены усиленные гнутые кронштейны из листовой стали толщиной 3 мм   оковые опоры изготовлены из плоскоовальной трубы 50х25 мм толщиной не менее 1 2 мм    нижней части опор установлены регулируемые подпятники  компенсирующие неровности пола   аркас сидений выполнен из плоскоовальной трубы 30х15 мм с толщиной стенки 1 5 мм   лементы каркаса соединяются между собой при помощи перемычек 30х15 мм    каркасу приваривается усиленное сиденье и спинка  выполненные из холоднокатанного стального листа толщиной 1 2 мм с перфорацией   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 5 мм   се торцевые концы труб оснащены пластиковыми заглушками   камья имеет полимерно порошковое покрытие  устойчивое к внешним воздействиям   озможно изменение цвета по согласованию с заказчиком </v>
      </c>
    </row>
    <row r="3542" spans="1:8" ht="114.75" x14ac:dyDescent="0.2">
      <c r="A3542" s="31" t="s">
        <v>8487</v>
      </c>
      <c r="B3542" s="27" t="s">
        <v>8488</v>
      </c>
      <c r="C3542" s="27" t="s">
        <v>8489</v>
      </c>
      <c r="D3542" s="33" t="s">
        <v>14</v>
      </c>
      <c r="E3542" s="34">
        <v>2</v>
      </c>
      <c r="F3542" s="34">
        <v>32</v>
      </c>
      <c r="G3542" s="10">
        <v>208666</v>
      </c>
      <c r="H3542" s="30" t="str">
        <f ca="1">IFERROR(__xludf.DUMMYFUNCTION("LOWER(REGEXREPLACE(B3542&amp;"" ""&amp;C3542,""[^а-яa-z0-9 ]"","" ""))")," камья тр хместная  размеры 1830х680х845 мм   аркас скамьи цельносварной   ягкие элементы сидений и спинок выполнены с применением износостойкого материала  аркас скамьи цельносварной    нижней части опор установлены регулируемые подпятники  компенсирующи"&amp;"е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воздейст"&amp;"виям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f>
        <v xml:space="preserve"> камья тр хместная  размеры 1830х680х845 мм   аркас скамьи цельносварной   ягкие элементы сидений и спинок выполнены с применением износостойкого материала  аркас скамьи цельносварной    нижней части опор установлены регулируемые подпятники  компенсирующие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v>
      </c>
    </row>
    <row r="3543" spans="1:8" ht="127.5" x14ac:dyDescent="0.2">
      <c r="A3543" s="31" t="s">
        <v>8490</v>
      </c>
      <c r="B3543" s="27" t="s">
        <v>8491</v>
      </c>
      <c r="C3543" s="27" t="s">
        <v>8492</v>
      </c>
      <c r="D3543" s="33" t="s">
        <v>14</v>
      </c>
      <c r="E3543" s="34">
        <v>2</v>
      </c>
      <c r="F3543" s="34">
        <v>28</v>
      </c>
      <c r="G3543" s="10">
        <v>189251</v>
      </c>
      <c r="H3543" s="30" t="str">
        <f ca="1">IFERROR(__xludf.DUMMYFUNCTION("LOWER(REGEXREPLACE(B3543&amp;"" ""&amp;C3543,""[^а-яa-z0-9 ]"","" ""))")," камья тр хместная  размеры 1750х680х780 мм   аркас скамьи цельносварной   ягкие элементы сидений и спинок выполнены с применением износостойкого материала   нижней части опор установлены регулируемые подпятники  компенсирующие неровности пола   ягкие эле"&amp;"менты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аркас балка  стальная "&amp;"трубка уголок  толщина 2 5 мм  обработка антикоррозия   порошковая покраска  иденье и спинка  нержавеющая стальная перфорированная пластина  толщина 1 2 1 5 мм  одлокотники ножки  металл или алюминиевый сплав  толщина 1 1 1 2 мм  финиш   полировка или хро"&amp;"м ")</f>
        <v xml:space="preserve"> камья тр хместная  размеры 1750х680х780 мм   аркас скамьи цельносварной   ягкие элементы сидений и спинок выполнены с применением износостойкого материала   нижней части опор установлены регулируемые подпятники  компенсирующие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аркас балка  стальная трубка уголок  толщина 2 5 мм  обработка антикоррозия   порошковая покраска  иденье и спинка  нержавеющая стальная перфорированная пластина  толщина 1 2 1 5 мм  одлокотники ножки  металл или алюминиевый сплав  толщина 1 1 1 2 мм  финиш   полировка или хром </v>
      </c>
    </row>
    <row r="3544" spans="1:8" ht="12.75" x14ac:dyDescent="0.2">
      <c r="A3544" s="31" t="s">
        <v>8493</v>
      </c>
      <c r="B3544" s="27" t="s">
        <v>8494</v>
      </c>
      <c r="C3544" s="27"/>
      <c r="D3544" s="33" t="s">
        <v>14</v>
      </c>
      <c r="E3544" s="9"/>
      <c r="F3544" s="32"/>
      <c r="G3544" s="10"/>
      <c r="H3544" s="30" t="str">
        <f ca="1">IFERROR(__xludf.DUMMYFUNCTION("LOWER(REGEXREPLACE(B3544&amp;"" ""&amp;C3544,""[^а-яa-z0-9 ]"","" ""))")," ресло на колесиках ")</f>
        <v xml:space="preserve"> ресло на колесиках </v>
      </c>
    </row>
    <row r="3545" spans="1:8" ht="38.25" x14ac:dyDescent="0.2">
      <c r="A3545" s="31" t="s">
        <v>8495</v>
      </c>
      <c r="B3545" s="27" t="s">
        <v>8496</v>
      </c>
      <c r="C3545" s="27" t="s">
        <v>8497</v>
      </c>
      <c r="D3545" s="33" t="s">
        <v>14</v>
      </c>
      <c r="E3545" s="9"/>
      <c r="F3545" s="32"/>
      <c r="G3545" s="10">
        <v>54473</v>
      </c>
      <c r="H3545" s="30" t="str">
        <f ca="1">IFERROR(__xludf.DUMMYFUNCTION("LOWER(REGEXREPLACE(B3545&amp;"" ""&amp;C3545,""[^а-яa-z0-9 ]"","" ""))")," ресло для персонала                    фисное кресло  restige     с подлокотниками  самба    рестовина и газ лифт пластиковые  обивка тканевая    егулировка высоты сиденья   егулировка наклона спинки ")</f>
        <v xml:space="preserve"> ресло для персонала                    фисное кресло  restige     с подлокотниками  самба    рестовина и газ лифт пластиковые  обивка тканевая    егулировка высоты сиденья   егулировка наклона спинки </v>
      </c>
    </row>
    <row r="3546" spans="1:8" ht="38.25" x14ac:dyDescent="0.2">
      <c r="A3546" s="31" t="s">
        <v>8498</v>
      </c>
      <c r="B3546" s="27" t="s">
        <v>8499</v>
      </c>
      <c r="C3546" s="27" t="s">
        <v>8500</v>
      </c>
      <c r="D3546" s="33" t="s">
        <v>14</v>
      </c>
      <c r="E3546" s="9"/>
      <c r="F3546" s="32"/>
      <c r="G3546" s="10">
        <v>127813</v>
      </c>
      <c r="H3546" s="30" t="str">
        <f ca="1">IFERROR(__xludf.DUMMYFUNCTION("LOWER(REGEXREPLACE(B3546&amp;"" ""&amp;C3546,""[^а-яa-z0-9 ]"","" ""))")," ресло офисное             8  l  аркас кресла  стальной  покрытый  износостойким полимерным материалом   одлокотники  хромированные стальные   с мягкими накладками  обитыми  ко кожей")</f>
        <v xml:space="preserve"> ресло офисное             8  l  аркас кресла  стальной  покрытый  износостойким полимерным материалом   одлокотники  хромированные стальные   с мягкими накладками  обитыми  ко кожей</v>
      </c>
    </row>
    <row r="3547" spans="1:8" ht="25.5" x14ac:dyDescent="0.2">
      <c r="A3547" s="31" t="s">
        <v>8501</v>
      </c>
      <c r="B3547" s="27" t="s">
        <v>8502</v>
      </c>
      <c r="C3547" s="27" t="s">
        <v>8503</v>
      </c>
      <c r="D3547" s="33" t="s">
        <v>14</v>
      </c>
      <c r="E3547" s="9"/>
      <c r="F3547" s="32"/>
      <c r="G3547" s="10">
        <v>108589</v>
      </c>
      <c r="H3547" s="30" t="str">
        <f ca="1">IFERROR(__xludf.DUMMYFUNCTION("LOWER(REGEXREPLACE(B3547&amp;"" ""&amp;C3547,""[^а-яa-z0-9 ]"","" ""))")," ресло офисное        еханизм подъ ма без функции качания   одлокотник  крестовина и ролики   пластик ")</f>
        <v xml:space="preserve"> ресло офисное        еханизм подъ ма без функции качания   одлокотник  крестовина и ролики   пластик </v>
      </c>
    </row>
    <row r="3548" spans="1:8" ht="51" x14ac:dyDescent="0.2">
      <c r="A3548" s="31" t="s">
        <v>8504</v>
      </c>
      <c r="B3548" s="27" t="s">
        <v>8505</v>
      </c>
      <c r="C3548" s="27" t="s">
        <v>8506</v>
      </c>
      <c r="D3548" s="33" t="s">
        <v>14</v>
      </c>
      <c r="E3548" s="34">
        <v>2</v>
      </c>
      <c r="F3548" s="34">
        <v>12</v>
      </c>
      <c r="G3548" s="10">
        <v>75704</v>
      </c>
      <c r="H3548" s="30" t="str">
        <f ca="1">IFERROR(__xludf.DUMMYFUNCTION("LOWER(REGEXREPLACE(B3548&amp;"" ""&amp;C3548,""[^а-яa-z0-9 ]"","" ""))")," ресло офисное   атериал спинки сетка  сиденье из ткани  крестовина из пластика  подлокотники из мягкого пластика   азмеры 588х920 1020х640 мм  аксимальная нагрузка  120 кг   аполнитель  пенополиуретан   вет черный ")</f>
        <v xml:space="preserve"> ресло офисное   атериал спинки сетка  сиденье из ткани  крестовина из пластика  подлокотники из мягкого пластика   азмеры 588х920 1020х640 мм  аксимальная нагрузка  120 кг   аполнитель  пенополиуретан   вет черный </v>
      </c>
    </row>
    <row r="3549" spans="1:8" ht="25.5" x14ac:dyDescent="0.2">
      <c r="A3549" s="31" t="s">
        <v>8507</v>
      </c>
      <c r="B3549" s="27" t="s">
        <v>8508</v>
      </c>
      <c r="C3549" s="27" t="s">
        <v>8509</v>
      </c>
      <c r="D3549" s="33" t="s">
        <v>14</v>
      </c>
      <c r="E3549" s="34">
        <v>2</v>
      </c>
      <c r="F3549" s="35">
        <v>8.4</v>
      </c>
      <c r="G3549" s="10">
        <v>30384</v>
      </c>
      <c r="H3549" s="30" t="str">
        <f ca="1">IFERROR(__xludf.DUMMYFUNCTION("LOWER(REGEXREPLACE(B3549&amp;"" ""&amp;C3549,""[^а-яa-z0-9 ]"","" ""))")," ресло офисное типа  uno  обивка гобелен  ысота сиденья регулируемая   атериал  крестовина   пластик  подлокотники   пластик   обивка   гобелен ")</f>
        <v xml:space="preserve"> ресло офисное типа  uno  обивка гобелен  ысота сиденья регулируемая   атериал  крестовина   пластик  подлокотники   пластик   обивка   гобелен </v>
      </c>
    </row>
    <row r="3550" spans="1:8" ht="51" x14ac:dyDescent="0.2">
      <c r="A3550" s="31" t="s">
        <v>8510</v>
      </c>
      <c r="B3550" s="27" t="s">
        <v>8511</v>
      </c>
      <c r="C3550" s="27" t="s">
        <v>8512</v>
      </c>
      <c r="D3550" s="33" t="s">
        <v>14</v>
      </c>
      <c r="E3550" s="34">
        <v>2</v>
      </c>
      <c r="F3550" s="34">
        <v>16</v>
      </c>
      <c r="G3550" s="10">
        <v>89091</v>
      </c>
      <c r="H3550" s="30" t="str">
        <f ca="1">IFERROR(__xludf.DUMMYFUNCTION("LOWER(REGEXREPLACE(B3550&amp;"" ""&amp;C3550,""[^а-яa-z0-9 ]"","" ""))")," ресло красно черное типа  uno  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атериалы отделки  искусственная кожа  поли"&amp;"уретановые колеса ")</f>
        <v xml:space="preserve"> ресло красно черное типа  uno  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атериалы отделки  искусственная кожа  полиуретановые колеса </v>
      </c>
    </row>
    <row r="3551" spans="1:8" ht="25.5" x14ac:dyDescent="0.2">
      <c r="A3551" s="31" t="s">
        <v>8513</v>
      </c>
      <c r="B3551" s="27" t="s">
        <v>8514</v>
      </c>
      <c r="C3551" s="27" t="s">
        <v>8515</v>
      </c>
      <c r="D3551" s="33" t="s">
        <v>14</v>
      </c>
      <c r="E3551" s="34">
        <v>2</v>
      </c>
      <c r="F3551" s="35">
        <v>19.3</v>
      </c>
      <c r="G3551" s="10">
        <v>67521</v>
      </c>
      <c r="H3551" s="30" t="str">
        <f ca="1">IFERROR(__xludf.DUMMYFUNCTION("LOWER(REGEXREPLACE(B3551&amp;"" ""&amp;C3551,""[^а-яa-z0-9 ]"","" ""))")," ресло офисное типа  uno  обивка эко кожа  ресло регулиреумое по высоте   бивка эко кожа   ысота спинки   не более 670мм")</f>
        <v xml:space="preserve"> ресло офисное типа  uno  обивка эко кожа  ресло регулиреумое по высоте   бивка эко кожа   ысота спинки   не более 670мм</v>
      </c>
    </row>
    <row r="3552" spans="1:8" ht="76.5" x14ac:dyDescent="0.2">
      <c r="A3552" s="31" t="s">
        <v>8516</v>
      </c>
      <c r="B3552" s="27" t="s">
        <v>8517</v>
      </c>
      <c r="C3552" s="27" t="s">
        <v>8518</v>
      </c>
      <c r="D3552" s="33" t="s">
        <v>14</v>
      </c>
      <c r="E3552" s="34">
        <v>2</v>
      </c>
      <c r="F3552" s="34">
        <v>17</v>
      </c>
      <c r="G3552" s="10">
        <v>128034</v>
      </c>
      <c r="H3552" s="30" t="str">
        <f ca="1">IFERROR(__xludf.DUMMYFUNCTION("LOWER(REGEXREPLACE(B3552&amp;"" ""&amp;C3552,""[^а-яa-z0-9 ]"","" ""))")," ресло офисное   олик из полиуретана  черный газлифт  сетчатый пластиковый подголовник   сетчатая спинка   сиденье из вспененного пенополиуретана   азмеры 660 1290 660мм  ресло офисное   олик из полиуретана  нейлоновая основа  черный газлифт  синхронизиро"&amp;"ванный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сетчатая спинка   сиденье из вспененного пенополиуретана   азмеры 660 1290 660мм ")</f>
        <v xml:space="preserve"> ресло офисное   олик из полиуретана  черный газлифт  сетчатый пластиковый подголовник   сетчатая спинка   сиденье из вспененного пенополиуретана   азмеры 660 1290 660мм  ресло офисное   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сетчатая спинка   сиденье из вспененного пенополиуретана   азмеры 660 1290 660мм </v>
      </c>
    </row>
    <row r="3553" spans="1:8" ht="51" x14ac:dyDescent="0.2">
      <c r="A3553" s="31" t="s">
        <v>8519</v>
      </c>
      <c r="B3553" s="27" t="s">
        <v>8520</v>
      </c>
      <c r="C3553" s="27" t="s">
        <v>8521</v>
      </c>
      <c r="D3553" s="33" t="s">
        <v>14</v>
      </c>
      <c r="E3553" s="34">
        <v>2</v>
      </c>
      <c r="F3553" s="34">
        <v>13</v>
      </c>
      <c r="G3553" s="10">
        <v>88181</v>
      </c>
      <c r="H3553" s="30" t="str">
        <f ca="1">IFERROR(__xludf.DUMMYFUNCTION("LOWER(REGEXREPLACE(B3553&amp;"" ""&amp;C3553,""[^а-яa-z0-9 ]"","" ""))")," ресло офисное   олик из полиуретана  черный газлифт  сетчатая спинка   сиденье из пенополиуретана   азмеры 660 мм 990 660 мм  ресло офисное   олик из полиуретана  нейлоновая основа  черный газлифт  поворотный механизм наклона  статичный подлокотник  сетч"&amp;"атая спинка   сиденье из пенополиуретана   азмеры 660 мм 990 660 мм")</f>
        <v xml:space="preserve"> ресло офисное   олик из полиуретана  черный газлифт  сетчатая спинка   сиденье из пенополиуретана   азмеры 660 мм 990 660 мм  ресло офисное   олик из полиуретана  нейлоновая основа  черный газлифт  поворотный механизм наклона  статичный подлокотник  сетчатая спинка   сиденье из пенополиуретана   азмеры 660 мм 990 660 мм</v>
      </c>
    </row>
    <row r="3554" spans="1:8" ht="51" x14ac:dyDescent="0.2">
      <c r="A3554" s="31" t="s">
        <v>8522</v>
      </c>
      <c r="B3554" s="8" t="s">
        <v>8523</v>
      </c>
      <c r="C3554" s="27" t="s">
        <v>8524</v>
      </c>
      <c r="D3554" s="33" t="s">
        <v>14</v>
      </c>
      <c r="E3554" s="34">
        <v>2</v>
      </c>
      <c r="F3554" s="34">
        <v>10</v>
      </c>
      <c r="G3554" s="10">
        <v>44554</v>
      </c>
      <c r="H3554" s="30" t="str">
        <f ca="1">IFERROR(__xludf.DUMMYFUNCTION("LOWER(REGEXREPLACE(B3554&amp;"" ""&amp;C3554,""[^а-яa-z0-9 ]"","" ""))")," ресло офисное   егулировка высоты  газлифт   крестовина и подлокотники пластиковые   атериал обивки  спинка  сетка  сиденье  ткань   азмер  480х440х890 мм  ластиковая крестовина   одлокотники пластиковые   граничение по весу  120 кг   атериал обивки  спи"&amp;"нка  сетка  сиденье  ткань")</f>
        <v xml:space="preserve"> ресло офисное   егулировка высоты  газлифт   крестовина и подлокотники пластиковые   атериал обивки  спинка  сетка  сиденье  ткань   азмер  480х440х890 мм  ластиковая крестовина   одлокотники пластиковые   граничение по весу  120 кг   атериал обивки  спинка  сетка  сиденье  ткань</v>
      </c>
    </row>
    <row r="3555" spans="1:8" ht="51" x14ac:dyDescent="0.2">
      <c r="A3555" s="31" t="s">
        <v>8525</v>
      </c>
      <c r="B3555" s="27" t="s">
        <v>8526</v>
      </c>
      <c r="C3555" s="27" t="s">
        <v>8527</v>
      </c>
      <c r="D3555" s="33" t="s">
        <v>14</v>
      </c>
      <c r="E3555" s="34">
        <v>2</v>
      </c>
      <c r="F3555" s="34">
        <v>10</v>
      </c>
      <c r="G3555" s="10">
        <v>53052</v>
      </c>
      <c r="H3555" s="30" t="str">
        <f ca="1">IFERROR(__xludf.DUMMYFUNCTION("LOWER(REGEXREPLACE(B3555&amp;"" ""&amp;C3555,""[^а-яa-z0-9 ]"","" ""))")," ресло офисное   егулировка высоты  газлифт    одлокотники  крестовина и колеса пластиковые   атериал обивки  эко кожа   азмер  440х440х870мм   граничение по весу  120 кг    атериал обивки  эко кожа  цвет черный ")</f>
        <v xml:space="preserve"> ресло офисное   егулировка высоты  газлифт    одлокотники  крестовина и колеса пластиковые   атериал обивки  эко кожа   азмер  440х440х870мм   граничение по весу  120 кг    атериал обивки  эко кожа  цвет черный </v>
      </c>
    </row>
    <row r="3556" spans="1:8" ht="76.5" x14ac:dyDescent="0.2">
      <c r="A3556" s="31" t="s">
        <v>8528</v>
      </c>
      <c r="B3556" s="8" t="s">
        <v>8529</v>
      </c>
      <c r="C3556" s="27" t="s">
        <v>8530</v>
      </c>
      <c r="D3556" s="33" t="s">
        <v>14</v>
      </c>
      <c r="E3556" s="34">
        <v>2</v>
      </c>
      <c r="F3556" s="34">
        <v>15</v>
      </c>
      <c r="G3556" s="10">
        <v>70652</v>
      </c>
      <c r="H3556" s="30" t="str">
        <f ca="1">IFERROR(__xludf.DUMMYFUNCTION("LOWER(REGEXREPLACE(B3556&amp;"" ""&amp;C3556,""[^а-яa-z0-9 ]"","" ""))")," ресло офисное   егулировка высоты  газлифт    одлокотники металлические с пластиковыми накладками  крестовина металлическая разборная  пластиковые колеса   атериал обивки  сетка ткань   азмер  490х390х1100мм  ресло офисное   еханизм качания   егулировка "&amp;"высоты  газлифт    одлокотники металлические с пластиковыми накладками   рестовина металлическая разборная   ластиковые колеса   граничение по весу  120 кг")</f>
        <v xml:space="preserve"> ресло офисное   егулировка высоты  газлифт    одлокотники металлические с пластиковыми накладками  крестовина металлическая разборная  пластиковые колеса   атериал обивки  сетка ткань   азмер  490х390х1100мм  ресло офисное   еханизм качания   егулировка высоты  газлифт    одлокотники металлические с пластиковыми накладками   рестовина металлическая разборная   ластиковые колеса   граничение по весу  120 кг</v>
      </c>
    </row>
    <row r="3557" spans="1:8" ht="76.5" x14ac:dyDescent="0.2">
      <c r="A3557" s="31" t="s">
        <v>8531</v>
      </c>
      <c r="B3557" s="27" t="s">
        <v>8532</v>
      </c>
      <c r="C3557" s="27" t="s">
        <v>8533</v>
      </c>
      <c r="D3557" s="33" t="s">
        <v>14</v>
      </c>
      <c r="E3557" s="34">
        <v>2</v>
      </c>
      <c r="F3557" s="34">
        <v>15</v>
      </c>
      <c r="G3557" s="10">
        <v>82972</v>
      </c>
      <c r="H3557" s="30" t="str">
        <f ca="1">IFERROR(__xludf.DUMMYFUNCTION("LOWER(REGEXREPLACE(B3557&amp;"" ""&amp;C3557,""[^а-яa-z0-9 ]"","" ""))")," ресло офисное   егулировка высоты  газлифт    одлокотники металлические с пластиковыми накладками  крестовина металлическая разборная  колеса пластиковые   атериал обивки  комбинированная ткань  сетка   азмер  490х390х1090мм  еханизм качания с регулировк"&amp;"ой под вес и возможностью фиксации в вертикальном положении   оддержка поясницы  2 резиновые ленты    граничение по весу  120 кг ")</f>
        <v xml:space="preserve"> ресло офисное   егулировка высоты  газлифт    одлокотники металлические с пластиковыми накладками  крестовина металлическая разборная  колеса пластиковые   атериал обивки  комбинированная ткань  сетка   азмер  490х390х1090мм  еханизм качания с регулировкой под вес и возможностью фиксации в вертикальном положении   оддержка поясницы  2 резиновые ленты    граничение по весу  120 кг </v>
      </c>
    </row>
    <row r="3558" spans="1:8" ht="51" x14ac:dyDescent="0.2">
      <c r="A3558" s="31" t="s">
        <v>8534</v>
      </c>
      <c r="B3558" s="27" t="s">
        <v>8535</v>
      </c>
      <c r="C3558" s="27" t="s">
        <v>8536</v>
      </c>
      <c r="D3558" s="33" t="s">
        <v>14</v>
      </c>
      <c r="E3558" s="34">
        <v>2</v>
      </c>
      <c r="F3558" s="34">
        <v>15</v>
      </c>
      <c r="G3558" s="10">
        <v>92235</v>
      </c>
      <c r="H3558" s="30" t="str">
        <f ca="1">IFERROR(__xludf.DUMMYFUNCTION("LOWER(REGEXREPLACE(B3558&amp;"" ""&amp;C3558,""[^а-яa-z0-9 ]"","" ""))")," ресло офисное   еханизм качания   егулировка высоты  газлифт    рестовина и подлокотники пластиковые   атериал обивки  эко кожа  цвет черный   азмер  540х460х1080мм  еханизм качания с возможностью фиксации в рабочем положении   граничение по весу  120 кг"&amp;" ")</f>
        <v xml:space="preserve"> ресло офисное   еханизм качания   егулировка высоты  газлифт    рестовина и подлокотники пластиковые   атериал обивки  эко кожа  цвет черный   азмер  540х460х1080мм  еханизм качания с возможностью фиксации в рабочем положении   граничение по весу  120 кг </v>
      </c>
    </row>
    <row r="3559" spans="1:8" ht="51" x14ac:dyDescent="0.2">
      <c r="A3559" s="31" t="s">
        <v>8537</v>
      </c>
      <c r="B3559" s="27" t="s">
        <v>8538</v>
      </c>
      <c r="C3559" s="27" t="s">
        <v>8539</v>
      </c>
      <c r="D3559" s="33" t="s">
        <v>14</v>
      </c>
      <c r="E3559" s="34">
        <v>2</v>
      </c>
      <c r="F3559" s="34">
        <v>15</v>
      </c>
      <c r="G3559" s="10">
        <v>98800</v>
      </c>
      <c r="H3559" s="30" t="str">
        <f ca="1">IFERROR(__xludf.DUMMYFUNCTION("LOWER(REGEXREPLACE(B3559&amp;"" ""&amp;C3559,""[^а-яa-z0-9 ]"","" ""))")," ресло офисное   еханизм качания   егулировка высоты  газлифт    атериал обивки  эко кожа   азмер  545х475х1140мм  ресло офисное   еханизм качания с регулировкой под вес и фиксацией в вертикальном положении   егулировка высоты  газлифт    граничение по ве"&amp;"су  120 кг   атериал обивки  эко кожа   азмер  545х475х1140мм")</f>
        <v xml:space="preserve"> ресло офисное   еханизм качания   егулировка высоты  газлифт    атериал обивки  эко кожа   азмер  545х475х1140мм  ресло офисное   еханизм качания с регулировкой под вес и фиксацией в вертикальном положении   егулировка высоты  газлифт    граничение по весу  120 кг   атериал обивки  эко кожа   азмер  545х475х1140мм</v>
      </c>
    </row>
    <row r="3560" spans="1:8" ht="76.5" x14ac:dyDescent="0.2">
      <c r="A3560" s="31" t="s">
        <v>8540</v>
      </c>
      <c r="B3560" s="27" t="s">
        <v>8541</v>
      </c>
      <c r="C3560" s="27" t="s">
        <v>8542</v>
      </c>
      <c r="D3560" s="33" t="s">
        <v>14</v>
      </c>
      <c r="E3560" s="34">
        <v>2</v>
      </c>
      <c r="F3560" s="34">
        <v>15</v>
      </c>
      <c r="G3560" s="10">
        <v>85760</v>
      </c>
      <c r="H3560" s="30" t="str">
        <f ca="1">IFERROR(__xludf.DUMMYFUNCTION("LOWER(REGEXREPLACE(B3560&amp;"" ""&amp;C3560,""[^а-яa-z0-9 ]"","" ""))")," ресло офисное   еханизм качания   егулировка высоты  газлифт    ластиковая крестовина  подлокотники металлические крашеные с накладками из эко кожи   пинка сетчатая  сиденье тканевое  подголовник из эко кожи   азмер  490х470х1160мм  еханизм качания с рег"&amp;"улировкой под вес и фиксацией в вертикальном положении   граничение по весу  120 кг ")</f>
        <v xml:space="preserve"> ресло офисное   еханизм качания   егулировка высоты  газлифт    ластиковая крестовина  подлокотники металлические крашеные с накладками из эко кожи   пинка сетчатая  сиденье тканевое  подголовник из эко кожи   азмер  490х470х1160мм  еханизм качания с регулировкой под вес и фиксацией в вертикальном положении   граничение по весу  120 кг </v>
      </c>
    </row>
    <row r="3561" spans="1:8" ht="76.5" x14ac:dyDescent="0.2">
      <c r="A3561" s="31" t="s">
        <v>8543</v>
      </c>
      <c r="B3561" s="8" t="s">
        <v>8544</v>
      </c>
      <c r="C3561" s="27" t="s">
        <v>8542</v>
      </c>
      <c r="D3561" s="33" t="s">
        <v>14</v>
      </c>
      <c r="E3561" s="34">
        <v>2</v>
      </c>
      <c r="F3561" s="34">
        <v>15</v>
      </c>
      <c r="G3561" s="10">
        <v>102217</v>
      </c>
      <c r="H3561" s="30" t="str">
        <f ca="1">IFERROR(__xludf.DUMMYFUNCTION("LOWER(REGEXREPLACE(B3561&amp;"" ""&amp;C3561,""[^а-яa-z0-9 ]"","" ""))")," ресло офисное   еханизм качания   егулировка высоты  газлифт    одлокотники металлические с накладками из искусственной кожи   рестовина хром   атериал обивки  эко кожа сетка   азмер  490х470х1200мм  еханизм качания с регулировкой под вес и фиксацией в в"&amp;"ертикальном положении   граничение по весу  120 кг ")</f>
        <v xml:space="preserve"> ресло офисное   еханизм качания   егулировка высоты  газлифт    одлокотники металлические с накладками из искусственной кожи   рестовина хром   атериал обивки  эко кожа сетка   азмер  490х470х1200мм  еханизм качания с регулировкой под вес и фиксацией в вертикальном положении   граничение по весу  120 кг </v>
      </c>
    </row>
    <row r="3562" spans="1:8" ht="51" x14ac:dyDescent="0.2">
      <c r="A3562" s="31" t="s">
        <v>8545</v>
      </c>
      <c r="B3562" s="27" t="s">
        <v>8546</v>
      </c>
      <c r="C3562" s="27" t="s">
        <v>8547</v>
      </c>
      <c r="D3562" s="33" t="s">
        <v>14</v>
      </c>
      <c r="E3562" s="34">
        <v>2</v>
      </c>
      <c r="F3562" s="34">
        <v>10</v>
      </c>
      <c r="G3562" s="10">
        <v>60111</v>
      </c>
      <c r="H3562" s="30" t="str">
        <f ca="1">IFERROR(__xludf.DUMMYFUNCTION("LOWER(REGEXREPLACE(B3562&amp;"" ""&amp;C3562,""[^а-яa-z0-9 ]"","" ""))")," ресло офисное   егулировка высоты  газлифт    рестовина и подлокотники пластиковые   атериал обивки  спинка   сетка  сиденье   ткань   азмер  480х440х890мм  рестовина белый пластик   одлокотники белые пластиковые   атериал обивки   пинка   сетка  сиденье"&amp;"   ткань   граничение по весу  120 кг")</f>
        <v xml:space="preserve"> ресло офисное   егулировка высоты  газлифт    рестовина и подлокотники пластиковые   атериал обивки  спинка   сетка  сиденье   ткань   азмер  480х440х890мм  рестовина белый пластик   одлокотники белые пластиковые   атериал обивки   пинка   сетка  сиденье   ткань   граничение по весу  120 кг</v>
      </c>
    </row>
    <row r="3563" spans="1:8" ht="51" x14ac:dyDescent="0.2">
      <c r="A3563" s="31" t="s">
        <v>8548</v>
      </c>
      <c r="B3563" s="27" t="s">
        <v>8549</v>
      </c>
      <c r="C3563" s="27" t="s">
        <v>8550</v>
      </c>
      <c r="D3563" s="33" t="s">
        <v>14</v>
      </c>
      <c r="E3563" s="34">
        <v>2</v>
      </c>
      <c r="F3563" s="34">
        <v>10</v>
      </c>
      <c r="G3563" s="10">
        <v>67207</v>
      </c>
      <c r="H3563" s="30" t="str">
        <f ca="1">IFERROR(__xludf.DUMMYFUNCTION("LOWER(REGEXREPLACE(B3563&amp;"" ""&amp;C3563,""[^а-яa-z0-9 ]"","" ""))")," ресло офисное   еханизм качания  регулировка высоты  газлифт   подлокотники и кретовина пластиковые  материал обивки  ткань   азмер  480х450х1100мм  еханизм качания с регулировкой под вес и фиксацией в вертикальном положении   граничение по весу  120 кг")</f>
        <v xml:space="preserve"> ресло офисное   еханизм качания  регулировка высоты  газлифт   подлокотники и кретовина пластиковые  материал обивки  ткань   азмер  480х450х1100мм  еханизм качания с регулировкой под вес и фиксацией в вертикальном положении   граничение по весу  120 кг</v>
      </c>
    </row>
    <row r="3564" spans="1:8" ht="63.75" x14ac:dyDescent="0.2">
      <c r="A3564" s="31" t="s">
        <v>8551</v>
      </c>
      <c r="B3564" s="27" t="s">
        <v>8552</v>
      </c>
      <c r="C3564" s="27" t="s">
        <v>8553</v>
      </c>
      <c r="D3564" s="33" t="s">
        <v>14</v>
      </c>
      <c r="E3564" s="34">
        <v>2</v>
      </c>
      <c r="F3564" s="34">
        <v>10</v>
      </c>
      <c r="G3564" s="10">
        <v>75669</v>
      </c>
      <c r="H3564" s="30" t="str">
        <f ca="1">IFERROR(__xludf.DUMMYFUNCTION("LOWER(REGEXREPLACE(B3564&amp;"" ""&amp;C3564,""[^а-яa-z0-9 ]"","" ""))")," ресло офисное   ружинно винтовой механизм качания спинки  регулировка высоты  газлифт   подлокотники пластиковые  крестовина металлическая  материал обивки  текстиль эко кожа   азмер  485х415х1015мм  ружинно винтовой механизм качания спинки   рестовина м"&amp;"еталлическая разборная   граничение по весу  120 кг")</f>
        <v xml:space="preserve"> ресло офисное   ружинно винтовой механизм качания спинки  регулировка высоты  газлифт   подлокотники пластиковые  крестовина металлическая  материал обивки  текстиль эко кожа   азмер  485х415х1015мм  ружинно винтовой механизм качания спинки   рестовина металлическая разборная   граничение по весу  120 кг</v>
      </c>
    </row>
    <row r="3565" spans="1:8" ht="114.75" x14ac:dyDescent="0.2">
      <c r="A3565" s="31" t="s">
        <v>8554</v>
      </c>
      <c r="B3565" s="27" t="s">
        <v>8555</v>
      </c>
      <c r="C3565" s="27" t="s">
        <v>8556</v>
      </c>
      <c r="D3565" s="33" t="s">
        <v>14</v>
      </c>
      <c r="E3565" s="34">
        <v>2</v>
      </c>
      <c r="F3565" s="34">
        <v>16</v>
      </c>
      <c r="G3565" s="10">
        <v>98969</v>
      </c>
      <c r="H3565" s="30" t="str">
        <f ca="1">IFERROR(__xludf.DUMMYFUNCTION("LOWER(REGEXREPLACE(B3565&amp;"" ""&amp;C3565,""[^а-яa-z0-9 ]"","" ""))")," 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  рестовина пластик   атериал сиденья ткань   ргономичная сетчатая спинка фиксирует спину"&amp;"   егулируемый подголовник   одвижная спинка  которую можно регулировать в зависимости от веса   егулируемый по высоте подлокотник из полиуретана  высота от пола до плеча 620 690мм   егулируемый подголовник в черной тканевой обивке   ысота спинки 810мм  р"&amp;"егулируемая по весу и подвижная сетчатая спинка   толбчатая поясничная поддержка на спинке   ирина сиденья 510мм  глубина 490мм  литая губка   войной рычаг  механизм наклона спинки назад   ластиковые колеса ")</f>
        <v xml:space="preserve"> 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  рестовина пластик   атериал сиденья ткань   ргономичная сетчатая спинка фиксирует спину   егулируемый подголовник   одвижная спинка  которую можно регулировать в зависимости от веса   егулируемый по высоте подлокотник из полиуретана  высота от пола до плеча 620 690мм   егулируемый подголовник в черной тканевой обивке   ысота спинки 810мм  регулируемая по весу и подвижная сетчатая спинка   толбчатая поясничная поддержка на спинке   ирина сиденья 510мм  глубина 490мм  литая губка   войной рычаг  механизм наклона спинки назад   ластиковые колеса </v>
      </c>
    </row>
    <row r="3566" spans="1:8" ht="89.25" x14ac:dyDescent="0.2">
      <c r="A3566" s="31" t="s">
        <v>8557</v>
      </c>
      <c r="B3566" s="27" t="s">
        <v>8558</v>
      </c>
      <c r="C3566" s="27" t="s">
        <v>8559</v>
      </c>
      <c r="D3566" s="33" t="s">
        <v>14</v>
      </c>
      <c r="E3566" s="34">
        <v>2</v>
      </c>
      <c r="F3566" s="34">
        <v>16</v>
      </c>
      <c r="G3566" s="10">
        <v>120661</v>
      </c>
      <c r="H3566" s="30" t="str">
        <f ca="1">IFERROR(__xludf.DUMMYFUNCTION("LOWER(REGEXREPLACE(B3566&amp;"" ""&amp;C3566,""[^а-яa-z0-9 ]"","" ""))")," ресло офисное регулируемое по высоте  крестовина пластик  материал сиденья ткань  регулируемый подголовник  пластиковые подлокотники  рестовина пластик   атериал сиденья ткань   ргономичная сетчатая спинка фиксирует спину   егулируемый подголовник   одви"&amp;"жная спинка  которую можно регулировать в зависимости от веса   ластиковые подлокотники   егулируемый подголовник в черной тканевой обивке   ысота спинки 810мм  регулируемая по весу и подвижная сетчатая спинка   ирина сиденья 510мм  глубина 490мм  литая г"&amp;"убка   войной рычаг  механизм наклона спинки назад   ластиковые колеса ")</f>
        <v xml:space="preserve"> ресло офисное регулируемое по высоте  крестовина пластик  материал сиденья ткань  регулируемый подголовник  пластиковые подлокотники  рестовина пластик   атериал сиденья ткань   ргономичная сетчатая спинка фиксирует спину   егулируемый подголовник   одвижная спинка  которую можно регулировать в зависимости от веса   ластиковые подлокотники   егулируемый подголовник в черной тканевой обивке   ысота спинки 810мм  регулируемая по весу и подвижная сетчатая спинка   ирина сиденья 510мм  глубина 490мм  литая губка   войной рычаг  механизм наклона спинки назад   ластиковые колеса </v>
      </c>
    </row>
    <row r="3567" spans="1:8" ht="51" x14ac:dyDescent="0.2">
      <c r="A3567" s="31" t="s">
        <v>8560</v>
      </c>
      <c r="B3567" s="27" t="s">
        <v>8561</v>
      </c>
      <c r="C3567" s="27" t="s">
        <v>8562</v>
      </c>
      <c r="D3567" s="33" t="s">
        <v>14</v>
      </c>
      <c r="E3567" s="34">
        <v>2</v>
      </c>
      <c r="F3567" s="34">
        <v>14</v>
      </c>
      <c r="G3567" s="10">
        <v>95297</v>
      </c>
      <c r="H3567" s="30" t="str">
        <f ca="1">IFERROR(__xludf.DUMMYFUNCTION("LOWER(REGEXREPLACE(B3567&amp;"" ""&amp;C3567,""[^а-яa-z0-9 ]"","" ""))")," ресло офисное   атериал спинки сетка  сиденье из ткани  крестовина из пластика  подлокотники из мягкого пластика  регулировка высоты   азмеры 650х660х1080 мм  азмеры  глубина 660мм  ширина 650мм  высота 1080мм   ез подголовника   аксимальная нагрузка  12"&amp;"0 кг   аполнитель  пена полиуритан   вет  черный   егулировка высоты ")</f>
        <v xml:space="preserve"> ресло офисное   атериал спинки сетка  сиденье из ткани  крестовина из пластика  подлокотники из мягкого пластика  регулировка высоты   азмеры 650х660х1080 мм  азмеры  глубина 660мм  ширина 650мм  высота 1080мм   ез подголовника   аксимальная нагрузка  120 кг   аполнитель  пена полиуритан   вет  черный   егулировка высоты </v>
      </c>
    </row>
    <row r="3568" spans="1:8" ht="38.25" x14ac:dyDescent="0.2">
      <c r="A3568" s="31" t="s">
        <v>8563</v>
      </c>
      <c r="B3568" s="27" t="s">
        <v>8564</v>
      </c>
      <c r="C3568" s="27" t="s">
        <v>8565</v>
      </c>
      <c r="D3568" s="33" t="s">
        <v>14</v>
      </c>
      <c r="E3568" s="34">
        <v>2</v>
      </c>
      <c r="F3568" s="34">
        <v>12</v>
      </c>
      <c r="G3568" s="10">
        <v>82961</v>
      </c>
      <c r="H3568" s="30" t="str">
        <f ca="1">IFERROR(__xludf.DUMMYFUNCTION("LOWER(REGEXREPLACE(B3568&amp;"" ""&amp;C3568,""[^а-яa-z0-9 ]"","" ""))")," ресло офисное   атериал спинки сетка  сиденье из ткани  крестовина из пластика  подлокотники из мягкого пластика  ез подголовника   аксимальная нагрузка  120 кг   аполнитель  пена полиуритан   вет  черный")</f>
        <v xml:space="preserve"> ресло офисное   атериал спинки сетка  сиденье из ткани  крестовина из пластика  подлокотники из мягкого пластика  ез подголовника   аксимальная нагрузка  120 кг   аполнитель  пена полиуритан   вет  черный</v>
      </c>
    </row>
    <row r="3569" spans="1:8" ht="38.25" x14ac:dyDescent="0.2">
      <c r="A3569" s="31" t="s">
        <v>8566</v>
      </c>
      <c r="B3569" s="27" t="s">
        <v>8567</v>
      </c>
      <c r="C3569" s="27" t="s">
        <v>8568</v>
      </c>
      <c r="D3569" s="33" t="s">
        <v>14</v>
      </c>
      <c r="E3569" s="34">
        <v>2</v>
      </c>
      <c r="F3569" s="34">
        <v>12</v>
      </c>
      <c r="G3569" s="10">
        <v>104075</v>
      </c>
      <c r="H3569" s="30" t="str">
        <f ca="1">IFERROR(__xludf.DUMMYFUNCTION("LOWER(REGEXREPLACE(B3569&amp;"" ""&amp;C3569,""[^а-яa-z0-9 ]"","" ""))")," ресло офисное   атериал спинки и подголовника сетка  сиденье из ткани  крестовина из пластика  подлокотники из мягкого пластика   подголовником   аксимальная нагрузка  140 кг   аполнитель  пена полиуритан   вет  черный")</f>
        <v xml:space="preserve"> ресло офисное   атериал спинки и подголовника сетка  сиденье из ткани  крестовина из пластика  подлокотники из мягкого пластика   подголовником   аксимальная нагрузка  140 кг   аполнитель  пена полиуритан   вет  черный</v>
      </c>
    </row>
    <row r="3570" spans="1:8" ht="51" x14ac:dyDescent="0.2">
      <c r="A3570" s="31" t="s">
        <v>8569</v>
      </c>
      <c r="B3570" s="27" t="s">
        <v>8570</v>
      </c>
      <c r="C3570" s="27" t="s">
        <v>8571</v>
      </c>
      <c r="D3570" s="33" t="s">
        <v>14</v>
      </c>
      <c r="E3570" s="34">
        <v>2</v>
      </c>
      <c r="F3570" s="35">
        <v>8.5</v>
      </c>
      <c r="G3570" s="10">
        <v>32587</v>
      </c>
      <c r="H3570" s="30" t="str">
        <f ca="1">IFERROR(__xludf.DUMMYFUNCTION("LOWER(REGEXREPLACE(B3570&amp;"" ""&amp;C3570,""[^а-яa-z0-9 ]"","" ""))")," ресло офисное типа           9   егулировка высоты  крестовина и подлокотники пластиковые   атериал обивки  спинка  сетка  сиденье  ткань  ластиковая крестовина   одлокотники пластиковые   граничение по весу  90 кг   атериал обивки  спинка  сетка  сидень"&amp;"е  ткань ")</f>
        <v xml:space="preserve"> ресло офисное типа           9   егулировка высоты  крестовина и подлокотники пластиковые   атериал обивки  спинка  сетка  сиденье  ткань  ластиковая крестовина   одлокотники пластиковые   граничение по весу  90 кг   атериал обивки  спинка  сетка  сиденье  ткань </v>
      </c>
    </row>
    <row r="3571" spans="1:8" ht="12.75" x14ac:dyDescent="0.2">
      <c r="A3571" s="31" t="s">
        <v>8572</v>
      </c>
      <c r="B3571" s="27" t="s">
        <v>8573</v>
      </c>
      <c r="C3571" s="27"/>
      <c r="D3571" s="33" t="s">
        <v>14</v>
      </c>
      <c r="E3571" s="9"/>
      <c r="F3571" s="32"/>
      <c r="G3571" s="10"/>
      <c r="H3571" s="30" t="str">
        <f ca="1">IFERROR(__xludf.DUMMYFUNCTION("LOWER(REGEXREPLACE(B3571&amp;"" ""&amp;C3571,""[^а-яa-z0-9 ]"","" ""))")," каф для одежды ")</f>
        <v xml:space="preserve"> каф для одежды </v>
      </c>
    </row>
    <row r="3572" spans="1:8" ht="25.5" x14ac:dyDescent="0.2">
      <c r="A3572" s="31" t="s">
        <v>8574</v>
      </c>
      <c r="B3572" s="27" t="s">
        <v>8575</v>
      </c>
      <c r="C3572" s="27"/>
      <c r="D3572" s="33" t="s">
        <v>14</v>
      </c>
      <c r="E3572" s="9"/>
      <c r="F3572" s="32"/>
      <c r="G3572" s="10">
        <v>104054</v>
      </c>
      <c r="H3572" s="30" t="str">
        <f ca="1">IFERROR(__xludf.DUMMYFUNCTION("LOWER(REGEXREPLACE(B3572&amp;"" ""&amp;C3572,""[^а-яa-z0-9 ]"","" ""))")," каф для одежды двухсекционный с вытяжным патрубком 800х500х2000 мм ")</f>
        <v xml:space="preserve"> каф для одежды двухсекционный с вытяжным патрубком 800х500х2000 мм </v>
      </c>
    </row>
    <row r="3573" spans="1:8" ht="25.5" x14ac:dyDescent="0.2">
      <c r="A3573" s="31" t="s">
        <v>8576</v>
      </c>
      <c r="B3573" s="27" t="s">
        <v>8577</v>
      </c>
      <c r="C3573" s="27" t="s">
        <v>8578</v>
      </c>
      <c r="D3573" s="33" t="s">
        <v>14</v>
      </c>
      <c r="E3573" s="9"/>
      <c r="F3573" s="32"/>
      <c r="G3573" s="10">
        <v>81429</v>
      </c>
      <c r="H3573" s="30" t="str">
        <f ca="1">IFERROR(__xludf.DUMMYFUNCTION("LOWER(REGEXREPLACE(B3573&amp;"" ""&amp;C3573,""[^а-яa-z0-9 ]"","" ""))")," каф для одежды 800х540х1930 мм  каф для одежды 800х540х1930 мм   есущие части  полки  фасадная часть        16 мм")</f>
        <v xml:space="preserve"> каф для одежды 800х540х1930 мм  каф для одежды 800х540х1930 мм   есущие части  полки  фасадная часть        16 мм</v>
      </c>
    </row>
    <row r="3574" spans="1:8" ht="12.75" x14ac:dyDescent="0.2">
      <c r="A3574" s="31" t="s">
        <v>8579</v>
      </c>
      <c r="B3574" s="27" t="s">
        <v>8580</v>
      </c>
      <c r="C3574" s="27"/>
      <c r="D3574" s="33" t="s">
        <v>14</v>
      </c>
      <c r="E3574" s="9"/>
      <c r="F3574" s="32"/>
      <c r="G3574" s="10">
        <v>55977</v>
      </c>
      <c r="H3574" s="30" t="str">
        <f ca="1">IFERROR(__xludf.DUMMYFUNCTION("LOWER(REGEXREPLACE(B3574&amp;"" ""&amp;C3574,""[^а-яa-z0-9 ]"","" ""))")," каф для одежды 800х540х1950 мм ")</f>
        <v xml:space="preserve"> каф для одежды 800х540х1950 мм </v>
      </c>
    </row>
    <row r="3575" spans="1:8" ht="25.5" x14ac:dyDescent="0.2">
      <c r="A3575" s="31" t="s">
        <v>8581</v>
      </c>
      <c r="B3575" s="27" t="s">
        <v>8582</v>
      </c>
      <c r="C3575" s="27" t="s">
        <v>8583</v>
      </c>
      <c r="D3575" s="33" t="s">
        <v>14</v>
      </c>
      <c r="E3575" s="9"/>
      <c r="F3575" s="32"/>
      <c r="G3575" s="10">
        <v>53571</v>
      </c>
      <c r="H3575" s="30" t="str">
        <f ca="1">IFERROR(__xludf.DUMMYFUNCTION("LOWER(REGEXREPLACE(B3575&amp;"" ""&amp;C3575,""[^а-яa-z0-9 ]"","" ""))")," каф для одежды 800х450х1800 мм  каф для одежды 800х450х1800 мм       16мм   олки для одежды и головного убора ")</f>
        <v xml:space="preserve"> каф для одежды 800х450х1800 мм  каф для одежды 800х450х1800 мм       16мм   олки для одежды и головного убора </v>
      </c>
    </row>
    <row r="3576" spans="1:8" ht="25.5" x14ac:dyDescent="0.2">
      <c r="A3576" s="31" t="s">
        <v>8584</v>
      </c>
      <c r="B3576" s="27" t="s">
        <v>8585</v>
      </c>
      <c r="C3576" s="27" t="s">
        <v>8586</v>
      </c>
      <c r="D3576" s="33" t="s">
        <v>14</v>
      </c>
      <c r="E3576" s="9"/>
      <c r="F3576" s="32"/>
      <c r="G3576" s="10">
        <v>44643</v>
      </c>
      <c r="H3576" s="30" t="str">
        <f ca="1">IFERROR(__xludf.DUMMYFUNCTION("LOWER(REGEXREPLACE(B3576&amp;"" ""&amp;C3576,""[^а-яa-z0-9 ]"","" ""))")," каф для одежды 600х450х1800 мм  каф для одежды 600х450х1800 мм       16мм   олка для головного убора и перекладина ")</f>
        <v xml:space="preserve"> каф для одежды 600х450х1800 мм  каф для одежды 600х450х1800 мм       16мм   олка для головного убора и перекладина </v>
      </c>
    </row>
    <row r="3577" spans="1:8" ht="25.5" x14ac:dyDescent="0.2">
      <c r="A3577" s="31" t="s">
        <v>8587</v>
      </c>
      <c r="B3577" s="27" t="s">
        <v>8588</v>
      </c>
      <c r="C3577" s="27" t="s">
        <v>8589</v>
      </c>
      <c r="D3577" s="33" t="s">
        <v>14</v>
      </c>
      <c r="E3577" s="9"/>
      <c r="F3577" s="32"/>
      <c r="G3577" s="10">
        <v>49107</v>
      </c>
      <c r="H3577" s="30" t="str">
        <f ca="1">IFERROR(__xludf.DUMMYFUNCTION("LOWER(REGEXREPLACE(B3577&amp;"" ""&amp;C3577,""[^а-яa-z0-9 ]"","" ""))")," каф для одежды 1000х450х1800 мм  каф для одежды 1000х450х1800 мм       16мм   олка для головного убора и перекладина ")</f>
        <v xml:space="preserve"> каф для одежды 1000х450х1800 мм  каф для одежды 1000х450х1800 мм       16мм   олка для головного убора и перекладина </v>
      </c>
    </row>
    <row r="3578" spans="1:8" ht="63.75" x14ac:dyDescent="0.2">
      <c r="A3578" s="31" t="s">
        <v>8590</v>
      </c>
      <c r="B3578" s="27" t="s">
        <v>8591</v>
      </c>
      <c r="C3578" s="27" t="s">
        <v>8592</v>
      </c>
      <c r="D3578" s="33" t="s">
        <v>14</v>
      </c>
      <c r="E3578" s="9"/>
      <c r="F3578" s="34">
        <v>80</v>
      </c>
      <c r="G3578" s="10">
        <v>110502</v>
      </c>
      <c r="H3578" s="30" t="str">
        <f ca="1">IFERROR(__xludf.DUMMYFUNCTION("LOWER(REGEXREPLACE(B3578&amp;"" ""&amp;C3578,""[^а-яa-z0-9 ]"","" ""))")," каф для одежды 4 х секционный 1200х400х1450 мм  каф 4 х секционный для одежды детей   азмер  1200х400х1450мм   ыполнен из      16 мм  края обрамлены кромкой     2 мм  задняя стенка изготавливается из     3 2 мм    каждой секции имеются полки для головных"&amp;" уборов и обуви  а также 2 крючка для одежды   редусмотрено крепление шкафа к стене ")</f>
        <v xml:space="preserve"> каф для одежды 4 х секционный 1200х400х1450 мм  каф 4 х секционный для одежды детей   азмер  1200х400х1450мм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v>
      </c>
    </row>
    <row r="3579" spans="1:8" ht="63.75" x14ac:dyDescent="0.2">
      <c r="A3579" s="31" t="s">
        <v>8593</v>
      </c>
      <c r="B3579" s="27" t="s">
        <v>8594</v>
      </c>
      <c r="C3579" s="27" t="s">
        <v>8595</v>
      </c>
      <c r="D3579" s="33" t="s">
        <v>14</v>
      </c>
      <c r="E3579" s="34">
        <v>2</v>
      </c>
      <c r="F3579" s="34">
        <v>95</v>
      </c>
      <c r="G3579" s="10">
        <v>98380</v>
      </c>
      <c r="H3579" s="30" t="str">
        <f ca="1">IFERROR(__xludf.DUMMYFUNCTION("LOWER(REGEXREPLACE(B3579&amp;"" ""&amp;C3579,""[^а-яa-z0-9 ]"","" ""))")," каф для одежды 5 ти секционный 1500х400х1450 мм  каф 5 ти секционный для одежды учащихся   азмер  1500х400х1450мм   ыполнен из      16 мм  края обрамлены кромкой     2 мм  задняя стенка изготавливается из     3 2 мм    каждой секции имеются полки для гол"&amp;"овных уборов и обуви  а также 2 крючка для одежды   редусмотрено крепление шкафа к стене ")</f>
        <v xml:space="preserve"> каф для одежды 5 ти секционный 1500х400х1450 мм  каф 5 ти секционный для одежды учащихся   азмер  1500х400х1450мм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v>
      </c>
    </row>
    <row r="3580" spans="1:8" ht="25.5" x14ac:dyDescent="0.2">
      <c r="A3580" s="31" t="s">
        <v>8596</v>
      </c>
      <c r="B3580" s="27" t="s">
        <v>8597</v>
      </c>
      <c r="C3580" s="27" t="s">
        <v>8598</v>
      </c>
      <c r="D3580" s="33" t="s">
        <v>14</v>
      </c>
      <c r="E3580" s="34">
        <v>2</v>
      </c>
      <c r="F3580" s="34">
        <v>55</v>
      </c>
      <c r="G3580" s="10">
        <v>42331</v>
      </c>
      <c r="H3580" s="30" t="str">
        <f ca="1">IFERROR(__xludf.DUMMYFUNCTION("LOWER(REGEXREPLACE(B3580&amp;"" ""&amp;C3580,""[^а-яa-z0-9 ]"","" ""))")," каф для одежды 849х376х1835 мм  каф для одежды 849х376х1835 мм       16мм   олка для головного убора  перекладина  полки для одежды  2 дверцы")</f>
        <v xml:space="preserve"> каф для одежды 849х376х1835 мм  каф для одежды 849х376х1835 мм       16мм   олка для головного убора  перекладина  полки для одежды  2 дверцы</v>
      </c>
    </row>
    <row r="3581" spans="1:8" ht="38.25" x14ac:dyDescent="0.2">
      <c r="A3581" s="31" t="s">
        <v>8599</v>
      </c>
      <c r="B3581" s="27" t="s">
        <v>8600</v>
      </c>
      <c r="C3581" s="27" t="s">
        <v>8601</v>
      </c>
      <c r="D3581" s="33" t="s">
        <v>14</v>
      </c>
      <c r="E3581" s="34">
        <v>2</v>
      </c>
      <c r="F3581" s="34">
        <v>45</v>
      </c>
      <c r="G3581" s="10">
        <v>84350</v>
      </c>
      <c r="H3581" s="30" t="str">
        <f ca="1">IFERROR(__xludf.DUMMYFUNCTION("LOWER(REGEXREPLACE(B3581&amp;"" ""&amp;C3581,""[^а-яa-z0-9 ]"","" ""))")," каф металлический для одежды двухсекционный  размер 600x500x1860 мм  ъемная полка для головного убора  перекладина для вешалки и крючки для одежды   каф оснащен врезным замком   омплектация  2 перекладины  4 крючка  2 врезных замка")</f>
        <v xml:space="preserve"> каф металлический для одежды двухсекционный  размер 600x500x1860 мм  ъемная полка для головного убора  перекладина для вешалки и крючки для одежды   каф оснащен врезным замком   омплектация  2 перекладины  4 крючка  2 врезных замка</v>
      </c>
    </row>
    <row r="3582" spans="1:8" ht="51" x14ac:dyDescent="0.2">
      <c r="A3582" s="31" t="s">
        <v>8602</v>
      </c>
      <c r="B3582" s="27" t="s">
        <v>8603</v>
      </c>
      <c r="C3582" s="27" t="s">
        <v>8604</v>
      </c>
      <c r="D3582" s="33" t="s">
        <v>14</v>
      </c>
      <c r="E3582" s="34">
        <v>2</v>
      </c>
      <c r="F3582" s="34">
        <v>63</v>
      </c>
      <c r="G3582" s="10">
        <v>65533</v>
      </c>
      <c r="H3582" s="30" t="str">
        <f ca="1">IFERROR(__xludf.DUMMYFUNCTION("LOWER(REGEXREPLACE(B3582&amp;"" ""&amp;C3582,""[^а-яa-z0-9 ]"","" ""))")," каф для одежды 600х400х2000 мм  каф имеет две вставные полки для головных уборов и для обуви       16 мм  кромки деталей облицованы полимерным кромочным материалам        толщиной 1 5 мм    урнитура  конфирматы  стяжка типа       полкодержатель металл   "&amp;"без пластиковых элементов    авес мебельный типа       ножка мебельная  ручки")</f>
        <v xml:space="preserve"> каф для одежды 600х400х2000 мм  каф имеет две вставные полки для головных уборов и для обуви       16 мм  кромки деталей облицованы полимерным кромочным материалам        толщиной 1 5 мм    урнитура  конфирматы  стяжка типа       полкодержатель металл   без пластиковых элементов    авес мебельный типа       ножка мебельная  ручки</v>
      </c>
    </row>
    <row r="3583" spans="1:8" ht="63.75" x14ac:dyDescent="0.2">
      <c r="A3583" s="31" t="s">
        <v>8605</v>
      </c>
      <c r="B3583" s="27" t="s">
        <v>8606</v>
      </c>
      <c r="C3583" s="27" t="s">
        <v>8607</v>
      </c>
      <c r="D3583" s="33" t="s">
        <v>14</v>
      </c>
      <c r="E3583" s="34">
        <v>2</v>
      </c>
      <c r="F3583" s="34">
        <v>35</v>
      </c>
      <c r="G3583" s="10">
        <v>76575</v>
      </c>
      <c r="H3583" s="30" t="str">
        <f ca="1">IFERROR(__xludf.DUMMYFUNCTION("LOWER(REGEXREPLACE(B3583&amp;"" ""&amp;C3583,""[^а-яa-z0-9 ]"","" ""))")," каф для одежды  верхняя секция с двумя полками  нижняя секция с четырьмя ящиками  размер 850х450х2000мм  каф для одежды изготовлен из      16мм  задняя стенка       4мм   ерхняя секция с двумя полками  нижняя секция с четырьмя ящиками   урнитура  конфирм"&amp;"аты  стяжка типа       кромка       2мм  ручка кнопка без острых углов  навес мебельный типа       ножка мебельная   вет      по согласованию с заказчиком ")</f>
        <v xml:space="preserve"> каф для одежды  верхняя секция с двумя полками  нижняя секция с четырьмя ящиками  размер 850х450х2000мм  каф для одежды изготовлен из      16мм  задняя стенка       4мм   ерхняя секция с двумя полками  нижняя секция с четырьмя ящиками   урнитура  конфирматы  стяжка типа       кромка       2мм  ручка кнопка без острых углов  навес мебельный типа       ножка мебельная   вет      по согласованию с заказчиком </v>
      </c>
    </row>
    <row r="3584" spans="1:8" ht="102" x14ac:dyDescent="0.2">
      <c r="A3584" s="31" t="s">
        <v>8608</v>
      </c>
      <c r="B3584" s="27" t="s">
        <v>8609</v>
      </c>
      <c r="C3584" s="27" t="s">
        <v>8610</v>
      </c>
      <c r="D3584" s="33" t="s">
        <v>14</v>
      </c>
      <c r="E3584" s="34">
        <v>2</v>
      </c>
      <c r="F3584" s="34">
        <v>90</v>
      </c>
      <c r="G3584" s="10">
        <v>568518</v>
      </c>
      <c r="H3584" s="30" t="str">
        <f ca="1">IFERROR(__xludf.DUMMYFUNCTION("LOWER(REGEXREPLACE(B3584&amp;"" ""&amp;C3584,""[^а-яa-z0-9 ]"","" ""))")," каф для одежды 13 ти секционный  размеры одной секции 500х450х1200мм  олщина      по внешнему периметру  межперегородки  полки  задняя стенка  двери 16 мм   атериал по внешнему периметру  межперегородки  полки  задняя стенка из       двери из     пл нка "&amp;"  вери закреплены на 2 х петлях  без замков  со стопором внутри сверху и снизу  разрезом посередине для открывания   ижняя полка для обуви  высота от нижнего пола 300мм   ысота для одежды 900мм   каф держится на 4 х железных ножках    каждом шкафу предусм"&amp;"отрены 3 двухрожковых крючка на 3 х стенах  где крючки крепятся на болты с полной резьбой   бщее кол во шкафов в одном ряду 13   бщий размер 13 секционного шкафа 6500х450х1200мм")</f>
        <v xml:space="preserve"> каф для одежды 13 ти секционный  размеры одной секции 500х450х1200мм  олщина      по внешнему периметру  межперегородки  полки  задняя стенка  двери 16 мм   атериал по внешнему периметру  межперегородки  полки  задняя стенка из       двери из     пл нка   вери закреплены на 2 х петлях  без замков  со стопором внутри сверху и снизу  разрезом посередине для открывания   ижняя полка для обуви  высота от нижнего пола 300мм   ысота для одежды 900мм   каф держится на 4 х железных ножках    каждом шкафу предусмотрены 3 двухрожковых крючка на 3 х стенах  где крючки крепятся на болты с полной резьбой   бщее кол во шкафов в одном ряду 13   бщий размер 13 секционного шкафа 6500х450х1200мм</v>
      </c>
    </row>
    <row r="3585" spans="1:8" ht="76.5" x14ac:dyDescent="0.2">
      <c r="A3585" s="31" t="s">
        <v>8611</v>
      </c>
      <c r="B3585" s="27" t="s">
        <v>8612</v>
      </c>
      <c r="C3585" s="27" t="s">
        <v>8613</v>
      </c>
      <c r="D3585" s="33" t="s">
        <v>14</v>
      </c>
      <c r="E3585" s="34">
        <v>2</v>
      </c>
      <c r="F3585" s="34">
        <v>55</v>
      </c>
      <c r="G3585" s="10">
        <v>71437</v>
      </c>
      <c r="H3585" s="30" t="str">
        <f ca="1">IFERROR(__xludf.DUMMYFUNCTION("LOWER(REGEXREPLACE(B3585&amp;"" ""&amp;C3585,""[^а-яa-z0-9 ]"","" ""))")," каф для одежды 300х500х1860 мм на металлокаркасе  секционный   снование металлокаркас 40х40мм  толщина стенки 1 2 мм    корпус      16 мм   меются две полки  для головного убора и обуви    ромки деталей облицованы полимерным кромочным материалам        т"&amp;"олщиной 1 5 мм   урнитура  конфирматы  стяжка       полкодержатель металлический  без пластиковых элементов   штанга для вешалок  ручка  без острых углов   навес мебельный типа     ")</f>
        <v xml:space="preserve"> каф для одежды 300х500х1860 мм на металлокаркасе  секционный   снование металлокаркас 40х40мм  толщина стенки 1 2 мм    корпус      16 мм   меются две полки  для головного убора и обуви    ромки деталей облицованы полимерным кромочным материалам        толщиной 1 5 мм   урнитура  конфирматы  стяжка       полкодержатель металлический  без пластиковых элементов   штанга для вешалок  ручка  без острых углов   навес мебельный типа     </v>
      </c>
    </row>
    <row r="3586" spans="1:8" ht="89.25" x14ac:dyDescent="0.2">
      <c r="A3586" s="31" t="s">
        <v>8614</v>
      </c>
      <c r="B3586" s="27" t="s">
        <v>8615</v>
      </c>
      <c r="C3586" s="27" t="s">
        <v>8616</v>
      </c>
      <c r="D3586" s="33" t="s">
        <v>14</v>
      </c>
      <c r="E3586" s="34">
        <v>2</v>
      </c>
      <c r="F3586" s="34">
        <v>27</v>
      </c>
      <c r="G3586" s="10">
        <v>172228</v>
      </c>
      <c r="H3586" s="30" t="str">
        <f ca="1">IFERROR(__xludf.DUMMYFUNCTION("LOWER(REGEXREPLACE(B3586&amp;"" ""&amp;C3586,""[^а-яa-z0-9 ]"","" ""))")," каф для одежды 5 ти секционный       16мм  металиический каркас  размер 1375х500х1250мм  зготавливается из      16 мм   остоит из пяти секций  в каждой по две полки  для головного убора и обуви   имеется перекладина  штанга  для одежды   аждая секция за "&amp;"глухой дверью с ручкой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ручки  без острых углов   навес мебельный типа    "&amp;"   ножка мебельная")</f>
        <v xml:space="preserve"> каф для одежды 5 ти секционный       16мм  металиический каркас  размер 1375х500х1250мм  зготавливается из      16 мм   остоит из пяти секций  в каждой по две полки  для головного убора и обуви   имеется перекладина  штанга  для одежды   аждая секция за глухой дверью с ручкой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ручки  без острых углов   навес мебельный типа       ножка мебельная</v>
      </c>
    </row>
    <row r="3587" spans="1:8" ht="114.75" x14ac:dyDescent="0.2">
      <c r="A3587" s="31" t="s">
        <v>8617</v>
      </c>
      <c r="B3587" s="27" t="s">
        <v>8618</v>
      </c>
      <c r="C3587" s="27" t="s">
        <v>8619</v>
      </c>
      <c r="D3587" s="33" t="s">
        <v>14</v>
      </c>
      <c r="E3587" s="34">
        <v>2</v>
      </c>
      <c r="F3587" s="34">
        <v>78</v>
      </c>
      <c r="G3587" s="10">
        <v>136275</v>
      </c>
      <c r="H3587" s="30" t="str">
        <f ca="1">IFERROR(__xludf.DUMMYFUNCTION("LOWER(REGEXREPLACE(B3587&amp;"" ""&amp;C3587,""[^а-яa-z0-9 ]"","" ""))")," каф для одежды 4 хсекционный 1200х400х1450 мм  материал корпуса  полок и дверей      16мм  задняя стенка     5мм  каф для одежды  закрыт 4 дверьми  полками для головного убора и обуви и прекладина для одежды   атериал корпуса  полок и дверей       толщин"&amp;"а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inifi"&amp;"x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1200х400х1450 мм")</f>
        <v xml:space="preserve"> каф для одежды 4 хсекционный 1200х400х1450 мм  материал корпуса  полок и дверей      16мм  задняя стенка     5мм  каф для одежды  закрыт 4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1200х400х1450 мм</v>
      </c>
    </row>
    <row r="3588" spans="1:8" ht="114.75" x14ac:dyDescent="0.2">
      <c r="A3588" s="31" t="s">
        <v>8620</v>
      </c>
      <c r="B3588" s="27" t="s">
        <v>8621</v>
      </c>
      <c r="C3588" s="27" t="s">
        <v>8622</v>
      </c>
      <c r="D3588" s="33" t="s">
        <v>14</v>
      </c>
      <c r="E3588" s="34">
        <v>2</v>
      </c>
      <c r="F3588" s="34">
        <v>98</v>
      </c>
      <c r="G3588" s="10">
        <v>169590</v>
      </c>
      <c r="H3588" s="30" t="str">
        <f ca="1">IFERROR(__xludf.DUMMYFUNCTION("LOWER(REGEXREPLACE(B3588&amp;"" ""&amp;C3588,""[^а-яa-z0-9 ]"","" ""))")," каф для одежды 5 тисекционный 1500х400х1450 мм  материал корпуса  полок и дверей      16мм  задняя стенка     5мм  каф для одежды  закрыт 5 дверьми  полками для головного убора и обуви и прекладина для одежды   атериал корпуса  полок и дверей       толщи"&amp;"на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inif"&amp;"ix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1500х400х1450 мм")</f>
        <v xml:space="preserve"> каф для одежды 5 тисекционный 1500х400х1450 мм  материал корпуса  полок и дверей      16мм  задняя стенка     5мм  каф для одежды  закрыт 5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1500х400х1450 мм</v>
      </c>
    </row>
    <row r="3589" spans="1:8" ht="114.75" x14ac:dyDescent="0.2">
      <c r="A3589" s="31" t="s">
        <v>8623</v>
      </c>
      <c r="B3589" s="27" t="s">
        <v>8624</v>
      </c>
      <c r="C3589" s="27" t="s">
        <v>8625</v>
      </c>
      <c r="D3589" s="33" t="s">
        <v>14</v>
      </c>
      <c r="E3589" s="34">
        <v>2</v>
      </c>
      <c r="F3589" s="34">
        <v>75</v>
      </c>
      <c r="G3589" s="10">
        <v>90939</v>
      </c>
      <c r="H3589" s="30" t="str">
        <f ca="1">IFERROR(__xludf.DUMMYFUNCTION("LOWER(REGEXREPLACE(B3589&amp;"" ""&amp;C3589,""[^а-яa-z0-9 ]"","" ""))")," каф для одежды 800х540х1930 мм  материал корпуса  полок и дверей      16мм  задняя стенка     5мм  каф для одежды  закрыт 2 дверьми  полками для головного убора и обуви и перекладина для одежды   атериал корпуса  полок и дверей       толщина      16 мм  "&amp;"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нижне"&amp;"й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800х540х1930 мм")</f>
        <v xml:space="preserve"> каф для одежды 800х540х1930 мм  материал корпуса  полок и дверей      16мм  задняя стенка     5мм  каф для одежды  закрыт 2 дверьми  полками для головного убора и обуви и перекладина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800х540х1930 мм</v>
      </c>
    </row>
    <row r="3590" spans="1:8" ht="38.25" x14ac:dyDescent="0.2">
      <c r="A3590" s="31" t="s">
        <v>8626</v>
      </c>
      <c r="B3590" s="27" t="s">
        <v>8627</v>
      </c>
      <c r="C3590" s="27" t="s">
        <v>8628</v>
      </c>
      <c r="D3590" s="33" t="s">
        <v>14</v>
      </c>
      <c r="E3590" s="34">
        <v>2</v>
      </c>
      <c r="F3590" s="35">
        <v>43.3</v>
      </c>
      <c r="G3590" s="10">
        <v>46526</v>
      </c>
      <c r="H3590" s="30" t="str">
        <f ca="1">IFERROR(__xludf.DUMMYFUNCTION("LOWER(REGEXREPLACE(B3590&amp;"" ""&amp;C3590,""[^а-яa-z0-9 ]"","" ""))")," каф для одежды 600х380х2100мм  каф для одежды   ирина 600мм  глубина   380мм  высота 2 100мм   каф выполнен из      16мм   орцы облицованы кромкой     толщиной 2мм   учка металлическая   редусмотрен турникет   меется полка для головного убора ")</f>
        <v xml:space="preserve"> каф для одежды 600х380х2100мм  каф для одежды   ирина 600мм  глубина   380мм  высота 2 100мм   каф выполнен из      16мм   орцы облицованы кромкой     толщиной 2мм   учка металлическая   редусмотрен турникет   меется полка для головного убора </v>
      </c>
    </row>
    <row r="3591" spans="1:8" ht="38.25" x14ac:dyDescent="0.2">
      <c r="A3591" s="31" t="s">
        <v>8629</v>
      </c>
      <c r="B3591" s="27" t="s">
        <v>8630</v>
      </c>
      <c r="C3591" s="27" t="s">
        <v>8631</v>
      </c>
      <c r="D3591" s="33" t="s">
        <v>14</v>
      </c>
      <c r="E3591" s="34">
        <v>2</v>
      </c>
      <c r="F3591" s="35">
        <v>56.4</v>
      </c>
      <c r="G3591" s="10">
        <v>44914</v>
      </c>
      <c r="H3591" s="30" t="str">
        <f ca="1">IFERROR(__xludf.DUMMYFUNCTION("LOWER(REGEXREPLACE(B3591&amp;"" ""&amp;C3591,""[^а-яa-z0-9 ]"","" ""))")," каф для одежды 800х500х1970мм  ирина   800мм  глубина   500мм  высота 1970мм   каф выполнен из      16мм   орцы облицованы ударопрочной кромкой     толщиной 2мм   учки металлические ")</f>
        <v xml:space="preserve"> каф для одежды 800х500х1970мм  ирина   800мм  глубина   500мм  высота 1970мм   каф выполнен из      16мм   орцы облицованы ударопрочной кромкой     толщиной 2мм   учки металлические </v>
      </c>
    </row>
    <row r="3592" spans="1:8" ht="63.75" x14ac:dyDescent="0.2">
      <c r="A3592" s="31" t="s">
        <v>8632</v>
      </c>
      <c r="B3592" s="27" t="s">
        <v>8633</v>
      </c>
      <c r="C3592" s="27" t="s">
        <v>8634</v>
      </c>
      <c r="D3592" s="33" t="s">
        <v>14</v>
      </c>
      <c r="E3592" s="34">
        <v>2</v>
      </c>
      <c r="F3592" s="35">
        <v>72.7</v>
      </c>
      <c r="G3592" s="10">
        <v>85773</v>
      </c>
      <c r="H3592" s="30" t="str">
        <f ca="1">IFERROR(__xludf.DUMMYFUNCTION("LOWER(REGEXREPLACE(B3592&amp;"" ""&amp;C3592,""[^а-яa-z0-9 ]"","" ""))")," каф для одежды 4 х секционный 1296х352х1365 мм  каф 4 х секционный для одежды детей   азмер  1296х352х1365мм   ыполнен из      16 мм  края обрамлены кромкой     2 мм  задняя стенка изготавливается из     3 2 мм    каждой секции имеются полки для головных"&amp;" уборов и обуви  а также 2 крючка для одежды   редусмотрено крепление шкафа к стене ")</f>
        <v xml:space="preserve"> каф для одежды 4 х секционный 1296х352х1365 мм  каф 4 х секционный для одежды детей   азмер  1296х352х1365мм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v>
      </c>
    </row>
    <row r="3593" spans="1:8" ht="51" x14ac:dyDescent="0.2">
      <c r="A3593" s="31" t="s">
        <v>8635</v>
      </c>
      <c r="B3593" s="27" t="s">
        <v>8636</v>
      </c>
      <c r="C3593" s="27" t="s">
        <v>8637</v>
      </c>
      <c r="D3593" s="33" t="s">
        <v>14</v>
      </c>
      <c r="E3593" s="34">
        <v>2</v>
      </c>
      <c r="F3593" s="34">
        <v>46</v>
      </c>
      <c r="G3593" s="10">
        <v>85602</v>
      </c>
      <c r="H3593" s="30" t="str">
        <f ca="1">IFERROR(__xludf.DUMMYFUNCTION("LOWER(REGEXREPLACE(B3593&amp;"" ""&amp;C3593,""[^а-яa-z0-9 ]"","" ""))")," каф для одежды 800х500х2000мм  каф поделен на две части  первая часть состоит из полок  вторая часть состоит из штанги для хранения одежды на плечиках и выдвижных ящиков   егулируемые по высоте ножки для корректировки неровности пола   атериал      16мм "&amp;"  вет по согласованию с заказчиком   верцы распашные ")</f>
        <v xml:space="preserve"> каф для одежды 800х500х2000мм  каф поделен на две части  первая часть состоит из полок  вторая часть состоит из штанги для хранения одежды на плечиках и выдвижных ящиков   егулируемые по высоте ножки для корректировки неровности пола   атериал      16мм   вет по согласованию с заказчиком   верцы распашные </v>
      </c>
    </row>
    <row r="3594" spans="1:8" ht="51" x14ac:dyDescent="0.2">
      <c r="A3594" s="31" t="s">
        <v>8638</v>
      </c>
      <c r="B3594" s="27" t="s">
        <v>8639</v>
      </c>
      <c r="C3594" s="27" t="s">
        <v>8640</v>
      </c>
      <c r="D3594" s="33" t="s">
        <v>14</v>
      </c>
      <c r="E3594" s="34">
        <v>2</v>
      </c>
      <c r="F3594" s="34">
        <v>59</v>
      </c>
      <c r="G3594" s="10">
        <v>157604</v>
      </c>
      <c r="H3594" s="30" t="str">
        <f ca="1">IFERROR(__xludf.DUMMYFUNCTION("LOWER(REGEXREPLACE(B3594&amp;"" ""&amp;C3594,""[^а-яa-z0-9 ]"","" ""))")," каф для одежды 4 хсекционный 1500х600х1800мм  материал корпуса  полок и дверей      16мм   конструкции предусмотрены два отделения со стационарными штангами и два отделения   с полками для головного убора и обуви   атериал корпуса       16 мм   атериал ф"&amp;"асада       16 мм   вет корпуса по согласованию   вет задней стенки  белый      4 мм ")</f>
        <v xml:space="preserve"> каф для одежды 4 хсекционный 1500х600х1800мм  материал корпуса  полок и дверей      16мм   конструкции предусмотрены два отделения со стационарными штангами и два отделения   с полками для головного убора и обуви   атериал корпуса       16 мм   атериал фасада       16 мм   вет корпуса по согласованию   вет задней стенки  белый      4 мм </v>
      </c>
    </row>
    <row r="3595" spans="1:8" ht="114.75" x14ac:dyDescent="0.2">
      <c r="A3595" s="31" t="s">
        <v>8641</v>
      </c>
      <c r="B3595" s="27" t="s">
        <v>8642</v>
      </c>
      <c r="C3595" s="27" t="s">
        <v>8643</v>
      </c>
      <c r="D3595" s="33" t="s">
        <v>14</v>
      </c>
      <c r="E3595" s="34">
        <v>2</v>
      </c>
      <c r="F3595" s="34">
        <v>71</v>
      </c>
      <c r="G3595" s="10">
        <v>96213</v>
      </c>
      <c r="H3595" s="30" t="str">
        <f ca="1">IFERROR(__xludf.DUMMYFUNCTION("LOWER(REGEXREPLACE(B3595&amp;"" ""&amp;C3595,""[^а-яa-z0-9 ]"","" ""))")," каф для одежды 800х420х1930 мм       16мм   олки закрытые   адняя стенка из ламинированного     5 мм  каф закрыт 2 дверьми  с полками для головного убора и обуви  перекладина для одежды   атериал корпуса  полок и дверей из      16 мм   адняя стенка из ла"&amp;"минированного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"&amp;"фрезеруется канал  в которую монтируется задняя стенка   ля предотвращения воздействия воды и влаги на шкаф предусмотрены 4 ножки высотой 5 см   абариты 800х420х1930 мм")</f>
        <v xml:space="preserve"> каф для одежды 800х420х1930 мм       16мм   олки закрытые   адняя стенка из ламинированного     5 мм  каф закрыт 2 дверьми  с полками для головного убора и обуви  перекладина для одежды   атериал корпуса  полок и дверей из      16 мм   адняя стенка из ламинированного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800х420х1930 мм</v>
      </c>
    </row>
    <row r="3596" spans="1:8" ht="114.75" x14ac:dyDescent="0.2">
      <c r="A3596" s="31" t="s">
        <v>8644</v>
      </c>
      <c r="B3596" s="27" t="s">
        <v>8645</v>
      </c>
      <c r="C3596" s="27" t="s">
        <v>8646</v>
      </c>
      <c r="D3596" s="33" t="s">
        <v>14</v>
      </c>
      <c r="E3596" s="34">
        <v>2</v>
      </c>
      <c r="F3596" s="34">
        <v>59</v>
      </c>
      <c r="G3596" s="10">
        <v>80999</v>
      </c>
      <c r="H3596" s="30" t="str">
        <f ca="1">IFERROR(__xludf.DUMMYFUNCTION("LOWER(REGEXREPLACE(B3596&amp;"" ""&amp;C3596,""[^а-яa-z0-9 ]"","" ""))")," каф для одежды 800х430х1800мм   атериал корпуса  полок и дверей      16 мм   адняя стенка из ламинированного     5 мм  акрыт 2 дверьми  полками для головного убора и обуви и прекладина для одежды   атериал корпуса  полок и дверей       толщина      16 мм"&amp;"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боковы"&amp;"х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f>
        <v xml:space="preserve"> каф для одежды 800х430х1800мм   атериал корпуса  полок и дверей      16 мм   адняя стенка из ламинированного     5 мм  акрыт 2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v>
      </c>
    </row>
    <row r="3597" spans="1:8" ht="114.75" x14ac:dyDescent="0.2">
      <c r="A3597" s="31" t="s">
        <v>8647</v>
      </c>
      <c r="B3597" s="27" t="s">
        <v>8648</v>
      </c>
      <c r="C3597" s="27" t="s">
        <v>8649</v>
      </c>
      <c r="D3597" s="33" t="s">
        <v>14</v>
      </c>
      <c r="E3597" s="34">
        <v>2</v>
      </c>
      <c r="F3597" s="34">
        <v>68</v>
      </c>
      <c r="G3597" s="10">
        <v>87138</v>
      </c>
      <c r="H3597" s="30" t="str">
        <f ca="1">IFERROR(__xludf.DUMMYFUNCTION("LOWER(REGEXREPLACE(B3597&amp;"" ""&amp;C3597,""[^а-яa-z0-9 ]"","" ""))")," каф для одежды   азмер 800х540х1930   атериал корпуса  полок и дверей из      16 мм   адняя стенка из     5мм  азмер 800х540х1930мм   акрыт 2 дверьми   олки для головного убора и обуви  перекладина   атериал корпуса  полок и дверей из      16 мм   адняя "&amp;"стенка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эксцентриковой стяжки мини"&amp;"фикс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f>
        <v xml:space="preserve"> каф для одежды   азмер 800х540х1930   атериал корпуса  полок и дверей из      16 мм   адняя стенка из     5мм  азмер 800х540х1930мм   акрыт 2 дверьми   олки для головного убора и обуви  перекладина   атериал корпуса  полок и дверей из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v>
      </c>
    </row>
    <row r="3598" spans="1:8" ht="89.25" x14ac:dyDescent="0.2">
      <c r="A3598" s="31" t="s">
        <v>8650</v>
      </c>
      <c r="B3598" s="27" t="s">
        <v>8651</v>
      </c>
      <c r="C3598" s="27" t="s">
        <v>8652</v>
      </c>
      <c r="D3598" s="33" t="s">
        <v>14</v>
      </c>
      <c r="E3598" s="34">
        <v>2</v>
      </c>
      <c r="F3598" s="34">
        <v>59</v>
      </c>
      <c r="G3598" s="10">
        <v>60861</v>
      </c>
      <c r="H3598" s="30" t="str">
        <f ca="1">IFERROR(__xludf.DUMMYFUNCTION("LOWER(REGEXREPLACE(B3598&amp;"" ""&amp;C3598,""[^а-яa-z0-9 ]"","" ""))")," каф для одежды 2 х дверный       16 мм  размеры 800х540х1930 мм  есущие части  полки  фасадная часть        толщиной не менее 16 мм  задняя стенка       не менее 3 мм   ромка из     не менее 0 4 мм   верху должно быть отделение для головных уборов   од н"&amp;"им должна быть штанга для од жных плечиков   борка должна производиться с помощью конфирматов 6 3х50 и эксцентриковых стяжек   етля для дверок должна быть внешняя с европланкой   ебельные ножки должны быть регулируемые по высоте для компенсации неровносте"&amp;"й пола ")</f>
        <v xml:space="preserve"> каф для одежды 2 х дверный       16 мм  размеры 800х540х1930 мм  есущие части  полки  фасадная часть        толщиной не менее 16 мм  задняя стенка       не менее 3 мм   ромка из     не менее 0 4 мм   верху должно быть отделение для головных уборов   од ним должна быть штанга для од жных плечиков   борка должна производиться с помощью конфирматов 6 3х50 и эксцентриковых стяжек   етля для дверок должна быть внешняя с европланкой   ебельные ножки должны быть регулируемые по высоте для компенсации неровностей пола </v>
      </c>
    </row>
    <row r="3599" spans="1:8" ht="38.25" x14ac:dyDescent="0.2">
      <c r="A3599" s="31" t="s">
        <v>8653</v>
      </c>
      <c r="B3599" s="27" t="s">
        <v>8654</v>
      </c>
      <c r="C3599" s="27" t="s">
        <v>8655</v>
      </c>
      <c r="D3599" s="33" t="s">
        <v>14</v>
      </c>
      <c r="E3599" s="34">
        <v>2</v>
      </c>
      <c r="F3599" s="34">
        <v>20</v>
      </c>
      <c r="G3599" s="10">
        <v>100954</v>
      </c>
      <c r="H3599" s="30" t="str">
        <f ca="1">IFERROR(__xludf.DUMMYFUNCTION("LOWER(REGEXREPLACE(B3599&amp;"" ""&amp;C3599,""[^а-яa-z0-9 ]"","" ""))")," каф для одежды  размеры 600х450х1950 мм       16 мм  кромка      одна дверь  орпус  толщина 16мм выполнены из       кромка     не менее 1мм в цвет        адняя стенка        ожки черные пластиковые регулируемые   27мм ")</f>
        <v xml:space="preserve"> каф для одежды  размеры 600х450х1950 мм       16 мм  кромка      одна дверь  орпус  толщина 16мм выполнены из       кромка     не менее 1мм в цвет        адняя стенка        ожки черные пластиковые регулируемые   27мм </v>
      </c>
    </row>
    <row r="3600" spans="1:8" ht="38.25" x14ac:dyDescent="0.2">
      <c r="A3600" s="31" t="s">
        <v>8656</v>
      </c>
      <c r="B3600" s="27" t="s">
        <v>8657</v>
      </c>
      <c r="C3600" s="27" t="s">
        <v>8655</v>
      </c>
      <c r="D3600" s="33" t="s">
        <v>14</v>
      </c>
      <c r="E3600" s="34">
        <v>2</v>
      </c>
      <c r="F3600" s="34">
        <v>25</v>
      </c>
      <c r="G3600" s="10">
        <v>116106</v>
      </c>
      <c r="H3600" s="30" t="str">
        <f ca="1">IFERROR(__xludf.DUMMYFUNCTION("LOWER(REGEXREPLACE(B3600&amp;"" ""&amp;C3600,""[^а-яa-z0-9 ]"","" ""))")," каф для одежды  размеры 600х580х1950 мм       16 мм  кромка      орпус  толщина 16мм выполнены из       кромка     не менее 1мм в цвет        адняя стенка        ожки черные пластиковые регулируемые   27мм ")</f>
        <v xml:space="preserve"> каф для одежды  размеры 600х580х1950 мм       16 мм  кромка      орпус  толщина 16мм выполнены из       кромка     не менее 1мм в цвет        адняя стенка        ожки черные пластиковые регулируемые   27мм </v>
      </c>
    </row>
    <row r="3601" spans="1:8" ht="51" x14ac:dyDescent="0.2">
      <c r="A3601" s="31" t="s">
        <v>8658</v>
      </c>
      <c r="B3601" s="27" t="s">
        <v>8659</v>
      </c>
      <c r="C3601" s="27" t="s">
        <v>8660</v>
      </c>
      <c r="D3601" s="33" t="s">
        <v>14</v>
      </c>
      <c r="E3601" s="34">
        <v>2</v>
      </c>
      <c r="F3601" s="34">
        <v>32</v>
      </c>
      <c r="G3601" s="10">
        <v>121178</v>
      </c>
      <c r="H3601" s="30" t="str">
        <f ca="1">IFERROR(__xludf.DUMMYFUNCTION("LOWER(REGEXREPLACE(B3601&amp;"" ""&amp;C3601,""[^а-яa-z0-9 ]"","" ""))")," каф для одежды  размеры 800х450х1950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с"&amp;"тороны полки  с другой стороны для верхней одежды ")</f>
        <v xml:space="preserve"> каф для одежды  размеры 800х450х1950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стороны полки  с другой стороны для верхней одежды </v>
      </c>
    </row>
    <row r="3602" spans="1:8" ht="51" x14ac:dyDescent="0.2">
      <c r="A3602" s="31" t="s">
        <v>8661</v>
      </c>
      <c r="B3602" s="27" t="s">
        <v>8662</v>
      </c>
      <c r="C3602" s="27" t="s">
        <v>8660</v>
      </c>
      <c r="D3602" s="33" t="s">
        <v>14</v>
      </c>
      <c r="E3602" s="34">
        <v>2</v>
      </c>
      <c r="F3602" s="34">
        <v>32</v>
      </c>
      <c r="G3602" s="10">
        <v>138831</v>
      </c>
      <c r="H3602" s="30" t="str">
        <f ca="1">IFERROR(__xludf.DUMMYFUNCTION("LOWER(REGEXREPLACE(B3602&amp;"" ""&amp;C3602,""[^а-яa-z0-9 ]"","" ""))")," каф для одежды  размеры 800х580х1950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с"&amp;"тороны полки  с другой стороны для верхней одежды ")</f>
        <v xml:space="preserve"> каф для одежды  размеры 800х580х1950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стороны полки  с другой стороны для верхней одежды </v>
      </c>
    </row>
    <row r="3603" spans="1:8" ht="38.25" x14ac:dyDescent="0.2">
      <c r="A3603" s="31" t="s">
        <v>8663</v>
      </c>
      <c r="B3603" s="27" t="s">
        <v>8664</v>
      </c>
      <c r="C3603" s="27" t="s">
        <v>8665</v>
      </c>
      <c r="D3603" s="33" t="s">
        <v>14</v>
      </c>
      <c r="E3603" s="34">
        <v>2</v>
      </c>
      <c r="F3603" s="34">
        <v>16</v>
      </c>
      <c r="G3603" s="10">
        <v>111025</v>
      </c>
      <c r="H3603" s="30" t="str">
        <f ca="1">IFERROR(__xludf.DUMMYFUNCTION("LOWER(REGEXREPLACE(B3603&amp;"" ""&amp;C3603,""[^а-яa-z0-9 ]"","" ""))")," каф локер  размеры 400х450х1598 мм  4 распашные двери       16 мм  кромка      орпус  толщина 16мм выполнены из       кромка     не менее 1мм в цвет        адняя стенка       распашные двери")</f>
        <v xml:space="preserve"> каф локер  размеры 400х450х1598 мм  4 распашные двери       16 мм  кромка      орпус  толщина 16мм выполнены из       кромка     не менее 1мм в цвет        адняя стенка       распашные двери</v>
      </c>
    </row>
    <row r="3604" spans="1:8" ht="12.75" x14ac:dyDescent="0.2">
      <c r="A3604" s="31" t="s">
        <v>8666</v>
      </c>
      <c r="B3604" s="27" t="s">
        <v>8667</v>
      </c>
      <c r="C3604" s="27"/>
      <c r="D3604" s="33" t="s">
        <v>14</v>
      </c>
      <c r="E3604" s="9"/>
      <c r="F3604" s="32"/>
      <c r="G3604" s="10"/>
      <c r="H3604" s="30" t="str">
        <f ca="1">IFERROR(__xludf.DUMMYFUNCTION("LOWER(REGEXREPLACE(B3604&amp;"" ""&amp;C3604,""[^а-яa-z0-9 ]"","" ""))")," каф закрытый ")</f>
        <v xml:space="preserve"> каф закрытый </v>
      </c>
    </row>
    <row r="3605" spans="1:8" ht="25.5" x14ac:dyDescent="0.2">
      <c r="A3605" s="31" t="s">
        <v>8668</v>
      </c>
      <c r="B3605" s="8" t="s">
        <v>8669</v>
      </c>
      <c r="C3605" s="27"/>
      <c r="D3605" s="33" t="s">
        <v>14</v>
      </c>
      <c r="E3605" s="9"/>
      <c r="F3605" s="34">
        <v>37</v>
      </c>
      <c r="G3605" s="10">
        <v>82857</v>
      </c>
      <c r="H3605" s="30" t="str">
        <f ca="1">IFERROR(__xludf.DUMMYFUNCTION("LOWER(REGEXREPLACE(B3605&amp;"" ""&amp;C3605,""[^а-яa-z0-9 ]"","" ""))")," каф закрытый 800х420х1930 мм       16мм   олки закрытые ")</f>
        <v xml:space="preserve"> каф закрытый 800х420х1930 мм       16мм   олки закрытые </v>
      </c>
    </row>
    <row r="3606" spans="1:8" ht="25.5" x14ac:dyDescent="0.2">
      <c r="A3606" s="31" t="s">
        <v>8670</v>
      </c>
      <c r="B3606" s="8" t="s">
        <v>8671</v>
      </c>
      <c r="C3606" s="27"/>
      <c r="D3606" s="33" t="s">
        <v>14</v>
      </c>
      <c r="E3606" s="9"/>
      <c r="F3606" s="32"/>
      <c r="G3606" s="10">
        <v>81123</v>
      </c>
      <c r="H3606" s="30" t="str">
        <f ca="1">IFERROR(__xludf.DUMMYFUNCTION("LOWER(REGEXREPLACE(B3606&amp;"" ""&amp;C3606,""[^а-яa-z0-9 ]"","" ""))")," каф закрытый 800х400х1802 мм       16мм   олки закрытые ")</f>
        <v xml:space="preserve"> каф закрытый 800х400х1802 мм       16мм   олки закрытые </v>
      </c>
    </row>
    <row r="3607" spans="1:8" ht="25.5" x14ac:dyDescent="0.2">
      <c r="A3607" s="31" t="s">
        <v>8672</v>
      </c>
      <c r="B3607" s="8" t="s">
        <v>8673</v>
      </c>
      <c r="C3607" s="27"/>
      <c r="D3607" s="33" t="s">
        <v>14</v>
      </c>
      <c r="E3607" s="9"/>
      <c r="F3607" s="32"/>
      <c r="G3607" s="10">
        <v>67483</v>
      </c>
      <c r="H3607" s="30" t="str">
        <f ca="1">IFERROR(__xludf.DUMMYFUNCTION("LOWER(REGEXREPLACE(B3607&amp;"" ""&amp;C3607,""[^а-яa-z0-9 ]"","" ""))")," каф закрытый 800х400х1452 мм       16мм   олки закрытые ")</f>
        <v xml:space="preserve"> каф закрытый 800х400х1452 мм       16мм   олки закрытые </v>
      </c>
    </row>
    <row r="3608" spans="1:8" ht="25.5" x14ac:dyDescent="0.2">
      <c r="A3608" s="31" t="s">
        <v>8674</v>
      </c>
      <c r="B3608" s="8" t="s">
        <v>8675</v>
      </c>
      <c r="C3608" s="27" t="s">
        <v>8676</v>
      </c>
      <c r="D3608" s="33" t="s">
        <v>14</v>
      </c>
      <c r="E3608" s="9"/>
      <c r="F3608" s="32"/>
      <c r="G3608" s="10">
        <v>43215</v>
      </c>
      <c r="H3608" s="30" t="str">
        <f ca="1">IFERROR(__xludf.DUMMYFUNCTION("LOWER(REGEXREPLACE(B3608&amp;"" ""&amp;C3608,""[^а-яa-z0-9 ]"","" ""))")," каф закрытый 800х400х750мм       16мм   олки закрытые  каф закрытый 800х400х750мм       16мм   олки закрытые")</f>
        <v xml:space="preserve"> каф закрытый 800х400х750мм       16мм   олки закрытые  каф закрытый 800х400х750мм       16мм   олки закрытые</v>
      </c>
    </row>
    <row r="3609" spans="1:8" ht="63.75" x14ac:dyDescent="0.2">
      <c r="A3609" s="31" t="s">
        <v>8677</v>
      </c>
      <c r="B3609" s="8" t="s">
        <v>8678</v>
      </c>
      <c r="C3609" s="27" t="s">
        <v>8679</v>
      </c>
      <c r="D3609" s="33" t="s">
        <v>14</v>
      </c>
      <c r="E3609" s="34">
        <v>2</v>
      </c>
      <c r="F3609" s="34">
        <v>90</v>
      </c>
      <c r="G3609" s="10">
        <v>107005</v>
      </c>
      <c r="H3609" s="30" t="str">
        <f ca="1">IFERROR(__xludf.DUMMYFUNCTION("LOWER(REGEXREPLACE(B3609&amp;"" ""&amp;C3609,""[^а-яa-z0-9 ]"","" ""))")," каф инструментальный 1000х500х2000 мм       16мм   олки закрытые  каф имеет вставные полки за двумя глухими дверками    производстве используется материал      16 мм  торцы закатаны кромочным материалом     1 5 мм    урнитура  конфирматы  стяжка       по"&amp;"лкодержатель металлический  без пластиковых элементов   ручка 128 мм  без острых углов   навес мебельный       ножка мебельная ")</f>
        <v xml:space="preserve"> каф инструментальный 1000х500х2000 мм       16мм   олки закрытые  каф имеет вставные полки за двумя глухими дверками    производстве используется материал      16 мм  торцы закатаны кромочным материалом     1 5 мм    урнитура  конфирматы  стяжка       полкодержатель металлический  без пластиковых элементов   ручка 128 мм  без острых углов   навес мебельный       ножка мебельная </v>
      </c>
    </row>
    <row r="3610" spans="1:8" ht="114.75" x14ac:dyDescent="0.2">
      <c r="A3610" s="31" t="s">
        <v>8680</v>
      </c>
      <c r="B3610" s="8" t="s">
        <v>8681</v>
      </c>
      <c r="C3610" s="27" t="s">
        <v>8682</v>
      </c>
      <c r="D3610" s="33" t="s">
        <v>14</v>
      </c>
      <c r="E3610" s="34">
        <v>2</v>
      </c>
      <c r="F3610" s="34">
        <v>64</v>
      </c>
      <c r="G3610" s="10">
        <v>58627</v>
      </c>
      <c r="H3610" s="30" t="str">
        <f ca="1">IFERROR(__xludf.DUMMYFUNCTION("LOWER(REGEXREPLACE(B3610&amp;"" ""&amp;C3610,""[^а-яa-z0-9 ]"","" ""))")," каф закрытый для плакатов  карт  низкий 1200х400х800мм       16мм  каф для плакатов  карт  низкий  корпус      16 мм  кромка      поделен на 2 секции    учки металлические с хромированным покрытием   редназначена для хранения пособий  карт  плакатов и др"&amp;"угих учебных принадлежностей   азмеры  ширина   1200 мм  глубина   400 мм  высота   800 мм   а дверях по 2 петли и по 1 металлической ручке   орпус соединяется с помощью системой эксцентриковой стяжки минификс   а боковых стенках  верхней и нижней детали "&amp;"шкафа фрезеруется канал  в которую монтируется задняя стенка   ля предотвращения воздействия воды и влаги на шкаф предусмотрены 4 ножки высотой 5 см")</f>
        <v xml:space="preserve"> каф закрытый для плакатов  карт  низкий 1200х400х800мм       16мм  каф для плакатов  карт  низкий  корпус      16 мм  кромка      поделен на 2 секции    учки металлические с хромированным покрытием   редназначена для хранения пособий  карт  плакатов и других учебных принадлежностей   азмеры  ширина   1200 мм  глубина   400 мм  высота   800 мм   а дверях по 2 петли и по 1 металлической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611" spans="1:8" ht="38.25" x14ac:dyDescent="0.2">
      <c r="A3611" s="31" t="s">
        <v>8683</v>
      </c>
      <c r="B3611" s="8" t="s">
        <v>8684</v>
      </c>
      <c r="C3611" s="27" t="s">
        <v>8685</v>
      </c>
      <c r="D3611" s="33" t="s">
        <v>14</v>
      </c>
      <c r="E3611" s="34">
        <v>2</v>
      </c>
      <c r="F3611" s="34">
        <v>13</v>
      </c>
      <c r="G3611" s="10">
        <v>24015</v>
      </c>
      <c r="H3611" s="30" t="str">
        <f ca="1">IFERROR(__xludf.DUMMYFUNCTION("LOWER(REGEXREPLACE(B3611&amp;"" ""&amp;C3611,""[^а-яa-z0-9 ]"","" ""))")," каф для документов закрытый 400х450х422мм       16мм  орпус выполнен из       толщиной 16мм  кромка     не менее 1мм в цвет        асады      16мм   адняя стенка        ожки черные плас  рег    27мм   асад на двух петлях имеет правое или левое открывание")</f>
        <v xml:space="preserve"> каф для документов закрытый 400х450х422мм       16мм  орпус выполнен из       толщиной 16мм  кромка     не менее 1мм в цвет        асады      16мм   адняя стенка        ожки черные плас  рег    27мм   асад на двух петлях имеет правое или левое открывание</v>
      </c>
    </row>
    <row r="3612" spans="1:8" ht="38.25" x14ac:dyDescent="0.2">
      <c r="A3612" s="31" t="s">
        <v>8686</v>
      </c>
      <c r="B3612" s="8" t="s">
        <v>8687</v>
      </c>
      <c r="C3612" s="27" t="s">
        <v>8688</v>
      </c>
      <c r="D3612" s="33" t="s">
        <v>14</v>
      </c>
      <c r="E3612" s="34">
        <v>2</v>
      </c>
      <c r="F3612" s="34">
        <v>26</v>
      </c>
      <c r="G3612" s="10">
        <v>41716</v>
      </c>
      <c r="H3612" s="30" t="str">
        <f ca="1">IFERROR(__xludf.DUMMYFUNCTION("LOWER(REGEXREPLACE(B3612&amp;"" ""&amp;C3612,""[^а-яa-z0-9 ]"","" ""))")," каф для документов закрытый 800х450х422мм       16мм  орпус выполнен из       толщиной 16мм  кромка     не менее 1мм в цвет        асады       16мм   адняя стенка        ожки черные плас  рег    27мм   каф имеет две распашные двери на двух петлях с каждо"&amp;"й стороны")</f>
        <v xml:space="preserve"> каф для документов закрытый 800х450х422мм       16мм  орпус выполнен из       толщиной 16мм  кромка     не менее 1мм в цвет        асады       16мм   адняя стенка        ожки черные плас  рег    27мм   каф имеет две распашные двери на двух петлях с каждой стороны</v>
      </c>
    </row>
    <row r="3613" spans="1:8" ht="38.25" x14ac:dyDescent="0.2">
      <c r="A3613" s="31" t="s">
        <v>8689</v>
      </c>
      <c r="B3613" s="27" t="s">
        <v>8690</v>
      </c>
      <c r="C3613" s="27" t="s">
        <v>8691</v>
      </c>
      <c r="D3613" s="33" t="s">
        <v>14</v>
      </c>
      <c r="E3613" s="34">
        <v>2</v>
      </c>
      <c r="F3613" s="34">
        <v>27</v>
      </c>
      <c r="G3613" s="10">
        <v>74504</v>
      </c>
      <c r="H3613" s="30" t="str">
        <f ca="1">IFERROR(__xludf.DUMMYFUNCTION("LOWER(REGEXREPLACE(B3613&amp;"" ""&amp;C3613,""[^а-яa-z0-9 ]"","" ""))")," каф для документов закрытый 800х450х422мм  4 выдвижных ящика       16мм  орпус выполнен из       толщиной 16мм  кромка     не менее 1мм в цвет        асады       16мм   адняя стенка        ожки черные плас  рег    27мм  имеет 4 выдвижных ящика")</f>
        <v xml:space="preserve"> каф для документов закрытый 800х450х422мм  4 выдвижных ящика       16мм  орпус выполнен из       толщиной 16мм  кромка     не менее 1мм в цвет        асады       16мм   адняя стенка        ожки черные плас  рег    27мм  имеет 4 выдвижных ящика</v>
      </c>
    </row>
    <row r="3614" spans="1:8" ht="38.25" x14ac:dyDescent="0.2">
      <c r="A3614" s="31" t="s">
        <v>8692</v>
      </c>
      <c r="B3614" s="27" t="s">
        <v>8693</v>
      </c>
      <c r="C3614" s="27" t="s">
        <v>8694</v>
      </c>
      <c r="D3614" s="33" t="s">
        <v>14</v>
      </c>
      <c r="E3614" s="34">
        <v>2</v>
      </c>
      <c r="F3614" s="34">
        <v>26</v>
      </c>
      <c r="G3614" s="10">
        <v>59369</v>
      </c>
      <c r="H3614" s="30" t="str">
        <f ca="1">IFERROR(__xludf.DUMMYFUNCTION("LOWER(REGEXREPLACE(B3614&amp;"" ""&amp;C3614,""[^а-яa-z0-9 ]"","" ""))")," каф для документов закрытый 800х450х422мм  1 выдвижной ящик       16мм  орпус выполнен из       толщиной 16мм  кромка     не менее 1мм в цвет        асады       16мм   адняя стенка        ожки черные плас  рег    27мм  имеет 1 выдвижной ящик")</f>
        <v xml:space="preserve"> каф для документов закрытый 800х450х422мм  1 выдвижной ящик       16мм  орпус выполнен из       толщиной 16мм  кромка     не менее 1мм в цвет        асады       16мм   адняя стенка        ожки черные плас  рег    27мм  имеет 1 выдвижной ящик</v>
      </c>
    </row>
    <row r="3615" spans="1:8" ht="38.25" x14ac:dyDescent="0.2">
      <c r="A3615" s="31" t="s">
        <v>8695</v>
      </c>
      <c r="B3615" s="27" t="s">
        <v>8696</v>
      </c>
      <c r="C3615" s="27" t="s">
        <v>8697</v>
      </c>
      <c r="D3615" s="33" t="s">
        <v>14</v>
      </c>
      <c r="E3615" s="34">
        <v>2</v>
      </c>
      <c r="F3615" s="34">
        <v>32</v>
      </c>
      <c r="G3615" s="10">
        <v>49306</v>
      </c>
      <c r="H3615" s="30" t="str">
        <f ca="1">IFERROR(__xludf.DUMMYFUNCTION("LOWER(REGEXREPLACE(B3615&amp;"" ""&amp;C3615,""[^а-яa-z0-9 ]"","" ""))")," каф для документов закрытый 1200х450х422мм  3 распашные двери       16мм  орпус выполнен из       толщиной 16мм  кромка     не менее 1мм в цвет        асады       16мм   адняя стенка        ожки черные плас  рег    27мм  имеет 3 распашные двери")</f>
        <v xml:space="preserve"> каф для документов закрытый 1200х450х422мм  3 распашные двери       16мм  орпус выполнен из       толщиной 16мм  кромка     не менее 1мм в цвет        асады       16мм   адняя стенка        ожки черные плас  рег    27мм  имеет 3 распашные двери</v>
      </c>
    </row>
    <row r="3616" spans="1:8" ht="51" x14ac:dyDescent="0.2">
      <c r="A3616" s="31" t="s">
        <v>8698</v>
      </c>
      <c r="B3616" s="27" t="s">
        <v>8699</v>
      </c>
      <c r="C3616" s="27" t="s">
        <v>8700</v>
      </c>
      <c r="D3616" s="33" t="s">
        <v>14</v>
      </c>
      <c r="E3616" s="34">
        <v>2</v>
      </c>
      <c r="F3616" s="34">
        <v>34</v>
      </c>
      <c r="G3616" s="10">
        <v>68228</v>
      </c>
      <c r="H3616" s="30" t="str">
        <f ca="1">IFERROR(__xludf.DUMMYFUNCTION("LOWER(REGEXREPLACE(B3616&amp;"" ""&amp;C3616,""[^а-яa-z0-9 ]"","" ""))")," каф для документов закрытый 1200х450х422мм  две распашные двери  два выдвижных ящика       16мм  орпус выполнен из       толщиной 16мм  кромка     не менее 1мм в цвет        асады       16мм   адняя стенка        ожки черные плас  рег    27мм  имеет 2 ра"&amp;"спашные двери с двух сторон и два выдвижных ящика по центру")</f>
        <v xml:space="preserve"> каф для документов закрытый 1200х450х422мм  две распашные двери  два выдвижных ящика       16мм  орпус выполнен из       толщиной 16мм  кромка     не менее 1мм в цвет        асады       16мм   адняя стенка        ожки черные плас  рег    27мм  имеет 2 распашные двери с двух сторон и два выдвижных ящика по центру</v>
      </c>
    </row>
    <row r="3617" spans="1:8" ht="38.25" x14ac:dyDescent="0.2">
      <c r="A3617" s="31" t="s">
        <v>8701</v>
      </c>
      <c r="B3617" s="27" t="s">
        <v>8702</v>
      </c>
      <c r="C3617" s="27" t="s">
        <v>8703</v>
      </c>
      <c r="D3617" s="33" t="s">
        <v>14</v>
      </c>
      <c r="E3617" s="34">
        <v>2</v>
      </c>
      <c r="F3617" s="34">
        <v>36</v>
      </c>
      <c r="G3617" s="10">
        <v>106063</v>
      </c>
      <c r="H3617" s="30" t="str">
        <f ca="1">IFERROR(__xludf.DUMMYFUNCTION("LOWER(REGEXREPLACE(B3617&amp;"" ""&amp;C3617,""[^а-яa-z0-9 ]"","" ""))")," каф для документов закрытый 1200х450х422мм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ящика")</f>
        <v xml:space="preserve"> каф для документов закрытый 1200х450х422мм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ящика</v>
      </c>
    </row>
    <row r="3618" spans="1:8" ht="38.25" x14ac:dyDescent="0.2">
      <c r="A3618" s="31" t="s">
        <v>8704</v>
      </c>
      <c r="B3618" s="27" t="s">
        <v>8705</v>
      </c>
      <c r="C3618" s="27" t="s">
        <v>8691</v>
      </c>
      <c r="D3618" s="33" t="s">
        <v>14</v>
      </c>
      <c r="E3618" s="34">
        <v>2</v>
      </c>
      <c r="F3618" s="34">
        <v>26</v>
      </c>
      <c r="G3618" s="10">
        <v>97448</v>
      </c>
      <c r="H3618" s="30" t="str">
        <f ca="1">IFERROR(__xludf.DUMMYFUNCTION("LOWER(REGEXREPLACE(B3618&amp;"" ""&amp;C3618,""[^а-яa-z0-9 ]"","" ""))")," каф для документов закрытый 800х450х814мм  четыре выдвижных ящика       16мм  орпус выполнен из       толщиной 16мм  кромка     не менее 1мм в цвет        асады       16мм   адняя стенка        ожки черные плас  рег    27мм  имеет 4 выдвижных ящика")</f>
        <v xml:space="preserve"> каф для документов закрытый 800х450х814мм  четыре выдвижных ящика       16мм  орпус выполнен из       толщиной 16мм  кромка     не менее 1мм в цвет        асады       16мм   адняя стенка        ожки черные плас  рег    27мм  имеет 4 выдвижных ящика</v>
      </c>
    </row>
    <row r="3619" spans="1:8" ht="38.25" x14ac:dyDescent="0.2">
      <c r="A3619" s="31" t="s">
        <v>8706</v>
      </c>
      <c r="B3619" s="27" t="s">
        <v>8707</v>
      </c>
      <c r="C3619" s="27" t="s">
        <v>8708</v>
      </c>
      <c r="D3619" s="33" t="s">
        <v>14</v>
      </c>
      <c r="E3619" s="34">
        <v>2</v>
      </c>
      <c r="F3619" s="34">
        <v>52</v>
      </c>
      <c r="G3619" s="10">
        <v>143956</v>
      </c>
      <c r="H3619" s="30" t="str">
        <f ca="1">IFERROR(__xludf.DUMMYFUNCTION("LOWER(REGEXREPLACE(B3619&amp;"" ""&amp;C3619,""[^а-яa-z0-9 ]"","" ""))")," каф для документов закрытый 800х450х814мм  восемь выдвижных ящика       16мм  орпус выполнен из       толщиной 16мм  кромка     не менее 1мм в цвет        асады       16мм   адняя стенка        ожки черные плас  рег    27мм  имеет 8 выдвижных ящика")</f>
        <v xml:space="preserve"> каф для документов закрытый 800х450х814мм  восемь выдвижных ящика       16мм  орпус выполнен из       толщиной 16мм  кромка     не менее 1мм в цвет        асады       16мм   адняя стенка        ожки черные плас  рег    27мм  имеет 8 выдвижных ящика</v>
      </c>
    </row>
    <row r="3620" spans="1:8" ht="76.5" x14ac:dyDescent="0.2">
      <c r="A3620" s="31" t="s">
        <v>8709</v>
      </c>
      <c r="B3620" s="27" t="s">
        <v>8710</v>
      </c>
      <c r="C3620" s="27" t="s">
        <v>8711</v>
      </c>
      <c r="D3620" s="33" t="s">
        <v>14</v>
      </c>
      <c r="E3620" s="34">
        <v>2</v>
      </c>
      <c r="F3620" s="34">
        <v>75</v>
      </c>
      <c r="G3620" s="10">
        <v>157667</v>
      </c>
      <c r="H3620" s="30" t="str">
        <f ca="1">IFERROR(__xludf.DUMMYFUNCTION("LOWER(REGEXREPLACE(B3620&amp;"" ""&amp;C3620,""[^а-яa-z0-9 ]"","" ""))")," каф для документов закрытый 1200х450х814мм  три распашные двери  шесть выдвижных ящика       16мм  орпус выполнен из       толщиной 16мм  кромка     не менее 1мм в цвет        асады       16мм   адняя стенка        ожки черные плас  рег    27мм  шкаф раз"&amp;"делен на 3 равные части  справа и слева верхние части имеют выдвижные ящики в количестве 4 штук  по 2 с каждой стороны   о центру в верхней части 1 распашная дверь и 2 выдвижных ящика в нижней части  с права и с лева с двух сторон в нижней части по 1 расп"&amp;"ашной двери")</f>
        <v xml:space="preserve"> каф для документов закрытый 1200х450х814мм  три распашные двери  шесть выдвижных ящика       16мм  орпус выполнен из       толщиной 16мм  кромка     не менее 1мм в цвет        асады       16мм   адняя стенка        ожки черные плас  рег    27мм  шкаф разделен на 3 равные части  справа и слева верхние части имеют выдвижные ящики в количестве 4 штук  по 2 с каждой стороны   о центру в верхней части 1 распашная дверь и 2 выдвижных ящика в нижней части  с права и с лева с двух сторон в нижней части по 1 распашной двери</v>
      </c>
    </row>
    <row r="3621" spans="1:8" ht="38.25" x14ac:dyDescent="0.2">
      <c r="A3621" s="31" t="s">
        <v>8712</v>
      </c>
      <c r="B3621" s="27" t="s">
        <v>8713</v>
      </c>
      <c r="C3621" s="27" t="s">
        <v>8697</v>
      </c>
      <c r="D3621" s="33" t="s">
        <v>14</v>
      </c>
      <c r="E3621" s="34">
        <v>2</v>
      </c>
      <c r="F3621" s="34">
        <v>18</v>
      </c>
      <c r="G3621" s="10">
        <v>58075</v>
      </c>
      <c r="H3621" s="30" t="str">
        <f ca="1">IFERROR(__xludf.DUMMYFUNCTION("LOWER(REGEXREPLACE(B3621&amp;"" ""&amp;C3621,""[^а-яa-z0-9 ]"","" ""))")," каф для документов закрытый 400х450х1200мм  3 распашные двери       16мм  орпус выполнен из       толщиной 16мм  кромка     не менее 1мм в цвет        асады       16мм   адняя стенка        ожки черные плас  рег    27мм  имеет 3 распашные двери")</f>
        <v xml:space="preserve"> каф для документов закрытый 400х450х1200мм  3 распашные двери       16мм  орпус выполнен из       толщиной 16мм  кромка     не менее 1мм в цвет        асады       16мм   адняя стенка        ожки черные плас  рег    27мм  имеет 3 распашные двери</v>
      </c>
    </row>
    <row r="3622" spans="1:8" ht="38.25" x14ac:dyDescent="0.2">
      <c r="A3622" s="31" t="s">
        <v>8714</v>
      </c>
      <c r="B3622" s="27" t="s">
        <v>8715</v>
      </c>
      <c r="C3622" s="27" t="s">
        <v>8716</v>
      </c>
      <c r="D3622" s="33" t="s">
        <v>14</v>
      </c>
      <c r="E3622" s="34">
        <v>2</v>
      </c>
      <c r="F3622" s="34">
        <v>35</v>
      </c>
      <c r="G3622" s="10">
        <v>144895</v>
      </c>
      <c r="H3622" s="30" t="str">
        <f ca="1">IFERROR(__xludf.DUMMYFUNCTION("LOWER(REGEXREPLACE(B3622&amp;"" ""&amp;C3622,""[^а-яa-z0-9 ]"","" ""))")," каф для документов закрытый 800х450х1200мм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ящиков")</f>
        <v xml:space="preserve"> каф для документов закрытый 800х450х1200мм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ящиков</v>
      </c>
    </row>
    <row r="3623" spans="1:8" ht="38.25" x14ac:dyDescent="0.2">
      <c r="A3623" s="31" t="s">
        <v>8717</v>
      </c>
      <c r="B3623" s="27" t="s">
        <v>8718</v>
      </c>
      <c r="C3623" s="27" t="s">
        <v>8719</v>
      </c>
      <c r="D3623" s="33" t="s">
        <v>14</v>
      </c>
      <c r="E3623" s="34">
        <v>2</v>
      </c>
      <c r="F3623" s="34">
        <v>52</v>
      </c>
      <c r="G3623" s="10">
        <v>150764</v>
      </c>
      <c r="H3623" s="30" t="str">
        <f ca="1">IFERROR(__xludf.DUMMYFUNCTION("LOWER(REGEXREPLACE(B3623&amp;"" ""&amp;C3623,""[^а-яa-z0-9 ]"","" ""))")," каф для документов закрытый 1200х450х1206мм  9 распашных дверей       16мм  орпус выполнен из       толщиной 16мм  кромка     не менее 1мм в цвет        асады       16мм   адняя стенка        ожки черные плас  рег    27мм  имеет 9 распашных дверей")</f>
        <v xml:space="preserve"> каф для документов закрытый 1200х450х1206мм  9 распашных дверей       16мм  орпус выполнен из       толщиной 16мм  кромка     не менее 1мм в цвет        асады       16мм   адняя стенка        ожки черные плас  рег    27мм  имеет 9 распашных дверей</v>
      </c>
    </row>
    <row r="3624" spans="1:8" ht="38.25" x14ac:dyDescent="0.2">
      <c r="A3624" s="31" t="s">
        <v>8720</v>
      </c>
      <c r="B3624" s="27" t="s">
        <v>8721</v>
      </c>
      <c r="C3624" s="27" t="s">
        <v>8722</v>
      </c>
      <c r="D3624" s="33" t="s">
        <v>14</v>
      </c>
      <c r="E3624" s="34">
        <v>2</v>
      </c>
      <c r="F3624" s="34">
        <v>18</v>
      </c>
      <c r="G3624" s="10">
        <v>60345</v>
      </c>
      <c r="H3624" s="30" t="str">
        <f ca="1">IFERROR(__xludf.DUMMYFUNCTION("LOWER(REGEXREPLACE(B3624&amp;"" ""&amp;C3624,""[^а-яa-z0-9 ]"","" ""))")," каф для документов закрытый 400х450х1598мм  2 распашные двери  полки       16мм  орпус выполнен из       толщиной 16мм  кромка     не менее 1мм в цвет        асады       16мм   адняя стенка        ожки черные плас  рег    27мм  имеет 2 распашные двери  п"&amp;"олки      16мм")</f>
        <v xml:space="preserve"> каф для документов закрытый 400х450х1598мм  2 распашные двери  полки       16мм  орпус выполнен из       толщиной 16мм  кромка     не менее 1мм в цвет        асады       16мм   адняя стенка        ожки черные плас  рег    27мм  имеет 2 распашные двери  полки      16мм</v>
      </c>
    </row>
    <row r="3625" spans="1:8" ht="38.25" x14ac:dyDescent="0.2">
      <c r="A3625" s="31" t="s">
        <v>8723</v>
      </c>
      <c r="B3625" s="27" t="s">
        <v>8724</v>
      </c>
      <c r="C3625" s="27" t="s">
        <v>8725</v>
      </c>
      <c r="D3625" s="33" t="s">
        <v>14</v>
      </c>
      <c r="E3625" s="34">
        <v>2</v>
      </c>
      <c r="F3625" s="34">
        <v>35</v>
      </c>
      <c r="G3625" s="10">
        <v>83363</v>
      </c>
      <c r="H3625" s="30" t="str">
        <f ca="1">IFERROR(__xludf.DUMMYFUNCTION("LOWER(REGEXREPLACE(B3625&amp;"" ""&amp;C3625,""[^а-яa-z0-9 ]"","" ""))")," каф для документов закрытый 800х450х1598мм  2 распашные двери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800х450х1598мм  2 распашные двери  полки       16мм  орпус выполнен из       толщиной 16мм  кромка     не менее 1мм в цвет        асады       16мм   адняя стенка        ожки черные плас  рег    27мм  полки      16мм</v>
      </c>
    </row>
    <row r="3626" spans="1:8" ht="38.25" x14ac:dyDescent="0.2">
      <c r="A3626" s="31" t="s">
        <v>8726</v>
      </c>
      <c r="B3626" s="27" t="s">
        <v>8727</v>
      </c>
      <c r="C3626" s="27" t="s">
        <v>8725</v>
      </c>
      <c r="D3626" s="33" t="s">
        <v>14</v>
      </c>
      <c r="E3626" s="34">
        <v>2</v>
      </c>
      <c r="F3626" s="34">
        <v>35</v>
      </c>
      <c r="G3626" s="10">
        <v>88154</v>
      </c>
      <c r="H3626" s="30" t="str">
        <f ca="1">IFERROR(__xludf.DUMMYFUNCTION("LOWER(REGEXREPLACE(B3626&amp;"" ""&amp;C3626,""[^а-яa-z0-9 ]"","" ""))")," каф для документов закрытый 800х450х1598мм  4 распашные двери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800х450х1598мм  4 распашные двери  полки       16мм  орпус выполнен из       толщиной 16мм  кромка     не менее 1мм в цвет        асады       16мм   адняя стенка        ожки черные плас  рег    27мм  полки      16мм</v>
      </c>
    </row>
    <row r="3627" spans="1:8" ht="38.25" x14ac:dyDescent="0.2">
      <c r="A3627" s="31" t="s">
        <v>8728</v>
      </c>
      <c r="B3627" s="27" t="s">
        <v>8729</v>
      </c>
      <c r="C3627" s="27" t="s">
        <v>8730</v>
      </c>
      <c r="D3627" s="33" t="s">
        <v>14</v>
      </c>
      <c r="E3627" s="34">
        <v>2</v>
      </c>
      <c r="F3627" s="34">
        <v>32</v>
      </c>
      <c r="G3627" s="10">
        <v>110838</v>
      </c>
      <c r="H3627" s="30" t="str">
        <f ca="1">IFERROR(__xludf.DUMMYFUNCTION("LOWER(REGEXREPLACE(B3627&amp;"" ""&amp;C3627,""[^а-яa-z0-9 ]"","" ""))")," каф для документов закрытый 800х450х1598мм  8 распашных дверей       16мм  орпус выполнен из       толщиной 16мм  кромка     не менее 1мм в цвет        асады       16мм   адняя стенка        ожки черные плас  рег    27мм  имеет 8 распашных дверей")</f>
        <v xml:space="preserve"> каф для документов закрытый 800х450х1598мм  8 распашных дверей       16мм  орпус выполнен из       толщиной 16мм  кромка     не менее 1мм в цвет        асады       16мм   адняя стенка        ожки черные плас  рег    27мм  имеет 8 распашных дверей</v>
      </c>
    </row>
    <row r="3628" spans="1:8" ht="38.25" x14ac:dyDescent="0.2">
      <c r="A3628" s="31" t="s">
        <v>8731</v>
      </c>
      <c r="B3628" s="27" t="s">
        <v>8732</v>
      </c>
      <c r="C3628" s="27" t="s">
        <v>8733</v>
      </c>
      <c r="D3628" s="33" t="s">
        <v>14</v>
      </c>
      <c r="E3628" s="34">
        <v>2</v>
      </c>
      <c r="F3628" s="34">
        <v>54</v>
      </c>
      <c r="G3628" s="10">
        <v>139172</v>
      </c>
      <c r="H3628" s="30" t="str">
        <f ca="1">IFERROR(__xludf.DUMMYFUNCTION("LOWER(REGEXREPLACE(B3628&amp;"" ""&amp;C3628,""[^а-яa-z0-9 ]"","" ""))")," каф для документов закрытый 1200х450х1598мм  12 распашных дверей       16мм  орпус выполнен из       толщиной 16мм  кромка     не менее 1мм в цвет        асады       16мм   адняя стенка        ожки черные плас  рег    27мм")</f>
        <v xml:space="preserve"> каф для документов закрытый 1200х450х1598мм  12 распашных дверей       16мм  орпус выполнен из       толщиной 16мм  кромка     не менее 1мм в цвет        асады       16мм   адняя стенка        ожки черные плас  рег    27мм</v>
      </c>
    </row>
    <row r="3629" spans="1:8" ht="38.25" x14ac:dyDescent="0.2">
      <c r="A3629" s="31" t="s">
        <v>8734</v>
      </c>
      <c r="B3629" s="27" t="s">
        <v>8735</v>
      </c>
      <c r="C3629" s="27" t="s">
        <v>8736</v>
      </c>
      <c r="D3629" s="33" t="s">
        <v>14</v>
      </c>
      <c r="E3629" s="34">
        <v>2</v>
      </c>
      <c r="F3629" s="34">
        <v>35</v>
      </c>
      <c r="G3629" s="10">
        <v>70123</v>
      </c>
      <c r="H3629" s="30" t="str">
        <f ca="1">IFERROR(__xludf.DUMMYFUNCTION("LOWER(REGEXREPLACE(B3629&amp;"" ""&amp;C3629,""[^а-яa-z0-9 ]"","" ""))")," каф для документов закрытый 400х450х1990мм  1 распашная дверь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400х450х1990мм  1 распашная дверь  полки       16мм  орпус выполнен из       толщиной 16мм  кромка     не менее 1мм в цвет        асады      16мм   адняя стенка        ожки черные плас  рег    27мм  полки      16мм</v>
      </c>
    </row>
    <row r="3630" spans="1:8" ht="38.25" x14ac:dyDescent="0.2">
      <c r="A3630" s="31" t="s">
        <v>8737</v>
      </c>
      <c r="B3630" s="27" t="s">
        <v>8738</v>
      </c>
      <c r="C3630" s="27" t="s">
        <v>8739</v>
      </c>
      <c r="D3630" s="33" t="s">
        <v>14</v>
      </c>
      <c r="E3630" s="34">
        <v>2</v>
      </c>
      <c r="F3630" s="34">
        <v>37</v>
      </c>
      <c r="G3630" s="10">
        <v>109850</v>
      </c>
      <c r="H3630" s="30" t="str">
        <f ca="1">IFERROR(__xludf.DUMMYFUNCTION("LOWER(REGEXREPLACE(B3630&amp;"" ""&amp;C3630,""[^а-яa-z0-9 ]"","" ""))")," каф для документов закрытый 800х450х1990мм  2 распашные двери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800х450х1990мм  2 распашные двери  полки       16мм  орпус выполнен из       толщиной 16мм  кромка     не менее 1мм в цвет        асады       16мм  адняя стенка        ожки черные плас  рег    27мм  полки      16мм</v>
      </c>
    </row>
    <row r="3631" spans="1:8" ht="38.25" x14ac:dyDescent="0.2">
      <c r="A3631" s="31" t="s">
        <v>8740</v>
      </c>
      <c r="B3631" s="27" t="s">
        <v>8741</v>
      </c>
      <c r="C3631" s="27" t="s">
        <v>8725</v>
      </c>
      <c r="D3631" s="33" t="s">
        <v>14</v>
      </c>
      <c r="E3631" s="34">
        <v>2</v>
      </c>
      <c r="F3631" s="34">
        <v>38</v>
      </c>
      <c r="G3631" s="10">
        <v>113385</v>
      </c>
      <c r="H3631" s="30" t="str">
        <f ca="1">IFERROR(__xludf.DUMMYFUNCTION("LOWER(REGEXREPLACE(B3631&amp;"" ""&amp;C3631,""[^а-яa-z0-9 ]"","" ""))")," каф для документов закрытый 800х450х1990мм  4 распашные двери  полки       16мм  орпус выполнен из       толщиной 16мм  кромка     не менее 1мм в цвет        асады       16мм   адняя стенка        ожки черные плас  рег    27мм  полки      16мм")</f>
        <v xml:space="preserve"> каф для документов закрытый 800х450х1990мм  4 распашные двери  полки       16мм  орпус выполнен из       толщиной 16мм  кромка     не менее 1мм в цвет        асады       16мм   адняя стенка        ожки черные плас  рег    27мм  полки      16мм</v>
      </c>
    </row>
    <row r="3632" spans="1:8" ht="38.25" x14ac:dyDescent="0.2">
      <c r="A3632" s="31" t="s">
        <v>8742</v>
      </c>
      <c r="B3632" s="27" t="s">
        <v>8743</v>
      </c>
      <c r="C3632" s="27" t="s">
        <v>8744</v>
      </c>
      <c r="D3632" s="33" t="s">
        <v>14</v>
      </c>
      <c r="E3632" s="34">
        <v>2</v>
      </c>
      <c r="F3632" s="35">
        <v>56.4</v>
      </c>
      <c r="G3632" s="10">
        <v>61317</v>
      </c>
      <c r="H3632" s="30" t="str">
        <f ca="1">IFERROR(__xludf.DUMMYFUNCTION("LOWER(REGEXREPLACE(B3632&amp;"" ""&amp;C3632,""[^а-яa-z0-9 ]"","" ""))")," каф для документов закрытый 800х380х1970мм       16мм  каф для документов   ирина   800мм  глубина   380мм  высота 1970мм   каф выполнен из ламинированной     16мм   орцы облицованы ударопрочной кромкой     толщиной 2мм   учки металлические ")</f>
        <v xml:space="preserve"> каф для документов закрытый 800х380х1970мм       16мм  каф для документов   ирина   800мм  глубина   380мм  высота 1970мм   каф выполнен из ламинированной     16мм   орцы облицованы ударопрочной кромкой     толщиной 2мм   учки металлические </v>
      </c>
    </row>
    <row r="3633" spans="1:8" ht="51" x14ac:dyDescent="0.2">
      <c r="A3633" s="31" t="s">
        <v>8745</v>
      </c>
      <c r="B3633" s="27" t="s">
        <v>8746</v>
      </c>
      <c r="C3633" s="27" t="s">
        <v>8747</v>
      </c>
      <c r="D3633" s="33" t="s">
        <v>14</v>
      </c>
      <c r="E3633" s="34">
        <v>2</v>
      </c>
      <c r="F3633" s="34">
        <v>60</v>
      </c>
      <c r="G3633" s="10">
        <v>63183</v>
      </c>
      <c r="H3633" s="30" t="str">
        <f ca="1">IFERROR(__xludf.DUMMYFUNCTION("LOWER(REGEXREPLACE(B3633&amp;"" ""&amp;C3633,""[^а-яa-z0-9 ]"","" ""))")," каф для хранения игрушек и пособий закрытый 600х500х1850мм  снизу четыре выдвижные полки  сверху две распашные двери       16 мм  каф для хранения игрушек и пособий 600х500х1850мм       16 мм  кромка       низу четыре выдвижные полки  сверху 2 распашные "&amp;"двери  4 полки  ")</f>
        <v xml:space="preserve"> каф для хранения игрушек и пособий закрытый 600х500х1850мм  снизу четыре выдвижные полки  сверху две распашные двери       16 мм  каф для хранения игрушек и пособий 600х500х1850мм       16 мм  кромка       низу четыре выдвижные полки  сверху 2 распашные двери  4 полки  </v>
      </c>
    </row>
    <row r="3634" spans="1:8" ht="140.25" x14ac:dyDescent="0.2">
      <c r="A3634" s="31" t="s">
        <v>8748</v>
      </c>
      <c r="B3634" s="27" t="s">
        <v>8749</v>
      </c>
      <c r="C3634" s="27" t="s">
        <v>8750</v>
      </c>
      <c r="D3634" s="33" t="s">
        <v>14</v>
      </c>
      <c r="E3634" s="34">
        <v>2</v>
      </c>
      <c r="F3634" s="34">
        <v>71</v>
      </c>
      <c r="G3634" s="10">
        <v>106946</v>
      </c>
      <c r="H3634" s="30" t="str">
        <f ca="1">IFERROR(__xludf.DUMMYFUNCTION("LOWER(REGEXREPLACE(B3634&amp;"" ""&amp;C3634,""[^а-яa-z0-9 ]"","" ""))")," каф для хранения игрушек и пособий   азмеры 600х500х1860мм   низу четыре выдвижные полки  сверху 2 распашные двери  4 полки    атериал корпуса  полок  выдвижных ящиков      16 мм   адняя стенка и нижняя часть выдвижных ящиков из ламинированного     5 мм "&amp;"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электрос"&amp;"титистическим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задня"&amp;"я стенка   ижняя часть ящиков соединяется таким же способом канала  ля предотвращения воздействия воды и влаги на шкаф предусмотрены 4 ножки высотой 5 см")</f>
        <v xml:space="preserve"> каф для хранения игрушек и пособий   азмеры 600х500х1860мм   низу четыре выдвижные полки  сверху 2 распашные двери  4 полки    атериал корпуса  полок  выдвижных ящиков      16 мм   адняя стенка и нижняя часть выдвижных ящиков из ламинированного     5 мм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ижняя часть ящиков соединяется таким же способом канала  ля предотвращения воздействия воды и влаги на шкаф предусмотрены 4 ножки высотой 5 см</v>
      </c>
    </row>
    <row r="3635" spans="1:8" ht="102" x14ac:dyDescent="0.2">
      <c r="A3635" s="31" t="s">
        <v>8751</v>
      </c>
      <c r="B3635" s="27" t="s">
        <v>8752</v>
      </c>
      <c r="C3635" s="27" t="s">
        <v>8753</v>
      </c>
      <c r="D3635" s="33" t="s">
        <v>14</v>
      </c>
      <c r="E3635" s="34">
        <v>2</v>
      </c>
      <c r="F3635" s="34">
        <v>71</v>
      </c>
      <c r="G3635" s="10">
        <v>284713</v>
      </c>
      <c r="H3635" s="30" t="str">
        <f ca="1">IFERROR(__xludf.DUMMYFUNCTION("LOWER(REGEXREPLACE(B3635&amp;"" ""&amp;C3635,""[^а-яa-z0-9 ]"","" ""))")," каф для документов закрытый 1240х600х3500мм  2 распашные двери  корпус  полки и двери из      16мм  задняя стенка из ламинированного     5 мм  каф для документов  закрыт 2 дверьми c полками   атериал корпуса  полок и дверей       толщина      16 мм   адн"&amp;"яя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inifix   а боковых стенках  верхней и нижней детали шкафа фрезеруется к"&amp;"анал  в которую монтируется задняя стенка   ля предотвращения воздействия воды и влаги на шкаф предусмотрены 4 ножки высотой 5 см   абариты  длина 1240мм  глубина 600мм  высота 3500мм")</f>
        <v xml:space="preserve"> каф для документов закрытый 1240х600х3500мм  2 распашные двери  корпус  полки и двери из      16мм  задняя стенка из ламинированного     5 мм  каф для документов  закрыт 2 дверьми c полками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длина 1240мм  глубина 600мм  высота 3500мм</v>
      </c>
    </row>
    <row r="3636" spans="1:8" ht="267.75" x14ac:dyDescent="0.2">
      <c r="A3636" s="31" t="s">
        <v>8754</v>
      </c>
      <c r="B3636" s="27" t="s">
        <v>8755</v>
      </c>
      <c r="C3636" s="27" t="s">
        <v>8756</v>
      </c>
      <c r="D3636" s="33" t="s">
        <v>14</v>
      </c>
      <c r="E3636" s="34">
        <v>2</v>
      </c>
      <c r="F3636" s="34">
        <v>50</v>
      </c>
      <c r="G3636" s="10">
        <v>69484</v>
      </c>
      <c r="H3636" s="30" t="str">
        <f ca="1">IFERROR(__xludf.DUMMYFUNCTION("LOWER(REGEXREPLACE(B3636&amp;"" ""&amp;C3636,""[^а-яa-z0-9 ]"","" ""))")," каф для плакатов и карт  низкий   5 вертикальных отделов       16 мм  размеры 1100х445х1630 мм  редназначен для размещения учебных плакатов  малогабаритных карт и прочей листовой продукции   абаритные размеры должны быть  не менее  ширина 1100 мм  глубин"&amp;"а 420 мм  высота 1630 мм   каф должен иметь две распашные дверцы на всю высоту шкафа   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листово"&amp;"й продукции  4 отдела размером не менее 250х160 мм для карт в рулонах   анные вертикальные отделы должны быть изготовлены из вертикальных планок  или полок  из      толщиной не менее 16 мм размерами не менее  1060х328 мм   1 штука  которая должна крепитьс"&amp;"я к боковым стенкам каркаса шкафа с помощью минификс  эксцентрик   и 160х498 мм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"&amp;" ланки должны крепиться на высоте не менее 150 мм от дна шкафа   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есущие части  полки  фасадн"&amp;"ая часть        не менее 16 мм  задняя стенка       не менее 3 мм   ромка из     не менее 0 4 мм   борка должна производиться с помощью конфирматов 6 3х50 и эксцентриковых стяжек   етля для дверок должна быть шарнирная накладная   ебельные ножки должны ре"&amp;"гулироваться по высоте для компенсации неровностей пола ")</f>
        <v xml:space="preserve"> каф для плакатов и карт  низкий   5 вертикальных отделов       16 мм  размеры 1100х445х1630 мм  редназначен для размещения учебных плакатов  малогабаритных карт и прочей листовой продукции   абаритные размеры должны быть  не менее  ширина 1100 мм  глубина 420 мм  высота 1630 мм   каф должен иметь две распашные дверцы на всю высоту шкафа   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анные вертикальные отделы должны быть изготовлены из вертикальных планок  или полок  из      толщиной не менее 16 мм размерами не менее  1060х328 мм   1 штука  которая должна крепиться к боковым стенкам каркаса шкафа с помощью минификс  эксцентрик   и 160х498 мм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ланки должны крепиться на высоте не менее 150 мм от дна шкафа   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есущие части  полки  фасадная часть        не менее 16 мм  задняя стенка       не менее 3 мм   ромка из     не менее 0 4 мм   борка должна производиться с помощью конфирматов 6 3х50 и эксцентриковых стяжек   етля для дверок должна быть шарнирная накладная   ебельные ножки должны регулироваться по высоте для компенсации неровностей пола </v>
      </c>
    </row>
    <row r="3637" spans="1:8" ht="12.75" x14ac:dyDescent="0.2">
      <c r="A3637" s="31" t="s">
        <v>8757</v>
      </c>
      <c r="B3637" s="27" t="s">
        <v>8758</v>
      </c>
      <c r="C3637" s="27"/>
      <c r="D3637" s="33" t="s">
        <v>14</v>
      </c>
      <c r="E3637" s="9"/>
      <c r="F3637" s="32"/>
      <c r="G3637" s="10"/>
      <c r="H3637" s="30" t="str">
        <f ca="1">IFERROR(__xludf.DUMMYFUNCTION("LOWER(REGEXREPLACE(B3637&amp;"" ""&amp;C3637,""[^а-яa-z0-9 ]"","" ""))")," каф закрытый полуостекленный ")</f>
        <v xml:space="preserve"> каф закрытый полуостекленный </v>
      </c>
    </row>
    <row r="3638" spans="1:8" ht="38.25" x14ac:dyDescent="0.2">
      <c r="A3638" s="31" t="s">
        <v>8759</v>
      </c>
      <c r="B3638" s="27" t="s">
        <v>8760</v>
      </c>
      <c r="C3638" s="27" t="s">
        <v>8761</v>
      </c>
      <c r="D3638" s="33" t="s">
        <v>14</v>
      </c>
      <c r="E3638" s="9"/>
      <c r="F3638" s="32"/>
      <c r="G3638" s="10">
        <v>86331</v>
      </c>
      <c r="H3638" s="30" t="str">
        <f ca="1">IFERROR(__xludf.DUMMYFUNCTION("LOWER(REGEXREPLACE(B3638&amp;"" ""&amp;C3638,""[^а-яa-z0-9 ]"","" ""))")," каф закрытый полуостекленный 800х400х1800 мм  каф закрытый полуостекленный 800х400х1800 мм   орпус      16мм   асады верх   стекло  прозрачное  в рамке        олки        16мм")</f>
        <v xml:space="preserve"> каф закрытый полуостекленный 800х400х1800 мм  каф закрытый полуостекленный 800х400х1800 мм   орпус      16мм   асады верх   стекло  прозрачное  в рамке        олки        16мм</v>
      </c>
    </row>
    <row r="3639" spans="1:8" ht="38.25" x14ac:dyDescent="0.2">
      <c r="A3639" s="31" t="s">
        <v>8762</v>
      </c>
      <c r="B3639" s="27" t="s">
        <v>8763</v>
      </c>
      <c r="C3639" s="27" t="s">
        <v>8764</v>
      </c>
      <c r="D3639" s="33" t="s">
        <v>14</v>
      </c>
      <c r="E3639" s="9"/>
      <c r="F3639" s="32"/>
      <c r="G3639" s="10">
        <v>77339</v>
      </c>
      <c r="H3639" s="30" t="str">
        <f ca="1">IFERROR(__xludf.DUMMYFUNCTION("LOWER(REGEXREPLACE(B3639&amp;"" ""&amp;C3639,""[^а-яa-z0-9 ]"","" ""))")," каф закрытый полуостекленный 800х400х1450 мм  каф закрытый полуостекленный 800х400х1450 мм   орпус      16мм   асады верх   стекло  прозрачное  в рамке        олки        16мм")</f>
        <v xml:space="preserve"> каф закрытый полуостекленный 800х400х1450 мм  каф закрытый полуостекленный 800х400х1450 мм   орпус      16мм   асады верх   стекло  прозрачное  в рамке        олки        16мм</v>
      </c>
    </row>
    <row r="3640" spans="1:8" ht="51" x14ac:dyDescent="0.2">
      <c r="A3640" s="31" t="s">
        <v>8765</v>
      </c>
      <c r="B3640" s="27" t="s">
        <v>8766</v>
      </c>
      <c r="C3640" s="27" t="s">
        <v>8767</v>
      </c>
      <c r="D3640" s="33" t="s">
        <v>14</v>
      </c>
      <c r="E3640" s="34">
        <v>2</v>
      </c>
      <c r="F3640" s="34">
        <v>55</v>
      </c>
      <c r="G3640" s="10">
        <v>55537</v>
      </c>
      <c r="H3640" s="30" t="str">
        <f ca="1">IFERROR(__xludf.DUMMYFUNCTION("LOWER(REGEXREPLACE(B3640&amp;"" ""&amp;C3640,""[^а-яa-z0-9 ]"","" ""))")," каф закрытый полуостекленный 849х376х1835мм   полуоткрытый со стеклом 4 полки  4 дверцы  регулируемые ножки       16мм  каф закрытый полуостекленный 849х376х1835мм   орпус      16мм   ерх стекло  низ закрытый   олки        16мм")</f>
        <v xml:space="preserve"> каф закрытый полуостекленный 849х376х1835мм   полуоткрытый со стеклом 4 полки  4 дверцы  регулируемые ножки       16мм  каф закрытый полуостекленный 849х376х1835мм   орпус      16мм   ерх стекло  низ закрытый   олки        16мм</v>
      </c>
    </row>
    <row r="3641" spans="1:8" ht="38.25" x14ac:dyDescent="0.2">
      <c r="A3641" s="31" t="s">
        <v>8768</v>
      </c>
      <c r="B3641" s="8" t="s">
        <v>8769</v>
      </c>
      <c r="C3641" s="27" t="s">
        <v>8770</v>
      </c>
      <c r="D3641" s="33" t="s">
        <v>14</v>
      </c>
      <c r="E3641" s="34">
        <v>2</v>
      </c>
      <c r="F3641" s="34">
        <v>45</v>
      </c>
      <c r="G3641" s="10">
        <v>70319</v>
      </c>
      <c r="H3641" s="30" t="str">
        <f ca="1">IFERROR(__xludf.DUMMYFUNCTION("LOWER(REGEXREPLACE(B3641&amp;"" ""&amp;C3641,""[^а-яa-z0-9 ]"","" ""))")," каф закрытый полуостекленный 755х356х2000мм  есущие части  полки  фасадная часть        16мм  задняя стенка       4мм   ерхняя секция с тремя полками  с двумя полуостекленными дверцами и двумя ручками   текло в раме ")</f>
        <v xml:space="preserve"> каф закрытый полуостекленный 755х356х2000мм  есущие части  полки  фасадная часть        16мм  задняя стенка       4мм   ерхняя секция с тремя полками  с двумя полуостекленными дверцами и двумя ручками   текло в раме </v>
      </c>
    </row>
    <row r="3642" spans="1:8" ht="76.5" x14ac:dyDescent="0.2">
      <c r="A3642" s="31" t="s">
        <v>8771</v>
      </c>
      <c r="B3642" s="8" t="s">
        <v>8772</v>
      </c>
      <c r="C3642" s="27" t="s">
        <v>8773</v>
      </c>
      <c r="D3642" s="33" t="s">
        <v>14</v>
      </c>
      <c r="E3642" s="34">
        <v>2</v>
      </c>
      <c r="F3642" s="34">
        <v>40</v>
      </c>
      <c r="G3642" s="10">
        <v>85588</v>
      </c>
      <c r="H3642" s="30" t="str">
        <f ca="1">IFERROR(__xludf.DUMMYFUNCTION("LOWER(REGEXREPLACE(B3642&amp;"" ""&amp;C3642,""[^а-яa-z0-9 ]"","" ""))")," каф закрытый полуостекленный 850х400х2000 мм  каф для документов изготовлен из      16мм  задняя стенка       4мм   ерхняя секция с тремя полками  с двумя полуостекленными дверцами и двумя ручками   ижняя секция с двумя дверцами и двумя полками   амки на"&amp;" нижних дверцах и две ручки   текло в раме   урнитура  конфирманты  кромка       2мм  стяжка типа       полкодержатель металлический без пластиковых элементов  ручка 128 мм без острых углов  навес мебельный типа       ножка мебельная ")</f>
        <v xml:space="preserve"> каф закрытый полуостекленный 850х400х2000 мм  каф для документов изготовлен из      16мм  задняя стенка       4мм   ерхняя секция с тремя полками  с двумя полуостекленными дверцами и двумя ручками   ижняя секция с двумя дверцами и двумя полками   амки на нижних дверцах и две ручки   текло в раме   урнитура  конфирманты  кромка       2мм  стяжка типа       полкодержатель металлический без пластиковых элементов  ручка 128 мм без острых углов  навес мебельный типа       ножка мебельная </v>
      </c>
    </row>
    <row r="3643" spans="1:8" ht="127.5" x14ac:dyDescent="0.2">
      <c r="A3643" s="31" t="s">
        <v>8774</v>
      </c>
      <c r="B3643" s="27" t="s">
        <v>8775</v>
      </c>
      <c r="C3643" s="27" t="s">
        <v>8776</v>
      </c>
      <c r="D3643" s="33" t="s">
        <v>14</v>
      </c>
      <c r="E3643" s="34">
        <v>2</v>
      </c>
      <c r="F3643" s="34">
        <v>64</v>
      </c>
      <c r="G3643" s="10">
        <v>118079</v>
      </c>
      <c r="H3643" s="30" t="str">
        <f ca="1">IFERROR(__xludf.DUMMYFUNCTION("LOWER(REGEXREPLACE(B3643&amp;"" ""&amp;C3643,""[^а-яa-z0-9 ]"","" ""))")," каф закрытый полуостекленный 800х400х1800мм       16мм   ерхние двери в алюминиевом профиле  стекло бесцветное   адняя стенка из     5мм  каф закрытый полуостекленный 800х400х1800 мм  орпус  двери и полки из      16мм  верхняя часть   закрытые полки с фа"&amp;"садом  текло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"&amp;"ручке   ерхние двери в алюминиевом профиле  стекло бесцветное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ст"&amp;"енка   ля предотвращения воздействия воды и влаги предусмотрены 4 ножки высотой 5 см ")</f>
        <v xml:space="preserve"> каф закрытый полуостекленный 800х400х1800мм       16мм   ерхние двери в алюминиевом профиле  стекло бесцветное   адняя стенка из     5мм  каф закрытый полуостекленный 800х400х1800 мм  орпус  двери и полки из      16мм  верхняя часть   закрытые полки с фасадом  текло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ерхние двери в алюминиевом профиле  стекло бесцветное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44" spans="1:8" ht="102" x14ac:dyDescent="0.2">
      <c r="A3644" s="31" t="s">
        <v>8777</v>
      </c>
      <c r="B3644" s="27" t="s">
        <v>8778</v>
      </c>
      <c r="C3644" s="27" t="s">
        <v>8779</v>
      </c>
      <c r="D3644" s="33" t="s">
        <v>14</v>
      </c>
      <c r="E3644" s="34">
        <v>2</v>
      </c>
      <c r="F3644" s="34">
        <v>53</v>
      </c>
      <c r="G3644" s="10">
        <v>65166</v>
      </c>
      <c r="H3644" s="30" t="str">
        <f ca="1">IFERROR(__xludf.DUMMYFUNCTION("LOWER(REGEXREPLACE(B3644&amp;"" ""&amp;C3644,""[^а-яa-z0-9 ]"","" ""))")," каф полуостекленный  стело в рамке  материал      16 мм  размеры 800х420х1930 мм  ерхняя секция должна быть с тремя полками  с двумя остекленными дверцами   текло в рамке  ширина рамки 55 мм   верцы с ручками и внутренним замком   ысота остекл нной части"&amp;"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кромка       0 4 мм   борка должна производиться с помощью конф"&amp;"ирматов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f>
        <v xml:space="preserve"> каф полуостекленный  стело в рамке  материал      16 мм  размеры 800х420х1930 мм  ерхняя секция должна быть с тремя полками  с двумя остекленными дверцами   текло в рамке  ширина рамки 55 мм   верцы с ручками и внутренним замком   ысота остекл нной части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кромка       0 4 мм   борка должна производиться с помощью конфирматов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v>
      </c>
    </row>
    <row r="3645" spans="1:8" ht="12.75" x14ac:dyDescent="0.2">
      <c r="A3645" s="31" t="s">
        <v>8780</v>
      </c>
      <c r="B3645" s="27" t="s">
        <v>8781</v>
      </c>
      <c r="C3645" s="27"/>
      <c r="D3645" s="33" t="s">
        <v>14</v>
      </c>
      <c r="E3645" s="9"/>
      <c r="F3645" s="32"/>
      <c r="G3645" s="10"/>
      <c r="H3645" s="30" t="str">
        <f ca="1">IFERROR(__xludf.DUMMYFUNCTION("LOWER(REGEXREPLACE(B3645&amp;"" ""&amp;C3645,""[^а-яa-z0-9 ]"","" ""))")," каф для учебно наглядных пособий ")</f>
        <v xml:space="preserve"> каф для учебно наглядных пособий </v>
      </c>
    </row>
    <row r="3646" spans="1:8" ht="51" x14ac:dyDescent="0.2">
      <c r="A3646" s="31" t="s">
        <v>8782</v>
      </c>
      <c r="B3646" s="27" t="s">
        <v>8783</v>
      </c>
      <c r="C3646" s="27" t="s">
        <v>8784</v>
      </c>
      <c r="D3646" s="33" t="s">
        <v>14</v>
      </c>
      <c r="E3646" s="9"/>
      <c r="F3646" s="32"/>
      <c r="G3646" s="10">
        <v>33454</v>
      </c>
      <c r="H3646" s="30" t="str">
        <f ca="1">IFERROR(__xludf.DUMMYFUNCTION("LOWER(REGEXREPLACE(B3646&amp;"" ""&amp;C3646,""[^а-яa-z0-9 ]"","" ""))")," каф для учебно наглядных пособий полуоткрытый с открытыми верхними полками и закрытой нижней частью   азмер 600х350х1400мм       16мм   каф для учебно наглядных пособий полуоткрытый с открытыми верхними полками и закрытой нижней частью   азмер 600х350х14"&amp;"00мм       16мм ")</f>
        <v xml:space="preserve"> каф для учебно наглядных пособий полуоткрытый с открытыми верхними полками и закрытой нижней частью   азмер 600х350х1400мм       16мм   каф для учебно наглядных пособий полуоткрытый с открытыми верхними полками и закрытой нижней частью   азмер 600х350х1400мм       16мм </v>
      </c>
    </row>
    <row r="3647" spans="1:8" ht="38.25" x14ac:dyDescent="0.2">
      <c r="A3647" s="31" t="s">
        <v>8785</v>
      </c>
      <c r="B3647" s="27" t="s">
        <v>8786</v>
      </c>
      <c r="C3647" s="27" t="s">
        <v>8786</v>
      </c>
      <c r="D3647" s="33" t="s">
        <v>14</v>
      </c>
      <c r="E3647" s="9"/>
      <c r="F3647" s="32"/>
      <c r="G3647" s="10">
        <v>51330</v>
      </c>
      <c r="H3647" s="30" t="str">
        <f ca="1">IFERROR(__xludf.DUMMYFUNCTION("LOWER(REGEXREPLACE(B3647&amp;"" ""&amp;C3647,""[^а-яa-z0-9 ]"","" ""))")," каф книжный полуоткрытый с открытыми верхними полками и закрытой нижней частью   азмер 800х520х1800мм       16мм   каф книжный полуоткрытый с открытыми верхними полками и закрытой нижней частью   азмер 800х520х1800мм       16мм ")</f>
        <v xml:space="preserve"> каф книжный полуоткрытый с открытыми верхними полками и закрытой нижней частью   азмер 800х520х1800мм       16мм   каф книжный полуоткрытый с открытыми верхними полками и закрытой нижней частью   азмер 800х520х1800мм       16мм </v>
      </c>
    </row>
    <row r="3648" spans="1:8" ht="25.5" x14ac:dyDescent="0.2">
      <c r="A3648" s="31" t="s">
        <v>8787</v>
      </c>
      <c r="B3648" s="8" t="s">
        <v>8788</v>
      </c>
      <c r="C3648" s="27" t="s">
        <v>8789</v>
      </c>
      <c r="D3648" s="33" t="s">
        <v>14</v>
      </c>
      <c r="E3648" s="9"/>
      <c r="F3648" s="32"/>
      <c r="G3648" s="10">
        <v>55999</v>
      </c>
      <c r="H3648" s="30" t="str">
        <f ca="1">IFERROR(__xludf.DUMMYFUNCTION("LOWER(REGEXREPLACE(B3648&amp;"" ""&amp;C3648,""[^а-яa-z0-9 ]"","" ""))")," каф для документов с полками закрытый  размер 800х450х1800мм       16мм   каф для документов с полками закрытый  размер 800х450х1800мм       16мм ")</f>
        <v xml:space="preserve"> каф для документов с полками закрытый  размер 800х450х1800мм       16мм   каф для документов с полками закрытый  размер 800х450х1800мм       16мм </v>
      </c>
    </row>
    <row r="3649" spans="1:8" ht="51" x14ac:dyDescent="0.2">
      <c r="A3649" s="31" t="s">
        <v>8790</v>
      </c>
      <c r="B3649" s="8" t="s">
        <v>8791</v>
      </c>
      <c r="C3649" s="27" t="s">
        <v>8792</v>
      </c>
      <c r="D3649" s="33" t="s">
        <v>14</v>
      </c>
      <c r="E3649" s="34">
        <v>2</v>
      </c>
      <c r="F3649" s="34">
        <v>50</v>
      </c>
      <c r="G3649" s="10">
        <v>79671</v>
      </c>
      <c r="H3649" s="30" t="str">
        <f ca="1">IFERROR(__xludf.DUMMYFUNCTION("LOWER(REGEXREPLACE(B3649&amp;"" ""&amp;C3649,""[^а-яa-z0-9 ]"","" ""))")," каф для учебно наглядных пособий полуоткрытый   азмер 800х400х2050мм 800х450х2050мм       16мм   каф для учебно наглядных пособий полуоткрытый   азмер 800х400х2050мм 800х450х2050мм       16мм ")</f>
        <v xml:space="preserve"> каф для учебно наглядных пособий полуоткрытый   азмер 800х400х2050мм 800х450х2050мм       16мм   каф для учебно наглядных пособий полуоткрытый   азмер 800х400х2050мм 800х450х2050мм       16мм </v>
      </c>
    </row>
    <row r="3650" spans="1:8" ht="38.25" x14ac:dyDescent="0.2">
      <c r="A3650" s="31" t="s">
        <v>8793</v>
      </c>
      <c r="B3650" s="27" t="s">
        <v>8794</v>
      </c>
      <c r="C3650" s="27" t="s">
        <v>8794</v>
      </c>
      <c r="D3650" s="33" t="s">
        <v>14</v>
      </c>
      <c r="E3650" s="9"/>
      <c r="F3650" s="34">
        <v>30</v>
      </c>
      <c r="G3650" s="10">
        <v>54186</v>
      </c>
      <c r="H3650" s="30" t="str">
        <f ca="1">IFERROR(__xludf.DUMMYFUNCTION("LOWER(REGEXREPLACE(B3650&amp;"" ""&amp;C3650,""[^а-яa-z0-9 ]"","" ""))")," каф книжный полуоткрытый с открытыми верхними полками и закрытой нижней частью   азмер 800х380х2000мм       16мм   каф книжный полуоткрытый с открытыми верхними полками и закрытой нижней частью   азмер 800х380х2000мм       16мм ")</f>
        <v xml:space="preserve"> каф книжный полуоткрытый с открытыми верхними полками и закрытой нижней частью   азмер 800х380х2000мм       16мм   каф книжный полуоткрытый с открытыми верхними полками и закрытой нижней частью   азмер 800х380х2000мм       16мм </v>
      </c>
    </row>
    <row r="3651" spans="1:8" ht="25.5" x14ac:dyDescent="0.2">
      <c r="A3651" s="31" t="s">
        <v>8795</v>
      </c>
      <c r="B3651" s="27" t="s">
        <v>8796</v>
      </c>
      <c r="C3651" s="27" t="s">
        <v>8797</v>
      </c>
      <c r="D3651" s="33" t="s">
        <v>14</v>
      </c>
      <c r="E3651" s="34">
        <v>2</v>
      </c>
      <c r="F3651" s="34">
        <v>55</v>
      </c>
      <c r="G3651" s="10">
        <v>50855</v>
      </c>
      <c r="H3651" s="30" t="str">
        <f ca="1">IFERROR(__xludf.DUMMYFUNCTION("LOWER(REGEXREPLACE(B3651&amp;"" ""&amp;C3651,""[^а-яa-z0-9 ]"","" ""))")," каф для документов с полками закрытый  размер 849х376х1835мм       16мм  каф для документов с полками закрытый  размер 849х376х1835мм       16мм  4 глухие двери ")</f>
        <v xml:space="preserve"> каф для документов с полками закрытый  размер 849х376х1835мм       16мм  каф для документов с полками закрытый  размер 849х376х1835мм       16мм  4 глухие двери </v>
      </c>
    </row>
    <row r="3652" spans="1:8" ht="63.75" x14ac:dyDescent="0.2">
      <c r="A3652" s="31" t="s">
        <v>8798</v>
      </c>
      <c r="B3652" s="27" t="s">
        <v>8799</v>
      </c>
      <c r="C3652" s="27" t="s">
        <v>8800</v>
      </c>
      <c r="D3652" s="33" t="s">
        <v>14</v>
      </c>
      <c r="E3652" s="34">
        <v>2</v>
      </c>
      <c r="F3652" s="34">
        <v>67</v>
      </c>
      <c r="G3652" s="10">
        <v>72293</v>
      </c>
      <c r="H3652" s="30" t="str">
        <f ca="1">IFERROR(__xludf.DUMMYFUNCTION("LOWER(REGEXREPLACE(B3652&amp;"" ""&amp;C3652,""[^а-яa-z0-9 ]"","" ""))")," каф для документов с полками закрытый  размер 800х380х2000мм       16мм  каф имеет четыре вставные полки за двумя глухими фасадами    производстве используется материал      16 мм  торцы закатаны кромочным материалом     1 5 мм   урнитура  конфирматы  ст"&amp;"яжка       полкодержатель металл   без пластиковых элементов   ручка 128 мм   без острых углов   навес мебельный       ножка мебельная ")</f>
        <v xml:space="preserve"> каф для документов с полками закрытый  размер 800х380х2000мм       16мм  каф имеет четыре вставные полки за двумя глухими фасадами    производстве используется материал      16 мм  торцы закатаны кромочным материалом     1 5 мм   урнитура  конфирматы  стяжка       полкодержатель металл   без пластиковых элементов   ручка 128 мм   без острых углов   навес мебельный       ножка мебельная </v>
      </c>
    </row>
    <row r="3653" spans="1:8" ht="76.5" x14ac:dyDescent="0.2">
      <c r="A3653" s="31" t="s">
        <v>8801</v>
      </c>
      <c r="B3653" s="27" t="s">
        <v>8802</v>
      </c>
      <c r="C3653" s="27" t="s">
        <v>8803</v>
      </c>
      <c r="D3653" s="33" t="s">
        <v>14</v>
      </c>
      <c r="E3653" s="34">
        <v>2</v>
      </c>
      <c r="F3653" s="34">
        <v>48</v>
      </c>
      <c r="G3653" s="10">
        <v>121590</v>
      </c>
      <c r="H3653" s="30" t="str">
        <f ca="1">IFERROR(__xludf.DUMMYFUNCTION("LOWER(REGEXREPLACE(B3653&amp;"" ""&amp;C3653,""[^а-яa-z0-9 ]"","" ""))")," каф многофункциональный с открытыми верхними полками и закрытой нижней частью   азмер 1200х400х2300мм       16мм   каф изготовлен из      16мм  задняя стенка       4мм   ерхняя часть разделена на квадратные отсеки имеет 9 открытых полок   ижняя секция им"&amp;"еет 3 закрытых полок с дверьми   урнитура  конфирматы  стяжка типа       кромка       2мм  полкодержатель металлический без пластиковых элементов  ручка 128 мм без острых углов  навес мебельный типа       ножка мебельная ")</f>
        <v xml:space="preserve"> каф многофункциональный с открытыми верхними полками и закрытой нижней частью   азмер 1200х400х2300мм       16мм   каф изготовлен из      16мм  задняя стенка       4мм   ерхняя часть разделена на квадратные отсеки имеет 9 открытых полок   ижняя секция имеет 3 закрытых полок с дверьми   урнитура  конфирматы  стяжка типа       кромка       2мм  полкодержатель металлический без пластиковых элементов  ручка 128 мм без острых углов  навес мебельный типа       ножка мебельная </v>
      </c>
    </row>
    <row r="3654" spans="1:8" ht="76.5" x14ac:dyDescent="0.2">
      <c r="A3654" s="31" t="s">
        <v>8804</v>
      </c>
      <c r="B3654" s="27" t="s">
        <v>8805</v>
      </c>
      <c r="C3654" s="27" t="s">
        <v>8806</v>
      </c>
      <c r="D3654" s="33" t="s">
        <v>14</v>
      </c>
      <c r="E3654" s="34">
        <v>2</v>
      </c>
      <c r="F3654" s="34">
        <v>30</v>
      </c>
      <c r="G3654" s="10">
        <v>58570</v>
      </c>
      <c r="H3654" s="30" t="str">
        <f ca="1">IFERROR(__xludf.DUMMYFUNCTION("LOWER(REGEXREPLACE(B3654&amp;"" ""&amp;C3654,""[^а-яa-z0-9 ]"","" ""))")," каф полуоткрытый с открытыми верхними полками и закрытой нижней частью   азмер 850х400х2000мм       16мм   каф изготовлен из      16мм  задняя стенка       4мм   ерхняя секция с тремя полками  нижняя секция с двумя полками и двумя дверцами   амки на нижн"&amp;"их дверцах и две ручки   урнитура  конфирманты  стяжка типа       кромка       2мм  полкодержатель металлический без пластиковых элементов  ручка 128 мм без острых углов  навес мебельный типа       ножка мебельная ")</f>
        <v xml:space="preserve"> каф полуоткрытый с открытыми верхними полками и закрытой нижней частью   азмер 850х400х2000мм       16мм   каф изготовлен из      16мм  задняя стенка       4мм   ерхняя секция с тремя полками  нижняя секция с двумя полками и двумя дверцами   амки на нижних дверцах и две ручки   урнитура  конфирманты  стяжка типа       кромка       2мм  полкодержатель металлический без пластиковых элементов  ручка 128 мм без острых углов  навес мебельный типа       ножка мебельная </v>
      </c>
    </row>
    <row r="3655" spans="1:8" ht="102" x14ac:dyDescent="0.2">
      <c r="A3655" s="31" t="s">
        <v>8807</v>
      </c>
      <c r="B3655" s="27" t="s">
        <v>8808</v>
      </c>
      <c r="C3655" s="27" t="s">
        <v>8809</v>
      </c>
      <c r="D3655" s="33" t="s">
        <v>14</v>
      </c>
      <c r="E3655" s="34">
        <v>2</v>
      </c>
      <c r="F3655" s="34">
        <v>90</v>
      </c>
      <c r="G3655" s="10">
        <v>94501</v>
      </c>
      <c r="H3655" s="30" t="str">
        <f ca="1">IFERROR(__xludf.DUMMYFUNCTION("LOWER(REGEXREPLACE(B3655&amp;"" ""&amp;C3655,""[^а-яa-z0-9 ]"","" ""))")," каф закрытый 800х432х2050мм       16мм  задняя стенка     5мм  орпус  фасад верхний и нижний из      16мм  средняя секция   полка для бумаг без фасада  кромка     1мм с использованием высокотемпературного клея   адняя стенка из ламинированного     1го кл"&amp;"асса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за"&amp;"дняя стенка   ля предотвращения воздействия воды и влаги предусмотрены 4 ножки высотой 5 см ")</f>
        <v xml:space="preserve"> каф закрытый 800х432х2050мм       16мм  задняя стенка     5мм  орпус  фасад верхний и нижний из      16мм  средняя секция   полка для бумаг без фасада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56" spans="1:8" ht="51" x14ac:dyDescent="0.2">
      <c r="A3656" s="31" t="s">
        <v>8810</v>
      </c>
      <c r="B3656" s="27" t="s">
        <v>8811</v>
      </c>
      <c r="C3656" s="27" t="s">
        <v>8812</v>
      </c>
      <c r="D3656" s="33" t="s">
        <v>14</v>
      </c>
      <c r="E3656" s="34">
        <v>2</v>
      </c>
      <c r="F3656" s="34">
        <v>25</v>
      </c>
      <c r="G3656" s="10">
        <v>35407</v>
      </c>
      <c r="H3656" s="30" t="str">
        <f ca="1">IFERROR(__xludf.DUMMYFUNCTION("LOWER(REGEXREPLACE(B3656&amp;"" ""&amp;C3656,""[^а-яa-z0-9 ]"","" ""))")," каф для документов полуоткрытый 800х450х422мм  одна из двух частей закрыта распашной дверью       16мм  орпус  толщ 16мм выполнены из       кромка     не менее 1мм в цвет        асады       16мм  адняя стенка        ожки черные плас  рег    27мм 800 450 "&amp;"422   каф разделен на 2 части одна из них  закрыта на распашную дверь")</f>
        <v xml:space="preserve"> каф для документов полуоткрытый 800х450х422мм  одна из двух частей закрыта распашной дверью       16мм  орпус  толщ 16мм выполнены из       кромка     не менее 1мм в цвет        асады       16мм  адняя стенка        ожки черные плас  рег    27мм 800 450 422   каф разделен на 2 части одна из них  закрыта на распашную дверь</v>
      </c>
    </row>
    <row r="3657" spans="1:8" ht="51" x14ac:dyDescent="0.2">
      <c r="A3657" s="31" t="s">
        <v>8813</v>
      </c>
      <c r="B3657" s="27" t="s">
        <v>8814</v>
      </c>
      <c r="C3657" s="27" t="s">
        <v>8815</v>
      </c>
      <c r="D3657" s="33" t="s">
        <v>14</v>
      </c>
      <c r="E3657" s="34">
        <v>2</v>
      </c>
      <c r="F3657" s="34">
        <v>48</v>
      </c>
      <c r="G3657" s="10">
        <v>78161</v>
      </c>
      <c r="H3657" s="30" t="str">
        <f ca="1">IFERROR(__xludf.DUMMYFUNCTION("LOWER(REGEXREPLACE(B3657&amp;"" ""&amp;C3657,""[^а-яa-z0-9 ]"","" ""))")," каф для документов полуоткрытый 1200х450х814мм  четыре открытые полки  один распашной фасад по центру       16мм  орпус выполнен из       толщиной 16мм  кромка     не менее 1мм в цвет        асады       16мм  адняя стенка        ожки черные плас  рег    "&amp;"27мм  разделен на 3 части  в центре имеется 1 распашной фасад")</f>
        <v xml:space="preserve"> каф для документов полуоткрытый 1200х450х814мм  четыре открытые полки  один распашной фасад по центру       16мм  орпус выполнен из       толщиной 16мм  кромка     не менее 1мм в цвет        асады       16мм  адняя стенка        ожки черные плас  рег    27мм  разделен на 3 части  в центре имеется 1 распашной фасад</v>
      </c>
    </row>
    <row r="3658" spans="1:8" ht="51" x14ac:dyDescent="0.2">
      <c r="A3658" s="31" t="s">
        <v>8816</v>
      </c>
      <c r="B3658" s="27" t="s">
        <v>8817</v>
      </c>
      <c r="C3658" s="27" t="s">
        <v>8818</v>
      </c>
      <c r="D3658" s="33" t="s">
        <v>14</v>
      </c>
      <c r="E3658" s="34">
        <v>2</v>
      </c>
      <c r="F3658" s="34">
        <v>48</v>
      </c>
      <c r="G3658" s="10">
        <v>85685</v>
      </c>
      <c r="H3658" s="30" t="str">
        <f ca="1">IFERROR(__xludf.DUMMYFUNCTION("LOWER(REGEXREPLACE(B3658&amp;"" ""&amp;C3658,""[^а-яa-z0-9 ]"","" ""))")," каф для документов полуоткрытый 1200х450х814мм  верхние полки открытые  в нижней части распашные двери       16мм  орпус выполнен из       толщиной 16мм  кромка     не менее 1мм в цвет        асады       16мм   адняя стенка        ожки черные плас  рег  "&amp;"  27мм  в нижней части распашные двери")</f>
        <v xml:space="preserve"> каф для документов полуоткрытый 1200х450х814мм  верхние полки открытые  в нижней части распашные двери       16мм  орпус выполнен из       толщиной 16мм  кромка     не менее 1мм в цвет        асады       16мм   адняя стенка        ожки черные плас  рег    27мм  в нижней части распашные двери</v>
      </c>
    </row>
    <row r="3659" spans="1:8" ht="51" x14ac:dyDescent="0.2">
      <c r="A3659" s="31" t="s">
        <v>8819</v>
      </c>
      <c r="B3659" s="27" t="s">
        <v>8820</v>
      </c>
      <c r="C3659" s="27" t="s">
        <v>8821</v>
      </c>
      <c r="D3659" s="33" t="s">
        <v>14</v>
      </c>
      <c r="E3659" s="34">
        <v>2</v>
      </c>
      <c r="F3659" s="34">
        <v>50</v>
      </c>
      <c r="G3659" s="10">
        <v>90863</v>
      </c>
      <c r="H3659" s="30" t="str">
        <f ca="1">IFERROR(__xludf.DUMMYFUNCTION("LOWER(REGEXREPLACE(B3659&amp;"" ""&amp;C3659,""[^а-яa-z0-9 ]"","" ""))")," каф для документов полуоткрытый 1200х450х814мм  по центру открытые полки  по двум сторонам 4 полки за распашными фасадами       16мм  орпус выполнен из       толщиной 16мм  кромка     не менее 1мм в цвет        асады       16мм   адняя стенка        ожки"&amp;" черные плас  рег    27мм  по центру открытые полки  по двум сторонам 4 полки за распашными фасадами")</f>
        <v xml:space="preserve"> каф для документов полуоткрытый 1200х450х814мм  по центру открытые полки  по двум сторонам 4 полки за распашными фасадами       16мм  орпус выполнен из       толщиной 16мм  кромка     не менее 1мм в цвет        асады       16мм   адняя стенка        ожки черные плас  рег    27мм  по центру открытые полки  по двум сторонам 4 полки за распашными фасадами</v>
      </c>
    </row>
    <row r="3660" spans="1:8" ht="51" x14ac:dyDescent="0.2">
      <c r="A3660" s="31" t="s">
        <v>8822</v>
      </c>
      <c r="B3660" s="27" t="s">
        <v>8823</v>
      </c>
      <c r="C3660" s="27" t="s">
        <v>8824</v>
      </c>
      <c r="D3660" s="33" t="s">
        <v>14</v>
      </c>
      <c r="E3660" s="34">
        <v>2</v>
      </c>
      <c r="F3660" s="34">
        <v>16</v>
      </c>
      <c r="G3660" s="10">
        <v>53654</v>
      </c>
      <c r="H3660" s="30" t="str">
        <f ca="1">IFERROR(__xludf.DUMMYFUNCTION("LOWER(REGEXREPLACE(B3660&amp;"" ""&amp;C3660,""[^а-яa-z0-9 ]"","" ""))")," каф для документов полуоткрытый 400х450х1200мм  верхняя часть открытая  в нижней части два выдвижных ящика       16мм  орпус выполнен из       толщиной 16мм  кромка     не менее 1мм в цвет        асады       16мм   адняя стенка        ожки черные плас  р"&amp;"ег    27мм  верхняя часть открытая  в нижней части выдвижные ящики 2 штуки")</f>
        <v xml:space="preserve"> каф для документов полуоткрытый 400х450х1200мм  верхняя часть открытая  в нижней части два выдвижных ящика       16мм  орпус выполнен из       толщиной 16мм  кромка     не менее 1мм в цвет        асады       16мм   адняя стенка        ожки черные плас  рег    27мм  верхняя часть открытая  в нижней части выдвижные ящики 2 штуки</v>
      </c>
    </row>
    <row r="3661" spans="1:8" ht="51" x14ac:dyDescent="0.2">
      <c r="A3661" s="31" t="s">
        <v>8825</v>
      </c>
      <c r="B3661" s="27" t="s">
        <v>8826</v>
      </c>
      <c r="C3661" s="27" t="s">
        <v>8827</v>
      </c>
      <c r="D3661" s="33" t="s">
        <v>14</v>
      </c>
      <c r="E3661" s="34">
        <v>2</v>
      </c>
      <c r="F3661" s="34">
        <v>16</v>
      </c>
      <c r="G3661" s="10">
        <v>66137</v>
      </c>
      <c r="H3661" s="30" t="str">
        <f ca="1">IFERROR(__xludf.DUMMYFUNCTION("LOWER(REGEXREPLACE(B3661&amp;"" ""&amp;C3661,""[^а-яa-z0-9 ]"","" ""))")," каф для документов полуоткрытый 400х450х1200мм  верхняя часть открытая  в нижней части один выдвижной ящик       16мм  орпус выполнен из       толщиной 16мм  кромка     не менее 1мм в цвет        асады       16мм   адняя стенка        ожки черные плас  р"&amp;"ег    27мм  верхняя часть открытая  в нижней части выдвижные ящики 1 штука")</f>
        <v xml:space="preserve"> каф для документов полуоткрытый 400х450х1200мм  верхняя часть открытая  в нижней части один выдвижной ящик       16мм  орпус выполнен из       толщиной 16мм  кромка     не менее 1мм в цвет        асады       16мм   адняя стенка        ожки черные плас  рег    27мм  верхняя часть открытая  в нижней части выдвижные ящики 1 штука</v>
      </c>
    </row>
    <row r="3662" spans="1:8" ht="63.75" x14ac:dyDescent="0.2">
      <c r="A3662" s="31" t="s">
        <v>8828</v>
      </c>
      <c r="B3662" s="27" t="s">
        <v>8829</v>
      </c>
      <c r="C3662" s="27" t="s">
        <v>8830</v>
      </c>
      <c r="D3662" s="33" t="s">
        <v>14</v>
      </c>
      <c r="E3662" s="34">
        <v>2</v>
      </c>
      <c r="F3662" s="34">
        <v>16</v>
      </c>
      <c r="G3662" s="10">
        <v>58824</v>
      </c>
      <c r="H3662" s="30" t="str">
        <f ca="1">IFERROR(__xludf.DUMMYFUNCTION("LOWER(REGEXREPLACE(B3662&amp;"" ""&amp;C3662,""[^а-яa-z0-9 ]"","" ""))")," каф для документов полуоткрытый 400х450х1200мм  верхняя часть одна распашная дверь  по центру открытая полка и в нижней части один выдвижной ящик       16мм  орпус выполнен из       толщиной 16мм  кромка     не менее 1мм в цвет        асады      16мм   а"&amp;"дняя стенка        ожки черные плас  рег    27мм  верхняя часть 1 распашная дверь  по центру открытая полка и в нижней части один выдвижной ящик")</f>
        <v xml:space="preserve"> каф для документов полуоткрытый 400х450х1200мм  верхняя часть одна распашная дверь  по центру открытая полка и в нижней части один выдвижной ящик       16мм  орпус выполнен из       толщиной 16мм  кромка     не менее 1мм в цвет        асады      16мм   адняя стенка        ожки черные плас  рег    27мм  верхняя часть 1 распашная дверь  по центру открытая полка и в нижней части один выдвижной ящик</v>
      </c>
    </row>
    <row r="3663" spans="1:8" ht="63.75" x14ac:dyDescent="0.2">
      <c r="A3663" s="31" t="s">
        <v>8831</v>
      </c>
      <c r="B3663" s="27" t="s">
        <v>8832</v>
      </c>
      <c r="C3663" s="27" t="s">
        <v>8833</v>
      </c>
      <c r="D3663" s="33" t="s">
        <v>14</v>
      </c>
      <c r="E3663" s="34">
        <v>2</v>
      </c>
      <c r="F3663" s="34">
        <v>32</v>
      </c>
      <c r="G3663" s="10">
        <v>100625</v>
      </c>
      <c r="H3663" s="30" t="str">
        <f ca="1">IFERROR(__xludf.DUMMYFUNCTION("LOWER(REGEXREPLACE(B3663&amp;"" ""&amp;C3663,""[^а-яa-z0-9 ]"","" ""))")," каф для документов полуоткрытый 800х450х1200мм  одна часть с открытыми полками  вторая часть закрыта тремя распашными дверями       16мм  орпус выполнен из       толщиной 16мм  кромка     не менее 1мм в цвет        асады       16мм   адняя стенка        "&amp;"ожки черные плас  рег    27мм  шкаф состоит из 2х частей одна сторона открытые полки   торая часть распашные двери в количестве 3 штук")</f>
        <v xml:space="preserve"> каф для документов полуоткрытый 800х450х1200мм  одна часть с открытыми полками  вторая часть закрыта тремя распашными дверями       16мм  орпус выполнен из       толщиной 16мм  кромка     не менее 1мм в цвет        асады       16мм   адняя стенка        ожки черные плас  рег    27мм  шкаф состоит из 2х частей одна сторона открытые полки   торая часть распашные двери в количестве 3 штук</v>
      </c>
    </row>
    <row r="3664" spans="1:8" ht="63.75" x14ac:dyDescent="0.2">
      <c r="A3664" s="31" t="s">
        <v>8834</v>
      </c>
      <c r="B3664" s="27" t="s">
        <v>8835</v>
      </c>
      <c r="C3664" s="27" t="s">
        <v>8836</v>
      </c>
      <c r="D3664" s="33" t="s">
        <v>14</v>
      </c>
      <c r="E3664" s="34">
        <v>2</v>
      </c>
      <c r="F3664" s="34">
        <v>33</v>
      </c>
      <c r="G3664" s="10">
        <v>106303</v>
      </c>
      <c r="H3664" s="30" t="str">
        <f ca="1">IFERROR(__xludf.DUMMYFUNCTION("LOWER(REGEXREPLACE(B3664&amp;"" ""&amp;C3664,""[^а-яa-z0-9 ]"","" ""))")," 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16мм  орпус выполнен из       толщиной 16мм  кромка     не менее 1мм в цвет        аса"&amp;"ды      16мм   адняя стенка        ожки черные плас  рег    27мм  в нижней части 1 широкий выдвижной ящик  с правой стороны 2 распашные двери в верхней части и в центральной")</f>
        <v xml:space="preserve"> 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16мм  орпус выполнен из       толщиной 16мм  кромка     не менее 1мм в цвет        асады      16мм   адняя стенка        ожки черные плас  рег    27мм  в нижней части 1 широкий выдвижной ящик  с правой стороны 2 распашные двери в верхней части и в центральной</v>
      </c>
    </row>
    <row r="3665" spans="1:8" ht="38.25" x14ac:dyDescent="0.2">
      <c r="A3665" s="31" t="s">
        <v>8837</v>
      </c>
      <c r="B3665" s="27" t="s">
        <v>8838</v>
      </c>
      <c r="C3665" s="27" t="s">
        <v>8839</v>
      </c>
      <c r="D3665" s="33" t="s">
        <v>14</v>
      </c>
      <c r="E3665" s="34">
        <v>2</v>
      </c>
      <c r="F3665" s="34">
        <v>47</v>
      </c>
      <c r="G3665" s="10">
        <v>135235</v>
      </c>
      <c r="H3665" s="30" t="str">
        <f ca="1">IFERROR(__xludf.DUMMYFUNCTION("LOWER(REGEXREPLACE(B3665&amp;"" ""&amp;C3665,""[^а-яa-z0-9 ]"","" ""))")," каф для документов полуоткрытый 1200х450х1206мм  шесть распашных дверей и открытые полки       16мм  орпус выполнен из       толщиной 16мм  кромка     не менее 1мм в цвет        асады       16мм   адняя стенка        ожки черные плас  рег    27мм  имеет "&amp;"6 распашных дверей")</f>
        <v xml:space="preserve"> каф для документов полуоткрытый 1200х450х1206мм  шесть распашных дверей и открытые полки       16мм  орпус выполнен из       толщиной 16мм  кромка     не менее 1мм в цвет        асады       16мм   адняя стенка        ожки черные плас  рег    27мм  имеет 6 распашных дверей</v>
      </c>
    </row>
    <row r="3666" spans="1:8" ht="51" x14ac:dyDescent="0.2">
      <c r="A3666" s="31" t="s">
        <v>8840</v>
      </c>
      <c r="B3666" s="27" t="s">
        <v>8841</v>
      </c>
      <c r="C3666" s="27" t="s">
        <v>8842</v>
      </c>
      <c r="D3666" s="33" t="s">
        <v>14</v>
      </c>
      <c r="E3666" s="34">
        <v>2</v>
      </c>
      <c r="F3666" s="34">
        <v>47</v>
      </c>
      <c r="G3666" s="10">
        <v>135235</v>
      </c>
      <c r="H3666" s="30" t="str">
        <f ca="1">IFERROR(__xludf.DUMMYFUNCTION("LOWER(REGEXREPLACE(B3666&amp;"" ""&amp;C3666,""[^а-яa-z0-9 ]"","" ""))")," каф для документов полуоткрытый 1200х450х1206мм  имеет сверху и снизу шесть распашных дверей  по центру открытые полки       16мм  орпус выполнен из       толщиной 16мм  кромка     не менее 1мм в цвет        асады       16мм   адняя стенка        ожки че"&amp;"рные плас  рег    27мм  имеет сверху и снизу 6 распашных верей")</f>
        <v xml:space="preserve"> каф для документов полуоткрытый 1200х450х1206мм  имеет сверху и снизу шесть распашных дверей  по центру открытые полки       16мм  орпус выполнен из       толщиной 16мм  кромка     не менее 1мм в цвет        асады       16мм   адняя стенка        ожки черные плас  рег    27мм  имеет сверху и снизу 6 распашных верей</v>
      </c>
    </row>
    <row r="3667" spans="1:8" ht="51" x14ac:dyDescent="0.2">
      <c r="A3667" s="31" t="s">
        <v>8843</v>
      </c>
      <c r="B3667" s="27" t="s">
        <v>8844</v>
      </c>
      <c r="C3667" s="27" t="s">
        <v>8845</v>
      </c>
      <c r="D3667" s="33" t="s">
        <v>14</v>
      </c>
      <c r="E3667" s="34">
        <v>2</v>
      </c>
      <c r="F3667" s="34">
        <v>45</v>
      </c>
      <c r="G3667" s="10">
        <v>119718</v>
      </c>
      <c r="H3667" s="30" t="str">
        <f ca="1">IFERROR(__xludf.DUMMYFUNCTION("LOWER(REGEXREPLACE(B3667&amp;"" ""&amp;C3667,""[^а-яa-z0-9 ]"","" ""))")," каф для документов полуоткрытый 1200х450х1206мм  имеет три распашные двери  расположенные по диагонали  открытые полки       16мм  орпус выполнен из       толщиной 16мм  кромка     не менее 1мм в цвет        асады       16мм   адняя стенка        ожки че"&amp;"рные плас  рег    27мм  имеет 3 распашные двери  расположенные по диагонали")</f>
        <v xml:space="preserve"> каф для документов полуоткрытый 1200х450х1206мм  имеет три распашные двери  расположенные по диагонали  открытые полки       16мм  орпус выполнен из       толщиной 16мм  кромка     не менее 1мм в цвет        асады       16мм   адняя стенка        ожки черные плас  рег    27мм  имеет 3 распашные двери  расположенные по диагонали</v>
      </c>
    </row>
    <row r="3668" spans="1:8" ht="51" x14ac:dyDescent="0.2">
      <c r="A3668" s="31" t="s">
        <v>8846</v>
      </c>
      <c r="B3668" s="27" t="s">
        <v>8847</v>
      </c>
      <c r="C3668" s="27" t="s">
        <v>8848</v>
      </c>
      <c r="D3668" s="33" t="s">
        <v>14</v>
      </c>
      <c r="E3668" s="34">
        <v>2</v>
      </c>
      <c r="F3668" s="34">
        <v>46</v>
      </c>
      <c r="G3668" s="10">
        <v>130061</v>
      </c>
      <c r="H3668" s="30" t="str">
        <f ca="1">IFERROR(__xludf.DUMMYFUNCTION("LOWER(REGEXREPLACE(B3668&amp;"" ""&amp;C3668,""[^а-яa-z0-9 ]"","" ""))")," каф для документов полуоткрытый 1200х450х1206мм  пять распашных дверей в шахматном порядке  открытые полки       16мм  орпус выполнен из       толщиной 16мм  кромка     не менее 1мм в цвет        асады       16мм   адняя стенка        ожки черные плас  р"&amp;"ег    27мм  имеет 5 распашных дверей в шахматном порядке")</f>
        <v xml:space="preserve"> каф для документов полуоткрытый 1200х450х1206мм  пять распашных дверей в шахматном порядке  открытые полки       16мм  орпус выполнен из       толщиной 16мм  кромка     не менее 1мм в цвет        асады       16мм   адняя стенка        ожки черные плас  рег    27мм  имеет 5 распашных дверей в шахматном порядке</v>
      </c>
    </row>
    <row r="3669" spans="1:8" ht="51" x14ac:dyDescent="0.2">
      <c r="A3669" s="31" t="s">
        <v>8849</v>
      </c>
      <c r="B3669" s="27" t="s">
        <v>8850</v>
      </c>
      <c r="C3669" s="27" t="s">
        <v>8851</v>
      </c>
      <c r="D3669" s="33" t="s">
        <v>14</v>
      </c>
      <c r="E3669" s="34">
        <v>2</v>
      </c>
      <c r="F3669" s="34">
        <v>16</v>
      </c>
      <c r="G3669" s="10">
        <v>54536</v>
      </c>
      <c r="H3669" s="30" t="str">
        <f ca="1">IFERROR(__xludf.DUMMYFUNCTION("LOWER(REGEXREPLACE(B3669&amp;"" ""&amp;C3669,""[^а-яa-z0-9 ]"","" ""))")," каф для документов полуоткрытый 400х450х1598мм  имеет два выдвижных ящика в нижней части  открытые верхние полки       16мм  орпус выполнен из       толщиной 16мм  кромка     не менее 1мм в цвет        асады       16мм   адняя стенка        ожки черные п"&amp;"лас  рег    27мм  имеет 2 выдвижных ящика в нижней части шкафа")</f>
        <v xml:space="preserve"> каф для документов полуоткрытый 400х450х1598мм  имеет два выдвижных ящика в нижней части  открытые верхние полки       16мм  орпус выполнен из       толщиной 16мм  кромка     не менее 1мм в цвет        асады       16мм   адняя стенка        ожки черные плас  рег    27мм  имеет 2 выдвижных ящика в нижней части шкафа</v>
      </c>
    </row>
    <row r="3670" spans="1:8" ht="63.75" x14ac:dyDescent="0.2">
      <c r="A3670" s="31" t="s">
        <v>8852</v>
      </c>
      <c r="B3670" s="27" t="s">
        <v>8853</v>
      </c>
      <c r="C3670" s="27" t="s">
        <v>8854</v>
      </c>
      <c r="D3670" s="33" t="s">
        <v>14</v>
      </c>
      <c r="E3670" s="34">
        <v>2</v>
      </c>
      <c r="F3670" s="34">
        <v>16</v>
      </c>
      <c r="G3670" s="10">
        <v>68911</v>
      </c>
      <c r="H3670" s="30" t="str">
        <f ca="1">IFERROR(__xludf.DUMMYFUNCTION("LOWER(REGEXREPLACE(B3670&amp;"" ""&amp;C3670,""[^а-яa-z0-9 ]"","" ""))")," каф для документов полуоткрытый 400х450х1598мм  один распашной фасад в верхней части  один выдвижной ящик в нижней части  открытые полки по центру       16мм  орпус выполнен из       толщиной 16мм  кромка     не менее 1мм в цвет        асады       16мм  "&amp;"адняя стенка        ожки черные плас  рег    27мм  имеет 1 распашной фасад в верхней части  и 1 выдвижной ящик в нижней части шкафа")</f>
        <v xml:space="preserve"> каф для документов полуоткрытый 400х450х1598мм  один распашной фасад в верхней части  один выдвижной ящик в нижней части  открытые полки по центру       16мм  орпус выполнен из       толщиной 16мм  кромка     не менее 1мм в цвет        асады       16мм  адняя стенка        ожки черные плас  рег    27мм  имеет 1 распашной фасад в верхней части  и 1 выдвижной ящик в нижней части шкафа</v>
      </c>
    </row>
    <row r="3671" spans="1:8" ht="51" x14ac:dyDescent="0.2">
      <c r="A3671" s="31" t="s">
        <v>8855</v>
      </c>
      <c r="B3671" s="27" t="s">
        <v>8856</v>
      </c>
      <c r="C3671" s="27" t="s">
        <v>8857</v>
      </c>
      <c r="D3671" s="33" t="s">
        <v>14</v>
      </c>
      <c r="E3671" s="34">
        <v>2</v>
      </c>
      <c r="F3671" s="34">
        <v>32</v>
      </c>
      <c r="G3671" s="10">
        <v>72002</v>
      </c>
      <c r="H3671" s="30" t="str">
        <f ca="1">IFERROR(__xludf.DUMMYFUNCTION("LOWER(REGEXREPLACE(B3671&amp;"" ""&amp;C3671,""[^а-яa-z0-9 ]"","" ""))")," каф для документов полуоткрытый 800х450х1598мм  две распашные двери в нижней части  верхние открытые полки       16мм  орпус  толщ 16мм выполнены из       кромка     не менее 1мм в цвет        асады       16мм  адняя стенка        ожки черные плас  рег  "&amp;"  27мм  имеет 2 распашные двери в нижней части шкафа")</f>
        <v xml:space="preserve"> каф для документов полуоткрытый 800х450х1598мм  две распашные двери в нижней части  верхние открытые полки       16мм  орпус  толщ 16мм выполнены из       кромка     не менее 1мм в цвет        асады       16мм  адняя стенка        ожки черные плас  рег    27мм  имеет 2 распашные двери в нижней части шкафа</v>
      </c>
    </row>
    <row r="3672" spans="1:8" ht="51" x14ac:dyDescent="0.2">
      <c r="A3672" s="31" t="s">
        <v>8858</v>
      </c>
      <c r="B3672" s="27" t="s">
        <v>8859</v>
      </c>
      <c r="C3672" s="27" t="s">
        <v>8860</v>
      </c>
      <c r="D3672" s="33" t="s">
        <v>14</v>
      </c>
      <c r="E3672" s="34">
        <v>2</v>
      </c>
      <c r="F3672" s="34">
        <v>34</v>
      </c>
      <c r="G3672" s="10">
        <v>72010</v>
      </c>
      <c r="H3672" s="30" t="str">
        <f ca="1">IFERROR(__xludf.DUMMYFUNCTION("LOWER(REGEXREPLACE(B3672&amp;"" ""&amp;C3672,""[^а-яa-z0-9 ]"","" ""))")," каф для документов полуоткрытый 800х450х1598мм  две распашные двери в нижней части шкафа  четыре верхних открытых отделения       16мм  орпус выполнен из       толщиной 16мм  кромка     не менее 1мм в цвет        асады       16мм   адняя стенка        ож"&amp;"ки черные плас  рег    27мм 8")</f>
        <v xml:space="preserve"> каф для документов полуоткрытый 800х450х1598мм  две распашные двери в нижней части шкафа  четыре верхних открытых отделения       16мм  орпус выполнен из       толщиной 16мм  кромка     не менее 1мм в цвет        асады       16мм   адняя стенка        ожки черные плас  рег    27мм 8</v>
      </c>
    </row>
    <row r="3673" spans="1:8" ht="51" x14ac:dyDescent="0.2">
      <c r="A3673" s="31" t="s">
        <v>8861</v>
      </c>
      <c r="B3673" s="27" t="s">
        <v>8862</v>
      </c>
      <c r="C3673" s="27" t="s">
        <v>8863</v>
      </c>
      <c r="D3673" s="33" t="s">
        <v>14</v>
      </c>
      <c r="E3673" s="34">
        <v>2</v>
      </c>
      <c r="F3673" s="34">
        <v>29</v>
      </c>
      <c r="G3673" s="10">
        <v>90147</v>
      </c>
      <c r="H3673" s="30" t="str">
        <f ca="1">IFERROR(__xludf.DUMMYFUNCTION("LOWER(REGEXREPLACE(B3673&amp;"" ""&amp;C3673,""[^а-яa-z0-9 ]"","" ""))")," каф для документов полуоткрытый 800х450х1598мм  четыре распашных двери и четыре открытых полок в шахматном порядке       16мм  орпус выполнен из       толщиной 16мм  кромка     не менее 1мм в цвет        асады       16мм   адняя стенка        ожки черные"&amp;" плас  рег    27мм  имеет 4 распашных двери распаложенные в шахматном порядке")</f>
        <v xml:space="preserve"> каф для документов полуоткрытый 800х450х1598мм  четыре распашных двери и четыре открытых полок в шахматном порядке       16мм  орпус выполнен из       толщиной 16мм  кромка     не менее 1мм в цвет        асады       16мм   адняя стенка        ожки черные плас  рег    27мм  имеет 4 распашных двери распаложенные в шахматном порядке</v>
      </c>
    </row>
    <row r="3674" spans="1:8" ht="51" x14ac:dyDescent="0.2">
      <c r="A3674" s="31" t="s">
        <v>8864</v>
      </c>
      <c r="B3674" s="27" t="s">
        <v>8865</v>
      </c>
      <c r="C3674" s="27" t="s">
        <v>8866</v>
      </c>
      <c r="D3674" s="33" t="s">
        <v>14</v>
      </c>
      <c r="E3674" s="34">
        <v>2</v>
      </c>
      <c r="F3674" s="34">
        <v>30</v>
      </c>
      <c r="G3674" s="10">
        <v>122304</v>
      </c>
      <c r="H3674" s="30" t="str">
        <f ca="1">IFERROR(__xludf.DUMMYFUNCTION("LOWER(REGEXREPLACE(B3674&amp;"" ""&amp;C3674,""[^а-яa-z0-9 ]"","" ""))")," каф для документов полуоткрытый 800х450х1598мм  одна распашная дверь  два выдвижных ящика  две открытые полки       16мм  орпус  толщ 16мм выполнены из       кромка     не менее 1мм в цвет        асады       16мм  адняя стенка        ожки черные плас  ре"&amp;"г    27мм  имеет с одной стороны 1 распашную дверь и 2 выдвижных ящика с другой стороны")</f>
        <v xml:space="preserve"> каф для документов полуоткрытый 800х450х1598мм  одна распашная дверь  два выдвижных ящика  две открытые полки       16мм  орпус  толщ 16мм выполнены из       кромка     не менее 1мм в цвет        асады       16мм  адняя стенка        ожки черные плас  рег    27мм  имеет с одной стороны 1 распашную дверь и 2 выдвижных ящика с другой стороны</v>
      </c>
    </row>
    <row r="3675" spans="1:8" ht="38.25" x14ac:dyDescent="0.2">
      <c r="A3675" s="31" t="s">
        <v>8867</v>
      </c>
      <c r="B3675" s="27" t="s">
        <v>8868</v>
      </c>
      <c r="C3675" s="27" t="s">
        <v>8869</v>
      </c>
      <c r="D3675" s="33" t="s">
        <v>14</v>
      </c>
      <c r="E3675" s="34">
        <v>2</v>
      </c>
      <c r="F3675" s="34">
        <v>32</v>
      </c>
      <c r="G3675" s="10">
        <v>104534</v>
      </c>
      <c r="H3675" s="30" t="str">
        <f ca="1">IFERROR(__xludf.DUMMYFUNCTION("LOWER(REGEXREPLACE(B3675&amp;"" ""&amp;C3675,""[^а-яa-z0-9 ]"","" ""))")," каф для документов полуоткрытый 1200х450х1598мм  две распашные двери  полки открытые       16мм  орпус  толщ 16мм выполнены из       кромка     не менее 1мм в цвет        асады       16мм  адняя стенка        ожки черные плас  рег    27мм")</f>
        <v xml:space="preserve"> каф для документов полуоткрытый 1200х450х1598мм  две распашные двери  полки открытые       16мм  орпус  толщ 16мм выполнены из       кромка     не менее 1мм в цвет        асады       16мм  адняя стенка        ожки черные плас  рег    27мм</v>
      </c>
    </row>
    <row r="3676" spans="1:8" ht="51" x14ac:dyDescent="0.2">
      <c r="A3676" s="31" t="s">
        <v>8870</v>
      </c>
      <c r="B3676" s="27" t="s">
        <v>8871</v>
      </c>
      <c r="C3676" s="27" t="s">
        <v>8872</v>
      </c>
      <c r="D3676" s="33" t="s">
        <v>14</v>
      </c>
      <c r="E3676" s="34">
        <v>2</v>
      </c>
      <c r="F3676" s="34">
        <v>52</v>
      </c>
      <c r="G3676" s="10">
        <v>108146</v>
      </c>
      <c r="H3676" s="30" t="str">
        <f ca="1">IFERROR(__xludf.DUMMYFUNCTION("LOWER(REGEXREPLACE(B3676&amp;"" ""&amp;C3676,""[^а-яa-z0-9 ]"","" ""))")," каф локер для документов полуоткрытый 1200х450х1598мм  шесть распашных дверей и шесть открытых полок в шахматном порядке       16мм  орпус выполнен из       толщиной 16мм  кромка     не менее 1мм в цвет        асады       16мм   адняя стенка        ожки "&amp;"черные плас  рег    27мм  имеет 6 распашных дверей расположенные в шахматном порядке")</f>
        <v xml:space="preserve"> каф локер для документов полуоткрытый 1200х450х1598мм  шесть распашных дверей и шесть открытых полок в шахматном порядке       16мм  орпус выполнен из       толщиной 16мм  кромка     не менее 1мм в цвет        асады       16мм   адняя стенка        ожки черные плас  рег    27мм  имеет 6 распашных дверей расположенные в шахматном порядке</v>
      </c>
    </row>
    <row r="3677" spans="1:8" ht="51" x14ac:dyDescent="0.2">
      <c r="A3677" s="31" t="s">
        <v>8873</v>
      </c>
      <c r="B3677" s="27" t="s">
        <v>8874</v>
      </c>
      <c r="C3677" s="27" t="s">
        <v>8875</v>
      </c>
      <c r="D3677" s="33" t="s">
        <v>14</v>
      </c>
      <c r="E3677" s="34">
        <v>2</v>
      </c>
      <c r="F3677" s="34">
        <v>33</v>
      </c>
      <c r="G3677" s="10">
        <v>97351</v>
      </c>
      <c r="H3677" s="30" t="str">
        <f ca="1">IFERROR(__xludf.DUMMYFUNCTION("LOWER(REGEXREPLACE(B3677&amp;"" ""&amp;C3677,""[^а-яa-z0-9 ]"","" ""))")," каф для документов полуоткрытый 400х450х1990мм  один фасад распашной и два выдвижных ящика в нижней части  открытые полки       16мм  орпус выполнен из       толщиной 16мм  кромка     не менее 1мм в цвет        асады       16мм  адняя стенка        ожки "&amp;"черные плас  рег    27мм  имеет 1 фасад распашной и 2 выдвижных ящика в нижней части")</f>
        <v xml:space="preserve"> каф для документов полуоткрытый 400х450х1990мм  один фасад распашной и два выдвижных ящика в нижней части  открытые полки       16мм  орпус выполнен из       толщиной 16мм  кромка     не менее 1мм в цвет        асады       16мм  адняя стенка        ожки черные плас  рег    27мм  имеет 1 фасад распашной и 2 выдвижных ящика в нижней части</v>
      </c>
    </row>
    <row r="3678" spans="1:8" ht="38.25" x14ac:dyDescent="0.2">
      <c r="A3678" s="31" t="s">
        <v>8876</v>
      </c>
      <c r="B3678" s="27" t="s">
        <v>8877</v>
      </c>
      <c r="C3678" s="27" t="s">
        <v>8733</v>
      </c>
      <c r="D3678" s="33" t="s">
        <v>14</v>
      </c>
      <c r="E3678" s="34">
        <v>2</v>
      </c>
      <c r="F3678" s="34">
        <v>35</v>
      </c>
      <c r="G3678" s="10">
        <v>91937</v>
      </c>
      <c r="H3678" s="30" t="str">
        <f ca="1">IFERROR(__xludf.DUMMYFUNCTION("LOWER(REGEXREPLACE(B3678&amp;"" ""&amp;C3678,""[^а-яa-z0-9 ]"","" ""))")," каф для документов полуоткрытый 800х450х1990мм  две распашные двери в нижней части  верхние открытые полки       16мм  орпус выполнен из       толщиной 16мм  кромка     не менее 1мм в цвет        асады       16мм   адняя стенка        ожки черные плас  р"&amp;"ег    27мм")</f>
        <v xml:space="preserve"> каф для документов полуоткрытый 800х450х1990мм  две распашные двери в нижней части  верхние открытые полки       16мм  орпус выполнен из       толщиной 16мм  кромка     не менее 1мм в цвет        асады       16мм   адняя стенка        ожки черные плас  рег    27мм</v>
      </c>
    </row>
    <row r="3679" spans="1:8" ht="51" x14ac:dyDescent="0.2">
      <c r="A3679" s="31" t="s">
        <v>8878</v>
      </c>
      <c r="B3679" s="27" t="s">
        <v>8879</v>
      </c>
      <c r="C3679" s="27" t="s">
        <v>8880</v>
      </c>
      <c r="D3679" s="33" t="s">
        <v>14</v>
      </c>
      <c r="E3679" s="34">
        <v>2</v>
      </c>
      <c r="F3679" s="34">
        <v>35</v>
      </c>
      <c r="G3679" s="10">
        <v>104168</v>
      </c>
      <c r="H3679" s="30" t="str">
        <f ca="1">IFERROR(__xludf.DUMMYFUNCTION("LOWER(REGEXREPLACE(B3679&amp;"" ""&amp;C3679,""[^а-яa-z0-9 ]"","" ""))")," каф для документов полуоткрытый 800х450х1990мм  пять распашных дверей и пять открытых полок в шахматном порядке       16мм  орпус выполнен из       толщиной 16мм  кромка     не менее 1мм в цвет        асады       16мм   адняя стенка        ожки черные пл"&amp;"ас  рег    27мм  имеет 5 распашных дверей расположенных в шахматном порядке")</f>
        <v xml:space="preserve"> каф для документов полуоткрытый 800х450х1990мм  пять распашных дверей и пять открытых полок в шахматном порядке       16мм  орпус выполнен из       толщиной 16мм  кромка     не менее 1мм в цвет        асады       16мм   адняя стенка        ожки черные плас  рег    27мм  имеет 5 распашных дверей расположенных в шахматном порядке</v>
      </c>
    </row>
    <row r="3680" spans="1:8" ht="51" x14ac:dyDescent="0.2">
      <c r="A3680" s="31" t="s">
        <v>8881</v>
      </c>
      <c r="B3680" s="27" t="s">
        <v>8882</v>
      </c>
      <c r="C3680" s="27" t="s">
        <v>8883</v>
      </c>
      <c r="D3680" s="33" t="s">
        <v>14</v>
      </c>
      <c r="E3680" s="34">
        <v>2</v>
      </c>
      <c r="F3680" s="35">
        <v>55.2</v>
      </c>
      <c r="G3680" s="10">
        <v>39145</v>
      </c>
      <c r="H3680" s="30" t="str">
        <f ca="1">IFERROR(__xludf.DUMMYFUNCTION("LOWER(REGEXREPLACE(B3680&amp;"" ""&amp;C3680,""[^а-яa-z0-9 ]"","" ""))")," каф для бумаг полуоткрытый 800х380х2100мм   ерхние полки открытые  в нижней части распашные двери       16мм  каф для бумаг   ирина   800мм  глубина   380мм  высота 2 100мм   каф выполнен из ламинированной     16мм   орцы облицованы ударопрочной кромкой "&amp;"    толщиной 2мм   учки металлические ")</f>
        <v xml:space="preserve"> каф для бумаг полуоткрытый 800х380х2100мм   ерхние полки открытые  в нижней части распашные двери       16мм  каф для бумаг   ирина   800мм  глубина   380мм  высота 2 100мм   каф выполнен из ламинированной     16мм   орцы облицованы ударопрочной кромкой     толщиной 2мм   учки металлические </v>
      </c>
    </row>
    <row r="3681" spans="1:8" ht="38.25" x14ac:dyDescent="0.2">
      <c r="A3681" s="31" t="s">
        <v>8884</v>
      </c>
      <c r="B3681" s="27" t="s">
        <v>8885</v>
      </c>
      <c r="C3681" s="27" t="s">
        <v>8886</v>
      </c>
      <c r="D3681" s="33" t="s">
        <v>14</v>
      </c>
      <c r="E3681" s="34">
        <v>2</v>
      </c>
      <c r="F3681" s="35">
        <v>57.3</v>
      </c>
      <c r="G3681" s="10">
        <v>44576</v>
      </c>
      <c r="H3681" s="30" t="str">
        <f ca="1">IFERROR(__xludf.DUMMYFUNCTION("LOWER(REGEXREPLACE(B3681&amp;"" ""&amp;C3681,""[^а-яa-z0-9 ]"","" ""))")," каф под файлы полуоткрытый 800х380х1970мм   ерхние полки открытые  в нижней части распашные двери       16мм  ирина   800мм  глубина   380мм  высота 1970мм   каф выполнен из      16мм   орцы облицованы ударопрочной кромкой     толщиной 1 5 2мм   учки мет"&amp;"аллические ")</f>
        <v xml:space="preserve"> каф под файлы полуоткрытый 800х380х1970мм   ерхние полки открытые  в нижней части распашные двери       16мм  ирина   800мм  глубина   380мм  высота 1970мм   каф выполнен из      16мм   орцы облицованы ударопрочной кромкой     толщиной 1 5 2мм   учки металлические </v>
      </c>
    </row>
    <row r="3682" spans="1:8" ht="51" x14ac:dyDescent="0.2">
      <c r="A3682" s="31" t="s">
        <v>8887</v>
      </c>
      <c r="B3682" s="27" t="s">
        <v>8888</v>
      </c>
      <c r="C3682" s="27" t="s">
        <v>8889</v>
      </c>
      <c r="D3682" s="33" t="s">
        <v>14</v>
      </c>
      <c r="E3682" s="34">
        <v>2</v>
      </c>
      <c r="F3682" s="35">
        <v>49.8</v>
      </c>
      <c r="G3682" s="10">
        <v>41367</v>
      </c>
      <c r="H3682" s="30" t="str">
        <f ca="1">IFERROR(__xludf.DUMMYFUNCTION("LOWER(REGEXREPLACE(B3682&amp;"" ""&amp;C3682,""[^а-яa-z0-9 ]"","" ""))")," каф для учебно наглядных пособий полуоткрытый 1300х420х1200мм  по центру открытые полки  по бокам две распашные двери       16мм  ирина  1 300мм  глубина   420мм  высота 1 200мм   каф выполнен из      16мм   орцы облицованы ударопрочной кромкой     толщи"&amp;"ной 2мм   учки металлические ")</f>
        <v xml:space="preserve"> каф для учебно наглядных пособий полуоткрытый 1300х420х1200мм  по центру открытые полки  по бокам две распашные двери       16мм  ирина  1 300мм  глубина   420мм  высота 1 200мм   каф выполнен из      16мм   орцы облицованы ударопрочной кромкой     толщиной 2мм   учки металлические </v>
      </c>
    </row>
    <row r="3683" spans="1:8" ht="102" x14ac:dyDescent="0.2">
      <c r="A3683" s="31" t="s">
        <v>8890</v>
      </c>
      <c r="B3683" s="27" t="s">
        <v>8891</v>
      </c>
      <c r="C3683" s="27" t="s">
        <v>8892</v>
      </c>
      <c r="D3683" s="33" t="s">
        <v>14</v>
      </c>
      <c r="E3683" s="34">
        <v>2</v>
      </c>
      <c r="F3683" s="34">
        <v>27</v>
      </c>
      <c r="G3683" s="10">
        <v>57659</v>
      </c>
      <c r="H3683" s="30" t="str">
        <f ca="1">IFERROR(__xludf.DUMMYFUNCTION("LOWER(REGEXREPLACE(B3683&amp;"" ""&amp;C3683,""[^а-яa-z0-9 ]"","" ""))")," каф полуоткрытый 800х400х1000мм  две распашные двери в нижней части  верхняя открытая полка       16мм  каф полуоткрытый   ыполнен из      16 мм   азмер шкафа   х х  1000х800х400 мм   ижняя часть шкафа закрыта глухими распашными дверьми    нижней закрыто"&amp;"й части шкафа имеется полка   а дверях шкафа устанавливается удобная металлическая ручка профиль   вет ручки профиль по желанию заказчика  в самых разнообразных цветовых решениях   ерх часть шкафа открытая полка   ожки шкафа высотой 100 мм  изготовлена из"&amp;" хромированной трубы с регулируемой пластиковой заглушкой   вет шкафа  светло серый ")</f>
        <v xml:space="preserve"> каф полуоткрытый 800х400х1000мм  две распашные двери в нижней части  верхняя открытая полка       16мм  каф полуоткрытый   ыполнен из      16 мм   азмер шкафа   х х  1000х800х400 мм   ижняя часть шкафа закрыта глухими распашными дверьми    нижней закрытой части шкафа имеется полка   а дверях шкафа устанавливается удобная металлическая ручка профиль   вет ручки профиль по желанию заказчика  в самых разнообразных цветовых решениях   ерх часть шкафа открытая полка   ожки шкафа высотой 100 мм  изготовлена из хромированной трубы с регулируемой пластиковой заглушкой   вет шкафа  светло серый </v>
      </c>
    </row>
    <row r="3684" spans="1:8" ht="114.75" x14ac:dyDescent="0.2">
      <c r="A3684" s="31" t="s">
        <v>8893</v>
      </c>
      <c r="B3684" s="27" t="s">
        <v>8894</v>
      </c>
      <c r="C3684" s="27" t="s">
        <v>8895</v>
      </c>
      <c r="D3684" s="33" t="s">
        <v>14</v>
      </c>
      <c r="E3684" s="34">
        <v>2</v>
      </c>
      <c r="F3684" s="34">
        <v>64</v>
      </c>
      <c r="G3684" s="10">
        <v>94875</v>
      </c>
      <c r="H3684" s="30" t="str">
        <f ca="1">IFERROR(__xludf.DUMMYFUNCTION("LOWER(REGEXREPLACE(B3684&amp;"" ""&amp;C3684,""[^а-яa-z0-9 ]"","" ""))")," каф полуоткрытый 1050х500х2400мм  две распашные двери в нижней части  верхние открытые полки       16мм   адняя стенка из ламинированного     5 мм  орпус  двери и полки из      16мм  верхняя часть   открытые полки без дверей   ижняя часть закрыта 2 дверь"&amp;"ми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соедин"&amp;"яются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f>
        <v xml:space="preserve"> каф полуоткрытый 1050х500х2400мм  две распашные двери в нижней части  верхние открытые полки       16мм   адняя стенка из ламинированного     5 мм  орпус  двери и полки из      16мм  верхняя часть   открытые полки без дверей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85" spans="1:8" ht="127.5" x14ac:dyDescent="0.2">
      <c r="A3685" s="31" t="s">
        <v>8896</v>
      </c>
      <c r="B3685" s="27" t="s">
        <v>8897</v>
      </c>
      <c r="C3685" s="27" t="s">
        <v>8898</v>
      </c>
      <c r="D3685" s="33" t="s">
        <v>14</v>
      </c>
      <c r="E3685" s="34">
        <v>2</v>
      </c>
      <c r="F3685" s="34">
        <v>46</v>
      </c>
      <c r="G3685" s="10">
        <v>54576</v>
      </c>
      <c r="H3685" s="30" t="str">
        <f ca="1">IFERROR(__xludf.DUMMYFUNCTION("LOWER(REGEXREPLACE(B3685&amp;"" ""&amp;C3685,""[^а-яa-z0-9 ]"","" ""))")," каф для учебно наглядных пособий полуоткрытый с открытыми верхними полками и закрытой нижней частью   азмер 600х350х1400мм       16мм  задняя стенка     5мм  орпус  двери и полки из      16мм  верхняя часть   открытые полки без дверей   ижняя часть закры"&amp;"та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по"&amp;"лки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f>
        <v xml:space="preserve"> каф для учебно наглядных пособий полуоткрытый с открытыми верхними полками и закрытой нижней частью   азмер 600х350х1400мм       16мм  задняя стенка     5мм  орпус  двери и полки из      16мм  верхняя часть   открытые полки без дверей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686" spans="1:8" ht="89.25" x14ac:dyDescent="0.2">
      <c r="A3686" s="31" t="s">
        <v>8899</v>
      </c>
      <c r="B3686" s="27" t="s">
        <v>8900</v>
      </c>
      <c r="C3686" s="27" t="s">
        <v>8901</v>
      </c>
      <c r="D3686" s="33" t="s">
        <v>14</v>
      </c>
      <c r="E3686" s="34">
        <v>2</v>
      </c>
      <c r="F3686" s="34">
        <v>46</v>
      </c>
      <c r="G3686" s="10">
        <v>100241</v>
      </c>
      <c r="H3686" s="30" t="str">
        <f ca="1">IFERROR(__xludf.DUMMYFUNCTION("LOWER(REGEXREPLACE(B3686&amp;"" ""&amp;C3686,""[^а-яa-z0-9 ]"","" ""))")," каф многофункциональный с открытыми верхними полками и закрытой нижней частью   азмер 1200х500х1800мм       16мм  задняя стенка ламинированный     5 мм  атериал корпуса  полок и дверей       толщина      16 мм   адняя стенка ламинированный     1го класса"&amp;" толщиной 5 мм   ромка     с использованием высокотемпературного клея   а дверях по 2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м"&amp;"онтируется задняя стенка   ля предотвращения воздействия воды и влаги на шкаф предусмотрены 4 ножки высотой 5 см ")</f>
        <v xml:space="preserve"> каф многофункциональный с открытыми верхними полками и закрытой нижней частью   азмер 1200х500х1800мм       16мм  задняя стенка ламинированный     5 мм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2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v>
      </c>
    </row>
    <row r="3687" spans="1:8" ht="178.5" x14ac:dyDescent="0.2">
      <c r="A3687" s="31" t="s">
        <v>8902</v>
      </c>
      <c r="B3687" s="8" t="s">
        <v>8903</v>
      </c>
      <c r="C3687" s="27" t="s">
        <v>8904</v>
      </c>
      <c r="D3687" s="33" t="s">
        <v>14</v>
      </c>
      <c r="E3687" s="34">
        <v>2</v>
      </c>
      <c r="F3687" s="34">
        <v>425</v>
      </c>
      <c r="G3687" s="10">
        <v>482364</v>
      </c>
      <c r="H3687" s="30" t="str">
        <f ca="1">IFERROR(__xludf.DUMMYFUNCTION("LOWER(REGEXREPLACE(B3687&amp;"" ""&amp;C3687,""[^а-яa-z0-9 ]"","" ""))")," тенка для музыкальных инструментов с креплением для домбр  открытая ниша с полкой из крашенного      с прорезями для хранения домбр   размеры 5780х492х2350 мм  материал      16 мм  кромка     0 4 мм  атериал      16 мм  кромка     0 4 мм   тенка состоит "&amp;"из четырех секций   евая длиной 1200 мм  представляет собой закрытый шкаф  поделенный вертикальной перегородкой на две секции  в каждой из которых находится по 4 полки    верху имеется открытая ниша  высотой 470 мм   равый шкаф длиной 1200 мм  для одежды "&amp;" имеет штангу для плечиков  а также открытую нишу высотой 470 мм   ва средних шкафа имеют одинаковую конструкцию  каждый длинной 1690 мм   редние шкафы состоят из четырех ящиков  высотой 294 мм  с жестким дном на направляющих полного выдвижения   ад ящика"&amp;"ми находится открытая ниша с полкой из крашенного      с прорезями для хранения домбр   ад полкой также присутствуют две открытые ниши  одна высотой 278 мм  а вторая 470 мм   борка должна производиться с помощью конфирматов 6 3х50 и эксцентриковых стяжек "&amp;"  етля для дверок должна быть шарнирная накладная с функцией  softclose    ебельные ножки должны регулироваться по высоте для компенсации неровностей пола ")</f>
        <v xml:space="preserve"> тенка для музыкальных инструментов с креплением для домбр  открытая ниша с полкой из крашенного      с прорезями для хранения домбр   размеры 5780х492х2350 мм  материал      16 мм  кромка     0 4 мм  атериал      16 мм  кромка     0 4 мм   тенка состоит из четырех секций   евая длиной 1200 мм  представляет собой закрытый шкаф  поделенный вертикальной перегородкой на две секции  в каждой из которых находится по 4 полки    верху имеется открытая ниша  высотой 470 мм   равый шкаф длиной 1200 мм  для одежды  имеет штангу для плечиков  а также открытую нишу высотой 470 мм   ва средних шкафа имеют одинаковую конструкцию  каждый длинной 1690 мм   редние шкафы состоят из четырех ящиков  высотой 294 мм  с жестким дном на направляющих полного выдвижения   ад ящиками находится открытая ниша с полкой из крашенного      с прорезями для хранения домбр   ад полкой также присутствуют две открытые ниши  одна высотой 278 мм  а вторая 470 мм   борка должна производиться с помощью конфирматов 6 3х50 и эксцентриковых стяжек   етля для дверок должна быть шарнирная накладная с функцией  softclose    ебельные ножки должны регулироваться по высоте для компенсации неровностей пола </v>
      </c>
    </row>
    <row r="3688" spans="1:8" ht="140.25" x14ac:dyDescent="0.2">
      <c r="A3688" s="31" t="s">
        <v>8905</v>
      </c>
      <c r="B3688" s="27" t="s">
        <v>8906</v>
      </c>
      <c r="C3688" s="27" t="s">
        <v>8907</v>
      </c>
      <c r="D3688" s="33" t="s">
        <v>14</v>
      </c>
      <c r="E3688" s="34">
        <v>2</v>
      </c>
      <c r="F3688" s="34">
        <v>116</v>
      </c>
      <c r="G3688" s="10">
        <v>121713</v>
      </c>
      <c r="H3688" s="30" t="str">
        <f ca="1">IFERROR(__xludf.DUMMYFUNCTION("LOWER(REGEXREPLACE(B3688&amp;"" ""&amp;C3688,""[^а-яa-z0-9 ]"","" ""))")," каф пристенный низкий  состоит из трех шкафов  каждый шириной не менее 800 мм  два из них закрытые  один полуоткрытый  размеры 2400х420х1230 мм  материал      16 мм  задняя стенка из     3 мм  кромка     0 4 мм  ля изготовления шкафа должна использоватьс"&amp;"я      толщиной не менее 16 мм   олжен состоять из трех шкафов  каждый шириной не менее 800 мм   ва из них должны быть закрытыми  один   полуоткрытый   аждый шкаф должен иметь 2 полки  разделяющие его на три равные по высоте горизонтальные секции   бщие г"&amp;"абаритные размеры шкафа  не менее  длина 2400 мм  глубина 420 мм  высота 1230 мм   верцы должны быть с ручками и иметь внутренние врезные мебельные замки   каф должен стоять на ножках высотой не более 30 мм  имеющих регулировку для компенсации неровностей"&amp;" пола   ежду собой шкафы должны быть скреплены межсекционными стяжками   адняя стенка должна быть из     не менее 3 мм   ромка должна быть из     не менее 0 4 мм ")</f>
        <v xml:space="preserve"> каф пристенный низкий  состоит из трех шкафов  каждый шириной не менее 800 мм  два из них закрытые  один полуоткрытый  размеры 2400х420х1230 мм  материал      16 мм  задняя стенка из     3 мм  кромка     0 4 мм  ля изготовления шкафа должна использоваться      толщиной не менее 16 мм   олжен состоять из трех шкафов  каждый шириной не менее 800 мм   ва из них должны быть закрытыми  один   полуоткрытый   аждый шкаф должен иметь 2 полки  разделяющие его на три равные по высоте горизонтальные секции   бщие габаритные размеры шкафа  не менее  длина 2400 мм  глубина 420 мм  высота 1230 мм   верцы должны быть с ручками и иметь внутренние врезные мебельные замки   каф должен стоять на ножках высотой не более 30 мм  имеющих регулировку для компенсации неровностей пола   ежду собой шкафы должны быть скреплены межсекционными стяжками   адняя стенка должна быть из     не менее 3 мм   ромка должна быть из     не менее 0 4 мм </v>
      </c>
    </row>
    <row r="3689" spans="1:8" ht="114.75" x14ac:dyDescent="0.2">
      <c r="A3689" s="31" t="s">
        <v>8908</v>
      </c>
      <c r="B3689" s="27" t="s">
        <v>8909</v>
      </c>
      <c r="C3689" s="27" t="s">
        <v>8910</v>
      </c>
      <c r="D3689" s="33" t="s">
        <v>14</v>
      </c>
      <c r="E3689" s="34">
        <v>2</v>
      </c>
      <c r="F3689" s="34">
        <v>57</v>
      </c>
      <c r="G3689" s="10">
        <v>73843</v>
      </c>
      <c r="H3689" s="30" t="str">
        <f ca="1">IFERROR(__xludf.DUMMYFUNCTION("LOWER(REGEXREPLACE(B3689&amp;"" ""&amp;C3689,""[^а-яa-z0-9 ]"","" ""))")," 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  ерхняя секция должна быть с 4 нишами закрытыми 4 глухими дверцами с р"&amp;"учками   ижняя секция должна быть с двумя открытыми нишами и 1 выдвижным ящиком с ручкой   есущие части  полки  фасадная часть        толщиной не менее 16 мм  задняя стенка       не менее 3 мм   ромка из     не менее 0 4 мм   борка должна производиться с "&amp;"помощью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f>
        <v xml:space="preserve"> 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  ерхняя секция должна быть с 4 нишами закрытыми 4 глухими дверцами с ручками   ижняя секция должна быть с двумя открытыми нишами и 1 выдвижным ящиком с ручкой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v>
      </c>
    </row>
    <row r="3690" spans="1:8" ht="114.75" x14ac:dyDescent="0.2">
      <c r="A3690" s="31" t="s">
        <v>8911</v>
      </c>
      <c r="B3690" s="27" t="s">
        <v>8912</v>
      </c>
      <c r="C3690" s="27" t="s">
        <v>8913</v>
      </c>
      <c r="D3690" s="33" t="s">
        <v>14</v>
      </c>
      <c r="E3690" s="34">
        <v>2</v>
      </c>
      <c r="F3690" s="34">
        <v>66</v>
      </c>
      <c r="G3690" s="10">
        <v>82539</v>
      </c>
      <c r="H3690" s="30" t="str">
        <f ca="1">IFERROR(__xludf.DUMMYFUNCTION("LOWER(REGEXREPLACE(B3690&amp;"" ""&amp;C3690,""[^а-яa-z0-9 ]"","" ""))")," 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  ерхняя секция должна быть с 4 открытыми нишами   ижняя секция должна быть с 4 нишам"&amp;"и закрытыми 4 глухими дверцами с ручкой и 1 выдвижным ящиком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и"&amp;"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f>
        <v xml:space="preserve"> 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  ерхняя секция должна быть с 4 открытыми нишами   ижняя секция должна быть с 4 нишами закрытыми 4 глухими дверцами с ручкой и 1 выдвижным ящиком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v>
      </c>
    </row>
    <row r="3691" spans="1:8" ht="165.75" x14ac:dyDescent="0.2">
      <c r="A3691" s="31" t="s">
        <v>8914</v>
      </c>
      <c r="B3691" s="27" t="s">
        <v>8915</v>
      </c>
      <c r="C3691" s="27" t="s">
        <v>8916</v>
      </c>
      <c r="D3691" s="33" t="s">
        <v>14</v>
      </c>
      <c r="E3691" s="34">
        <v>2</v>
      </c>
      <c r="F3691" s="34">
        <v>156</v>
      </c>
      <c r="G3691" s="10">
        <v>139196</v>
      </c>
      <c r="H3691" s="30" t="str">
        <f ca="1">IFERROR(__xludf.DUMMYFUNCTION("LOWER(REGEXREPLACE(B3691&amp;"" ""&amp;C3691,""[^а-яa-z0-9 ]"","" ""))")," каф комбинированный  два боковые закрытые  один с пятью полками  второй плательный с полкой для головных уборов и выдвижной вешалкой  размеры 2400х420х1930 мм  олжен состоять из 3 шкафов   ва боковых должны быть закрытые  один с пятью полками  а второй п"&amp;"лательный с полкой для головных уборов и выдвижной вешалкой   верцы должны быть с ручками и внутренним замком   абаритные размеры каждой шкафа не менее  длина   800 мм  глубина   420 мм  высота   1930 мм   редняя секция должна быть с тремя открытыми и дву"&amp;"мя закрытыми полками  двумя глухими дверцами  ручками и внутренним замком   абаритные размеры не менее  длина   800 мм  глубина   420 мм  высота   1930 мм   есущие части  полки  фасадная часть        не менее 16 мм  задняя стенка       не менее 3 мм   ром"&amp;"ка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компенс"&amp;"ации неровностей пола ")</f>
        <v xml:space="preserve"> каф комбинированный  два боковые закрытые  один с пятью полками  второй плательный с полкой для головных уборов и выдвижной вешалкой  размеры 2400х420х1930 мм  олжен состоять из 3 шкафов   ва боковых должны быть закрытые  один с пятью полками  а второй плательный с полкой для головных уборов и выдвижной вешалкой   верцы должны быть с ручками и внутренним замком   абаритные размеры каждой шкафа не менее  длина   800 мм  глубина   420 мм  высота   1930 мм   редняя секция должна быть с тремя открытыми и двумя закрытыми полками  двумя глухими дверцами  ручками и внутренним замком   абаритные размеры не менее  длина   800 мм  глубина   420 мм  высота   1930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компенсации неровностей пола </v>
      </c>
    </row>
    <row r="3692" spans="1:8" ht="114.75" x14ac:dyDescent="0.2">
      <c r="A3692" s="31" t="s">
        <v>8917</v>
      </c>
      <c r="B3692" s="27" t="s">
        <v>8918</v>
      </c>
      <c r="C3692" s="27" t="s">
        <v>8919</v>
      </c>
      <c r="D3692" s="33" t="s">
        <v>14</v>
      </c>
      <c r="E3692" s="34">
        <v>2</v>
      </c>
      <c r="F3692" s="34">
        <v>50</v>
      </c>
      <c r="G3692" s="10">
        <v>62989</v>
      </c>
      <c r="H3692" s="30" t="str">
        <f ca="1">IFERROR(__xludf.DUMMYFUNCTION("LOWER(REGEXREPLACE(B3692&amp;"" ""&amp;C3692,""[^а-яa-z0-9 ]"","" ""))")," каф для документов на 8 ячеек  4 из которых закрыты внутренними дверками  материал      16 мм  размеры 800х450х1600 мм  каф представляет из себя стеллаж  поделенный вертикальными и горизонтальными стойками на 8 ячеек  4 из которых закрыты внутренними две"&amp;"рками    дверях предусмотрен эргономический вырез  служащий в качестве ручки   есущие части  полки  фасадная часть        не менее 16 мм  задняя стенка       не менее 3 мм   ромка должна быть из     не менее 0 4 мм   борка должна производиться с помощью к"&amp;"онфирматов 6 3х50 и эксцентриковых стяжек   етля для дверок должна быть внутренняя с европланкой и функцией  softclose    ебельные ножки должны регулироваться по высоте для компенсации неровностей пола ")</f>
        <v xml:space="preserve"> каф для документов на 8 ячеек  4 из которых закрыты внутренними дверками  материал      16 мм  размеры 800х450х1600 мм  каф представляет из себя стеллаж  поделенный вертикальными и горизонтальными стойками на 8 ячеек  4 из которых закрыты внутренними дверками    дверях предусмотрен эргономический вырез  служащий в качестве ручки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внутренняя с европланкой и функцией  softclose    ебельные ножки должны регулироваться по высоте для компенсации неровностей пола </v>
      </c>
    </row>
    <row r="3693" spans="1:8" ht="216.75" x14ac:dyDescent="0.2">
      <c r="A3693" s="31" t="s">
        <v>8920</v>
      </c>
      <c r="B3693" s="27" t="s">
        <v>8921</v>
      </c>
      <c r="C3693" s="27" t="s">
        <v>8922</v>
      </c>
      <c r="D3693" s="33" t="s">
        <v>14</v>
      </c>
      <c r="E3693" s="34">
        <v>2</v>
      </c>
      <c r="F3693" s="34">
        <v>188</v>
      </c>
      <c r="G3693" s="10">
        <v>183493</v>
      </c>
      <c r="H3693" s="30" t="str">
        <f ca="1">IFERROR(__xludf.DUMMYFUNCTION("LOWER(REGEXREPLACE(B3693&amp;"" ""&amp;C3693,""[^а-яa-z0-9 ]"","" ""))")," каф пристенный со столом лабораторный  корпус шкафов  полки из      16 мм  размеры 2000х470х2000 мм  бщие габаритные размеры шкафа должны быть  не менее  ширина 2000 мм  глубина 470 мм  высота 2000 мм   онструктивно шкаф должен быть выполнен из двух шкаф"&amp;"ов шириной 1000 мм  скрепленных между собой межсекционными стяжками   ля изготовления шкафа используется        ромка должна быть из     не менее 0 4 мм   аждый шкаф должен состоять из двух отделений   ерхнее и нижнее отделение каждого шкафа должно быть р"&amp;"азделено на четыре одинаковые ниши   ижнее отделение каждого шкафа должно быть закрыто двумя дверцами  имеющими ручки и врезной мебельный замок   ысота нижнего отделения каждого шкафа 900 мм   кафы должны стоять на ножках высотой не более 30 мм  имеющих р"&amp;"егулировку для компенсации неровностей пола   ерхняя крышка закрытого отделения каждого шкафа должна быть изготовлена из      не менее 32 мм   орпус шкафов  полки   из      не менее 16 мм    шкафу должен крепиться приставной стол  габаритные размеры стола"&amp;"  длина не менее 1200 мм  ширина не менее 960 мм  высота над полом 900 мм   атериал столешницы        толщиной не менее 32 мм с ударопрочной поверхностью   ромка из     не менее 2 мм   атериал стойки стола        толщиной не менее 32 мм ")</f>
        <v xml:space="preserve"> каф пристенный со столом лабораторный  корпус шкафов  полки из      16 мм  размеры 2000х470х2000 мм  бщие габаритные размеры шкафа должны быть  не менее  ширина 2000 мм  глубина 470 мм  высота 2000 мм   онструктивно шкаф должен быть выполнен из двух шкафов шириной 1000 мм  скрепленных между собой межсекционными стяжками   ля изготовления шкафа используется        ромка должна быть из     не менее 0 4 мм   аждый шкаф должен состоять из двух отделений   ерхнее и нижнее отделение каждого шкафа должно быть разделено на четыре одинаковые ниши   ижнее отделение каждого шкафа должно быть закрыто двумя дверцами  имеющими ручки и врезной мебельный замок   ысота нижнего отделения каждого шкафа 900 мм   кафы должны стоять на ножках высотой не более 30 мм  имеющих регулировку для компенсации неровностей пола   ерхняя крышка закрытого отделения каждого шкафа должна быть изготовлена из      не менее 32 мм   орпус шкафов  полки   из      не менее 16 мм    шкафу должен крепиться приставной стол  габаритные размеры стола  длина не менее 1200 мм  ширина не менее 960 мм  высота над полом 900 мм   атериал столешницы        толщиной не менее 32 мм с ударопрочной поверхностью   ромка из     не менее 2 мм   атериал стойки стола        толщиной не менее 32 мм </v>
      </c>
    </row>
    <row r="3694" spans="1:8" ht="102" x14ac:dyDescent="0.2">
      <c r="A3694" s="31" t="s">
        <v>8923</v>
      </c>
      <c r="B3694" s="27" t="s">
        <v>8924</v>
      </c>
      <c r="C3694" s="27" t="s">
        <v>8925</v>
      </c>
      <c r="D3694" s="33" t="s">
        <v>14</v>
      </c>
      <c r="E3694" s="34">
        <v>2</v>
      </c>
      <c r="F3694" s="34">
        <v>48</v>
      </c>
      <c r="G3694" s="10">
        <v>47826</v>
      </c>
      <c r="H3694" s="30" t="str">
        <f ca="1">IFERROR(__xludf.DUMMYFUNCTION("LOWER(REGEXREPLACE(B3694&amp;"" ""&amp;C3694,""[^а-яa-z0-9 ]"","" ""))")," каф для учебно наглядных пособий полуоткрытый с открытыми верхними полками и закрытой нижней частью   азмер 800х420х930 мм       16мм   ерхняя секция должна быть открытая с тремя полками   ысота открытой секции   1080 мм   ижняя секция должна быть с двум"&amp;"я полками  двумя глухими дверцами  ручками и внутренним замком   есущие части  полки  фасадная часть        толщиной 16 мм  задняя стенка       3 мм   ромка из     на торцах 0 4 мм   борка должна производиться с помощью конфирматов 6 3х50 и эксцентриковых"&amp;" стяжек   етля для дверок   внешняя с европланкой   ебельные ножки должны регулироваться по высоте для компенсации неровностей пола ")</f>
        <v xml:space="preserve"> каф для учебно наглядных пособий полуоткрытый с открытыми верхними полками и закрытой нижней частью   азмер 800х420х930 мм       16мм   ерхняя секция должна быть открытая с тремя полками   ысота открытой секции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ромка из     на торцах 0 4 мм   борка должна производиться с помощью конфирматов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v>
      </c>
    </row>
    <row r="3695" spans="1:8" ht="153" x14ac:dyDescent="0.2">
      <c r="A3695" s="31" t="s">
        <v>8926</v>
      </c>
      <c r="B3695" s="8" t="s">
        <v>8927</v>
      </c>
      <c r="C3695" s="27" t="s">
        <v>8928</v>
      </c>
      <c r="D3695" s="33" t="s">
        <v>14</v>
      </c>
      <c r="E3695" s="34">
        <v>2</v>
      </c>
      <c r="F3695" s="34">
        <v>87</v>
      </c>
      <c r="G3695" s="10">
        <v>82625</v>
      </c>
      <c r="H3695" s="30" t="str">
        <f ca="1">IFERROR(__xludf.DUMMYFUNCTION("LOWER(REGEXREPLACE(B3695&amp;"" ""&amp;C3695,""[^а-яa-z0-9 ]"","" ""))")," каф для лотков на колесах  размеры 1360х520х1160 мм   верху два ряда открытых ячеек  под ними слева три открытые вертикальные ячейки  в нижней правой части три ряда ячеек за двумя распашными дверцами  ля изготовления шкафа должна использоваться      комб"&amp;"инированного декора   ромка должна быть из     не менее 0 4 мм   онструктивно шкаф должен иметь сверху два ряда открытых ячеек для маленьких лотков  по четыре ячейки в ряду  каждая размером 320х100 мм   од ними слева должны располагаться три открытые верт"&amp;"икальные ячейки размером 320х250 мм для больших лотков    нижней правой части шкафа за двумя распашными дверцами должны быть три ряда ячеек   ерхний ряд   одна ячейка размером 992х250 мм  второй и третий ряд по две ячейки размером 488х250 мм   оковые стен"&amp;"ки шкафа наверху должны иметь радиусные закругления   рышка шкафа должна быть притоплена относительно стенок на 50 мм для образования рабочей поверхности с бортиками   каф должен опираться на 6 колесных опор диаметром 50 мм ")</f>
        <v xml:space="preserve"> каф для лотков на колесах  размеры 1360х520х1160 мм   верху два ряда открытых ячеек  под ними слева три открытые вертикальные ячейки  в нижней правой части три ряда ячеек за двумя распашными дверцами  ля изготовления шкафа должна использоваться      комбинированного декора   ромка должна быть из     не менее 0 4 мм   онструктивно шкаф должен иметь сверху два ряда открытых ячеек для маленьких лотков  по четыре ячейки в ряду  каждая размером 320х100 мм   од ними слева должны располагаться три открытые вертикальные ячейки размером 320х250 мм для больших лотков    нижней правой части шкафа за двумя распашными дверцами должны быть три ряда ячеек   ерхний ряд   одна ячейка размером 992х250 мм  второй и третий ряд по две ячейки размером 488х250 мм   оковые стенки шкафа наверху должны иметь радиусные закругления   рышка шкафа должна быть притоплена относительно стенок на 50 мм для образования рабочей поверхности с бортиками   каф должен опираться на 6 колесных опор диаметром 50 мм </v>
      </c>
    </row>
    <row r="3696" spans="1:8" ht="178.5" x14ac:dyDescent="0.2">
      <c r="A3696" s="31" t="s">
        <v>8929</v>
      </c>
      <c r="B3696" s="27" t="s">
        <v>8930</v>
      </c>
      <c r="C3696" s="27" t="s">
        <v>8931</v>
      </c>
      <c r="D3696" s="33" t="s">
        <v>14</v>
      </c>
      <c r="E3696" s="34">
        <v>2</v>
      </c>
      <c r="F3696" s="34">
        <v>188</v>
      </c>
      <c r="G3696" s="10">
        <v>240650</v>
      </c>
      <c r="H3696" s="30" t="str">
        <f ca="1">IFERROR(__xludf.DUMMYFUNCTION("LOWER(REGEXREPLACE(B3696&amp;"" ""&amp;C3696,""[^а-яa-z0-9 ]"","" ""))")," каф для музыкальных инструментов  размеры 2400х460х2030 мм       16 мм  кромка      3 секции  атериал      16 мм  кромка     0 4 мм   тенка состоит из 3 секций   ервая глухая секция шириной 600 мм  представляет собой отдел для одежды  в котором имеется п"&amp;"олка для головных уборов  выдвижная штанга для одежных плечиков и полка под обувь   торая секция состоит из верхней ниши за стеклянными фасадами в рамке       за которыми находится штанга с крючками  для хранения домбр   иже расположен выдвижной ящик   од"&amp;" ним расположена одна глухая секция с полкой и одна открытая ниша с выдвижной полкой   ретья секция является зеркальным отображением второй  за исключением нижней открытой секции  которая поделена горизонтально полкой   репление всей конструкции должно ос"&amp;"уществляться при помощи эксцентриковых стяжек и конфирматов   еста установки креп жных изделий должны быть закрыты заглушками   етля для дверок должна быть шарнирная с быстросъемным механизмом и газовым доводчиком   учки металлические с межцентровым расст"&amp;"оянием 128 мм   ебельные ножки должны регулироваться по высоте для компенсации неровностей пола ")</f>
        <v xml:space="preserve"> каф для музыкальных инструментов  размеры 2400х460х2030 мм       16 мм  кромка      3 секции  атериал      16 мм  кромка     0 4 мм   тенка состоит из 3 секций   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торая секция состоит из верхней ниши за стеклянными фасадами в рамке       за которыми находится штанга с крючками  для хранения домбр   иже расположен выдвижной ящик   од ним расположена одна глухая секция с полкой и одна открытая ниша с выдвижной полкой   ретья секция является зеркальным отображением второй  за исключением нижней открытой секции  которая поделена горизонтально полкой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етля для дверок должна быть шарнирная с быстросъемным механизмом и газовым доводчиком   учки металлические с межцентровым расстоянием 128 мм   ебельные ножки должны регулироваться по высоте для компенсации неровностей пола </v>
      </c>
    </row>
    <row r="3697" spans="1:8" ht="12.75" x14ac:dyDescent="0.2">
      <c r="A3697" s="31" t="s">
        <v>8932</v>
      </c>
      <c r="B3697" s="27" t="s">
        <v>8933</v>
      </c>
      <c r="C3697" s="27"/>
      <c r="D3697" s="33" t="s">
        <v>14</v>
      </c>
      <c r="E3697" s="9"/>
      <c r="F3697" s="32"/>
      <c r="G3697" s="10"/>
      <c r="H3697" s="30" t="str">
        <f ca="1">IFERROR(__xludf.DUMMYFUNCTION("LOWER(REGEXREPLACE(B3697&amp;"" ""&amp;C3697,""[^а-яa-z0-9 ]"","" ""))")," каф открытый ")</f>
        <v xml:space="preserve"> каф открытый </v>
      </c>
    </row>
    <row r="3698" spans="1:8" ht="25.5" x14ac:dyDescent="0.2">
      <c r="A3698" s="31" t="s">
        <v>8934</v>
      </c>
      <c r="B3698" s="8" t="s">
        <v>8935</v>
      </c>
      <c r="C3698" s="27" t="s">
        <v>8936</v>
      </c>
      <c r="D3698" s="33" t="s">
        <v>14</v>
      </c>
      <c r="E3698" s="9"/>
      <c r="F3698" s="32"/>
      <c r="G3698" s="10">
        <v>50929</v>
      </c>
      <c r="H3698" s="30" t="str">
        <f ca="1">IFERROR(__xludf.DUMMYFUNCTION("LOWER(REGEXREPLACE(B3698&amp;"" ""&amp;C3698,""[^а-яa-z0-9 ]"","" ""))")," каф открытый 800х420х1930 мм       16мм   каф открытый 800х420х1930 мм       16мм ")</f>
        <v xml:space="preserve"> каф открытый 800х420х1930 мм       16мм   каф открытый 800х420х1930 мм       16мм </v>
      </c>
    </row>
    <row r="3699" spans="1:8" ht="25.5" x14ac:dyDescent="0.2">
      <c r="A3699" s="31" t="s">
        <v>8937</v>
      </c>
      <c r="B3699" s="8" t="s">
        <v>8938</v>
      </c>
      <c r="C3699" s="27" t="s">
        <v>8939</v>
      </c>
      <c r="D3699" s="33" t="s">
        <v>14</v>
      </c>
      <c r="E3699" s="34">
        <v>2</v>
      </c>
      <c r="F3699" s="34">
        <v>55</v>
      </c>
      <c r="G3699" s="10">
        <v>32251</v>
      </c>
      <c r="H3699" s="30" t="str">
        <f ca="1">IFERROR(__xludf.DUMMYFUNCTION("LOWER(REGEXREPLACE(B3699&amp;"" ""&amp;C3699,""[^а-яa-z0-9 ]"","" ""))")," каф стеллаж открытый 849х360х1835мм       16мм  каф стеллаж открытый 849х360х1835мм       16мм   ткрытые полки")</f>
        <v xml:space="preserve"> каф стеллаж открытый 849х360х1835мм       16мм  каф стеллаж открытый 849х360х1835мм       16мм   ткрытые полки</v>
      </c>
    </row>
    <row r="3700" spans="1:8" ht="102" x14ac:dyDescent="0.2">
      <c r="A3700" s="31" t="s">
        <v>8940</v>
      </c>
      <c r="B3700" s="27" t="s">
        <v>8941</v>
      </c>
      <c r="C3700" s="27" t="s">
        <v>8942</v>
      </c>
      <c r="D3700" s="33" t="s">
        <v>14</v>
      </c>
      <c r="E3700" s="34">
        <v>2</v>
      </c>
      <c r="F3700" s="34">
        <v>88</v>
      </c>
      <c r="G3700" s="10">
        <v>72179</v>
      </c>
      <c r="H3700" s="30" t="str">
        <f ca="1">IFERROR(__xludf.DUMMYFUNCTION("LOWER(REGEXREPLACE(B3700&amp;"" ""&amp;C3700,""[^а-яa-z0-9 ]"","" ""))")," каф стеллаж открытый 1000х400х2100мм   орпус  полки из      16мм  задняя стенка из     5мм  ткрытый стеллаж состоит из 4 полок   атериал корпуса  полок открытые из      16 мм   адняя стенка из ламинированного     1го класса толщиной 5 мм   ромка     с ис"&amp;"пользованием высокотемпературного клея   орпус и фиксированные полки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предотвращения"&amp;" воздействия воды и влаги на шкаф предусмотрены 4 ножки высотой 5 см ")</f>
        <v xml:space="preserve"> каф стеллаж открытый 1000х400х2100мм   орпус  полки из      16мм  задняя стенка из     5мм  ткрытый стеллаж состоит из 4 полок   атериал корпуса  полок открытые из      16 мм   адняя стенка из ламинированного     1го класса толщиной 5 мм   ромка     с использованием высокотемпературного клея   орпус и фиксированные полки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v>
      </c>
    </row>
    <row r="3701" spans="1:8" ht="38.25" x14ac:dyDescent="0.2">
      <c r="A3701" s="31" t="s">
        <v>8943</v>
      </c>
      <c r="B3701" s="27" t="s">
        <v>8944</v>
      </c>
      <c r="C3701" s="27" t="s">
        <v>8945</v>
      </c>
      <c r="D3701" s="33" t="s">
        <v>14</v>
      </c>
      <c r="E3701" s="34">
        <v>2</v>
      </c>
      <c r="F3701" s="34">
        <v>15</v>
      </c>
      <c r="G3701" s="10">
        <v>34106</v>
      </c>
      <c r="H3701" s="30" t="str">
        <f ca="1">IFERROR(__xludf.DUMMYFUNCTION("LOWER(REGEXREPLACE(B3701&amp;"" ""&amp;C3701,""[^а-яa-z0-9 ]"","" ""))")," каф стеллаж открытый для документов 400х430х1200мм  с открытыми полками      16мм  орпус выполнен из       толщиной 16мм  кромка     не менее 1мм в цвет        асады       16мм   адняя стенка        ожки черные плас  рег    27мм  открытый шкаф  с открыты"&amp;"ми полками")</f>
        <v xml:space="preserve"> каф стеллаж открытый для документов 400х430х1200мм  с открытыми полками      16мм  орпус выполнен из       толщиной 16мм  кромка     не менее 1мм в цвет        асады       16мм   адняя стенка        ожки черные плас  рег    27мм  открытый шкаф  с открытыми полками</v>
      </c>
    </row>
    <row r="3702" spans="1:8" ht="38.25" x14ac:dyDescent="0.2">
      <c r="A3702" s="31" t="s">
        <v>8946</v>
      </c>
      <c r="B3702" s="27" t="s">
        <v>8947</v>
      </c>
      <c r="C3702" s="27" t="s">
        <v>8948</v>
      </c>
      <c r="D3702" s="33" t="s">
        <v>14</v>
      </c>
      <c r="E3702" s="34">
        <v>2</v>
      </c>
      <c r="F3702" s="34">
        <v>22</v>
      </c>
      <c r="G3702" s="10">
        <v>104115</v>
      </c>
      <c r="H3702" s="30" t="str">
        <f ca="1">IFERROR(__xludf.DUMMYFUNCTION("LOWER(REGEXREPLACE(B3702&amp;"" ""&amp;C3702,""[^а-яa-z0-9 ]"","" ""))")," каф стеллаж открытый для документов 1200х430х1206мм  с открытыми полками      16мм  орпус выполнен из       толщиной 16мм  кромка     не менее 1мм в цвет        асады       16мм   адняя стенка        ожки черные плас  рег    27мм  открытые полки не сквоз"&amp;"ные")</f>
        <v xml:space="preserve"> каф стеллаж открытый для документов 1200х430х1206мм  с открытыми полками      16мм  орпус выполнен из       толщиной 16мм  кромка     не менее 1мм в цвет        асады       16мм   адняя стенка        ожки черные плас  рег    27мм  открытые полки не сквозные</v>
      </c>
    </row>
    <row r="3703" spans="1:8" ht="38.25" x14ac:dyDescent="0.2">
      <c r="A3703" s="31" t="s">
        <v>8949</v>
      </c>
      <c r="B3703" s="27" t="s">
        <v>8950</v>
      </c>
      <c r="C3703" s="27" t="s">
        <v>8733</v>
      </c>
      <c r="D3703" s="33" t="s">
        <v>14</v>
      </c>
      <c r="E3703" s="34">
        <v>2</v>
      </c>
      <c r="F3703" s="34">
        <v>15</v>
      </c>
      <c r="G3703" s="10">
        <v>44193</v>
      </c>
      <c r="H3703" s="30" t="str">
        <f ca="1">IFERROR(__xludf.DUMMYFUNCTION("LOWER(REGEXREPLACE(B3703&amp;"" ""&amp;C3703,""[^а-яa-z0-9 ]"","" ""))")," каф стеллаж открытый для документов 400х430х1598мм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400х430х1598мм  с открытыми полками      16мм  орпус выполнен из       толщиной 16мм  кромка     не менее 1мм в цвет        асады       16мм   адняя стенка        ожки черные плас  рег    27мм</v>
      </c>
    </row>
    <row r="3704" spans="1:8" ht="38.25" x14ac:dyDescent="0.2">
      <c r="A3704" s="31" t="s">
        <v>8951</v>
      </c>
      <c r="B3704" s="27" t="s">
        <v>8952</v>
      </c>
      <c r="C3704" s="27" t="s">
        <v>8953</v>
      </c>
      <c r="D3704" s="33" t="s">
        <v>14</v>
      </c>
      <c r="E3704" s="34">
        <v>2</v>
      </c>
      <c r="F3704" s="34">
        <v>28</v>
      </c>
      <c r="G3704" s="10">
        <v>55846</v>
      </c>
      <c r="H3704" s="30" t="str">
        <f ca="1">IFERROR(__xludf.DUMMYFUNCTION("LOWER(REGEXREPLACE(B3704&amp;"" ""&amp;C3704,""[^а-яa-z0-9 ]"","" ""))")," каф стеллаж открытый для документов 800х430х1598мм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800х430х1598мм  с открытыми полками      16мм  орпус выполнен из       толщиной 16мм  кромка     не менее 1мм в цвет        асады       16мм  адняя стенка        ожки черные плас  рег    27мм</v>
      </c>
    </row>
    <row r="3705" spans="1:8" ht="38.25" x14ac:dyDescent="0.2">
      <c r="A3705" s="31" t="s">
        <v>8954</v>
      </c>
      <c r="B3705" s="27" t="s">
        <v>8955</v>
      </c>
      <c r="C3705" s="27" t="s">
        <v>8733</v>
      </c>
      <c r="D3705" s="33" t="s">
        <v>14</v>
      </c>
      <c r="E3705" s="34">
        <v>2</v>
      </c>
      <c r="F3705" s="34">
        <v>18</v>
      </c>
      <c r="G3705" s="10">
        <v>69423</v>
      </c>
      <c r="H3705" s="30" t="str">
        <f ca="1">IFERROR(__xludf.DUMMYFUNCTION("LOWER(REGEXREPLACE(B3705&amp;"" ""&amp;C3705,""[^а-яa-z0-9 ]"","" ""))")," каф стеллаж открытый для документов 800х450х1598мм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800х450х1598мм  с открытыми полками      16мм  орпус выполнен из       толщиной 16мм  кромка     не менее 1мм в цвет        асады       16мм   адняя стенка        ожки черные плас  рег    27мм</v>
      </c>
    </row>
    <row r="3706" spans="1:8" ht="38.25" x14ac:dyDescent="0.2">
      <c r="A3706" s="31" t="s">
        <v>8956</v>
      </c>
      <c r="B3706" s="27" t="s">
        <v>8957</v>
      </c>
      <c r="C3706" s="27" t="s">
        <v>8953</v>
      </c>
      <c r="D3706" s="33" t="s">
        <v>14</v>
      </c>
      <c r="E3706" s="34">
        <v>2</v>
      </c>
      <c r="F3706" s="34">
        <v>29</v>
      </c>
      <c r="G3706" s="10">
        <v>77034</v>
      </c>
      <c r="H3706" s="30" t="str">
        <f ca="1">IFERROR(__xludf.DUMMYFUNCTION("LOWER(REGEXREPLACE(B3706&amp;"" ""&amp;C3706,""[^а-яa-z0-9 ]"","" ""))")," каф стеллаж открытый для документов 1200х430х1598мм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1200х430х1598мм  с открытыми полками      16мм  орпус выполнен из       толщиной 16мм  кромка     не менее 1мм в цвет        асады       16мм  адняя стенка        ожки черные плас  рег    27мм</v>
      </c>
    </row>
    <row r="3707" spans="1:8" ht="38.25" x14ac:dyDescent="0.2">
      <c r="A3707" s="31" t="s">
        <v>8958</v>
      </c>
      <c r="B3707" s="27" t="s">
        <v>8959</v>
      </c>
      <c r="C3707" s="27" t="s">
        <v>8953</v>
      </c>
      <c r="D3707" s="33" t="s">
        <v>14</v>
      </c>
      <c r="E3707" s="34">
        <v>2</v>
      </c>
      <c r="F3707" s="34">
        <v>32</v>
      </c>
      <c r="G3707" s="10">
        <v>53088</v>
      </c>
      <c r="H3707" s="30" t="str">
        <f ca="1">IFERROR(__xludf.DUMMYFUNCTION("LOWER(REGEXREPLACE(B3707&amp;"" ""&amp;C3707,""[^а-яa-z0-9 ]"","" ""))")," каф стеллаж открытый для документов 400х430х1990мм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400х430х1990мм  с открытыми полками      16мм  орпус выполнен из       толщиной 16мм  кромка     не менее 1мм в цвет        асады       16мм  адняя стенка        ожки черные плас  рег    27мм</v>
      </c>
    </row>
    <row r="3708" spans="1:8" ht="38.25" x14ac:dyDescent="0.2">
      <c r="A3708" s="31" t="s">
        <v>8960</v>
      </c>
      <c r="B3708" s="27" t="s">
        <v>8961</v>
      </c>
      <c r="C3708" s="27" t="s">
        <v>8733</v>
      </c>
      <c r="D3708" s="33" t="s">
        <v>14</v>
      </c>
      <c r="E3708" s="34">
        <v>2</v>
      </c>
      <c r="F3708" s="34">
        <v>33</v>
      </c>
      <c r="G3708" s="10">
        <v>75789</v>
      </c>
      <c r="H3708" s="30" t="str">
        <f ca="1">IFERROR(__xludf.DUMMYFUNCTION("LOWER(REGEXREPLACE(B3708&amp;"" ""&amp;C3708,""[^а-яa-z0-9 ]"","" ""))")," каф стеллаж открытый для документов 800х430х1990мм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800х430х1990мм  с открытыми полками      16мм  орпус выполнен из       толщиной 16мм  кромка     не менее 1мм в цвет        асады       16мм   адняя стенка        ожки черные плас  рег    27мм</v>
      </c>
    </row>
    <row r="3709" spans="1:8" ht="38.25" x14ac:dyDescent="0.2">
      <c r="A3709" s="31" t="s">
        <v>8962</v>
      </c>
      <c r="B3709" s="27" t="s">
        <v>8963</v>
      </c>
      <c r="C3709" s="27" t="s">
        <v>8733</v>
      </c>
      <c r="D3709" s="33" t="s">
        <v>14</v>
      </c>
      <c r="E3709" s="34">
        <v>2</v>
      </c>
      <c r="F3709" s="34">
        <v>33</v>
      </c>
      <c r="G3709" s="10">
        <v>78311</v>
      </c>
      <c r="H3709" s="30" t="str">
        <f ca="1">IFERROR(__xludf.DUMMYFUNCTION("LOWER(REGEXREPLACE(B3709&amp;"" ""&amp;C3709,""[^а-яa-z0-9 ]"","" ""))")," каф стеллаж открытый для документов 800х430х1990мм  с открытыми полками  разделенными на две секции       16мм  орпус выполнен из       толщиной 16мм  кромка     не менее 1мм в цвет        асады       16мм   адняя стенка        ожки черные плас  рег    2"&amp;"7мм")</f>
        <v xml:space="preserve"> каф стеллаж открытый для документов 800х430х1990мм  с открытыми полками  разделенными на две секции       16мм  орпус выполнен из       толщиной 16мм  кромка     не менее 1мм в цвет        асады       16мм   адняя стенка        ожки черные плас  рег    27мм</v>
      </c>
    </row>
    <row r="3710" spans="1:8" ht="38.25" x14ac:dyDescent="0.2">
      <c r="A3710" s="31" t="s">
        <v>8964</v>
      </c>
      <c r="B3710" s="27" t="s">
        <v>8965</v>
      </c>
      <c r="C3710" s="27" t="s">
        <v>8733</v>
      </c>
      <c r="D3710" s="33" t="s">
        <v>14</v>
      </c>
      <c r="E3710" s="34">
        <v>2</v>
      </c>
      <c r="F3710" s="34">
        <v>38</v>
      </c>
      <c r="G3710" s="10">
        <v>94723</v>
      </c>
      <c r="H3710" s="30" t="str">
        <f ca="1">IFERROR(__xludf.DUMMYFUNCTION("LOWER(REGEXREPLACE(B3710&amp;"" ""&amp;C3710,""[^а-яa-z0-9 ]"","" ""))")," каф стеллаж открытый для документов 1200х430х1990мм  с открытыми полками      16мм  орпус выполнен из       толщиной 16мм  кромка     не менее 1мм в цвет        асады       16мм   адняя стенка        ожки черные плас  рег    27мм")</f>
        <v xml:space="preserve"> каф стеллаж открытый для документов 1200х430х1990мм  с открытыми полками      16мм  орпус выполнен из       толщиной 16мм  кромка     не менее 1мм в цвет        асады       16мм   адняя стенка        ожки черные плас  рег    27мм</v>
      </c>
    </row>
    <row r="3711" spans="1:8" ht="38.25" x14ac:dyDescent="0.2">
      <c r="A3711" s="31" t="s">
        <v>8966</v>
      </c>
      <c r="B3711" s="27" t="s">
        <v>8967</v>
      </c>
      <c r="C3711" s="27" t="s">
        <v>8968</v>
      </c>
      <c r="D3711" s="33" t="s">
        <v>14</v>
      </c>
      <c r="E3711" s="34">
        <v>2</v>
      </c>
      <c r="F3711" s="34">
        <v>29</v>
      </c>
      <c r="G3711" s="10">
        <v>53126</v>
      </c>
      <c r="H3711" s="30" t="str">
        <f ca="1">IFERROR(__xludf.DUMMYFUNCTION("LOWER(REGEXREPLACE(B3711&amp;"" ""&amp;C3711,""[^а-яa-z0-9 ]"","" ""))")," каф стеллаж открытый 700х350х1500мм  с полками      16мм  ыполнен из      16 мм  торцы обрамлены кромкой       онструкцией шкафа предусмотрены 4 полки на полкодержателях   каф снабжен регулируемыми опорами  позволяющими компенсировать неровности пола ")</f>
        <v xml:space="preserve"> каф стеллаж открытый 700х350х1500мм  с полками      16мм  ыполнен из      16 мм  торцы обрамлены кромкой       онструкцией шкафа предусмотрены 4 полки на полкодержателях   каф снабжен регулируемыми опорами  позволяющими компенсировать неровности пола </v>
      </c>
    </row>
    <row r="3712" spans="1:8" ht="63.75" x14ac:dyDescent="0.2">
      <c r="A3712" s="31" t="s">
        <v>8969</v>
      </c>
      <c r="B3712" s="27" t="s">
        <v>8970</v>
      </c>
      <c r="C3712" s="27" t="s">
        <v>8971</v>
      </c>
      <c r="D3712" s="33" t="s">
        <v>14</v>
      </c>
      <c r="E3712" s="34">
        <v>2</v>
      </c>
      <c r="F3712" s="34">
        <v>36</v>
      </c>
      <c r="G3712" s="10">
        <v>89169</v>
      </c>
      <c r="H3712" s="30" t="str">
        <f ca="1">IFERROR(__xludf.DUMMYFUNCTION("LOWER(REGEXREPLACE(B3712&amp;"" ""&amp;C3712,""[^а-яa-z0-9 ]"","" ""))")," каф стеллаж открытый 350х450х2530мм  с полками      16мм  каф с открытыми полками выполнен из      16 мм   азмер шкафа   х х  2530х350х450 мм   оковые торцы шкафа облицована кромкой     1 мм   адняя стенка шкафа по желанию заказчика может быть открытая  "&amp;"либо закрытая   ожки шкафа высотой 100 мм  изготовлена из хромированной трубы с регулируемой пластиковой заглушкой ")</f>
        <v xml:space="preserve"> каф стеллаж открытый 350х450х2530мм  с полками      16мм  каф с открытыми полками выполнен из      16 мм   азмер шкафа   х х  2530х350х450 мм   оковые торцы шкафа облицована кромкой     1 мм   адняя стенка шкафа по желанию заказчика может быть открытая  либо закрытая   ожки шкафа высотой 100 мм  изготовлена из хромированной трубы с регулируемой пластиковой заглушкой </v>
      </c>
    </row>
    <row r="3713" spans="1:8" ht="89.25" x14ac:dyDescent="0.2">
      <c r="A3713" s="31" t="s">
        <v>8972</v>
      </c>
      <c r="B3713" s="27" t="s">
        <v>8973</v>
      </c>
      <c r="C3713" s="27" t="s">
        <v>8974</v>
      </c>
      <c r="D3713" s="33" t="s">
        <v>14</v>
      </c>
      <c r="E3713" s="34">
        <v>2</v>
      </c>
      <c r="F3713" s="34">
        <v>73</v>
      </c>
      <c r="G3713" s="10">
        <v>65766</v>
      </c>
      <c r="H3713" s="30" t="str">
        <f ca="1">IFERROR(__xludf.DUMMYFUNCTION("LOWER(REGEXREPLACE(B3713&amp;"" ""&amp;C3713,""[^а-яa-z0-9 ]"","" ""))")," каф стеллаж открытый 800х420х1930мм   орпус  полки из      16мм  задняя стенка из     5мм  каф открытый 800х420х1930 мм  5 открытых полок   атериал корпуса  полок       толщина      16 мм   олки открытые   адняя стенка ламинированный     1го класса толщи"&amp;"ной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и"&amp;" влаги на шкаф предусмотрены 4 ножки высотой 5 см  меется крепление стеллажа к стене и между собой ")</f>
        <v xml:space="preserve"> каф стеллаж открытый 800х420х1930мм   орпус  полки из      16мм  задняя стенка из     5мм  каф открытый 800х420х1930 мм  5 открытых полок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v>
      </c>
    </row>
    <row r="3714" spans="1:8" ht="89.25" x14ac:dyDescent="0.2">
      <c r="A3714" s="31" t="s">
        <v>8975</v>
      </c>
      <c r="B3714" s="27" t="s">
        <v>8976</v>
      </c>
      <c r="C3714" s="27" t="s">
        <v>8977</v>
      </c>
      <c r="D3714" s="33" t="s">
        <v>14</v>
      </c>
      <c r="E3714" s="34">
        <v>2</v>
      </c>
      <c r="F3714" s="34">
        <v>39</v>
      </c>
      <c r="G3714" s="10">
        <v>92317</v>
      </c>
      <c r="H3714" s="30" t="str">
        <f ca="1">IFERROR(__xludf.DUMMYFUNCTION("LOWER(REGEXREPLACE(B3714&amp;"" ""&amp;C3714,""[^а-яa-z0-9 ]"","" ""))")," каф стеллаж открытый 2000х300х1000мм   орпус  полки из      16мм  20 ячеек  задняя стенка из     5мм  каф для обуви с 20 ячейками  2000х300х1000 h    ромка     1мм с использованием высокотемпературного клея   адняя стенка из ламинированного     1го класс"&amp;"а  толщиной 5 мм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в"&amp;"лаги предусмотрены 4 ножки высотой 5 см ")</f>
        <v xml:space="preserve"> каф стеллаж открытый 2000х300х1000мм   орпус  полки из      16мм  20 ячеек  задняя стенка из     5мм  каф для обуви с 20 ячейками  2000х300х1000 h    ромка     1мм с использованием высокотемпературного клея   адняя стенка из ламинированного     1го класса  толщиной 5 мм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v>
      </c>
    </row>
    <row r="3715" spans="1:8" ht="102" x14ac:dyDescent="0.2">
      <c r="A3715" s="31" t="s">
        <v>8978</v>
      </c>
      <c r="B3715" s="27" t="s">
        <v>8979</v>
      </c>
      <c r="C3715" s="27" t="s">
        <v>8980</v>
      </c>
      <c r="D3715" s="33" t="s">
        <v>14</v>
      </c>
      <c r="E3715" s="34">
        <v>2</v>
      </c>
      <c r="F3715" s="34">
        <v>40</v>
      </c>
      <c r="G3715" s="10">
        <v>33397</v>
      </c>
      <c r="H3715" s="30" t="str">
        <f ca="1">IFERROR(__xludf.DUMMYFUNCTION("LOWER(REGEXREPLACE(B3715&amp;"" ""&amp;C3715,""[^а-яa-z0-9 ]"","" ""))")," каф стеллаж открытый экспозиционный 400х400х1500мм  с открытыми полками      16мм  задняя стенка из     5 мм  теллаж экспозиционный 400х400х1500 мм  10 открытых полок   ля наглядной демонстрации книг  журналов  пособий   атериал корпуса  полок       толщ"&amp;"ина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д"&amp;"етали шкафа фрезеруется канал  в которую монтируется задняя стенка   ля предотвращения воздействия воды и влаги на шкаф предусмотрены 4 ножки высотой 5 см")</f>
        <v xml:space="preserve"> каф стеллаж открытый экспозиционный 400х400х1500мм  с открытыми полками      16мм  задняя стенка из     5 мм  теллаж экспозиционный 400х400х1500 мм  10 открытых полок   ля наглядной демонстрации книг  журналов  пособий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716" spans="1:8" ht="102" x14ac:dyDescent="0.2">
      <c r="A3716" s="31" t="s">
        <v>8981</v>
      </c>
      <c r="B3716" s="27" t="s">
        <v>8982</v>
      </c>
      <c r="C3716" s="27" t="s">
        <v>8983</v>
      </c>
      <c r="D3716" s="33" t="s">
        <v>14</v>
      </c>
      <c r="E3716" s="34">
        <v>2</v>
      </c>
      <c r="F3716" s="34">
        <v>36</v>
      </c>
      <c r="G3716" s="10">
        <v>68384</v>
      </c>
      <c r="H3716" s="30" t="str">
        <f ca="1">IFERROR(__xludf.DUMMYFUNCTION("LOWER(REGEXREPLACE(B3716&amp;"" ""&amp;C3716,""[^а-яa-z0-9 ]"","" ""))")," каф стеллаж открытый 1000х320х2250мм   орпус  полки наклонные из      16мм  задняя стенка из     5мм  теллаж библиотечный экспозиционный на 4 наклонных полках   ля наглядной демонстрации книг  журналов  пособий   атериал корпуса  полок       толщина     "&amp;" 16 мм  полки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в"&amp;"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f>
        <v xml:space="preserve"> каф стеллаж открытый 1000х320х2250мм   орпус  полки наклонные из      16мм  задняя стенка из     5мм  теллаж библиотечный экспозиционный на 4 наклонных полках   ля наглядной демонстрации книг  журналов  пособий   атериал корпуса  полок       толщина      16 мм  полки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v>
      </c>
    </row>
    <row r="3717" spans="1:8" ht="102" x14ac:dyDescent="0.2">
      <c r="A3717" s="31" t="s">
        <v>8984</v>
      </c>
      <c r="B3717" s="27" t="s">
        <v>8985</v>
      </c>
      <c r="C3717" s="27" t="s">
        <v>8986</v>
      </c>
      <c r="D3717" s="33" t="s">
        <v>14</v>
      </c>
      <c r="E3717" s="34">
        <v>2</v>
      </c>
      <c r="F3717" s="34">
        <v>82</v>
      </c>
      <c r="G3717" s="10">
        <v>145424</v>
      </c>
      <c r="H3717" s="30" t="str">
        <f ca="1">IFERROR(__xludf.DUMMYFUNCTION("LOWER(REGEXREPLACE(B3717&amp;"" ""&amp;C3717,""[^а-яa-z0-9 ]"","" ""))")," каф стеллаж открытый 2050х460х2050мм   орпус  полки из      16мм  20 ячеек  задняя стенка из     5мм  каф модульный для хранения принадлежностей и выставки работ с индивидуальными ячейками в четыре уровня по высоте   зготовлен из      16 мм  кромка      "&amp;" адняя стенка из ламинированного     1го класса  толщиной 5 мм   азмеры   2050 460 2050мм   олки открытые   орпус соединяется с помощью системой эксцентриковой стяжки минификс   а боковых стенках  верхней и нижней детали шкафа фрезеруется канал  в которую"&amp;" монтируется задняя стенка   ля предотвращения воздействия воды и влаги на шкаф предусмотрены 4 ножки высотой 5 см")</f>
        <v xml:space="preserve"> каф стеллаж открытый 2050х460х2050мм   орпус  полки из      16мм  20 ячеек  задняя стенка из     5мм  каф модульный для хранения принадлежностей и выставки работ с индивидуальными ячейками в четыре уровня по высоте   зготовлен из      16 мм  кромка       адняя стенка из ламинированного     1го класса  толщиной 5 мм   азмеры   2050 460 2050мм   олки открытые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718" spans="1:8" ht="89.25" x14ac:dyDescent="0.2">
      <c r="A3718" s="31" t="s">
        <v>8987</v>
      </c>
      <c r="B3718" s="27" t="s">
        <v>8988</v>
      </c>
      <c r="C3718" s="27" t="s">
        <v>8989</v>
      </c>
      <c r="D3718" s="33" t="s">
        <v>14</v>
      </c>
      <c r="E3718" s="34">
        <v>2</v>
      </c>
      <c r="F3718" s="34">
        <v>34</v>
      </c>
      <c r="G3718" s="10">
        <v>102758</v>
      </c>
      <c r="H3718" s="30" t="str">
        <f ca="1">IFERROR(__xludf.DUMMYFUNCTION("LOWER(REGEXREPLACE(B3718&amp;"" ""&amp;C3718,""[^а-яa-z0-9 ]"","" ""))")," каф стеллаж открытый 1600х400х1800мм   атериал корпуса  полок      16 мм  полки открытые   адняя стенка ламинированный     5 мм  атериал корпуса  полок       толщина      16 мм   олки открытые   адняя стенка ламинированный     1го класса толщиной 5 мм   "&amp;"ромка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ш"&amp;"каф предусмотрены 4 ножки высотой 5 см  размер 1800 h  1600 400")</f>
        <v xml:space="preserve"> каф стеллаж открытый 1600х400х1800мм   атериал корпуса  полок      16 мм  полки открытые   адняя стенка ламинированный     5 мм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1600 400</v>
      </c>
    </row>
    <row r="3719" spans="1:8" ht="12.75" x14ac:dyDescent="0.2">
      <c r="A3719" s="31" t="s">
        <v>8990</v>
      </c>
      <c r="B3719" s="27" t="s">
        <v>8991</v>
      </c>
      <c r="C3719" s="27"/>
      <c r="D3719" s="33" t="s">
        <v>14</v>
      </c>
      <c r="E3719" s="9"/>
      <c r="F3719" s="32"/>
      <c r="G3719" s="10"/>
      <c r="H3719" s="30" t="str">
        <f ca="1">IFERROR(__xludf.DUMMYFUNCTION("LOWER(REGEXREPLACE(B3719&amp;"" ""&amp;C3719,""[^а-яa-z0-9 ]"","" ""))")," умба под телевизор ")</f>
        <v xml:space="preserve"> умба под телевизор </v>
      </c>
    </row>
    <row r="3720" spans="1:8" ht="25.5" x14ac:dyDescent="0.2">
      <c r="A3720" s="31" t="s">
        <v>8992</v>
      </c>
      <c r="B3720" s="27" t="s">
        <v>8993</v>
      </c>
      <c r="C3720" s="27" t="s">
        <v>8994</v>
      </c>
      <c r="D3720" s="33" t="s">
        <v>14</v>
      </c>
      <c r="E3720" s="9"/>
      <c r="F3720" s="32"/>
      <c r="G3720" s="10">
        <v>25319</v>
      </c>
      <c r="H3720" s="30" t="str">
        <f ca="1">IFERROR(__xludf.DUMMYFUNCTION("LOWER(REGEXREPLACE(B3720&amp;"" ""&amp;C3720,""[^а-яa-z0-9 ]"","" ""))")," умба под телевизор 640х450х561 мм       16мм  умба с выдвижным ящиком и открытыми секциями   азмеры  640х450х561мм       16мм")</f>
        <v xml:space="preserve"> умба под телевизор 640х450х561 мм       16мм  умба с выдвижным ящиком и открытыми секциями   азмеры  640х450х561мм       16мм</v>
      </c>
    </row>
    <row r="3721" spans="1:8" ht="25.5" x14ac:dyDescent="0.2">
      <c r="A3721" s="31" t="s">
        <v>8995</v>
      </c>
      <c r="B3721" s="27" t="s">
        <v>8996</v>
      </c>
      <c r="C3721" s="27" t="s">
        <v>8997</v>
      </c>
      <c r="D3721" s="33" t="s">
        <v>14</v>
      </c>
      <c r="E3721" s="9"/>
      <c r="F3721" s="32"/>
      <c r="G3721" s="10">
        <v>37804</v>
      </c>
      <c r="H3721" s="30" t="str">
        <f ca="1">IFERROR(__xludf.DUMMYFUNCTION("LOWER(REGEXREPLACE(B3721&amp;"" ""&amp;C3721,""[^а-яa-z0-9 ]"","" ""))")," умба под телевизор 640х450х600 мм       16мм  умба с 2 мя дверьми и открытой нишей   азмеры 640х450х600 мм       16мм")</f>
        <v xml:space="preserve"> умба под телевизор 640х450х600 мм       16мм  умба с 2 мя дверьми и открытой нишей   азмеры 640х450х600 мм       16мм</v>
      </c>
    </row>
    <row r="3722" spans="1:8" ht="25.5" x14ac:dyDescent="0.2">
      <c r="A3722" s="31" t="s">
        <v>8998</v>
      </c>
      <c r="B3722" s="27" t="s">
        <v>8999</v>
      </c>
      <c r="C3722" s="27" t="s">
        <v>8999</v>
      </c>
      <c r="D3722" s="33" t="s">
        <v>14</v>
      </c>
      <c r="E3722" s="34">
        <v>2</v>
      </c>
      <c r="F3722" s="34">
        <v>10</v>
      </c>
      <c r="G3722" s="10">
        <v>18112</v>
      </c>
      <c r="H3722" s="30" t="str">
        <f ca="1">IFERROR(__xludf.DUMMYFUNCTION("LOWER(REGEXREPLACE(B3722&amp;"" ""&amp;C3722,""[^а-яa-z0-9 ]"","" ""))")," умба мобильная на колесах  3 выдвижных ящика       16 мм  размер 442х534х628мм  умба мобильная на колесах  3 выдвижных ящика       16 мм  размер 442х534х628мм")</f>
        <v xml:space="preserve"> умба мобильная на колесах  3 выдвижных ящика       16 мм  размер 442х534х628мм  умба мобильная на колесах  3 выдвижных ящика       16 мм  размер 442х534х628мм</v>
      </c>
    </row>
    <row r="3723" spans="1:8" ht="51" x14ac:dyDescent="0.2">
      <c r="A3723" s="31" t="s">
        <v>9000</v>
      </c>
      <c r="B3723" s="27" t="s">
        <v>9001</v>
      </c>
      <c r="C3723" s="27" t="s">
        <v>9002</v>
      </c>
      <c r="D3723" s="33" t="s">
        <v>14</v>
      </c>
      <c r="E3723" s="34">
        <v>2</v>
      </c>
      <c r="F3723" s="34">
        <v>51</v>
      </c>
      <c r="G3723" s="10">
        <v>86709</v>
      </c>
      <c r="H3723" s="30" t="str">
        <f ca="1">IFERROR(__xludf.DUMMYFUNCTION("LOWER(REGEXREPLACE(B3723&amp;"" ""&amp;C3723,""[^а-яa-z0-9 ]"","" ""))")," тол тумба 800х600х860мм  атериал        толщиной 16 мм   урнитура  конфирматы  стяжка       полкодержатель металлический  без пластиковых элементов   роликовые направляющие  ручка   ромки деталей облицованы полимерным кромочным материалам        толщиной"&amp;" 1 5 мм  с 3 мя выдвижными ящиками ")</f>
        <v xml:space="preserve"> тол тумба 800х600х860мм  атериал        толщиной 16 мм   урнитура  конфирматы  стяжка       полкодержатель металлический  без пластиковых элементов   роликовые направляющие  ручка   ромки деталей облицованы полимерным кромочным материалам        толщиной 1 5 мм  с 3 мя выдвижными ящиками </v>
      </c>
    </row>
    <row r="3724" spans="1:8" ht="63.75" x14ac:dyDescent="0.2">
      <c r="A3724" s="31" t="s">
        <v>9003</v>
      </c>
      <c r="B3724" s="27" t="s">
        <v>9004</v>
      </c>
      <c r="C3724" s="27" t="s">
        <v>9005</v>
      </c>
      <c r="D3724" s="33" t="s">
        <v>14</v>
      </c>
      <c r="E3724" s="34">
        <v>2</v>
      </c>
      <c r="F3724" s="34">
        <v>48</v>
      </c>
      <c r="G3724" s="10">
        <v>53604</v>
      </c>
      <c r="H3724" s="30" t="str">
        <f ca="1">IFERROR(__xludf.DUMMYFUNCTION("LOWER(REGEXREPLACE(B3724&amp;"" ""&amp;C3724,""[^а-яa-z0-9 ]"","" ""))")," умба под музыкальный центр 1000х500х500 мм  атериал        толщиной 16 мм   ромки деталей облицованы полимерным кромочным материалам        толщиной 1 5 мм   с 2 мя дверями и открытой полкой   урнитура  конфирматы  стяжка       полкодержатель металл   бе"&amp;"з пластиковых элементов   ручка 128 мм   без острых углов   навес мебельный       ножка мебельная   меется два отделения")</f>
        <v xml:space="preserve"> умба под музыкальный центр 1000х500х500 мм  атериал        толщиной 16 мм   ромки деталей облицованы полимерным кромочным материалам        толщиной 1 5 мм   с 2 мя дверями и открытой полкой   урнитура  конфирматы  стяжка       полкодержатель металл   без пластиковых элементов   ручка 128 мм   без острых углов   навес мебельный       ножка мебельная   меется два отделения</v>
      </c>
    </row>
    <row r="3725" spans="1:8" ht="38.25" x14ac:dyDescent="0.2">
      <c r="A3725" s="31" t="s">
        <v>9006</v>
      </c>
      <c r="B3725" s="27" t="s">
        <v>9007</v>
      </c>
      <c r="C3725" s="27" t="s">
        <v>9008</v>
      </c>
      <c r="D3725" s="33" t="s">
        <v>14</v>
      </c>
      <c r="E3725" s="34">
        <v>2</v>
      </c>
      <c r="F3725" s="35">
        <v>51.3</v>
      </c>
      <c r="G3725" s="10">
        <v>56152</v>
      </c>
      <c r="H3725" s="30" t="str">
        <f ca="1">IFERROR(__xludf.DUMMYFUNCTION("LOWER(REGEXREPLACE(B3725&amp;"" ""&amp;C3725,""[^а-яa-z0-9 ]"","" ""))")," умба универсальная 1180х490х660мм  3 выдвижных ящика  одна дверь распашная  умба универсальная   ирина   1180мм  глубина   490мм  высота   660мм   оп из      32мм  каркас выполнен из      16мм   орцы облицованы кромкой     толщиной 2мм   учки металлическ"&amp;"ие ")</f>
        <v xml:space="preserve"> умба универсальная 1180х490х660мм  3 выдвижных ящика  одна дверь распашная  умба универсальная   ирина   1180мм  глубина   490мм  высота   660мм   оп из      32мм  каркас выполнен из      16мм   орцы облицованы кромкой     толщиной 2мм   учки металлические </v>
      </c>
    </row>
    <row r="3726" spans="1:8" ht="63.75" x14ac:dyDescent="0.2">
      <c r="A3726" s="31" t="s">
        <v>9009</v>
      </c>
      <c r="B3726" s="27" t="s">
        <v>9010</v>
      </c>
      <c r="C3726" s="27" t="s">
        <v>9011</v>
      </c>
      <c r="D3726" s="33" t="s">
        <v>14</v>
      </c>
      <c r="E3726" s="34">
        <v>2</v>
      </c>
      <c r="F3726" s="35">
        <v>27.4</v>
      </c>
      <c r="G3726" s="10">
        <v>36894</v>
      </c>
      <c r="H3726" s="30" t="str">
        <f ca="1">IFERROR(__xludf.DUMMYFUNCTION("LOWER(REGEXREPLACE(B3726&amp;"" ""&amp;C3726,""[^а-яa-z0-9 ]"","" ""))")," умба мобильная на колесах 400х500х640мм  3 выдвижных ящика  центральный замок       16мм  ирина   400мм  глубина   500мм  высота   640мм   оп из      16мм  каркас выполнен из      16мм   орцы облицованы кромкой     толщиной 2мм   умба имеет 3 выдвижных я"&amp;"щика  установленных на шариковые  направляющие   умба устанавливается на колесные опоры   учки металлические ")</f>
        <v xml:space="preserve"> умба мобильная на колесах 400х500х640мм  3 выдвижных ящика  центральный замок       16мм  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направляющие   умба устанавливается на колесные опоры   учки металлические </v>
      </c>
    </row>
    <row r="3727" spans="1:8" ht="38.25" x14ac:dyDescent="0.2">
      <c r="A3727" s="31" t="s">
        <v>9012</v>
      </c>
      <c r="B3727" s="27" t="s">
        <v>9013</v>
      </c>
      <c r="C3727" s="27" t="s">
        <v>9014</v>
      </c>
      <c r="D3727" s="33" t="s">
        <v>14</v>
      </c>
      <c r="E3727" s="34">
        <v>2</v>
      </c>
      <c r="F3727" s="34">
        <v>15</v>
      </c>
      <c r="G3727" s="10">
        <v>53044</v>
      </c>
      <c r="H3727" s="30" t="str">
        <f ca="1">IFERROR(__xludf.DUMMYFUNCTION("LOWER(REGEXREPLACE(B3727&amp;"" ""&amp;C3727,""[^а-яa-z0-9 ]"","" ""))")," умба мобильная на колесах 400х500х550мм  3 выдвижных ящика       18мм  умба мобильная на колесах 400х500х550мм  3 выдвижных ящика       18мм   орцевые кромки облицованы материалом кромочным из     толщиной 1 мм в цвет ")</f>
        <v xml:space="preserve"> умба мобильная на колесах 400х500х550мм  3 выдвижных ящика       18мм  умба мобильная на колесах 400х500х550мм  3 выдвижных ящика       18мм   орцевые кромки облицованы материалом кромочным из     толщиной 1 мм в цвет </v>
      </c>
    </row>
    <row r="3728" spans="1:8" ht="38.25" x14ac:dyDescent="0.2">
      <c r="A3728" s="31" t="s">
        <v>9015</v>
      </c>
      <c r="B3728" s="27" t="s">
        <v>9016</v>
      </c>
      <c r="C3728" s="27" t="s">
        <v>9017</v>
      </c>
      <c r="D3728" s="33" t="s">
        <v>14</v>
      </c>
      <c r="E3728" s="34">
        <v>2</v>
      </c>
      <c r="F3728" s="34">
        <v>36</v>
      </c>
      <c r="G3728" s="10">
        <v>50500</v>
      </c>
      <c r="H3728" s="30" t="str">
        <f ca="1">IFERROR(__xludf.DUMMYFUNCTION("LOWER(REGEXREPLACE(B3728&amp;"" ""&amp;C3728,""[^а-яa-z0-9 ]"","" ""))")," умба мобильная на колесах 600х600х500мм  3 выдвижных ящика       16мм  умба мобильная на колесах 600х600х500мм   умба изготовлена из      толщиной 16 мм   абаритные размеры тумбы 600х600х500 мм   умба имеет 4 колесиков для передвижения ")</f>
        <v xml:space="preserve"> умба мобильная на колесах 600х600х500мм  3 выдвижных ящика       16мм  умба мобильная на колесах 600х600х500мм   умба изготовлена из      толщиной 16 мм   абаритные размеры тумбы 600х600х500 мм   умба имеет 4 колесиков для передвижения </v>
      </c>
    </row>
    <row r="3729" spans="1:8" ht="102" x14ac:dyDescent="0.2">
      <c r="A3729" s="31" t="s">
        <v>9018</v>
      </c>
      <c r="B3729" s="27" t="s">
        <v>9019</v>
      </c>
      <c r="C3729" s="27" t="s">
        <v>9020</v>
      </c>
      <c r="D3729" s="33" t="s">
        <v>68</v>
      </c>
      <c r="E3729" s="34">
        <v>2</v>
      </c>
      <c r="F3729" s="34">
        <v>37</v>
      </c>
      <c r="G3729" s="10">
        <v>47351</v>
      </c>
      <c r="H3729" s="30" t="str">
        <f ca="1">IFERROR(__xludf.DUMMYFUNCTION("LOWER(REGEXREPLACE(B3729&amp;"" ""&amp;C3729,""[^а-яa-z0-9 ]"","" ""))")," есто дневального   умбочка 602х450х1000мм  подставка 450х450х150мм   атериал корпуса  полок и дверей из      16 мм   адняя стенка из ламинированного     5 мм  адняя стенка ламинированный     1го класса толщиной 5 мм   ромка     с использованием высокотем"&amp;"пературного клея   ерекладина  полки для головного убора и обуви   а дверях по 2 петли и по 1 ручке  замок   орпус соединяется с помощью системой эксцентриковой стяжки минификс   а боковых стенках  верхней и нижней детали шкафа фрезеруется канал  в котору"&amp;"ю монтируется задняя стенка   ля предотвращения воздействия воды и влаги на шкаф предусмотрены 4 ножки высотой 5 см")</f>
        <v xml:space="preserve"> есто дневального   умбочка 602х450х1000мм  подставка 450х450х150мм   атериал корпуса  полок и дверей из      16 мм   адняя стенка из ламинированного     5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2 петли и по 1 ручке  замок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v>
      </c>
    </row>
    <row r="3730" spans="1:8" ht="25.5" x14ac:dyDescent="0.2">
      <c r="A3730" s="31" t="s">
        <v>9021</v>
      </c>
      <c r="B3730" s="27" t="s">
        <v>9022</v>
      </c>
      <c r="C3730" s="27"/>
      <c r="D3730" s="33" t="s">
        <v>14</v>
      </c>
      <c r="E3730" s="9"/>
      <c r="F3730" s="32"/>
      <c r="G3730" s="10"/>
      <c r="H3730" s="30" t="str">
        <f ca="1">IFERROR(__xludf.DUMMYFUNCTION("LOWER(REGEXREPLACE(B3730&amp;"" ""&amp;C3730,""[^а-яa-z0-9 ]"","" ""))")," ндивидуальный шкаф для хранения учебников  сменной обуви и спортивных принадлежностей ")</f>
        <v xml:space="preserve"> ндивидуальный шкаф для хранения учебников  сменной обуви и спортивных принадлежностей </v>
      </c>
    </row>
    <row r="3731" spans="1:8" ht="25.5" x14ac:dyDescent="0.2">
      <c r="A3731" s="31" t="s">
        <v>9023</v>
      </c>
      <c r="B3731" s="27" t="s">
        <v>9024</v>
      </c>
      <c r="C3731" s="27"/>
      <c r="D3731" s="33" t="s">
        <v>14</v>
      </c>
      <c r="E3731" s="9"/>
      <c r="F3731" s="32"/>
      <c r="G3731" s="10">
        <v>109227</v>
      </c>
      <c r="H3731" s="30" t="str">
        <f ca="1">IFERROR(__xludf.DUMMYFUNCTION("LOWER(REGEXREPLACE(B3731&amp;"" ""&amp;C3731,""[^а-яa-z0-9 ]"","" ""))")," каф локер в 2 уровня на 8 ячеек 1600х400х752 мм ")</f>
        <v xml:space="preserve"> каф локер в 2 уровня на 8 ячеек 1600х400х752 мм </v>
      </c>
    </row>
    <row r="3732" spans="1:8" ht="25.5" x14ac:dyDescent="0.2">
      <c r="A3732" s="31" t="s">
        <v>9025</v>
      </c>
      <c r="B3732" s="27" t="s">
        <v>9026</v>
      </c>
      <c r="C3732" s="27"/>
      <c r="D3732" s="33" t="s">
        <v>14</v>
      </c>
      <c r="E3732" s="9"/>
      <c r="F3732" s="32"/>
      <c r="G3732" s="10">
        <v>155841</v>
      </c>
      <c r="H3732" s="30" t="str">
        <f ca="1">IFERROR(__xludf.DUMMYFUNCTION("LOWER(REGEXREPLACE(B3732&amp;"" ""&amp;C3732,""[^а-яa-z0-9 ]"","" ""))")," каф локер в 3 уровня на 12 ячеек 1600х400х1102 мм ")</f>
        <v xml:space="preserve"> каф локер в 3 уровня на 12 ячеек 1600х400х1102 мм </v>
      </c>
    </row>
    <row r="3733" spans="1:8" ht="25.5" x14ac:dyDescent="0.2">
      <c r="A3733" s="31" t="s">
        <v>9027</v>
      </c>
      <c r="B3733" s="27" t="s">
        <v>9028</v>
      </c>
      <c r="C3733" s="27"/>
      <c r="D3733" s="33" t="s">
        <v>14</v>
      </c>
      <c r="E3733" s="9"/>
      <c r="F3733" s="32"/>
      <c r="G3733" s="10">
        <v>202386</v>
      </c>
      <c r="H3733" s="30" t="str">
        <f ca="1">IFERROR(__xludf.DUMMYFUNCTION("LOWER(REGEXREPLACE(B3733&amp;"" ""&amp;C3733,""[^а-яa-z0-9 ]"","" ""))")," каф локер в 4 уровня на 16 ячеек 1600х400х1452 мм ")</f>
        <v xml:space="preserve"> каф локер в 4 уровня на 16 ячеек 1600х400х1452 мм </v>
      </c>
    </row>
    <row r="3734" spans="1:8" ht="25.5" x14ac:dyDescent="0.2">
      <c r="A3734" s="31" t="s">
        <v>9029</v>
      </c>
      <c r="B3734" s="27" t="s">
        <v>9030</v>
      </c>
      <c r="C3734" s="27"/>
      <c r="D3734" s="33" t="s">
        <v>14</v>
      </c>
      <c r="E3734" s="9"/>
      <c r="F3734" s="32"/>
      <c r="G3734" s="10">
        <v>248677</v>
      </c>
      <c r="H3734" s="30" t="str">
        <f ca="1">IFERROR(__xludf.DUMMYFUNCTION("LOWER(REGEXREPLACE(B3734&amp;"" ""&amp;C3734,""[^а-яa-z0-9 ]"","" ""))")," каф локер в 5 уровней на 20 ячеек 1600х400х1802 мм ")</f>
        <v xml:space="preserve"> каф локер в 5 уровней на 20 ячеек 1600х400х1802 мм </v>
      </c>
    </row>
    <row r="3735" spans="1:8" ht="76.5" x14ac:dyDescent="0.2">
      <c r="A3735" s="31" t="s">
        <v>9031</v>
      </c>
      <c r="B3735" s="27" t="s">
        <v>9032</v>
      </c>
      <c r="C3735" s="27" t="s">
        <v>9033</v>
      </c>
      <c r="D3735" s="33" t="s">
        <v>14</v>
      </c>
      <c r="E3735" s="34">
        <v>2</v>
      </c>
      <c r="F3735" s="34">
        <v>46</v>
      </c>
      <c r="G3735" s="10">
        <v>84262</v>
      </c>
      <c r="H3735" s="30" t="str">
        <f ca="1">IFERROR(__xludf.DUMMYFUNCTION("LOWER(REGEXREPLACE(B3735&amp;"" ""&amp;C3735,""[^а-яa-z0-9 ]"","" ""))")," каф локер металлический с электронным замком  размер 300х500х1900мм  абаритный размер  высота 1900мм  ширина 300мм  глубина 500мм   орпус и двери выполнены из пракатоной стали толщиной 1 2 мм  двери оснащены электронными замками   нутри шкафа имеются пол"&amp;"ки для головных уборов  под обувь  а также крючки для одежды   а верхней и нижней части двери имеются винтеляционные отверстия   окрытие шкафа полимерно порошковая краска   вет по согласованию с заказчиком ")</f>
        <v xml:space="preserve"> каф локер металлический с электронным замком  размер 300х500х1900мм  абаритный размер  высота 1900мм  ширина 300мм  глубина 500мм   орпус и двери выполнены из пракатоной стали толщиной 1 2 мм  двери оснащены электронными замками   нутри шкафа имеются полки для головных уборов  под обувь  а также крючки для одежды   а верхней и нижней части двери имеются винтеляционные отверстия   окрытие шкафа полимерно порошковая краска   вет по согласованию с заказчиком </v>
      </c>
    </row>
    <row r="3736" spans="1:8" ht="114.75" x14ac:dyDescent="0.2">
      <c r="A3736" s="31" t="s">
        <v>9034</v>
      </c>
      <c r="B3736" s="27" t="s">
        <v>9035</v>
      </c>
      <c r="C3736" s="27" t="s">
        <v>9036</v>
      </c>
      <c r="D3736" s="33" t="s">
        <v>14</v>
      </c>
      <c r="E3736" s="34">
        <v>2</v>
      </c>
      <c r="F3736" s="34">
        <v>100</v>
      </c>
      <c r="G3736" s="10">
        <v>252189</v>
      </c>
      <c r="H3736" s="30" t="str">
        <f ca="1">IFERROR(__xludf.DUMMYFUNCTION("LOWER(REGEXREPLACE(B3736&amp;"" ""&amp;C3736,""[^а-яa-z0-9 ]"","" ""))")," каф локер металлический с электронным замком в 2 уровня на 8 секций  размер 1200х500х1900мм  абаритный размер  высота 1900мм  ширина 1200мм  глубина 500мм   каф имеет восемь секции  разделенные на два яруса   аждый ярус разделен на два отсека   ерхний от"&amp;"сек предназначен для хранения головных уборов и личных предметов   ижний отсек оснащен четырьмя крючками для хранения одежды   еталлический шкаф  предназначен для хранения одежды или спецодежды и других личных предметов и вещей   кафы оснащены электронным"&amp;"и замками   а верхней и нижней части двери имеются винтеляционные отверстия   окрытие шкафа полимерно порошковая краска ")</f>
        <v xml:space="preserve"> каф локер металлический с электронным замком в 2 уровня на 8 секций  размер 1200х500х1900мм  абаритный размер  высота 1900мм  ширина 1200мм  глубина 500мм   каф имеет восемь секции  разделенные на два яруса   аждый ярус разделен на два отсека   ерхний отсек предназначен для хранения головных уборов и личных предметов   ижний отсек оснащен четырьмя крючками для хранения одежды   еталлический шкаф  предназначен для хранения одежды или спецодежды и других личных предметов и вещей   кафы оснащены электронными замками   а верхней и нижней части двери имеются винтеляционные отверстия   окрытие шкафа полимерно порошковая краска </v>
      </c>
    </row>
    <row r="3737" spans="1:8" ht="51" x14ac:dyDescent="0.2">
      <c r="A3737" s="31" t="s">
        <v>9037</v>
      </c>
      <c r="B3737" s="27" t="s">
        <v>9038</v>
      </c>
      <c r="C3737" s="27" t="s">
        <v>9039</v>
      </c>
      <c r="D3737" s="33" t="s">
        <v>14</v>
      </c>
      <c r="E3737" s="34">
        <v>2</v>
      </c>
      <c r="F3737" s="34">
        <v>145</v>
      </c>
      <c r="G3737" s="10">
        <v>351069</v>
      </c>
      <c r="H3737" s="30" t="str">
        <f ca="1">IFERROR(__xludf.DUMMYFUNCTION("LOWER(REGEXREPLACE(B3737&amp;"" ""&amp;C3737,""[^а-яa-z0-9 ]"","" ""))")," каф локер 4 уровня на 16 ячеек 1200х500х1800мм  аркас      16 мм  кромка     2 мм  задняя стенка          печать   поры 3 см  мебельные замки  внутри петли   вета  серый  красный  желтый  синий   абариты       1200 500 1800 мм состоит из 16 ящиков в четы"&amp;"ре уровня   азмер каждого ящика       300 500 450мм   рисутствует    печать на дверях")</f>
        <v xml:space="preserve"> каф локер 4 уровня на 16 ячеек 1200х500х1800мм  аркас      16 мм  кромка     2 мм  задняя стенка          печать   поры 3 см  мебельные замки  внутри петли   вета  серый  красный  желтый  синий   абариты       1200 500 1800 мм состоит из 16 ящиков в четыре уровня   азмер каждого ящика       300 500 450мм   рисутствует    печать на дверях</v>
      </c>
    </row>
    <row r="3738" spans="1:8" ht="242.25" x14ac:dyDescent="0.2">
      <c r="A3738" s="31" t="s">
        <v>9040</v>
      </c>
      <c r="B3738" s="27" t="s">
        <v>9041</v>
      </c>
      <c r="C3738" s="27" t="s">
        <v>9042</v>
      </c>
      <c r="D3738" s="33" t="s">
        <v>14</v>
      </c>
      <c r="E3738" s="34">
        <v>2</v>
      </c>
      <c r="F3738" s="34">
        <v>89</v>
      </c>
      <c r="G3738" s="10">
        <v>498586</v>
      </c>
      <c r="H3738" s="30" t="str">
        <f ca="1">IFERROR(__xludf.DUMMYFUNCTION("LOWER(REGEXREPLACE(B3738&amp;"" ""&amp;C3738,""[^а-яa-z0-9 ]"","" ""))")," каф локер для одежды металлический на 16 ячеек  размер 1200х500х1800мм  океры в четыре уровня из 16 ячеек   абаритные размеры  длина 1200мм  высота1800мм  ширина 500мм   вет основание и боковые панели  al 7044   вет панели ячеек  al 7044   al 5012   al 1"&amp;"02   зделие производится из холодно катонного металла толщиной 0 7мм и 0 8 мм с ребрами жесткости   етали из х к 0 8 мм  каркас  боковые панели  нижняяпанель дно   дверь   етали из х к 0 7мм  внутренняя панель промежуточная   задняя панель и верхняя панел"&amp;"ь   лементы конструкции изготавливаются с ребрами жесткости  деталь как нижняя панель  дно  конструкции имеет дополнительные сварные усилители   зделие изготавливается из отдельных сегментов  сборку конструкции производится на объекте   окрытие основания "&amp;"и боковых панелей полимерной порошковой краской  al 7044   окрытие ячеек двери полимерной порошковой краской  al 7044   al 5012   al 1021   амок металлический двери ячеек с высокой секретностью 1 2000 с 2 мя ключами   познавательная печать на самоклеящемс"&amp;"я материале орокале в виде текстов неправильных глаголов   имические элементы  флаги стран  ноты и музыкальные произведения   аркас шкафа цельно листовой   переди шкафа каркас цельно  листовой   чейка рамки из листового металла  производится из холодного "&amp;"катоннового маталла   азмер каждой ячейки 300х450мм")</f>
        <v xml:space="preserve"> каф локер для одежды металлический на 16 ячеек  размер 1200х500х1800мм  океры в четыре уровня из 16 ячеек   абаритные размеры  длина 1200мм  высота1800мм  ширина 500мм   вет основание и боковые панели  al 7044   вет панели ячеек  al 7044   al 5012   al 102   зделие производится из холодно катонного металла толщиной 0 7мм и 0 8 мм с ребрами жесткости   етали из х к 0 8 мм  каркас  боковые панели  нижняяпанель дно   дверь   етали из х к 0 7мм  внутренняя панель промежуточная   задняя панель и верхняя панель   лементы конструкции изготавливаются с ребрами жесткости  деталь как нижняя панель  дно  конструкции имеет дополнительные сварные усилители   зделие изготавливается из отдельных сегментов  сборку конструкции производится на объекте   окрытие основания и боковых панелей полимерной порошковой краской  al 7044   окрытие ячеек двери полимерной порошковой краской  al 7044   al 5012   al 1021   амок металлический двери ячеек с высокой секретностью 1 2000 с 2 мя ключами   познавательная печать на самоклеящемся материале орокале в виде текстов неправильных глаголов   имические элементы  флаги стран  ноты и музыкальные произведения   аркас шкафа цельно листовой   переди шкафа каркас цельно  листовой   чейка рамки из листового металла  производится из холодного катоннового маталла   азмер каждой ячейки 300х450мм</v>
      </c>
    </row>
    <row r="3739" spans="1:8" ht="89.25" x14ac:dyDescent="0.2">
      <c r="A3739" s="31" t="s">
        <v>9043</v>
      </c>
      <c r="B3739" s="27" t="s">
        <v>9044</v>
      </c>
      <c r="C3739" s="27" t="s">
        <v>9045</v>
      </c>
      <c r="D3739" s="33" t="s">
        <v>14</v>
      </c>
      <c r="E3739" s="34">
        <v>2</v>
      </c>
      <c r="F3739" s="34">
        <v>46</v>
      </c>
      <c r="G3739" s="10">
        <v>296754</v>
      </c>
      <c r="H3739" s="30" t="str">
        <f ca="1">IFERROR(__xludf.DUMMYFUNCTION("LOWER(REGEXREPLACE(B3739&amp;"" ""&amp;C3739,""[^а-яa-z0-9 ]"","" ""))")," каф металлический четырехсекционный 1230х1250х500мм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фаса"&amp;"дная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1230 1250 500 мм  имеется перекладина для верхгей отежды  а так жде полка по"&amp;"д головные уборы")</f>
        <v xml:space="preserve"> каф металлический четырехсекционный 1230х1250х500мм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1230 1250 500 мм  имеется перекладина для верхгей отежды  а так жде полка под головные уборы</v>
      </c>
    </row>
    <row r="3740" spans="1:8" ht="89.25" x14ac:dyDescent="0.2">
      <c r="A3740" s="31" t="s">
        <v>9046</v>
      </c>
      <c r="B3740" s="27" t="s">
        <v>9047</v>
      </c>
      <c r="C3740" s="27" t="s">
        <v>9048</v>
      </c>
      <c r="D3740" s="33" t="s">
        <v>14</v>
      </c>
      <c r="E3740" s="34">
        <v>2</v>
      </c>
      <c r="F3740" s="34">
        <v>54</v>
      </c>
      <c r="G3740" s="10">
        <v>534040</v>
      </c>
      <c r="H3740" s="30" t="str">
        <f ca="1">IFERROR(__xludf.DUMMYFUNCTION("LOWER(REGEXREPLACE(B3740&amp;"" ""&amp;C3740,""[^а-яa-z0-9 ]"","" ""))")," каф металлический восьмисекционный 1900х1250х500 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фаса"&amp;"дная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1900 1250 500 мм  имеется перекладина для верхгей отежды  а так жде полка по"&amp;"д головные уборы")</f>
        <v xml:space="preserve"> каф металлический восьмисекционный 1900х1250х500 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1900 1250 500 мм  имеется перекладина для верхгей отежды  а так жде полка под головные уборы</v>
      </c>
    </row>
    <row r="3741" spans="1:8" ht="140.25" x14ac:dyDescent="0.2">
      <c r="A3741" s="31" t="s">
        <v>9049</v>
      </c>
      <c r="B3741" s="27" t="s">
        <v>9050</v>
      </c>
      <c r="C3741" s="27" t="s">
        <v>9051</v>
      </c>
      <c r="D3741" s="33" t="s">
        <v>14</v>
      </c>
      <c r="E3741" s="34">
        <v>2</v>
      </c>
      <c r="F3741" s="34">
        <v>54</v>
      </c>
      <c r="G3741" s="10">
        <v>260974</v>
      </c>
      <c r="H3741" s="30" t="str">
        <f ca="1">IFERROR(__xludf.DUMMYFUNCTION("LOWER(REGEXREPLACE(B3741&amp;"" ""&amp;C3741,""[^а-яa-z0-9 ]"","" ""))")," каф локер 4 уровня на 16 ячеек 1200х500х1800мм   атериал корпуса  полок  дверей      16 мм   адняя стенка из ламинированного     5мм  атериал корпуса  полок  выдвижных ящиков       толщина      16 мм   адняя стенка и нижняя часть выдвижных ящиков ламинир"&amp;"ованный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и фиксированные полки сое"&amp;"диняются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но ящиков соединятется таким же способом фрезерования канала канала   ля предотвращения "&amp;"воздействия воды и влаги на шкаф предусмотрены 4 ножки высотой 5 см   абариты       1200 500 1800мм состоит из 16 ящиков  в четыре уровня   азмер каждого ящика       300 500 450мм")</f>
        <v xml:space="preserve"> каф локер 4 уровня на 16 ячеек 1200х500х1800мм   атериал корпуса  полок  дверей      16 мм   адняя стенка из ламинированного     5мм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но ящиков соединятется таким же способом фрезерования канала канала   ля предотвращения воздействия воды и влаги на шкаф предусмотрены 4 ножки высотой 5 см   абариты       1200 500 1800мм состоит из 16 ящиков  в четыре уровня   азмер каждого ящика       300 500 450мм</v>
      </c>
    </row>
    <row r="3742" spans="1:8" ht="114.75" x14ac:dyDescent="0.2">
      <c r="A3742" s="31" t="s">
        <v>9052</v>
      </c>
      <c r="B3742" s="27" t="s">
        <v>9053</v>
      </c>
      <c r="C3742" s="27" t="s">
        <v>9054</v>
      </c>
      <c r="D3742" s="33" t="s">
        <v>14</v>
      </c>
      <c r="E3742" s="34">
        <v>2</v>
      </c>
      <c r="F3742" s="34">
        <v>98</v>
      </c>
      <c r="G3742" s="10">
        <v>611171</v>
      </c>
      <c r="H3742" s="30" t="str">
        <f ca="1">IFERROR(__xludf.DUMMYFUNCTION("LOWER(REGEXREPLACE(B3742&amp;"" ""&amp;C3742,""[^а-яa-z0-9 ]"","" ""))")," каф локер 4 уровня на 28 ячеек 5500х500х1800мм   атериал корпуса  полок  дверей      16 мм   адняя стенка из ламинированного     5мм  каф с индивидуальными ячейками в четыре уровня по высоте   атериал корпуса  полок и дверей       толщина      16 мм   ад"&amp;"няя стенка ламинированный     1го класса толщиной 5 мм   ромка     с использованием высокотемпературного клея   а дверях по 2 петли и по 1 ручке  замок   орпус  соединяются с помощью системой эксцентриковой стяжки минификс   а боковых стенках  верхней и н"&amp;"ижней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5500 500")</f>
        <v xml:space="preserve"> каф локер 4 уровня на 28 ячеек 5500х500х1800мм   атериал корпуса  полок  дверей      16 мм   адняя стенка из ламинированного     5мм  каф с индивидуальными ячейками в четыре уровня по высоте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2 петли и по 1 ручке  замок   орпус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5500 500</v>
      </c>
    </row>
    <row r="3743" spans="1:8" ht="165.75" x14ac:dyDescent="0.2">
      <c r="A3743" s="31" t="s">
        <v>9055</v>
      </c>
      <c r="B3743" s="27" t="s">
        <v>9056</v>
      </c>
      <c r="C3743" s="27" t="s">
        <v>9057</v>
      </c>
      <c r="D3743" s="33" t="s">
        <v>14</v>
      </c>
      <c r="E3743" s="34">
        <v>2</v>
      </c>
      <c r="F3743" s="34">
        <v>208</v>
      </c>
      <c r="G3743" s="10">
        <v>303084</v>
      </c>
      <c r="H3743" s="30" t="str">
        <f ca="1">IFERROR(__xludf.DUMMYFUNCTION("LOWER(REGEXREPLACE(B3743&amp;"" ""&amp;C3743,""[^а-яa-z0-9 ]"","" ""))")," каф локер 4 уровня на 36 ячеек с замками  размеры 3600х400х1630 мм  олжен состоять из 3 шкафов   ва боковых должны иметь 12 ячеек  закрытых дверками   верцы должны быть сзакругленными углами  иметь ручки и внутренний замок   абаритные размеры каждой шкаф"&amp;"а не менее  длина   1200 мм  глубина   400 мм  высота   1630 мм   редняя секция должна быть с 4 открытыми и 8 закрытыми ячейкам  дверцы которых также с закругленными углами  ручками и внутренним замком   абаритные размеры не менее  длина   1200 мм  глубин"&amp;"а   400 мм  высота   1630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етля"&amp;" для дверок должна быть внешняя с европланкой и функцией  softclose    ебельные ножки должны регулироваться по высоте для компенсации неровностей пола ")</f>
        <v xml:space="preserve"> каф локер 4 уровня на 36 ячеек с замками  размеры 3600х400х1630 мм  олжен состоять из 3 шкафов   ва боковых должны иметь 12 ячеек  закрытых дверками   верцы должны быть сзакругленными углами  иметь ручки и внутренний замок   абаритные размеры каждой шкафа не менее  длина   1200 мм  глубина   400 мм  высота   1630 мм   редняя секция должна быть с 4 открытыми и 8 закрытыми ячейкам  дверцы которых также с закругленными углами  ручками и внутренним замком   абаритные размеры не менее  длина   1200 мм  глубина   400 мм  высота   1630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компенсации неровностей пола </v>
      </c>
    </row>
    <row r="3744" spans="1:8" ht="153" x14ac:dyDescent="0.2">
      <c r="A3744" s="31" t="s">
        <v>9058</v>
      </c>
      <c r="B3744" s="27" t="s">
        <v>9059</v>
      </c>
      <c r="C3744" s="27" t="s">
        <v>9060</v>
      </c>
      <c r="D3744" s="33" t="s">
        <v>14</v>
      </c>
      <c r="E3744" s="34">
        <v>2</v>
      </c>
      <c r="F3744" s="34">
        <v>31</v>
      </c>
      <c r="G3744" s="10">
        <v>79799</v>
      </c>
      <c r="H3744" s="30" t="str">
        <f ca="1">IFERROR(__xludf.DUMMYFUNCTION("LOWER(REGEXREPLACE(B3744&amp;"" ""&amp;C3744,""[^а-яa-z0-9 ]"","" ""))")," каф локер металлический на четыре отсека вертикальной и горизонтальной панелью  размеры 570х500х1840 мм  атериал изготовления листовой металл толщиной не менее 0 5 мм  окрашен эпоксидно полиэфирной порошковой краской   вет по согласованию с заказчиком по"&amp;" каталогу       се элемент изготовлены по технологии лазерной резки и гибка на листогибе для формирования углов и профилей   каф поделен на четыре отсека вертикальной и горизонтальной панелью  которые закрываются дверью   а дверях имеются вентиляционные в"&amp;"ырезы  а также внутренняя панель усилитель  которая крепится к двери с помощью точечной сварки   аждая дверь оснащена механическим замком и петлями    каждом отдели имеется штанга для одежды   се элементы шкафа с помощью гибки металла выполнены в виде уто"&amp;"лщенных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f>
        <v xml:space="preserve"> каф локер металлический на четыре отсека вертикальной и горизонтальной панелью  размеры 570х500х1840 мм  атериал изготовления листовой металл толщиной не менее 0 5 мм  окрашен эпоксидно полиэфирной порошковой краской   вет по согласованию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четыре отсека вертикальной и горизонтальной панелью  которые закрываются дверью   а дверях имеются вентиляционные вырезы  а также внутренняя панель усилитель  которая крепится к двери с помощью точечной сварки   аждая дверь оснащена механическим замком и петлями    каждом отдели имеется штанга для одежды   се элементы шкафа с помощью гибки металла выполнены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v>
      </c>
    </row>
    <row r="3745" spans="1:8" ht="12.75" x14ac:dyDescent="0.2">
      <c r="A3745" s="31" t="s">
        <v>9061</v>
      </c>
      <c r="B3745" s="27" t="s">
        <v>9062</v>
      </c>
      <c r="C3745" s="27"/>
      <c r="D3745" s="33" t="s">
        <v>68</v>
      </c>
      <c r="E3745" s="9"/>
      <c r="F3745" s="32"/>
      <c r="G3745" s="10"/>
      <c r="H3745" s="30" t="str">
        <f ca="1">IFERROR(__xludf.DUMMYFUNCTION("LOWER(REGEXREPLACE(B3745&amp;"" ""&amp;C3745,""[^а-яa-z0-9 ]"","" ""))")," абочее место библиотекаря ")</f>
        <v xml:space="preserve"> абочее место библиотекаря </v>
      </c>
    </row>
    <row r="3746" spans="1:8" ht="38.25" x14ac:dyDescent="0.2">
      <c r="A3746" s="31" t="s">
        <v>9063</v>
      </c>
      <c r="B3746" s="27" t="s">
        <v>9064</v>
      </c>
      <c r="C3746" s="27" t="s">
        <v>9065</v>
      </c>
      <c r="D3746" s="33" t="s">
        <v>14</v>
      </c>
      <c r="E3746" s="9"/>
      <c r="F3746" s="32"/>
      <c r="G3746" s="10">
        <v>71608</v>
      </c>
      <c r="H3746" s="30" t="str">
        <f ca="1">IFERROR(__xludf.DUMMYFUNCTION("LOWER(REGEXREPLACE(B3746&amp;"" ""&amp;C3746,""[^а-яa-z0-9 ]"","" ""))")," тол рабочий библиотекаря 1500х620х918 мм  тол двухтумбовый с барьером   тол с двумя тумбами подвесными   аждая с двумя ящиками под формуляры   тол выполнен из      16 мм   азмеры  1500х620х918мм")</f>
        <v xml:space="preserve"> тол рабочий библиотекаря 1500х620х918 мм  тол двухтумбовый с барьером   тол с двумя тумбами подвесными   аждая с двумя ящиками под формуляры   тол выполнен из      16 мм   азмеры  1500х620х918мм</v>
      </c>
    </row>
    <row r="3747" spans="1:8" ht="76.5" x14ac:dyDescent="0.2">
      <c r="A3747" s="31" t="s">
        <v>9066</v>
      </c>
      <c r="B3747" s="27" t="s">
        <v>9067</v>
      </c>
      <c r="C3747" s="27" t="s">
        <v>9068</v>
      </c>
      <c r="D3747" s="33" t="s">
        <v>14</v>
      </c>
      <c r="E3747" s="34">
        <v>2</v>
      </c>
      <c r="F3747" s="34">
        <v>45</v>
      </c>
      <c r="G3747" s="10">
        <v>59594</v>
      </c>
      <c r="H3747" s="30" t="str">
        <f ca="1">IFERROR(__xludf.DUMMYFUNCTION("LOWER(REGEXREPLACE(B3747&amp;"" ""&amp;C3747,""[^а-яa-z0-9 ]"","" ""))")," тол ресепшн библиотекаря  с выдвижной полкой       16мм  размер 1200х746х996мм  тол ресепшн библиотекаря   афедра выдачи   азмер  1200х746х996мм   ыполнен из      16 мм  торцы обработаны кромкой       тол барьер библиотечный имеет подвесную тумбу с двумя"&amp;" выдвижными ящиками  расположенными на роликовых направляющих   а вертикальных стойках стола установлены полимерные подпятники  предотвращающие повреждение напольных покрытий ")</f>
        <v xml:space="preserve"> тол ресепшн библиотекаря  с выдвижной полкой       16мм  размер 1200х746х996мм  тол ресепшн библиотекаря   афедра выдачи   азмер  1200х746х996мм   ыполнен из      16 мм  торцы обработаны кромкой       тол барьер библиотечный имеет подвесную тумбу с двумя выдвижными ящиками  расположенными на роликовых направляющих   а вертикальных стойках стола установлены полимерные подпятники  предотвращающие повреждение напольных покрытий </v>
      </c>
    </row>
    <row r="3748" spans="1:8" ht="51" x14ac:dyDescent="0.2">
      <c r="A3748" s="31" t="s">
        <v>9069</v>
      </c>
      <c r="B3748" s="27" t="s">
        <v>9070</v>
      </c>
      <c r="C3748" s="27" t="s">
        <v>9071</v>
      </c>
      <c r="D3748" s="33" t="s">
        <v>14</v>
      </c>
      <c r="E3748" s="34">
        <v>2</v>
      </c>
      <c r="F3748" s="34">
        <v>58</v>
      </c>
      <c r="G3748" s="10">
        <v>70100</v>
      </c>
      <c r="H3748" s="30" t="str">
        <f ca="1">IFERROR(__xludf.DUMMYFUNCTION("LOWER(REGEXREPLACE(B3748&amp;"" ""&amp;C3748,""[^а-яa-z0-9 ]"","" ""))")," тол кафедра выдачи литературы 1200х700х750мм  снащен подвесной тумбой с 2 мя ящиками и надставкой    производстве используется материал      16мм   торцы закатаны кромочным материалом     1 5 мм  столешница        16 мм   урнитура  конфирматы  стяжка    "&amp;"   роликовые направляющие  ручки  без острых углов ")</f>
        <v xml:space="preserve"> тол кафедра выдачи литературы 1200х700х750мм  снащен подвесной тумбой с 2 мя ящиками и надставкой    производстве используется материал      16мм   торцы закатаны кромочным материалом     1 5 мм  столешница        16 мм   урнитура  конфирматы  стяжка       роликовые направляющие  ручки  без острых углов </v>
      </c>
    </row>
    <row r="3749" spans="1:8" ht="153" x14ac:dyDescent="0.2">
      <c r="A3749" s="31" t="s">
        <v>9072</v>
      </c>
      <c r="B3749" s="27" t="s">
        <v>9073</v>
      </c>
      <c r="C3749" s="27" t="s">
        <v>9074</v>
      </c>
      <c r="D3749" s="33" t="s">
        <v>14</v>
      </c>
      <c r="E3749" s="34">
        <v>2</v>
      </c>
      <c r="F3749" s="34">
        <v>83</v>
      </c>
      <c r="G3749" s="10">
        <v>131322</v>
      </c>
      <c r="H3749" s="30" t="str">
        <f ca="1">IFERROR(__xludf.DUMMYFUNCTION("LOWER(REGEXREPLACE(B3749&amp;"" ""&amp;C3749,""[^а-яa-z0-9 ]"","" ""))")," есепшн размеры 1800х600х900 мм  столешница из      толщиной 22 мм  ысота верхнего края столешницы должна быть над полом не менее 760 мм   толешница должна быть из      толщиной не менее 22 мм с кромкой из     толщиной не менее 2мм  ля изготовления несущи"&amp;"х частей и различных элементов используется      толщиной не менее 16 мм   ромка из     должна быть толщиной не менее 0 4 мм   тол имеет боковые опоры толщиной 32мм   ицевая сторона стола должна быть закрыта панелями разной геометрической формы   анные па"&amp;"нели имеют комбинированный цвет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ме"&amp;"таллические пластины ")</f>
        <v xml:space="preserve"> есепшн размеры 1800х600х900 мм  столешница из      толщиной 22 мм  ысота верхнего края столешницы должна быть над полом не менее 760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боковые опоры толщиной 32мм   ицевая сторона стола должна быть закрыта панелями разной геометрической формы   анные панели имеют комбинированный цвет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металлические пластины </v>
      </c>
    </row>
    <row r="3750" spans="1:8" ht="191.25" x14ac:dyDescent="0.2">
      <c r="A3750" s="31" t="s">
        <v>9075</v>
      </c>
      <c r="B3750" s="27" t="s">
        <v>9076</v>
      </c>
      <c r="C3750" s="27" t="s">
        <v>9077</v>
      </c>
      <c r="D3750" s="33" t="s">
        <v>14</v>
      </c>
      <c r="E3750" s="34">
        <v>2</v>
      </c>
      <c r="F3750" s="34">
        <v>62</v>
      </c>
      <c r="G3750" s="10">
        <v>101575</v>
      </c>
      <c r="H3750" s="30" t="str">
        <f ca="1">IFERROR(__xludf.DUMMYFUNCTION("LOWER(REGEXREPLACE(B3750&amp;"" ""&amp;C3750,""[^а-яa-z0-9 ]"","" ""))")," умба библиотечная для периодики  размеры 1000х520х965 мм       16 мм   толешница крепиться к тумбе  в тумбе 5 выдвижных ящиков  азмеры столешницы должны быть  не менее 1000х520 мм   ысота верхнего края столешницы должна быть над полом не менее 965 мм   т"&amp;"олешница должна быть из      толщиной не менее 16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толешница кр"&amp;"епиться к тумбе с помощью металлических рамок в форме прямоугольников  выполненных из трубы размером 40х20 мм толщиной не менее 1 2мм  и покрашенных полимерной краской    тумбе располагаются 5 выдвижных ящиков на шариковых направляющих   асад ящика изгота"&amp;"вливаются разной высотой  и имеют сверху эргономичный вырез  используемый для открывания ящика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пластико"&amp;"выми заглушками   ебельные ножки должны регулироваться по высоте для компенсации неровностей пола ")</f>
        <v xml:space="preserve"> умба библиотечная для периодики  размеры 1000х520х965 мм       16 мм   толешница крепиться к тумбе  в тумбе 5 выдвижных ящиков  азмеры столешницы должны быть  не менее 1000х520 мм   ысота верхнего края столешницы должна быть над полом не менее 965 мм   толешница должна быть из      толщиной не менее 16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толешница крепиться к тумбе с помощью металлических рамок в форме прямоугольников  выполненных из трубы размером 40х20 мм толщиной не менее 1 2мм  и покрашенных полимерной краской    тумбе располагаются 5 выдвижных ящиков на шариковых направляющих   асад ящика изготавливаются разной высотой  и имеют сверху эргономичный вырез  используемый для открывания ящика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ебельные ножки должны регулироваться по высоте для компенсации неровностей пола </v>
      </c>
    </row>
    <row r="3751" spans="1:8" ht="12.75" x14ac:dyDescent="0.2">
      <c r="A3751" s="31" t="s">
        <v>9078</v>
      </c>
      <c r="B3751" s="27" t="s">
        <v>9079</v>
      </c>
      <c r="C3751" s="27"/>
      <c r="D3751" s="33" t="s">
        <v>14</v>
      </c>
      <c r="E3751" s="9"/>
      <c r="F3751" s="32"/>
      <c r="G3751" s="10"/>
      <c r="H3751" s="30" t="str">
        <f ca="1">IFERROR(__xludf.DUMMYFUNCTION("LOWER(REGEXREPLACE(B3751&amp;"" ""&amp;C3751,""[^а-яa-z0-9 ]"","" ""))")," каф для читательских формуляров ")</f>
        <v xml:space="preserve"> каф для читательских формуляров </v>
      </c>
    </row>
    <row r="3752" spans="1:8" ht="25.5" x14ac:dyDescent="0.2">
      <c r="A3752" s="31" t="s">
        <v>9080</v>
      </c>
      <c r="B3752" s="27" t="s">
        <v>9081</v>
      </c>
      <c r="C3752" s="27" t="s">
        <v>9082</v>
      </c>
      <c r="D3752" s="33" t="s">
        <v>14</v>
      </c>
      <c r="E3752" s="9"/>
      <c r="F3752" s="32"/>
      <c r="G3752" s="10">
        <v>76160</v>
      </c>
      <c r="H3752" s="30" t="str">
        <f ca="1">IFERROR(__xludf.DUMMYFUNCTION("LOWER(REGEXREPLACE(B3752&amp;"" ""&amp;C3752,""[^а-яa-z0-9 ]"","" ""))")," каф для формуляров 1048х450х1150 мм  на 8 ящиков   каф с 8 ящиками под формуляры   каф выполнен из      16 мм   азмеры  1048х450х1150мм")</f>
        <v xml:space="preserve"> каф для формуляров 1048х450х1150 мм  на 8 ящиков   каф с 8 ящиками под формуляры   каф выполнен из      16 мм   азмеры  1048х450х1150мм</v>
      </c>
    </row>
    <row r="3753" spans="1:8" ht="25.5" x14ac:dyDescent="0.2">
      <c r="A3753" s="31" t="s">
        <v>9083</v>
      </c>
      <c r="B3753" s="27" t="s">
        <v>9084</v>
      </c>
      <c r="C3753" s="27" t="s">
        <v>9085</v>
      </c>
      <c r="D3753" s="33" t="s">
        <v>14</v>
      </c>
      <c r="E3753" s="34">
        <v>2</v>
      </c>
      <c r="F3753" s="34">
        <v>55</v>
      </c>
      <c r="G3753" s="10">
        <v>70110</v>
      </c>
      <c r="H3753" s="30" t="str">
        <f ca="1">IFERROR(__xludf.DUMMYFUNCTION("LOWER(REGEXREPLACE(B3753&amp;"" ""&amp;C3753,""[^а-яa-z0-9 ]"","" ""))")," каф стеллаж для картотечных карт  размер 849х376х1835мм       16мм  каф стеллаж для картотечных карт  4 двери и 4 выдвижные полки       16 мм размер 849х376х1835мм")</f>
        <v xml:space="preserve"> каф стеллаж для картотечных карт  размер 849х376х1835мм       16мм  каф стеллаж для картотечных карт  4 двери и 4 выдвижные полки       16 мм размер 849х376х1835мм</v>
      </c>
    </row>
    <row r="3754" spans="1:8" ht="140.25" x14ac:dyDescent="0.2">
      <c r="A3754" s="31" t="s">
        <v>9086</v>
      </c>
      <c r="B3754" s="27" t="s">
        <v>9087</v>
      </c>
      <c r="C3754" s="27" t="s">
        <v>9088</v>
      </c>
      <c r="D3754" s="33" t="s">
        <v>14</v>
      </c>
      <c r="E3754" s="34">
        <v>2</v>
      </c>
      <c r="F3754" s="34">
        <v>90</v>
      </c>
      <c r="G3754" s="10">
        <v>77059</v>
      </c>
      <c r="H3754" s="30" t="str">
        <f ca="1">IFERROR(__xludf.DUMMYFUNCTION("LOWER(REGEXREPLACE(B3754&amp;"" ""&amp;C3754,""[^а-яa-z0-9 ]"","" ""))")," каф для формуляров 1048х450х1150 мм  на 8 ящиков   материал корпуса  полок  выдвижных ящиков      16 мм  задняя стенка и нижняя часть выдвижных ящиков из     5 мм   каф для читательских формуляров с 8 выджвижными ящиками   атериал корпуса  полок  выдвижн"&amp;"ых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класса"&amp;"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ижняя часть ящиков соединятется таким же спо"&amp;"собом канала  ля предотвращения воздействия воды и влаги на шкаф предусмотрены 4 ножки высотой 5 см   абариты 1048х450х1150мм")</f>
        <v xml:space="preserve"> каф для формуляров 1048х450х1150 мм  на 8 ящиков   материал корпуса  полок  выдвижных ящиков      16 мм  задняя стенка и нижняя часть выдвижных ящиков из     5 мм   каф для читательских формуляров с 8 выджвижными ящиками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ижняя часть ящиков соединятется таким же способом канала  ля предотвращения воздействия воды и влаги на шкаф предусмотрены 4 ножки высотой 5 см   абариты 1048х450х1150мм</v>
      </c>
    </row>
    <row r="3755" spans="1:8" ht="12.75" x14ac:dyDescent="0.2">
      <c r="A3755" s="31" t="s">
        <v>9089</v>
      </c>
      <c r="B3755" s="27" t="s">
        <v>9090</v>
      </c>
      <c r="C3755" s="27"/>
      <c r="D3755" s="33" t="s">
        <v>14</v>
      </c>
      <c r="E3755" s="9"/>
      <c r="F3755" s="32"/>
      <c r="G3755" s="10"/>
      <c r="H3755" s="30" t="str">
        <f ca="1">IFERROR(__xludf.DUMMYFUNCTION("LOWER(REGEXREPLACE(B3755&amp;"" ""&amp;C3755,""[^а-яa-z0-9 ]"","" ""))")," каф картотека ")</f>
        <v xml:space="preserve"> каф картотека </v>
      </c>
    </row>
    <row r="3756" spans="1:8" ht="25.5" x14ac:dyDescent="0.2">
      <c r="A3756" s="31" t="s">
        <v>9091</v>
      </c>
      <c r="B3756" s="27" t="s">
        <v>9092</v>
      </c>
      <c r="C3756" s="27"/>
      <c r="D3756" s="33" t="s">
        <v>14</v>
      </c>
      <c r="E3756" s="34">
        <v>2</v>
      </c>
      <c r="F3756" s="34">
        <v>80</v>
      </c>
      <c r="G3756" s="10">
        <v>116189</v>
      </c>
      <c r="H3756" s="30" t="str">
        <f ca="1">IFERROR(__xludf.DUMMYFUNCTION("LOWER(REGEXREPLACE(B3756&amp;"" ""&amp;C3756,""[^а-яa-z0-9 ]"","" ""))")," каф картотека на 48 ячеек       16 мм  размеры 1170х440х1230мм ")</f>
        <v xml:space="preserve"> каф картотека на 48 ячеек       16 мм  размеры 1170х440х1230мм </v>
      </c>
    </row>
    <row r="3757" spans="1:8" ht="51" x14ac:dyDescent="0.2">
      <c r="A3757" s="31" t="s">
        <v>9093</v>
      </c>
      <c r="B3757" s="27" t="s">
        <v>9094</v>
      </c>
      <c r="C3757" s="27"/>
      <c r="D3757" s="33" t="s">
        <v>14</v>
      </c>
      <c r="E3757" s="34">
        <v>2</v>
      </c>
      <c r="F3757" s="34">
        <v>45</v>
      </c>
      <c r="G3757" s="10">
        <v>207148</v>
      </c>
      <c r="H3757" s="30" t="str">
        <f ca="1">IFERROR(__xludf.DUMMYFUNCTION("LOWER(REGEXREPLACE(B3757&amp;"" ""&amp;C3757,""[^а-яa-z0-9 ]"","" ""))")," каф картотека на 48 ячеек       16мм  размеры 1170х440х1230мм  задняя стенка и нижняя часть выдвижных ящиков из ламинированного     5 мм ")</f>
        <v xml:space="preserve"> каф картотека на 48 ячеек       16мм  размеры 1170х440х1230мм  задняя стенка и нижняя часть выдвижных ящиков из ламинированного     5 мм </v>
      </c>
    </row>
    <row r="3758" spans="1:8" ht="12.75" x14ac:dyDescent="0.2">
      <c r="A3758" s="31" t="s">
        <v>9095</v>
      </c>
      <c r="B3758" s="27" t="s">
        <v>9096</v>
      </c>
      <c r="C3758" s="27"/>
      <c r="D3758" s="33" t="s">
        <v>14</v>
      </c>
      <c r="E3758" s="9"/>
      <c r="F3758" s="32"/>
      <c r="G3758" s="10"/>
      <c r="H3758" s="30" t="str">
        <f ca="1">IFERROR(__xludf.DUMMYFUNCTION("LOWER(REGEXREPLACE(B3758&amp;"" ""&amp;C3758,""[^а-яa-z0-9 ]"","" ""))")," теллаж библиотечный ")</f>
        <v xml:space="preserve"> теллаж библиотечный </v>
      </c>
    </row>
    <row r="3759" spans="1:8" ht="51" x14ac:dyDescent="0.2">
      <c r="A3759" s="31" t="s">
        <v>9097</v>
      </c>
      <c r="B3759" s="27" t="s">
        <v>9098</v>
      </c>
      <c r="C3759" s="27" t="s">
        <v>9098</v>
      </c>
      <c r="D3759" s="33" t="s">
        <v>14</v>
      </c>
      <c r="E3759" s="9"/>
      <c r="F3759" s="32"/>
      <c r="G3759" s="10">
        <v>71570</v>
      </c>
      <c r="H3759" s="30" t="str">
        <f ca="1">IFERROR(__xludf.DUMMYFUNCTION("LOWER(REGEXREPLACE(B3759&amp;"" ""&amp;C3759,""[^а-яa-z0-9 ]"","" ""))")," теллаж библиотечный односторонний 920х250х2100 мм   аркас из профильной трубы  полки из гнутого листа  краска полимерно порошковая   теллаж библиотечный односторонний 920х250х2100 мм   аркас из профильной трубы  полки из гнутого листа  краска полимерно п"&amp;"орошковая ")</f>
        <v xml:space="preserve"> теллаж библиотечный односторонний 920х250х2100 мм   аркас из профильной трубы  полки из гнутого листа  краска полимерно порошковая   теллаж библиотечный односторонний 920х250х2100 мм   аркас из профильной трубы  полки из гнутого листа  краска полимерно порошковая </v>
      </c>
    </row>
    <row r="3760" spans="1:8" ht="38.25" x14ac:dyDescent="0.2">
      <c r="A3760" s="31" t="s">
        <v>9099</v>
      </c>
      <c r="B3760" s="27" t="s">
        <v>9100</v>
      </c>
      <c r="C3760" s="27" t="s">
        <v>9101</v>
      </c>
      <c r="D3760" s="33" t="s">
        <v>14</v>
      </c>
      <c r="E3760" s="34">
        <v>2</v>
      </c>
      <c r="F3760" s="34">
        <v>25</v>
      </c>
      <c r="G3760" s="10">
        <v>70405</v>
      </c>
      <c r="H3760" s="30" t="str">
        <f ca="1">IFERROR(__xludf.DUMMYFUNCTION("LOWER(REGEXREPLACE(B3760&amp;"" ""&amp;C3760,""[^а-яa-z0-9 ]"","" ""))")," теллаж библиотечный выставочный  теллаж библиотечный выставочный 5 скошенных полок    агрузка на полку не менее 30 кг   атериал      16мм   азмеры форма по согласованию   азмеры не менее 1000х320х2000 мм")</f>
        <v xml:space="preserve"> теллаж библиотечный выставочный  теллаж библиотечный выставочный 5 скошенных полок    агрузка на полку не менее 30 кг   атериал      16мм   азмеры форма по согласованию   азмеры не менее 1000х320х2000 мм</v>
      </c>
    </row>
    <row r="3761" spans="1:8" ht="25.5" x14ac:dyDescent="0.2">
      <c r="A3761" s="31" t="s">
        <v>9102</v>
      </c>
      <c r="B3761" s="27" t="s">
        <v>9103</v>
      </c>
      <c r="C3761" s="27" t="s">
        <v>9103</v>
      </c>
      <c r="D3761" s="33" t="s">
        <v>14</v>
      </c>
      <c r="E3761" s="9"/>
      <c r="F3761" s="32"/>
      <c r="G3761" s="10">
        <v>49317</v>
      </c>
      <c r="H3761" s="30" t="str">
        <f ca="1">IFERROR(__xludf.DUMMYFUNCTION("LOWER(REGEXREPLACE(B3761&amp;"" ""&amp;C3761,""[^а-яa-z0-9 ]"","" ""))")," теллаж библиотечный 1000х320х2250 мм    открытыми полками для книг       16мм   теллаж библиотечный 1000х320х2250 мм    открытыми полками для книг       16мм ")</f>
        <v xml:space="preserve"> теллаж библиотечный 1000х320х2250 мм    открытыми полками для книг       16мм   теллаж библиотечный 1000х320х2250 мм    открытыми полками для книг       16мм </v>
      </c>
    </row>
    <row r="3762" spans="1:8" ht="38.25" x14ac:dyDescent="0.2">
      <c r="A3762" s="31" t="s">
        <v>9104</v>
      </c>
      <c r="B3762" s="27" t="s">
        <v>9105</v>
      </c>
      <c r="C3762" s="27" t="s">
        <v>9105</v>
      </c>
      <c r="D3762" s="33" t="s">
        <v>14</v>
      </c>
      <c r="E3762" s="9"/>
      <c r="F3762" s="32"/>
      <c r="G3762" s="10">
        <v>90288</v>
      </c>
      <c r="H3762" s="30" t="str">
        <f ca="1">IFERROR(__xludf.DUMMYFUNCTION("LOWER(REGEXREPLACE(B3762&amp;"" ""&amp;C3762,""[^а-яa-z0-9 ]"","" ""))")," теллаж библиотечный односторонний 800х380х2000 мм   аркас изготовлен из стального профиля   олки      16 мм   теллаж библиотечный односторонний 800х380х2000 мм   аркас изготовлен из стального профиля   олки      16 мм ")</f>
        <v xml:space="preserve"> теллаж библиотечный односторонний 800х380х2000 мм   аркас изготовлен из стального профиля   олки      16 мм   теллаж библиотечный односторонний 800х380х2000 мм   аркас изготовлен из стального профиля   олки      16 мм </v>
      </c>
    </row>
    <row r="3763" spans="1:8" ht="38.25" x14ac:dyDescent="0.2">
      <c r="A3763" s="31" t="s">
        <v>9106</v>
      </c>
      <c r="B3763" s="27" t="s">
        <v>9107</v>
      </c>
      <c r="C3763" s="27" t="s">
        <v>9108</v>
      </c>
      <c r="D3763" s="33" t="s">
        <v>14</v>
      </c>
      <c r="E3763" s="9"/>
      <c r="F3763" s="32"/>
      <c r="G3763" s="10">
        <v>117357</v>
      </c>
      <c r="H3763" s="30" t="str">
        <f ca="1">IFERROR(__xludf.DUMMYFUNCTION("LOWER(REGEXREPLACE(B3763&amp;"" ""&amp;C3763,""[^а-яa-z0-9 ]"","" ""))")," теллаж библиотечный двухсторонний 800х600х2000 мм   аркас изготовлен из стального профиля   олки      16 мм   теллаж библиотечный двухсторонний  800х600х2000 мм   аркас изготовлен из стального профиля   олки      16 мм ")</f>
        <v xml:space="preserve"> теллаж библиотечный двухсторонний 800х600х2000 мм   аркас изготовлен из стального профиля   олки      16 мм   теллаж библиотечный двухсторонний  800х600х2000 мм   аркас изготовлен из стального профиля   олки      16 мм </v>
      </c>
    </row>
    <row r="3764" spans="1:8" ht="51" x14ac:dyDescent="0.2">
      <c r="A3764" s="31" t="s">
        <v>9109</v>
      </c>
      <c r="B3764" s="27" t="s">
        <v>9110</v>
      </c>
      <c r="C3764" s="27" t="s">
        <v>9111</v>
      </c>
      <c r="D3764" s="33" t="s">
        <v>14</v>
      </c>
      <c r="E3764" s="34">
        <v>2</v>
      </c>
      <c r="F3764" s="34">
        <v>26</v>
      </c>
      <c r="G3764" s="10">
        <v>45073</v>
      </c>
      <c r="H3764" s="30" t="str">
        <f ca="1">IFERROR(__xludf.DUMMYFUNCTION("LOWER(REGEXREPLACE(B3764&amp;"" ""&amp;C3764,""[^а-яa-z0-9 ]"","" ""))")," теллаж деревянный односторонний 800х380х2000 мм   аркас изготовлен из       толщиной 16 мм  теллаж деревянный односторонний   азмеры 800х380х2000 мм   аркас изготовлен из       толщиной 16 мм   ласс эмиссии   1   блицованной кромкой     толщиной 1 5 мм  "&amp;" етыре съемные полки       16мм ")</f>
        <v xml:space="preserve"> теллаж деревянный односторонний 800х380х2000 мм   аркас изготовлен из       толщиной 16 мм  теллаж деревянный односторонний   азмеры 800х380х2000 мм   аркас изготовлен из       толщиной 16 мм   ласс эмиссии   1   блицованной кромкой     толщиной 1 5 мм   етыре съемные полки       16мм </v>
      </c>
    </row>
    <row r="3765" spans="1:8" ht="63.75" x14ac:dyDescent="0.2">
      <c r="A3765" s="31" t="s">
        <v>9112</v>
      </c>
      <c r="B3765" s="27" t="s">
        <v>9113</v>
      </c>
      <c r="C3765" s="27" t="s">
        <v>9114</v>
      </c>
      <c r="D3765" s="33" t="s">
        <v>68</v>
      </c>
      <c r="E3765" s="34">
        <v>2</v>
      </c>
      <c r="F3765" s="34">
        <v>100</v>
      </c>
      <c r="G3765" s="10">
        <v>443737</v>
      </c>
      <c r="H3765" s="30" t="str">
        <f ca="1">IFERROR(__xludf.DUMMYFUNCTION("LOWER(REGEXREPLACE(B3765&amp;"" ""&amp;C3765,""[^а-яa-z0-9 ]"","" ""))")," одуль библиотечный  стеллаж   материал      типа        размер 1000х1000х2800мм  ип установки напольный   азмеры  1000 1000  2800мм   еталлокаркас из профильной трубы размером 80 25 2 0мм и 25 25 1 5мм   атериал      типа          оличество полок 10   ак"&amp;"симальная нагрузка на полку 25 кг   олщина стойки 16 мм   ращающийся механизм   еталлический каркас   одсветка полок   елфстокеры на полках для наименования книг ")</f>
        <v xml:space="preserve"> одуль библиотечный  стеллаж   материал      типа        размер 1000х1000х2800мм  ип установки напольный   азмеры  1000 1000  2800мм   еталлокаркас из профильной трубы размером 80 25 2 0мм и 25 25 1 5мм   атериал      типа          оличество полок 10   аксимальная нагрузка на полку 25 кг   олщина стойки 16 мм   ращающийся механизм   еталлический каркас   одсветка полок   елфстокеры на полках для наименования книг </v>
      </c>
    </row>
    <row r="3766" spans="1:8" ht="140.25" x14ac:dyDescent="0.2">
      <c r="A3766" s="31" t="s">
        <v>9115</v>
      </c>
      <c r="B3766" s="27" t="s">
        <v>9116</v>
      </c>
      <c r="C3766" s="27" t="s">
        <v>9117</v>
      </c>
      <c r="D3766" s="33" t="s">
        <v>68</v>
      </c>
      <c r="E3766" s="34">
        <v>2</v>
      </c>
      <c r="F3766" s="34">
        <v>250</v>
      </c>
      <c r="G3766" s="10">
        <v>3382286</v>
      </c>
      <c r="H3766" s="30" t="str">
        <f ca="1">IFERROR(__xludf.DUMMYFUNCTION("LOWER(REGEXREPLACE(B3766&amp;"" ""&amp;C3766,""[^а-яa-z0-9 ]"","" ""))")," одуль интерактивный библиотечный  стеллаж   материал      типа        размер 2500х2500х2000 мм  ип установки напольный   азмеры 2500х2500х2000 мм   еталлокаркас c лестницей из профильной трубы размером 80 25 2 0мм и 25 25 1 5мм   олки из      типа  gger "&amp;"  очетает в себя стеллаж и сенсорное рабочее место    модуль входит 4 рабочих интерактивных места   есь модуль является единой конструкцией   абочее место состит из                    1   строенный компьютер       ntel  ore i3 9100  перативная память 8   "&amp;"   4  вердотельный накопитель 128         2   енсорный монитор 21 5 дюйма 10 касаний  1920 1080  60 ц 3   орпус системный блок внешними портами      mini  ack  кнопка запуска  дополнительное охлаждение      indows 10 ro   4   озетки 2 по 220  и 2     встр"&amp;"оены в стол   5   омпьютерная мышь  клавиатура  веб камера                  6     с офлайн библиотекой из 3000 книг отечественной и мировой литературы ")</f>
        <v xml:space="preserve"> одуль интерактивный библиотечный  стеллаж   материал      типа        размер 2500х2500х2000 мм  ип установки напольный   азмеры 2500х2500х2000 мм   еталлокаркас c лестницей из профильной трубы размером 80 25 2 0мм и 25 25 1 5мм   олки из      типа  gger   очетает в себя стеллаж и сенсорное рабочее место    модуль входит 4 рабочих интерактивных места   есь модуль является единой конструкцией   абочее место состит из                    1   строенный компьютер       ntel  ore i3 9100  перативная память 8      4  вердотельный накопитель 128         2   енсорный монитор 21 5 дюйма 10 касаний  1920 1080  60 ц 3   орпус системный блок внешними портами      mini  ack  кнопка запуска  дополнительное охлаждение      indows 10 ro   4   озетки 2 по 220  и 2     встроены в стол   5   омпьютерная мышь  клавиатура  веб камера                  6     с офлайн библиотекой из 3000 книг отечественной и мировой литературы </v>
      </c>
    </row>
    <row r="3767" spans="1:8" ht="38.25" x14ac:dyDescent="0.2">
      <c r="A3767" s="31" t="s">
        <v>9118</v>
      </c>
      <c r="B3767" s="27" t="s">
        <v>9119</v>
      </c>
      <c r="C3767" s="27" t="s">
        <v>9120</v>
      </c>
      <c r="D3767" s="33" t="s">
        <v>14</v>
      </c>
      <c r="E3767" s="34">
        <v>2</v>
      </c>
      <c r="F3767" s="34">
        <v>46</v>
      </c>
      <c r="G3767" s="10">
        <v>115557</v>
      </c>
      <c r="H3767" s="30" t="str">
        <f ca="1">IFERROR(__xludf.DUMMYFUNCTION("LOWER(REGEXREPLACE(B3767&amp;"" ""&amp;C3767,""[^а-яa-z0-9 ]"","" ""))")," теллаж двухсторонний 1200х500х1800мм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"&amp;"    1 5 мм ")</f>
        <v xml:space="preserve"> теллаж двухсторонний 1200х500х1800мм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1 5 мм </v>
      </c>
    </row>
    <row r="3768" spans="1:8" ht="38.25" x14ac:dyDescent="0.2">
      <c r="A3768" s="31" t="s">
        <v>9121</v>
      </c>
      <c r="B3768" s="27" t="s">
        <v>9122</v>
      </c>
      <c r="C3768" s="27" t="s">
        <v>9120</v>
      </c>
      <c r="D3768" s="33" t="s">
        <v>14</v>
      </c>
      <c r="E3768" s="34">
        <v>2</v>
      </c>
      <c r="F3768" s="34">
        <v>54</v>
      </c>
      <c r="G3768" s="10">
        <v>174132</v>
      </c>
      <c r="H3768" s="30" t="str">
        <f ca="1">IFERROR(__xludf.DUMMYFUNCTION("LOWER(REGEXREPLACE(B3768&amp;"" ""&amp;C3768,""[^а-яa-z0-9 ]"","" ""))")," теллаж двухсторонний 1500х500х1800мм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"&amp;"    1 5 мм ")</f>
        <v xml:space="preserve"> теллаж двухсторонний 1500х500х1800мм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1 5 мм </v>
      </c>
    </row>
    <row r="3769" spans="1:8" ht="76.5" x14ac:dyDescent="0.2">
      <c r="A3769" s="31" t="s">
        <v>9123</v>
      </c>
      <c r="B3769" s="27" t="s">
        <v>9124</v>
      </c>
      <c r="C3769" s="27" t="s">
        <v>9125</v>
      </c>
      <c r="D3769" s="33" t="s">
        <v>14</v>
      </c>
      <c r="E3769" s="34">
        <v>2</v>
      </c>
      <c r="F3769" s="34">
        <v>80</v>
      </c>
      <c r="G3769" s="10">
        <v>119916</v>
      </c>
      <c r="H3769" s="30" t="str">
        <f ca="1">IFERROR(__xludf.DUMMYFUNCTION("LOWER(REGEXREPLACE(B3769&amp;"" ""&amp;C3769,""[^а-яa-z0-9 ]"","" ""))")," теллаж библиотечный односторонний 800х380х2000мм   аркас изготовлен из стального профиля   олки из     16мм  теллаж библиотечный двусторонний 800х380х2000мм   аркас изготовлен из стального профиля окрашенный электроститистическим методом 1го класса   олк"&amp;"и ламинированный     16мм  количество полок 5 штук   ромка     с использованием высокотемпературного клея   ля предотвращения воздействия воды и влаги на стеллаж предусмотрены 4 пластиковые ножки ")</f>
        <v xml:space="preserve"> теллаж библиотечный односторонний 800х380х2000мм   аркас изготовлен из стального профиля   олки из     16мм  теллаж библиотечный двусторонний 800х380х2000мм   аркас изготовлен из стального профиля окрашенный электроститистическим методом 1го класса   олки ламинированный     16мм  количество полок 5 штук   ромка     с использованием высокотемпературного клея   ля предотвращения воздействия воды и влаги на стеллаж предусмотрены 4 пластиковые ножки </v>
      </c>
    </row>
    <row r="3770" spans="1:8" ht="76.5" x14ac:dyDescent="0.2">
      <c r="A3770" s="31" t="s">
        <v>9126</v>
      </c>
      <c r="B3770" s="27" t="s">
        <v>9127</v>
      </c>
      <c r="C3770" s="27" t="s">
        <v>9128</v>
      </c>
      <c r="D3770" s="33" t="s">
        <v>14</v>
      </c>
      <c r="E3770" s="34">
        <v>2</v>
      </c>
      <c r="F3770" s="34">
        <v>85</v>
      </c>
      <c r="G3770" s="10">
        <v>136548</v>
      </c>
      <c r="H3770" s="30" t="str">
        <f ca="1">IFERROR(__xludf.DUMMYFUNCTION("LOWER(REGEXREPLACE(B3770&amp;"" ""&amp;C3770,""[^а-яa-z0-9 ]"","" ""))")," теллаж библиотечный двусторонний 800х600х2000мм   аркас изготовлен из стального профиля   олки из     16мм  теллаж библиотечный двусторонний 800х600х2000мм   аркас изготовлен из стального профиля окрашенный электроститистическим методом 1го класса   олки"&amp;" ламинированный     16мм  количество полок 5 штук   ромка     с использованием высокотемпературного клея   олки крепятся к стальному каркасу болтами  6   ля предотвращения воздействия воды и влаги на стеллаж предусмотрены 4 пластиковые ножки ")</f>
        <v xml:space="preserve"> теллаж библиотечный двусторонний 800х600х2000мм   аркас изготовлен из стального профиля   олки из     16мм  теллаж библиотечный двусторонний 800х600х2000мм   аркас изготовлен из стального профиля окрашенный электроститистическим методом 1го класса   олки ламинированный     16мм  количество полок 5 штук   ромка     с использованием высокотемпературного клея   олки крепятся к стальному каркасу болтами  6   ля предотвращения воздействия воды и влаги на стеллаж предусмотрены 4 пластиковые ножки </v>
      </c>
    </row>
    <row r="3771" spans="1:8" ht="102" x14ac:dyDescent="0.2">
      <c r="A3771" s="31" t="s">
        <v>9129</v>
      </c>
      <c r="B3771" s="27" t="s">
        <v>9130</v>
      </c>
      <c r="C3771" s="27" t="s">
        <v>9131</v>
      </c>
      <c r="D3771" s="33" t="s">
        <v>14</v>
      </c>
      <c r="E3771" s="34">
        <v>2</v>
      </c>
      <c r="F3771" s="34">
        <v>85</v>
      </c>
      <c r="G3771" s="10">
        <v>60656</v>
      </c>
      <c r="H3771" s="30" t="str">
        <f ca="1">IFERROR(__xludf.DUMMYFUNCTION("LOWER(REGEXREPLACE(B3771&amp;"" ""&amp;C3771,""[^а-яa-z0-9 ]"","" ""))")," теллаж библиотечный демонстрационный 1000х320х2250 мм    6 открытыми наклонными полками для книг       16мм  задняя стенка из     5мм  каф открытый   атериал корпуса  полок       толщина      16 мм   олки открытые  наклонные 6 штук с защитным бордюром 50"&amp;" м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монтируется"&amp;" задняя стенка   ля предотвращения воздействия воды и влаги на шкаф предусмотрены 4 ножки высотой 5 см  1000х320х2250 мм")</f>
        <v xml:space="preserve"> теллаж библиотечный демонстрационный 1000х320х2250 мм    6 открытыми наклонными полками для книг       16мм  задняя стенка из     5мм  каф открытый   атериал корпуса  полок       толщина      16 мм   олки открытые  наклонные 6 штук с защитным бордюром 50 м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1000х320х2250 мм</v>
      </c>
    </row>
    <row r="3772" spans="1:8" ht="51" x14ac:dyDescent="0.2">
      <c r="A3772" s="31" t="s">
        <v>9132</v>
      </c>
      <c r="B3772" s="27" t="s">
        <v>9133</v>
      </c>
      <c r="C3772" s="27" t="s">
        <v>9134</v>
      </c>
      <c r="D3772" s="33" t="s">
        <v>14</v>
      </c>
      <c r="E3772" s="34">
        <v>2</v>
      </c>
      <c r="F3772" s="34">
        <v>80</v>
      </c>
      <c r="G3772" s="10">
        <v>90239</v>
      </c>
      <c r="H3772" s="30" t="str">
        <f ca="1">IFERROR(__xludf.DUMMYFUNCTION("LOWER(REGEXREPLACE(B3772&amp;"" ""&amp;C3772,""[^а-яa-z0-9 ]"","" ""))")," телаж книжный двухсторонний 1000х450х2000мм   аркас выполнен из профильной трубы   олки из      16 мм  теллаж металлический книжный 2 сторонний   азмер   х х   2000х1000х450   аркас выполнен из профильной трубы 20х20мм  окрашенный порошковой краской     "&amp;"  олки изготовлены из      16 мм")</f>
        <v xml:space="preserve"> телаж книжный двухсторонний 1000х450х2000мм   аркас выполнен из профильной трубы   олки из      16 мм  теллаж металлический книжный 2 сторонний   азмер   х х   2000х1000х450   аркас выполнен из профильной трубы 20х20мм  окрашенный порошковой краской       олки изготовлены из      16 мм</v>
      </c>
    </row>
    <row r="3773" spans="1:8" ht="76.5" x14ac:dyDescent="0.2">
      <c r="A3773" s="31" t="s">
        <v>9135</v>
      </c>
      <c r="B3773" s="8" t="s">
        <v>9136</v>
      </c>
      <c r="C3773" s="27" t="s">
        <v>9137</v>
      </c>
      <c r="D3773" s="33" t="s">
        <v>14</v>
      </c>
      <c r="E3773" s="34">
        <v>2</v>
      </c>
      <c r="F3773" s="34">
        <v>39</v>
      </c>
      <c r="G3773" s="10">
        <v>34799</v>
      </c>
      <c r="H3773" s="30" t="str">
        <f ca="1">IFERROR(__xludf.DUMMYFUNCTION("LOWER(REGEXREPLACE(B3773&amp;"" ""&amp;C3773,""[^а-яa-z0-9 ]"","" ""))")," теллаж двусторонний  3 полки  размер не менее 800х600х1100 мм  есущие части и полки должны быть изготовлены из      толщиной не менее 16 мм   ромка из     не менее 0 4 мм   теллаж должен быть разделен по горизонтали на три  одинаковых по высоте  полки   "&amp;"осередине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"&amp;"пола ")</f>
        <v xml:space="preserve"> теллаж двусторонний  3 полки  размер не менее 800х600х1100 мм  есущие части и полки должны быть изготовлены из      толщиной не менее 16 мм   ромка из     не менее 0 4 мм   теллаж должен быть разделен по горизонтали на три  одинаковых по высоте  полки   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пола </v>
      </c>
    </row>
    <row r="3774" spans="1:8" ht="76.5" x14ac:dyDescent="0.2">
      <c r="A3774" s="31" t="s">
        <v>9138</v>
      </c>
      <c r="B3774" s="8" t="s">
        <v>9139</v>
      </c>
      <c r="C3774" s="27" t="s">
        <v>9140</v>
      </c>
      <c r="D3774" s="33" t="s">
        <v>14</v>
      </c>
      <c r="E3774" s="34">
        <v>2</v>
      </c>
      <c r="F3774" s="34">
        <v>61</v>
      </c>
      <c r="G3774" s="10">
        <v>56539</v>
      </c>
      <c r="H3774" s="30" t="str">
        <f ca="1">IFERROR(__xludf.DUMMYFUNCTION("LOWER(REGEXREPLACE(B3774&amp;"" ""&amp;C3774,""[^а-яa-z0-9 ]"","" ""))")," теллаж двусторонний  5 полки  размер не менее 800х600х1830 мм  есущие части и полки должны быть изготовлены из      толщиной не менее 16 мм   ромка     не менее 0 4 мм   теллаж должен быть разделен по горизонтали на пять  одинаковых по высоте  полок   ос"&amp;"ередине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по"&amp;"ла ")</f>
        <v xml:space="preserve"> теллаж двусторонний  5 полки  размер не менее 800х600х1830 мм  есущие части и полки должны быть изготовлены из      толщиной не менее 16 мм   ромка     не менее 0 4 мм   теллаж должен быть разделен по горизонтали на пять  одинаковых по высоте  полок   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пола </v>
      </c>
    </row>
    <row r="3775" spans="1:8" ht="76.5" x14ac:dyDescent="0.2">
      <c r="A3775" s="31" t="s">
        <v>9141</v>
      </c>
      <c r="B3775" s="8" t="s">
        <v>9142</v>
      </c>
      <c r="C3775" s="27" t="s">
        <v>9143</v>
      </c>
      <c r="D3775" s="33" t="s">
        <v>14</v>
      </c>
      <c r="E3775" s="34">
        <v>2</v>
      </c>
      <c r="F3775" s="34">
        <v>26</v>
      </c>
      <c r="G3775" s="10">
        <v>33880</v>
      </c>
      <c r="H3775" s="30" t="str">
        <f ca="1">IFERROR(__xludf.DUMMYFUNCTION("LOWER(REGEXREPLACE(B3775&amp;"" ""&amp;C3775,""[^а-яa-z0-9 ]"","" ""))")," теллаж выставочный  5 скошенных полок  размер не менее 800х120х1800 мм  есущие части  полки  фасадная часть        толщиной не менее 16 мм   ромка из     не менее 0 4 мм  пять скошенных под углом 80 градусов полок с бортиками  для размещения книг  на рас"&amp;"стоянии по высоте 340 мм друг от друга   борка должна производиться с помощью конфирматов 6 3х50 и эксцентриковых стяжек   теллаж выполнен в двух цветах        олки расположены по цвету в шахматном порядке   олжны быть в комплекте 2 уголка для крепления к"&amp;" стене ")</f>
        <v xml:space="preserve"> теллаж выставочный  5 скошенных полок  размер не менее 800х120х1800 мм  есущие части  полки  фасадная часть        толщиной не менее 16 мм   ромка из     не менее 0 4 мм  пять скошенных под углом 80 градусов полок с бортиками  для размещения книг  на расстоянии по высоте 340 мм друг от друга   борка должна производиться с помощью конфирматов 6 3х50 и эксцентриковых стяжек   теллаж выполнен в двух цветах        олки расположены по цвету в шахматном порядке   олжны быть в комплекте 2 уголка для крепления к стене </v>
      </c>
    </row>
    <row r="3776" spans="1:8" ht="63.75" x14ac:dyDescent="0.2">
      <c r="A3776" s="31" t="s">
        <v>9144</v>
      </c>
      <c r="B3776" s="27" t="s">
        <v>9145</v>
      </c>
      <c r="C3776" s="27" t="s">
        <v>9146</v>
      </c>
      <c r="D3776" s="33" t="s">
        <v>14</v>
      </c>
      <c r="E3776" s="34">
        <v>2</v>
      </c>
      <c r="F3776" s="34">
        <v>64</v>
      </c>
      <c r="G3776" s="10">
        <v>91191</v>
      </c>
      <c r="H3776" s="30" t="str">
        <f ca="1">IFERROR(__xludf.DUMMYFUNCTION("LOWER(REGEXREPLACE(B3776&amp;"" ""&amp;C3776,""[^а-яa-z0-9 ]"","" ""))")," теллаж с наклонными полками  размер 1200х450х2380 мм   аркас из профильной трубы  полки из      толщиной не менее 16 мм  аркас выполнен из профильной трубы размером не менее 25х25 мм толщиной не менее 1 2 мм  и окрашенной полимерной краской   остоит из н"&amp;"е менее 2 боковых рамок и 8 наклонных полок   олка из      толщиной не менее 16 мм крепится в металлическую раму через пластину  шурупом не менее 4х16 мм   оковые опоры регулируемые ")</f>
        <v xml:space="preserve"> теллаж с наклонными полками  размер 1200х450х2380 мм   аркас из профильной трубы  полки из      толщиной не менее 16 мм  аркас выполнен из профильной трубы размером не менее 25х25 мм толщиной не менее 1 2 мм  и окрашенной полимерной краской   остоит из не менее 2 боковых рамок и 8 наклонных полок   олка из      толщиной не менее 16 мм крепится в металлическую раму через пластину  шурупом не менее 4х16 мм   оковые опоры регулируемые </v>
      </c>
    </row>
    <row r="3777" spans="1:8" ht="127.5" x14ac:dyDescent="0.2">
      <c r="A3777" s="31" t="s">
        <v>9147</v>
      </c>
      <c r="B3777" s="27" t="s">
        <v>9148</v>
      </c>
      <c r="C3777" s="27" t="s">
        <v>9149</v>
      </c>
      <c r="D3777" s="33" t="s">
        <v>14</v>
      </c>
      <c r="E3777" s="34">
        <v>2</v>
      </c>
      <c r="F3777" s="34">
        <v>33</v>
      </c>
      <c r="G3777" s="10">
        <v>54260</v>
      </c>
      <c r="H3777" s="30" t="str">
        <f ca="1">IFERROR(__xludf.DUMMYFUNCTION("LOWER(REGEXREPLACE(B3777&amp;"" ""&amp;C3777,""[^а-яa-z0-9 ]"","" ""))")," теллаж библиотечный двусторонний  каркас из профильной трубы  3 полки из      толщиной не менее 16 мм  размер не менее 800х600х1120 мм  аркас выполнен из профильной трубы размером не менее 25х25 мм толщиной не менее 1 2мм  окрашенной полимерной краской  "&amp;" остоит из 2 боковых рамок размером не менее 1095х450 мм    рамках должны быть вертикально закреплены 2 трубы размером не менее 25х25 мм толщиной не менее 1 2 мм  которые должны выполнять декоративные функции  опоры должны быть скреплены между собой метал"&amp;"лическими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металлическую"&amp;" пластину шурупом не менее 4х20 мм   оковые опоры должны иметь регулируемые опоры ")</f>
        <v xml:space="preserve"> теллаж библиотечный двусторонний  каркас из профильной трубы  3 полки из      толщиной не менее 16 мм  размер не менее 800х600х1120 мм  аркас выполнен из профильной трубы размером не менее 25х25 мм толщиной не менее 1 2мм  окрашенной полимерной краской   остоит из 2 боковых рамок размером не менее 1095х450 мм    рамках должны быть вертикально закреплены 2 трубы размером не менее 25х25 мм толщиной не менее 1 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 пластину шурупом не менее 4х20 мм   оковые опоры должны иметь регулируемые опоры </v>
      </c>
    </row>
    <row r="3778" spans="1:8" ht="140.25" x14ac:dyDescent="0.2">
      <c r="A3778" s="31" t="s">
        <v>9150</v>
      </c>
      <c r="B3778" s="27" t="s">
        <v>9151</v>
      </c>
      <c r="C3778" s="27" t="s">
        <v>9152</v>
      </c>
      <c r="D3778" s="33" t="s">
        <v>14</v>
      </c>
      <c r="E3778" s="34">
        <v>2</v>
      </c>
      <c r="F3778" s="34">
        <v>54</v>
      </c>
      <c r="G3778" s="10">
        <v>86821</v>
      </c>
      <c r="H3778" s="30" t="str">
        <f ca="1">IFERROR(__xludf.DUMMYFUNCTION("LOWER(REGEXREPLACE(B3778&amp;"" ""&amp;C3778,""[^а-яa-z0-9 ]"","" ""))")," теллаж библиотечный двусторонний  каркас из профильной трубы  5 полок из      толщиной не менее 16 мм  размер не менее 800х600х1840 мм  аркас должен быть выполнен из профильной трубы размером не менее 25х25 мм толщиной не менее 1 2мм  окрашенной полимерн"&amp;"ой краской   олжен состоять из не менее 2 боковых рамок размером не менее 1814х450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быть"&amp;"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мм"&amp;" к рамке через металлическую пластину шурупом не менее 4х20 мм   оковые опоры должны иметь регулируемые опоры ")</f>
        <v xml:space="preserve"> теллаж библиотечный двусторонний  каркас из профильной трубы  5 полок из      толщиной не менее 16 мм  размер не менее 800х600х1840 мм  аркас должен быть выполнен из профильной трубы размером не менее 25х25 мм толщиной не менее 1 2мм  окрашенной полимерной краской   олжен состоять из не менее 2 боковых рамок размером не менее 1814х450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 пластину шурупом не менее 4х20 мм   оковые опоры должны иметь регулируемые опоры </v>
      </c>
    </row>
    <row r="3779" spans="1:8" ht="140.25" x14ac:dyDescent="0.2">
      <c r="A3779" s="31" t="s">
        <v>9153</v>
      </c>
      <c r="B3779" s="27" t="s">
        <v>9154</v>
      </c>
      <c r="C3779" s="27" t="s">
        <v>9155</v>
      </c>
      <c r="D3779" s="33" t="s">
        <v>14</v>
      </c>
      <c r="E3779" s="34">
        <v>2</v>
      </c>
      <c r="F3779" s="34">
        <v>36</v>
      </c>
      <c r="G3779" s="10">
        <v>67262</v>
      </c>
      <c r="H3779" s="30" t="str">
        <f ca="1">IFERROR(__xludf.DUMMYFUNCTION("LOWER(REGEXREPLACE(B3779&amp;"" ""&amp;C3779,""[^а-яa-z0-9 ]"","" ""))")," теллаж библиотечный односторонний  каркас из профильной трубы  5 полок из      толщиной не менее 16 мм  размер не менее 800х350х1840 мм  аркас должен быть выполнен из профильной трубы размером не менее 25х25 мм толщиной не менее 1 2мм  окрашенной полимер"&amp;"ной краской   олжен состоять из не менее 2 боковых рамок размером не менее 1814х350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быт"&amp;"ь скреплены между собой металлическими рамками из профильной трубы не менее 25 х 25 мм толщиной не менее 1 2мм  крепление должно производиться через тубу болтом  6 в заклепку  6   олжна быть полка из      толщиной не менее 16 мм  размером не менее 694х294"&amp;" мм к рамке через металлическую пластину шурупом не менее 4х20 мм   оковые опоры должны иметь регулируемые опоры ")</f>
        <v xml:space="preserve"> теллаж библиотечный односторонний  каркас из профильной трубы  5 полок из      толщиной не менее 16 мм  размер не менее 800х350х1840 мм  аркас должен быть выполнен из профильной трубы размером не менее 25х25 мм толщиной не менее 1 2мм  окрашенной полимерной краской   олжен состоять из не менее 2 боковых рамок размером не менее 1814х350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 2мм  крепление должно производиться через тубу болтом  6 в заклепку  6   олжна быть полка из      толщиной не менее 16 мм  размером не менее 694х294 мм к рамке через металлическую пластину шурупом не менее 4х20 мм   оковые опоры должны иметь регулируемые опоры </v>
      </c>
    </row>
    <row r="3780" spans="1:8" ht="102" x14ac:dyDescent="0.2">
      <c r="A3780" s="31" t="s">
        <v>9156</v>
      </c>
      <c r="B3780" s="8" t="s">
        <v>9157</v>
      </c>
      <c r="C3780" s="27" t="s">
        <v>9158</v>
      </c>
      <c r="D3780" s="33" t="s">
        <v>14</v>
      </c>
      <c r="E3780" s="34">
        <v>2</v>
      </c>
      <c r="F3780" s="34">
        <v>98</v>
      </c>
      <c r="G3780" s="10">
        <v>145455</v>
      </c>
      <c r="H3780" s="30" t="str">
        <f ca="1">IFERROR(__xludf.DUMMYFUNCTION("LOWER(REGEXREPLACE(B3780&amp;"" ""&amp;C3780,""[^а-яa-z0-9 ]"","" ""))")," теллаж полукруглый библиотечный  размер 1970х985х1450 мм  одуль представляет собой односторонний стеллаж выполненный в виде полукруга   ысота верхнего края должна быть над полом не менее 1450 мм   теллаж состоит из 3 модулей разной высоты с открытыми ниш"&amp;"ами  расстояние между которыми должно быть не менее 336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д"&amp;"олжны быть регулируемые по высоте для компенсации неровностей пола ")</f>
        <v xml:space="preserve"> теллаж полукруглый библиотечный  размер 1970х985х1450 мм  одуль представляет собой односторонний стеллаж выполненный в виде полукруга   ысота верхнего края должна быть над полом не менее 1450 мм   теллаж состоит из 3 модулей разной высоты с открытыми нишами  расстояние между которыми должно быть не менее 336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должны быть регулируемые по высоте для компенсации неровностей пола </v>
      </c>
    </row>
    <row r="3781" spans="1:8" ht="102" x14ac:dyDescent="0.2">
      <c r="A3781" s="31" t="s">
        <v>9159</v>
      </c>
      <c r="B3781" s="8" t="s">
        <v>9160</v>
      </c>
      <c r="C3781" s="27" t="s">
        <v>9161</v>
      </c>
      <c r="D3781" s="33" t="s">
        <v>14</v>
      </c>
      <c r="E3781" s="34">
        <v>2</v>
      </c>
      <c r="F3781" s="34">
        <v>105</v>
      </c>
      <c r="G3781" s="10">
        <v>171464</v>
      </c>
      <c r="H3781" s="30" t="str">
        <f ca="1">IFERROR(__xludf.DUMMYFUNCTION("LOWER(REGEXREPLACE(B3781&amp;"" ""&amp;C3781,""[^а-яa-z0-9 ]"","" ""))")," теллаж полукруглый библиотечный  размер 2980х1490х1200 мм  одуль представляет собой односторонний стеллаж выполненный в виде полукруга   ысота верхнего края должна быть над полом не менее 1200 мм   теллаж состоит из 4 модулей  одного с 3 нишами и трех с "&amp;"двумя нишами  асстояние между полками должно быть не менее 368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"&amp;"ножки должны быть регулируемые по высоте для компенсации неровностей пола ")</f>
        <v xml:space="preserve"> теллаж полукруглый библиотечный  размер 2980х1490х1200 мм  одуль представляет собой односторонний стеллаж выполненный в виде полукруга   ысота верхнего края должна быть над полом не менее 1200 мм   теллаж состоит из 4 модулей  одного с 3 нишами и трех с двумя нишами  асстояние между полками должно быть не менее 368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должны быть регулируемые по высоте для компенсации неровностей пола </v>
      </c>
    </row>
    <row r="3782" spans="1:8" ht="76.5" x14ac:dyDescent="0.2">
      <c r="A3782" s="31" t="s">
        <v>9162</v>
      </c>
      <c r="B3782" s="27" t="s">
        <v>9163</v>
      </c>
      <c r="C3782" s="27" t="s">
        <v>9164</v>
      </c>
      <c r="D3782" s="33" t="s">
        <v>14</v>
      </c>
      <c r="E3782" s="34">
        <v>2</v>
      </c>
      <c r="F3782" s="34">
        <v>40</v>
      </c>
      <c r="G3782" s="10">
        <v>66196</v>
      </c>
      <c r="H3782" s="30" t="str">
        <f ca="1">IFERROR(__xludf.DUMMYFUNCTION("LOWER(REGEXREPLACE(B3782&amp;"" ""&amp;C3782,""[^а-яa-z0-9 ]"","" ""))")," теллаж с 8 открытыми ячейками  в 4 из которых установлены квадратные короба из      16 мм  размер 1445х350х755 мм  аркас должен быть выполнен из профильной трубы размером не менее 25х25 мм толщиной не менее 1 2мм  окрашенной полимерной краской   теллаж в"&amp;"ыполнен в виде 8 открытых ячеек  в четырех из которых установлены квадратные короба из      толщиной не менее 16 мм  разных цветов   ромка из     должна быть толщиной не менее 0 4 мм   еталлический каркас должен иметь регулируемые опоры ")</f>
        <v xml:space="preserve"> теллаж с 8 открытыми ячейками  в 4 из которых установлены квадратные короба из      16 мм  размер 1445х350х755 мм  аркас должен быть выполнен из профильной трубы размером не менее 25х25 мм толщиной не менее 1 2мм  окрашенной полимерной краской   теллаж выполнен в виде 8 открытых ячеек  в четырех из которых установлены квадратные короба из      толщиной не менее 16 мм  разных цветов   ромка из     должна быть толщиной не менее 0 4 мм   еталлический каркас должен иметь регулируемые опоры </v>
      </c>
    </row>
    <row r="3783" spans="1:8" ht="191.25" x14ac:dyDescent="0.2">
      <c r="A3783" s="31" t="s">
        <v>9165</v>
      </c>
      <c r="B3783" s="8" t="s">
        <v>9166</v>
      </c>
      <c r="C3783" s="27" t="s">
        <v>9167</v>
      </c>
      <c r="D3783" s="33" t="s">
        <v>14</v>
      </c>
      <c r="E3783" s="34">
        <v>2</v>
      </c>
      <c r="F3783" s="34">
        <v>52</v>
      </c>
      <c r="G3783" s="10">
        <v>132278</v>
      </c>
      <c r="H3783" s="30" t="str">
        <f ca="1">IFERROR(__xludf.DUMMYFUNCTION("LOWER(REGEXREPLACE(B3783&amp;"" ""&amp;C3783,""[^а-яa-z0-9 ]"","" ""))")," теллаж модульный полукруглый с мягким элементом  размер 1490х1490х1200 мм  теллааж состоит из 2 модулей   ервый модуль представляет собой двухсторонний стеллаж выполненный в виде октанты окружности   ысота верхнего края должна быть над полом не менее 460"&amp;" мм   иденье должна быть изготовлено из      толщиной не менее 16 мм  на которое клеится поролон не менее 10мм  а сверху оббивается тканью или экокожой   од сиденьем должна быть перегородка  для увеличения жесткости   ля изготовления несущих частей и разл"&amp;"ичных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торой модуль представляет собой двухсторонний стеллаж выпо"&amp;"лненный в виде октанты окружности   ысота верхнего края должна быть над полом не менее 1200 мм   теллаж имеет по 3 открытые полки с каждой стороны  расстояние между которыми должно быть не менее 360мм   ля изготовления несущих частей и различных элементов"&amp;"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f>
        <v xml:space="preserve"> теллаж модульный полукруглый с мягким элементом  размер 1490х1490х1200 мм  теллааж состоит из 2 модулей   ервый модуль представляет собой двухсторонний стеллаж выполненный в виде октанты окружности   ысота верхнего края должна быть над полом не менее 460 мм   иденье должна быть изготовлено из      толщиной не менее 16 мм  на которое клеится поролон не менее 10мм  а сверху оббивается тканью или экокожой   од сиденьем должна быть перегородка  для увеличения жесткости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торой модуль представляет собой двухсторонний стеллаж выполненный в виде октанты окружности   ысота верхнего края должна быть над полом не менее 1200 мм   теллаж имеет по 3 открытые полки с каждой стороны  расстояние между которыми должно быть не менее 360мм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v>
      </c>
    </row>
    <row r="3784" spans="1:8" ht="127.5" x14ac:dyDescent="0.2">
      <c r="A3784" s="31" t="s">
        <v>9168</v>
      </c>
      <c r="B3784" s="27" t="s">
        <v>9169</v>
      </c>
      <c r="C3784" s="27" t="s">
        <v>9170</v>
      </c>
      <c r="D3784" s="33" t="s">
        <v>14</v>
      </c>
      <c r="E3784" s="34">
        <v>2</v>
      </c>
      <c r="F3784" s="34">
        <v>64</v>
      </c>
      <c r="G3784" s="10">
        <v>320685</v>
      </c>
      <c r="H3784" s="30" t="str">
        <f ca="1">IFERROR(__xludf.DUMMYFUNCTION("LOWER(REGEXREPLACE(B3784&amp;"" ""&amp;C3784,""[^а-яa-z0-9 ]"","" ""))")," теллаж односторонний модульный для хранения с мягким элементом  размер 1100х940х1820 мм  одуль представляет собой односторонний стеллаж   ысота верхнего края должна быть над полом не менее 1820 мм   иденье  боковые элементы  и элементы крышки должна быть"&amp;" изготовлено из      толщиной не менее 16 мм  на которое клеится поролон не менее 10мм  а сверху оббивается тканью или экокожой   од сиденьем должны быть две дверки с ручками   етля для дверок должна быть внешняя с европланкой с функцией  softclose    ля "&amp;"изготовления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f>
        <v xml:space="preserve"> теллаж односторонний модульный для хранения с мягким элементом  размер 1100х940х1820 мм  одуль представляет собой односторонний стеллаж   ысота верхнего края должна быть над полом не менее 1820 мм   иденье  боковые элементы  и элементы крышки должна быть изготовлено из      толщиной не менее 16 мм  на которое клеится поролон не менее 10мм  а сверху оббивается тканью или экокожой   од сиденьем должны быть две дверки с ручками   етля для дверок должна быть внешняя с европланкой с функцией  softclose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v>
      </c>
    </row>
    <row r="3785" spans="1:8" ht="102" x14ac:dyDescent="0.2">
      <c r="A3785" s="31" t="s">
        <v>9171</v>
      </c>
      <c r="B3785" s="27" t="s">
        <v>9172</v>
      </c>
      <c r="C3785" s="27" t="s">
        <v>9173</v>
      </c>
      <c r="D3785" s="33" t="s">
        <v>14</v>
      </c>
      <c r="E3785" s="34">
        <v>2</v>
      </c>
      <c r="F3785" s="34">
        <v>78</v>
      </c>
      <c r="G3785" s="10">
        <v>268781</v>
      </c>
      <c r="H3785" s="30" t="str">
        <f ca="1">IFERROR(__xludf.DUMMYFUNCTION("LOWER(REGEXREPLACE(B3785&amp;"" ""&amp;C3785,""[^а-яa-z0-9 ]"","" ""))")," теллаж  двухсторонний модульный с мягким элементом  размер 1100х520х1820 мм  одуль представляет собой двухсторонний стеллаж   ысота верхнего края должна быть над полом не менее 1820 мм   иденье  боковые элементы  и элементы крышки должна быть изготовлено"&amp;" из      толщиной не менее 16 мм  на которое клеится поролон не менее 10мм  а сверху оббивается тканью или экокожой   од сиденьем должны быть жесткая тумба   ля изготовления несущих частей и различных элементов используется      толщиной не менее 16 мм   "&amp;"ромка из     должна быть толщиной не менее 0 4 мм   ебельные ножки должны быть регулируемые по высоте для компенсации неровностей пола ")</f>
        <v xml:space="preserve"> теллаж  двухсторонний модульный с мягким элементом  размер 1100х520х1820 мм  одуль представляет собой двухсторонний стеллаж   ысота верхнего края должна быть над полом не менее 1820 мм   иденье  боковые элементы  и элементы крышки должна быть изготовлено из      толщиной не менее 16 мм  на которое клеится поролон не менее 10мм  а сверху оббивается тканью или экокожой   од сиденьем должны быть жесткая тумба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v>
      </c>
    </row>
    <row r="3786" spans="1:8" ht="76.5" x14ac:dyDescent="0.2">
      <c r="A3786" s="31" t="s">
        <v>9174</v>
      </c>
      <c r="B3786" s="27" t="s">
        <v>9175</v>
      </c>
      <c r="C3786" s="27" t="s">
        <v>9176</v>
      </c>
      <c r="D3786" s="33" t="s">
        <v>14</v>
      </c>
      <c r="E3786" s="34">
        <v>2</v>
      </c>
      <c r="F3786" s="34">
        <v>29</v>
      </c>
      <c r="G3786" s="10">
        <v>41686</v>
      </c>
      <c r="H3786" s="30" t="str">
        <f ca="1">IFERROR(__xludf.DUMMYFUNCTION("LOWER(REGEXREPLACE(B3786&amp;"" ""&amp;C3786,""[^а-яa-z0-9 ]"","" ""))")," теллаж для литературы  материал      32 мм  наклонные г образные полки из оргстекла толщиной не менее 4 мм  кромка из     не менее 2 мм  размеры 520х350х1500 мм  теллаж выполнен в форме стелы из      не менее 32 мм и имеет в сзади ребро жесткости   аклон"&amp;"ные г образные полки изготовлены из оргстекла толщиной не менее 4 мм   ромка из     не менее 2 мм    основании имеются пластиковые подпятники   борка должна производиться с помощью конфирматов 6 3х50 и эксцентриковых стяжек ")</f>
        <v xml:space="preserve"> теллаж для литературы  материал      32 мм  наклонные г образные полки из оргстекла толщиной не менее 4 мм  кромка из     не менее 2 мм  размеры 520х350х1500 мм  теллаж выполнен в форме стелы из      не менее 32 мм и имеет в сзади ребро жесткости   аклонные г образные полки изготовлены из оргстекла толщиной не менее 4 мм   ромка из     не менее 2 мм    основании имеются пластиковые подпятники   борка должна производиться с помощью конфирматов 6 3х50 и эксцентриковых стяжек </v>
      </c>
    </row>
    <row r="3787" spans="1:8" ht="114.75" x14ac:dyDescent="0.2">
      <c r="A3787" s="31" t="s">
        <v>9177</v>
      </c>
      <c r="B3787" s="27" t="s">
        <v>9178</v>
      </c>
      <c r="C3787" s="27" t="s">
        <v>9179</v>
      </c>
      <c r="D3787" s="33" t="s">
        <v>14</v>
      </c>
      <c r="E3787" s="34">
        <v>2</v>
      </c>
      <c r="F3787" s="34">
        <v>33</v>
      </c>
      <c r="G3787" s="10">
        <v>33909</v>
      </c>
      <c r="H3787" s="30" t="str">
        <f ca="1">IFERROR(__xludf.DUMMYFUNCTION("LOWER(REGEXREPLACE(B3787&amp;"" ""&amp;C3787,""[^а-яa-z0-9 ]"","" ""))")," теллаж для документов  шесть ниш  три из которых не закрыты задней стенкой  размеры 800х420х1230 мм  теллаж открытый с шестью нишами  три из которых не закрыты задней стенкой   дна боковина изготовлена из профильной квадратной трубы 20х20мм толщиной не м"&amp;"енее 1 2мм и покрыта порошковой полимерной краской   есущие части  полки  задняя стенка изготовлены из      толщиной не менее 16 мм   ромка из     не менее 0 4 мм   борка должна производиться с помощью конфирматов 6 3х50 и эксцентриковых стяжек   еста уст"&amp;"ановки креп жных изделий должны быть закрыты заглушками  ебельные ножки должны регулироваться по высоте для компенсации неровностей пола ")</f>
        <v xml:space="preserve"> теллаж для документов  шесть ниш  три из которых не закрыты задней стенкой  размеры 800х420х1230 мм  теллаж открытый с шестью нишами  три из которых не закрыты задней стенкой   дна боковина изготовлена из профильной квадратной трубы 20х20мм толщиной не менее 1 2мм и покрыта порошковой полимерной краской   есущие части  полки  задняя стенка изготовлены из      толщиной не менее 16 мм   ромка из     не менее 0 4 мм   борка должна производиться с помощью конфирматов 6 3х50 и эксцентриковых стяжек   еста установки креп жных изделий должны быть закрыты заглушками  ебельные ножки должны регулироваться по высоте для компенсации неровностей пола </v>
      </c>
    </row>
    <row r="3788" spans="1:8" ht="89.25" x14ac:dyDescent="0.2">
      <c r="A3788" s="31" t="s">
        <v>9180</v>
      </c>
      <c r="B3788" s="27" t="s">
        <v>9181</v>
      </c>
      <c r="C3788" s="27" t="s">
        <v>9182</v>
      </c>
      <c r="D3788" s="33" t="s">
        <v>14</v>
      </c>
      <c r="E3788" s="34">
        <v>2</v>
      </c>
      <c r="F3788" s="34">
        <v>20</v>
      </c>
      <c r="G3788" s="10">
        <v>29309</v>
      </c>
      <c r="H3788" s="30" t="str">
        <f ca="1">IFERROR(__xludf.DUMMYFUNCTION("LOWER(REGEXREPLACE(B3788&amp;"" ""&amp;C3788,""[^а-яa-z0-9 ]"","" ""))")," истема модульная настенная 6 секций  размеры 1130х250х1300 мм       16 мм  кромка       есть открытых секций в виде прямоугольника размером 350х350 мм  есущие части  полки        толщиной не менее 16 мм   ромка из     не менее 0 4 мм   борка должна произ"&amp;"водиться с помощью стяжки эксцентриковая и шкант буковый 8х30 мм   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ре"&amp;"дусмотрено крепление модуля к стене ")</f>
        <v xml:space="preserve"> истема модульная настенная 6 секций  размеры 1130х250х1300 мм       16 мм  кромка       есть открытых секций в виде прямоугольника размером 350х350 мм  есущие части  полки        толщиной не менее 16 мм   ромка из     не менее 0 4 мм   борка должна производиться с помощью стяжки эксцентриковая и шкант буковый 8х30 мм   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редусмотрено крепление модуля к стене </v>
      </c>
    </row>
    <row r="3789" spans="1:8" ht="89.25" x14ac:dyDescent="0.2">
      <c r="A3789" s="31" t="s">
        <v>9183</v>
      </c>
      <c r="B3789" s="27" t="s">
        <v>9184</v>
      </c>
      <c r="C3789" s="27" t="s">
        <v>9185</v>
      </c>
      <c r="D3789" s="33" t="s">
        <v>14</v>
      </c>
      <c r="E3789" s="34">
        <v>2</v>
      </c>
      <c r="F3789" s="34">
        <v>37</v>
      </c>
      <c r="G3789" s="10">
        <v>51678</v>
      </c>
      <c r="H3789" s="30" t="str">
        <f ca="1">IFERROR(__xludf.DUMMYFUNCTION("LOWER(REGEXREPLACE(B3789&amp;"" ""&amp;C3789,""[^а-яa-z0-9 ]"","" ""))")," истема модульная настенная 8 секций  размеры 1670х250х1310 мм       16 мм  кромка       осемь открытых секций в виде прямоугольника размером 350х350 мм  есущие части  полки        толщиной не менее 16 мм   ромка из     не менее 0 4 мм   борка должна прои"&amp;"зводиться с помощью  стяжка эксцентриковая и шкант буковый 8х30 мм   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"&amp;" редусмотрено крепление модуля к стене ")</f>
        <v xml:space="preserve"> истема модульная настенная 8 секций  размеры 1670х250х1310 мм       16 мм  кромка       осемь открытых секций в виде прямоугольника размером 350х350 мм  есущие части  полки        толщиной не менее 16 мм   ромка из     не менее 0 4 мм   борка должна производиться с помощью  стяжка эксцентриковая и шкант буковый 8х30 мм   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редусмотрено крепление модуля к стене </v>
      </c>
    </row>
    <row r="3790" spans="1:8" ht="76.5" x14ac:dyDescent="0.2">
      <c r="A3790" s="31" t="s">
        <v>9186</v>
      </c>
      <c r="B3790" s="27" t="s">
        <v>9187</v>
      </c>
      <c r="C3790" s="27" t="s">
        <v>9188</v>
      </c>
      <c r="D3790" s="33" t="s">
        <v>14</v>
      </c>
      <c r="E3790" s="34">
        <v>2</v>
      </c>
      <c r="F3790" s="34">
        <v>29</v>
      </c>
      <c r="G3790" s="10">
        <v>30428</v>
      </c>
      <c r="H3790" s="30" t="str">
        <f ca="1">IFERROR(__xludf.DUMMYFUNCTION("LOWER(REGEXREPLACE(B3790&amp;"" ""&amp;C3790,""[^а-яa-z0-9 ]"","" ""))")," истема модульная настенная  есенка 3 секции  размеры 1018х266х768 мм       16 мм  кромка       истема модульная настенная  есенка 3 секции  абаритные размеры должны быть  не менее 1018х266х768 мм   есущие части  полки        толщиной не менее 16 мм   ром"&amp;"ка из     не менее 0 4 мм   борка должна производиться с помощью конфирматов 6 3х50 и эксцентриковых стяжек   одуль состоит из 3 секций  2 секции имею 2 полки с боковыми опорами  а третья три полки  также с боковыми опорами   редусмотрено крепление модуля"&amp;" к стене ")</f>
        <v xml:space="preserve"> истема модульная настенная  есенка 3 секции  размеры 1018х266х768 мм       16 мм  кромка       истема модульная настенная  есенка 3 секции  абаритные размеры должны быть  не менее 1018х266х768 мм   есущие части  полки        толщиной не менее 16 мм   ромка из     не менее 0 4 мм   борка должна производиться с помощью конфирматов 6 3х50 и эксцентриковых стяжек   одуль состоит из 3 секций  2 секции имею 2 полки с боковыми опорами  а третья три полки  также с боковыми опорами   редусмотрено крепление модуля к стене </v>
      </c>
    </row>
    <row r="3791" spans="1:8" ht="12.75" x14ac:dyDescent="0.2">
      <c r="A3791" s="31" t="s">
        <v>9189</v>
      </c>
      <c r="B3791" s="27" t="s">
        <v>9190</v>
      </c>
      <c r="C3791" s="27"/>
      <c r="D3791" s="33" t="s">
        <v>14</v>
      </c>
      <c r="E3791" s="9"/>
      <c r="F3791" s="32"/>
      <c r="G3791" s="10"/>
      <c r="H3791" s="30" t="str">
        <f ca="1">IFERROR(__xludf.DUMMYFUNCTION("LOWER(REGEXREPLACE(B3791&amp;"" ""&amp;C3791,""[^а-яa-z0-9 ]"","" ""))")," рибуна лекторская ")</f>
        <v xml:space="preserve"> рибуна лекторская </v>
      </c>
    </row>
    <row r="3792" spans="1:8" ht="38.25" x14ac:dyDescent="0.2">
      <c r="A3792" s="31" t="s">
        <v>9191</v>
      </c>
      <c r="B3792" s="27" t="s">
        <v>9192</v>
      </c>
      <c r="C3792" s="27" t="s">
        <v>9193</v>
      </c>
      <c r="D3792" s="33" t="s">
        <v>14</v>
      </c>
      <c r="E3792" s="34">
        <v>2</v>
      </c>
      <c r="F3792" s="34">
        <v>21</v>
      </c>
      <c r="G3792" s="10">
        <v>30382</v>
      </c>
      <c r="H3792" s="30" t="str">
        <f ca="1">IFERROR(__xludf.DUMMYFUNCTION("LOWER(REGEXREPLACE(B3792&amp;"" ""&amp;C3792,""[^а-яa-z0-9 ]"","" ""))")," рибуна 600х500х1200мм       16мм  рибуна для выступлений 600х500х1200мм   атериал корпуса       толщина материала 16 мм   ромка     с использованием высокотемпературного клея   ля предотвращения воздействия воды и влаги предусмотрены пластиковые подпятни"&amp;"ки ")</f>
        <v xml:space="preserve"> рибуна 600х500х1200мм       16мм  рибуна для выступлений 600х500х1200мм   атериал корпуса       толщина материала 16 мм   ромка     с использованием высокотемпературного клея   ля предотвращения воздействия воды и влаги предусмотрены пластиковые подпятники </v>
      </c>
    </row>
    <row r="3793" spans="1:8" ht="12.75" x14ac:dyDescent="0.2">
      <c r="A3793" s="31" t="s">
        <v>9194</v>
      </c>
      <c r="B3793" s="27" t="s">
        <v>9195</v>
      </c>
      <c r="C3793" s="27" t="s">
        <v>9195</v>
      </c>
      <c r="D3793" s="33" t="s">
        <v>14</v>
      </c>
      <c r="E3793" s="34">
        <v>2</v>
      </c>
      <c r="F3793" s="34">
        <v>28</v>
      </c>
      <c r="G3793" s="10">
        <v>31755</v>
      </c>
      <c r="H3793" s="30" t="str">
        <f ca="1">IFERROR(__xludf.DUMMYFUNCTION("LOWER(REGEXREPLACE(B3793&amp;"" ""&amp;C3793,""[^а-яa-z0-9 ]"","" ""))")," рибуна 700х490х1240 мм       16мм  рибуна 700х490х1240 мм       16мм")</f>
        <v xml:space="preserve"> рибуна 700х490х1240 мм       16мм  рибуна 700х490х1240 мм       16мм</v>
      </c>
    </row>
    <row r="3794" spans="1:8" ht="38.25" x14ac:dyDescent="0.2">
      <c r="A3794" s="31" t="s">
        <v>9196</v>
      </c>
      <c r="B3794" s="27" t="s">
        <v>9197</v>
      </c>
      <c r="C3794" s="27" t="s">
        <v>9198</v>
      </c>
      <c r="D3794" s="33" t="s">
        <v>14</v>
      </c>
      <c r="E3794" s="34">
        <v>2</v>
      </c>
      <c r="F3794" s="34">
        <v>25</v>
      </c>
      <c r="G3794" s="10">
        <v>25277</v>
      </c>
      <c r="H3794" s="30" t="str">
        <f ca="1">IFERROR(__xludf.DUMMYFUNCTION("LOWER(REGEXREPLACE(B3794&amp;"" ""&amp;C3794,""[^а-яa-z0-9 ]"","" ""))")," пич трибуна 600х500х1195 мм  атериал        толщиной 16 мм     ромки деталей облицованы полимерным кромочным материалам        толщиной 1 5 мм   урнитура  конфирматы  стяжка типа     ")</f>
        <v xml:space="preserve"> пич трибуна 600х500х1195 мм  атериал        толщиной 16 мм     ромки деталей облицованы полимерным кромочным материалам        толщиной 1 5 мм   урнитура  конфирматы  стяжка типа     </v>
      </c>
    </row>
    <row r="3795" spans="1:8" ht="76.5" x14ac:dyDescent="0.2">
      <c r="A3795" s="31" t="s">
        <v>9199</v>
      </c>
      <c r="B3795" s="27" t="s">
        <v>9200</v>
      </c>
      <c r="C3795" s="27" t="s">
        <v>9201</v>
      </c>
      <c r="D3795" s="33" t="s">
        <v>14</v>
      </c>
      <c r="E3795" s="34">
        <v>2</v>
      </c>
      <c r="F3795" s="34">
        <v>42</v>
      </c>
      <c r="G3795" s="10">
        <v>31699</v>
      </c>
      <c r="H3795" s="30" t="str">
        <f ca="1">IFERROR(__xludf.DUMMYFUNCTION("LOWER(REGEXREPLACE(B3795&amp;"" ""&amp;C3795,""[^а-яa-z0-9 ]"","" ""))")," рибуна 640х470х1125мм       16мм  2 полки  рибуна   атериал       толщина материала 16 мм  кромка     с исполькозованием высокотемпературного клея   ля предотвращения воздействия воды и влаги на стол предусмотрены пластикоые подпятники   орпус соединяетс"&amp;"я с помощью системой  inifiх  имеются 2 зафиксированные полки     верхней полке имеется бортик в 40 мм  для удержания жокументов   абариты 640 470 1125мм с полкой  бортами")</f>
        <v xml:space="preserve"> рибуна 640х470х1125мм       16мм  2 полки  рибуна   атериал       толщина материала 16 мм  кромка     с исполькозованием высокотемпературного клея   ля предотвращения воздействия воды и влаги на стол предусмотрены пластикоые подпятники   орпус соединяется с помощью системой  inifiх  имеются 2 зафиксированные полки     верхней полке имеется бортик в 40 мм  для удержания жокументов   абариты 640 470 1125мм с полкой  бортами</v>
      </c>
    </row>
    <row r="3796" spans="1:8" ht="25.5" x14ac:dyDescent="0.2">
      <c r="A3796" s="31" t="s">
        <v>9202</v>
      </c>
      <c r="B3796" s="27" t="s">
        <v>9203</v>
      </c>
      <c r="C3796" s="27" t="s">
        <v>9204</v>
      </c>
      <c r="D3796" s="33" t="s">
        <v>14</v>
      </c>
      <c r="E3796" s="34">
        <v>2</v>
      </c>
      <c r="F3796" s="35">
        <v>18.7</v>
      </c>
      <c r="G3796" s="10">
        <v>25001</v>
      </c>
      <c r="H3796" s="30" t="str">
        <f ca="1">IFERROR(__xludf.DUMMYFUNCTION("LOWER(REGEXREPLACE(B3796&amp;"" ""&amp;C3796,""[^а-яa-z0-9 ]"","" ""))")," пич трибуна 550х500х1200мм       16мм  пич трибуна выполнена из      16мм  торцы обработаны кромкой     толщиной 2мм ")</f>
        <v xml:space="preserve"> пич трибуна 550х500х1200мм       16мм  пич трибуна выполнена из      16мм  торцы обработаны кромкой     толщиной 2мм </v>
      </c>
    </row>
    <row r="3797" spans="1:8" ht="12.75" x14ac:dyDescent="0.2">
      <c r="A3797" s="31" t="s">
        <v>9205</v>
      </c>
      <c r="B3797" s="27" t="s">
        <v>9206</v>
      </c>
      <c r="C3797" s="27"/>
      <c r="D3797" s="33" t="s">
        <v>14</v>
      </c>
      <c r="E3797" s="9"/>
      <c r="F3797" s="32"/>
      <c r="G3797" s="10"/>
      <c r="H3797" s="30" t="str">
        <f ca="1">IFERROR(__xludf.DUMMYFUNCTION("LOWER(REGEXREPLACE(B3797&amp;"" ""&amp;C3797,""[^а-яa-z0-9 ]"","" ""))")," оска классная ")</f>
        <v xml:space="preserve"> оска классная </v>
      </c>
    </row>
    <row r="3798" spans="1:8" ht="25.5" x14ac:dyDescent="0.2">
      <c r="A3798" s="31" t="s">
        <v>9207</v>
      </c>
      <c r="B3798" s="27" t="s">
        <v>9208</v>
      </c>
      <c r="C3798" s="27" t="s">
        <v>9208</v>
      </c>
      <c r="D3798" s="33" t="s">
        <v>14</v>
      </c>
      <c r="E3798" s="9"/>
      <c r="F3798" s="32"/>
      <c r="G3798" s="10">
        <v>36270</v>
      </c>
      <c r="H3798" s="30" t="str">
        <f ca="1">IFERROR(__xludf.DUMMYFUNCTION("LOWER(REGEXREPLACE(B3798&amp;"" ""&amp;C3798,""[^а-яa-z0-9 ]"","" ""))")," оска классная настенная магнитно меловая   азмер 1500х1000мм   оска классная настенная магнитно меловая   азмер 1500х1000мм ")</f>
        <v xml:space="preserve"> оска классная настенная магнитно меловая   азмер 1500х1000мм   оска классная настенная магнитно меловая   азмер 1500х1000мм </v>
      </c>
    </row>
    <row r="3799" spans="1:8" ht="25.5" x14ac:dyDescent="0.2">
      <c r="A3799" s="31" t="s">
        <v>9209</v>
      </c>
      <c r="B3799" s="27" t="s">
        <v>9210</v>
      </c>
      <c r="C3799" s="27" t="s">
        <v>9210</v>
      </c>
      <c r="D3799" s="33" t="s">
        <v>14</v>
      </c>
      <c r="E3799" s="9"/>
      <c r="F3799" s="32"/>
      <c r="G3799" s="10">
        <v>41016</v>
      </c>
      <c r="H3799" s="30" t="str">
        <f ca="1">IFERROR(__xludf.DUMMYFUNCTION("LOWER(REGEXREPLACE(B3799&amp;"" ""&amp;C3799,""[^а-яa-z0-9 ]"","" ""))")," оска классная настенная магнитно меловая   азмер 1700х1000мм   оска классная настенная магнитно меловая   азмер 1700х1000мм ")</f>
        <v xml:space="preserve"> оска классная настенная магнитно меловая   азмер 1700х1000мм   оска классная настенная магнитно меловая   азмер 1700х1000мм </v>
      </c>
    </row>
    <row r="3800" spans="1:8" ht="76.5" x14ac:dyDescent="0.2">
      <c r="A3800" s="31" t="s">
        <v>9211</v>
      </c>
      <c r="B3800" s="8" t="s">
        <v>9212</v>
      </c>
      <c r="C3800" s="27" t="s">
        <v>9213</v>
      </c>
      <c r="D3800" s="33" t="s">
        <v>14</v>
      </c>
      <c r="E3800" s="34">
        <v>2</v>
      </c>
      <c r="F3800" s="36">
        <v>4.6500000000000004</v>
      </c>
      <c r="G3800" s="10">
        <v>40486</v>
      </c>
      <c r="H3800" s="30" t="str">
        <f ca="1">IFERROR(__xludf.DUMMYFUNCTION("LOWER(REGEXREPLACE(B3800&amp;"" ""&amp;C3800,""[^а-яa-z0-9 ]"","" ""))")," оска магнитно маркерная и магнитно меловая  размер 1500х1000мм  оска классная  меловая и маркерная  покрытие магнитное   вет зеленый и белый   оска из стали с прочным эмалевым антибликовым покрытием  устойчивая к царапанию и стиранию    комплект входит л"&amp;"оток для маркеров   аписи на доску наносятся при помощи цветных маркеров и удаляются специальной губкой  входящих в комплект поставки    комплекте  набор цветных маркеров  губка для стирания  крепежные и декоративные элементы ")</f>
        <v xml:space="preserve"> оска магнитно маркерная и магнитно меловая  размер 1500х1000мм  оска классная  меловая и маркерная  покрытие магнитное   вет зеленый и белый   оска из стали с прочным эмалевым антибликовым покрытием  устойчивая к царапанию и стиранию    комплект входит лоток для маркеров   аписи на доску наносятся при помощи цветных маркеров и удаляются специальной губкой  входящих в комплект поставки    комплекте  набор цветных маркеров  губка для стирания  крепежные и декоративные элементы </v>
      </c>
    </row>
    <row r="3801" spans="1:8" ht="12.75" x14ac:dyDescent="0.2">
      <c r="A3801" s="31" t="s">
        <v>9214</v>
      </c>
      <c r="B3801" s="27" t="s">
        <v>9215</v>
      </c>
      <c r="C3801" s="27"/>
      <c r="D3801" s="33" t="s">
        <v>14</v>
      </c>
      <c r="E3801" s="9"/>
      <c r="F3801" s="32"/>
      <c r="G3801" s="10"/>
      <c r="H3801" s="30" t="str">
        <f ca="1">IFERROR(__xludf.DUMMYFUNCTION("LOWER(REGEXREPLACE(B3801&amp;"" ""&amp;C3801,""[^а-яa-z0-9 ]"","" ""))")," оска магнитная пробковая ")</f>
        <v xml:space="preserve"> оска магнитная пробковая </v>
      </c>
    </row>
    <row r="3802" spans="1:8" ht="25.5" x14ac:dyDescent="0.2">
      <c r="A3802" s="31" t="s">
        <v>9216</v>
      </c>
      <c r="B3802" s="27" t="s">
        <v>9217</v>
      </c>
      <c r="C3802" s="27"/>
      <c r="D3802" s="33" t="s">
        <v>14</v>
      </c>
      <c r="E3802" s="9"/>
      <c r="F3802" s="32"/>
      <c r="G3802" s="10">
        <v>4511</v>
      </c>
      <c r="H3802" s="30" t="str">
        <f ca="1">IFERROR(__xludf.DUMMYFUNCTION("LOWER(REGEXREPLACE(B3802&amp;"" ""&amp;C3802,""[^а-яa-z0-9 ]"","" ""))")," оска магнитно маркерная пробковая  omix   4560   560х410 мм   hite ")</f>
        <v xml:space="preserve"> оска магнитно маркерная пробковая  omix   4560   560х410 мм   hite </v>
      </c>
    </row>
    <row r="3803" spans="1:8" ht="25.5" x14ac:dyDescent="0.2">
      <c r="A3803" s="31" t="s">
        <v>9218</v>
      </c>
      <c r="B3803" s="27" t="s">
        <v>9219</v>
      </c>
      <c r="C3803" s="27"/>
      <c r="D3803" s="33" t="s">
        <v>14</v>
      </c>
      <c r="E3803" s="9"/>
      <c r="F3803" s="32"/>
      <c r="G3803" s="10">
        <v>4511</v>
      </c>
      <c r="H3803" s="30" t="str">
        <f ca="1">IFERROR(__xludf.DUMMYFUNCTION("LOWER(REGEXREPLACE(B3803&amp;"" ""&amp;C3803,""[^а-яa-z0-9 ]"","" ""))")," оска магнитно маркерная пробковая  omix   4560   560х410 мм   hite ")</f>
        <v xml:space="preserve"> оска магнитно маркерная пробковая  omix   4560   560х410 мм   hite </v>
      </c>
    </row>
    <row r="3804" spans="1:8" ht="12.75" x14ac:dyDescent="0.2">
      <c r="A3804" s="31" t="s">
        <v>9220</v>
      </c>
      <c r="B3804" s="27" t="s">
        <v>9221</v>
      </c>
      <c r="C3804" s="27"/>
      <c r="D3804" s="33" t="s">
        <v>14</v>
      </c>
      <c r="E3804" s="9"/>
      <c r="F3804" s="32"/>
      <c r="G3804" s="10"/>
      <c r="H3804" s="30" t="str">
        <f ca="1">IFERROR(__xludf.DUMMYFUNCTION("LOWER(REGEXREPLACE(B3804&amp;"" ""&amp;C3804,""[^а-яa-z0-9 ]"","" ""))")," оска настенная аудиторная ")</f>
        <v xml:space="preserve"> оска настенная аудиторная </v>
      </c>
    </row>
    <row r="3805" spans="1:8" ht="25.5" x14ac:dyDescent="0.2">
      <c r="A3805" s="31" t="s">
        <v>9222</v>
      </c>
      <c r="B3805" s="8" t="s">
        <v>9223</v>
      </c>
      <c r="C3805" s="27" t="s">
        <v>9224</v>
      </c>
      <c r="D3805" s="33" t="s">
        <v>14</v>
      </c>
      <c r="E3805" s="9"/>
      <c r="F3805" s="34">
        <v>7</v>
      </c>
      <c r="G3805" s="10">
        <v>78571</v>
      </c>
      <c r="H3805" s="30" t="str">
        <f ca="1">IFERROR(__xludf.DUMMYFUNCTION("LOWER(REGEXREPLACE(B3805&amp;"" ""&amp;C3805,""[^а-яa-z0-9 ]"","" ""))")," оска настенная аудиторная трехстворчатая размерами 1000x3000 мм  мел маркер  оска настенная аудиторная трехстворчатая размерами 1000x3000 мм  мел маркер")</f>
        <v xml:space="preserve"> оска настенная аудиторная трехстворчатая размерами 1000x3000 мм  мел маркер  оска настенная аудиторная трехстворчатая размерами 1000x3000 мм  мел маркер</v>
      </c>
    </row>
    <row r="3806" spans="1:8" ht="25.5" x14ac:dyDescent="0.2">
      <c r="A3806" s="31" t="s">
        <v>9225</v>
      </c>
      <c r="B3806" s="8" t="s">
        <v>9226</v>
      </c>
      <c r="C3806" s="27" t="s">
        <v>9227</v>
      </c>
      <c r="D3806" s="33" t="s">
        <v>14</v>
      </c>
      <c r="E3806" s="9"/>
      <c r="F3806" s="32"/>
      <c r="G3806" s="10">
        <v>39167</v>
      </c>
      <c r="H3806" s="30" t="str">
        <f ca="1">IFERROR(__xludf.DUMMYFUNCTION("LOWER(REGEXREPLACE(B3806&amp;"" ""&amp;C3806,""[^а-яa-z0-9 ]"","" ""))")," оска магнитно маркерная на треноге   азмер 900х1000мм   оска магнитно маркерная на треноге   азмер 900х1000мм ")</f>
        <v xml:space="preserve"> оска магнитно маркерная на треноге   азмер 900х1000мм   оска магнитно маркерная на треноге   азмер 900х1000мм </v>
      </c>
    </row>
    <row r="3807" spans="1:8" ht="12.75" x14ac:dyDescent="0.2">
      <c r="A3807" s="31" t="s">
        <v>9228</v>
      </c>
      <c r="B3807" s="27" t="s">
        <v>9229</v>
      </c>
      <c r="C3807" s="27"/>
      <c r="D3807" s="33" t="s">
        <v>14</v>
      </c>
      <c r="E3807" s="9"/>
      <c r="F3807" s="32"/>
      <c r="G3807" s="10"/>
      <c r="H3807" s="30" t="str">
        <f ca="1">IFERROR(__xludf.DUMMYFUNCTION("LOWER(REGEXREPLACE(B3807&amp;"" ""&amp;C3807,""[^а-яa-z0-9 ]"","" ""))")," каф металлический ")</f>
        <v xml:space="preserve"> каф металлический </v>
      </c>
    </row>
    <row r="3808" spans="1:8" ht="51" x14ac:dyDescent="0.2">
      <c r="A3808" s="31" t="s">
        <v>9230</v>
      </c>
      <c r="B3808" s="27" t="s">
        <v>9231</v>
      </c>
      <c r="C3808" s="27" t="s">
        <v>9232</v>
      </c>
      <c r="D3808" s="33" t="s">
        <v>14</v>
      </c>
      <c r="E3808" s="34">
        <v>2</v>
      </c>
      <c r="F3808" s="34">
        <v>46</v>
      </c>
      <c r="G3808" s="10">
        <v>175539</v>
      </c>
      <c r="H3808" s="30" t="str">
        <f ca="1">IFERROR(__xludf.DUMMYFUNCTION("LOWER(REGEXREPLACE(B3808&amp;"" ""&amp;C3808,""[^а-яa-z0-9 ]"","" ""))")," каф металлический  взломостойкий  размеры 900х440х355мм  ельная конструкция  из листового металла   олка и запирающий отсек  трейзер   сталь листовая  толщинной 2мм   азмеры запирающего отсека  трейзер   107 5х297мм   окрытие полимерно порошковой краски "&amp;"  ласс взломостойкости     ")</f>
        <v xml:space="preserve"> каф металлический  взломостойкий  размеры 900х440х355мм  ельная конструкция  из листового металла   олка и запирающий отсек  трейзер   сталь листовая  толщинной 2мм   азмеры запирающего отсека  трейзер   107 5х297мм   окрытие полимерно порошковой краски   ласс взломостойкости     </v>
      </c>
    </row>
    <row r="3809" spans="1:8" ht="38.25" x14ac:dyDescent="0.2">
      <c r="A3809" s="31" t="s">
        <v>9233</v>
      </c>
      <c r="B3809" s="27" t="s">
        <v>9234</v>
      </c>
      <c r="C3809" s="27" t="s">
        <v>9235</v>
      </c>
      <c r="D3809" s="33" t="s">
        <v>14</v>
      </c>
      <c r="E3809" s="34">
        <v>2</v>
      </c>
      <c r="F3809" s="34">
        <v>56</v>
      </c>
      <c r="G3809" s="10">
        <v>162080</v>
      </c>
      <c r="H3809" s="30" t="str">
        <f ca="1">IFERROR(__xludf.DUMMYFUNCTION("LOWER(REGEXREPLACE(B3809&amp;"" ""&amp;C3809,""[^а-яa-z0-9 ]"","" ""))")," каф металлический  размер 800х500х1830мм  2 распашные двери  ригельный замок  каф металлический  размер 800х500х1830мм  2 распашные двери  ригельный замок  3 полки  цвет серый")</f>
        <v xml:space="preserve"> каф металлический  размер 800х500х1830мм  2 распашные двери  ригельный замок  каф металлический  размер 800х500х1830мм  2 распашные двери  ригельный замок  3 полки  цвет серый</v>
      </c>
    </row>
    <row r="3810" spans="1:8" ht="114.75" x14ac:dyDescent="0.2">
      <c r="A3810" s="31" t="s">
        <v>9236</v>
      </c>
      <c r="B3810" s="27" t="s">
        <v>9237</v>
      </c>
      <c r="C3810" s="27" t="s">
        <v>9238</v>
      </c>
      <c r="D3810" s="33" t="s">
        <v>14</v>
      </c>
      <c r="E3810" s="34">
        <v>2</v>
      </c>
      <c r="F3810" s="34">
        <v>32</v>
      </c>
      <c r="G3810" s="10">
        <v>84133</v>
      </c>
      <c r="H3810" s="30" t="str">
        <f ca="1">IFERROR(__xludf.DUMMYFUNCTION("LOWER(REGEXREPLACE(B3810&amp;"" ""&amp;C3810,""[^а-яa-z0-9 ]"","" ""))")," каф с 6 ящиками для хранения документов  материал изготовления листовой металл толщиной не менее 0 5 мм  размеры 570х600х1335 мм  атериал изготовления листовой металл толщиной не менее 0 5мм  окрашен эпоксидно полиэфирной порошковой краской   вет по согл"&amp;"асованию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шесть горизонтальных закрытых отсеков   се элементы шкафа с помощью гибки металла выполнены"&amp;"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f>
        <v xml:space="preserve"> каф с 6 ящиками для хранения документов  материал изготовления листовой металл толщиной не менее 0 5 мм  размеры 570х600х1335 мм  атериал изготовления листовой металл толщиной не менее 0 5мм  окрашен эпоксидно полиэфирной порошковой краской   вет по согласованию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шесть горизонтальных закрытых отсеков   се элементы шкафа с помощью гибки металла выполнены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v>
      </c>
    </row>
    <row r="3811" spans="1:8" ht="12.75" x14ac:dyDescent="0.2">
      <c r="A3811" s="31" t="s">
        <v>9239</v>
      </c>
      <c r="B3811" s="27" t="s">
        <v>9240</v>
      </c>
      <c r="C3811" s="27"/>
      <c r="D3811" s="33" t="s">
        <v>14</v>
      </c>
      <c r="E3811" s="9"/>
      <c r="F3811" s="32"/>
      <c r="G3811" s="10"/>
      <c r="H3811" s="30" t="str">
        <f ca="1">IFERROR(__xludf.DUMMYFUNCTION("LOWER(REGEXREPLACE(B3811&amp;"" ""&amp;C3811,""[^а-яa-z0-9 ]"","" ""))")," ешалка гардеробная ")</f>
        <v xml:space="preserve"> ешалка гардеробная </v>
      </c>
    </row>
    <row r="3812" spans="1:8" ht="25.5" x14ac:dyDescent="0.2">
      <c r="A3812" s="31" t="s">
        <v>9241</v>
      </c>
      <c r="B3812" s="27" t="s">
        <v>9242</v>
      </c>
      <c r="C3812" s="27" t="s">
        <v>9243</v>
      </c>
      <c r="D3812" s="33" t="s">
        <v>14</v>
      </c>
      <c r="E3812" s="34">
        <v>2</v>
      </c>
      <c r="F3812" s="34">
        <v>16</v>
      </c>
      <c r="G3812" s="10">
        <v>51952</v>
      </c>
      <c r="H3812" s="30" t="str">
        <f ca="1">IFERROR(__xludf.DUMMYFUNCTION("LOWER(REGEXREPLACE(B3812&amp;"" ""&amp;C3812,""[^а-яa-z0-9 ]"","" ""))")," ешалка гардеробная двухсторонняя на 40 крючков  азмеры не менее длина 1800мм  высота 1770мм   еталлический каркас ")</f>
        <v xml:space="preserve"> ешалка гардеробная двухсторонняя на 40 крючков  азмеры не менее длина 1800мм  высота 1770мм   еталлический каркас </v>
      </c>
    </row>
    <row r="3813" spans="1:8" ht="25.5" x14ac:dyDescent="0.2">
      <c r="A3813" s="31" t="s">
        <v>9244</v>
      </c>
      <c r="B3813" s="27" t="s">
        <v>9245</v>
      </c>
      <c r="C3813" s="27" t="s">
        <v>9246</v>
      </c>
      <c r="D3813" s="33" t="s">
        <v>14</v>
      </c>
      <c r="E3813" s="34">
        <v>2</v>
      </c>
      <c r="F3813" s="34">
        <v>15</v>
      </c>
      <c r="G3813" s="10">
        <v>28260</v>
      </c>
      <c r="H3813" s="30" t="str">
        <f ca="1">IFERROR(__xludf.DUMMYFUNCTION("LOWER(REGEXREPLACE(B3813&amp;"" ""&amp;C3813,""[^а-яa-z0-9 ]"","" ""))")," ешалка гардеробная на 18 24 32 крючка  ешалка гардеробная напольная  металлический каркас       16 мм  18 24 32 крючка  размеры не менее 1184х862х1600мм ")</f>
        <v xml:space="preserve"> ешалка гардеробная на 18 24 32 крючка  ешалка гардеробная напольная  металлический каркас       16 мм  18 24 32 крючка  размеры не менее 1184х862х1600мм </v>
      </c>
    </row>
    <row r="3814" spans="1:8" ht="25.5" x14ac:dyDescent="0.2">
      <c r="A3814" s="31" t="s">
        <v>9247</v>
      </c>
      <c r="B3814" s="27" t="s">
        <v>9248</v>
      </c>
      <c r="C3814" s="27" t="s">
        <v>9249</v>
      </c>
      <c r="D3814" s="33" t="s">
        <v>14</v>
      </c>
      <c r="E3814" s="34">
        <v>2</v>
      </c>
      <c r="F3814" s="34">
        <v>15</v>
      </c>
      <c r="G3814" s="10">
        <v>53854</v>
      </c>
      <c r="H3814" s="30" t="str">
        <f ca="1">IFERROR(__xludf.DUMMYFUNCTION("LOWER(REGEXREPLACE(B3814&amp;"" ""&amp;C3814,""[^а-яa-z0-9 ]"","" ""))")," камья гардеробная со спинкой и встроенной вешалкой с крючками  вет синий   бивка искусственная кожа   атериал        атериал каркаса металл   азмер   х х    1500 x 360 x 1690мм ")</f>
        <v xml:space="preserve"> камья гардеробная со спинкой и встроенной вешалкой с крючками  вет синий   бивка искусственная кожа   атериал        атериал каркаса металл   азмер   х х    1500 x 360 x 1690мм </v>
      </c>
    </row>
    <row r="3815" spans="1:8" ht="25.5" x14ac:dyDescent="0.2">
      <c r="A3815" s="31" t="s">
        <v>9250</v>
      </c>
      <c r="B3815" s="27" t="s">
        <v>9251</v>
      </c>
      <c r="C3815" s="27" t="s">
        <v>9252</v>
      </c>
      <c r="D3815" s="33" t="s">
        <v>14</v>
      </c>
      <c r="E3815" s="34">
        <v>2</v>
      </c>
      <c r="F3815" s="34">
        <v>16</v>
      </c>
      <c r="G3815" s="10">
        <v>20296</v>
      </c>
      <c r="H3815" s="30" t="str">
        <f ca="1">IFERROR(__xludf.DUMMYFUNCTION("LOWER(REGEXREPLACE(B3815&amp;"" ""&amp;C3815,""[^а-яa-z0-9 ]"","" ""))")," ешалка гардеробная металлическая  6 крючков  вет белый   атериал металл   оличество крючков  6   ирина 500мм  высота 1750мм ")</f>
        <v xml:space="preserve"> ешалка гардеробная металлическая  6 крючков  вет белый   атериал металл   оличество крючков  6   ирина 500мм  высота 1750мм </v>
      </c>
    </row>
    <row r="3816" spans="1:8" ht="12.75" x14ac:dyDescent="0.2">
      <c r="A3816" s="31" t="s">
        <v>9253</v>
      </c>
      <c r="B3816" s="27" t="s">
        <v>9254</v>
      </c>
      <c r="C3816" s="27"/>
      <c r="D3816" s="33" t="s">
        <v>14</v>
      </c>
      <c r="E3816" s="9"/>
      <c r="F3816" s="32"/>
      <c r="G3816" s="10"/>
      <c r="H3816" s="30" t="str">
        <f ca="1">IFERROR(__xludf.DUMMYFUNCTION("LOWER(REGEXREPLACE(B3816&amp;"" ""&amp;C3816,""[^а-яa-z0-9 ]"","" ""))")," тол двухтумбовый ")</f>
        <v xml:space="preserve"> тол двухтумбовый </v>
      </c>
    </row>
    <row r="3817" spans="1:8" ht="51" x14ac:dyDescent="0.2">
      <c r="A3817" s="31" t="s">
        <v>9255</v>
      </c>
      <c r="B3817" s="27" t="s">
        <v>9256</v>
      </c>
      <c r="C3817" s="27" t="s">
        <v>9257</v>
      </c>
      <c r="D3817" s="33" t="s">
        <v>14</v>
      </c>
      <c r="E3817" s="34">
        <v>2</v>
      </c>
      <c r="F3817" s="34">
        <v>25</v>
      </c>
      <c r="G3817" s="10">
        <v>80673</v>
      </c>
      <c r="H3817" s="30" t="str">
        <f ca="1">IFERROR(__xludf.DUMMYFUNCTION("LOWER(REGEXREPLACE(B3817&amp;"" ""&amp;C3817,""[^а-яa-z0-9 ]"","" ""))")," тол двухтумбовый с 2 направляющими выдвижными ящиками и тумбой с дверью   азмер 1500х700х750 мм       18мм  тол двухтумбовый с 2 направляющими выдвижными ящиками и тумбой с дверью   азмер 1500х700х750 мм       18мм  класс эмиссии   1  облицованной кромко"&amp;"й     толщиной 1 5мм ")</f>
        <v xml:space="preserve"> тол двухтумбовый с 2 направляющими выдвижными ящиками и тумбой с дверью   азмер 1500х700х750 мм       18мм  тол двухтумбовый с 2 направляющими выдвижными ящиками и тумбой с дверью   азмер 1500х700х750 мм       18мм  класс эмиссии   1  облицованной кромкой     толщиной 1 5мм </v>
      </c>
    </row>
    <row r="3818" spans="1:8" ht="102" x14ac:dyDescent="0.2">
      <c r="A3818" s="31" t="s">
        <v>9258</v>
      </c>
      <c r="B3818" s="27" t="s">
        <v>9259</v>
      </c>
      <c r="C3818" s="27" t="s">
        <v>9260</v>
      </c>
      <c r="D3818" s="33" t="s">
        <v>14</v>
      </c>
      <c r="E3818" s="34">
        <v>2</v>
      </c>
      <c r="F3818" s="34">
        <v>79</v>
      </c>
      <c r="G3818" s="10">
        <v>131333</v>
      </c>
      <c r="H3818" s="30" t="str">
        <f ca="1">IFERROR(__xludf.DUMMYFUNCTION("LOWER(REGEXREPLACE(B3818&amp;"" ""&amp;C3818,""[^а-яa-z0-9 ]"","" ""))")," тол двухтумбовый с 4 направляющими выдвижными ящиками и тумбой с дверью   азмер 1500х600х750 мм  атериал       толщиной 16мм   столешница 32 мм   ромки деталей облицованы полимерным кромочным материалом        толщиной 1 5 мм   умбы стационарные  одна из"&amp;" них имеет 4 выдвижных ящика  вторая   вставную полку за глухой дверцей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металлический"&amp;"  без пластиковых элементов   роликовые направляющие  ручка  без острых углов   навес мебельный типа      ")</f>
        <v xml:space="preserve"> тол двухтумбовый с 4 направляющими выдвижными ящиками и тумбой с дверью   азмер 1500х600х750 мм  атериал       толщиной 16мм   столешница 32 мм   ромки деталей облицованы полимерным кромочным материалом        толщиной 1 5 мм   умбы стационарные  одна из них имеет 4 выдвижных ящика  вторая   вставную полку за глухой дверцей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ручка  без острых углов   навес мебельный типа      </v>
      </c>
    </row>
    <row r="3819" spans="1:8" ht="38.25" x14ac:dyDescent="0.2">
      <c r="A3819" s="31" t="s">
        <v>9261</v>
      </c>
      <c r="B3819" s="27" t="s">
        <v>9262</v>
      </c>
      <c r="C3819" s="27" t="s">
        <v>9262</v>
      </c>
      <c r="D3819" s="33" t="s">
        <v>14</v>
      </c>
      <c r="E3819" s="34">
        <v>2</v>
      </c>
      <c r="F3819" s="34">
        <v>19</v>
      </c>
      <c r="G3819" s="10">
        <v>64020</v>
      </c>
      <c r="H3819" s="30" t="str">
        <f ca="1">IFERROR(__xludf.DUMMYFUNCTION("LOWER(REGEXREPLACE(B3819&amp;"" ""&amp;C3819,""[^а-яa-z0-9 ]"","" ""))")," тол двухтумбовый с 4 направляющими выдвижными ящиками и тумбой с дверью   азмер 1800х800х750 мм       16мм  тол двухтумбовый с 4 направляющими выдвижными ящиками и тумбой с дверью   азмер 1800х800х750 мм       16мм")</f>
        <v xml:space="preserve"> тол двухтумбовый с 4 направляющими выдвижными ящиками и тумбой с дверью   азмер 1800х800х750 мм       16мм  тол двухтумбовый с 4 направляющими выдвижными ящиками и тумбой с дверью   азмер 1800х800х750 мм       16мм</v>
      </c>
    </row>
    <row r="3820" spans="1:8" ht="12.75" x14ac:dyDescent="0.2">
      <c r="A3820" s="31" t="s">
        <v>9263</v>
      </c>
      <c r="B3820" s="27" t="s">
        <v>9264</v>
      </c>
      <c r="C3820" s="27"/>
      <c r="D3820" s="33" t="s">
        <v>68</v>
      </c>
      <c r="E3820" s="9"/>
      <c r="F3820" s="32"/>
      <c r="G3820" s="10"/>
      <c r="H3820" s="30" t="str">
        <f ca="1">IFERROR(__xludf.DUMMYFUNCTION("LOWER(REGEXREPLACE(B3820&amp;"" ""&amp;C3820,""[^а-яa-z0-9 ]"","" ""))")," омплект мебели для руководителя ")</f>
        <v xml:space="preserve"> омплект мебели для руководителя </v>
      </c>
    </row>
    <row r="3821" spans="1:8" ht="63.75" x14ac:dyDescent="0.2">
      <c r="A3821" s="31" t="s">
        <v>9265</v>
      </c>
      <c r="B3821" s="27" t="s">
        <v>9266</v>
      </c>
      <c r="C3821" s="27" t="s">
        <v>9267</v>
      </c>
      <c r="D3821" s="33" t="s">
        <v>68</v>
      </c>
      <c r="E3821" s="34">
        <v>2</v>
      </c>
      <c r="F3821" s="34">
        <v>85</v>
      </c>
      <c r="G3821" s="10">
        <v>445477</v>
      </c>
      <c r="H3821" s="30" t="str">
        <f ca="1">IFERROR(__xludf.DUMMYFUNCTION("LOWER(REGEXREPLACE(B3821&amp;"" ""&amp;C3821,""[^а-яa-z0-9 ]"","" ""))")," омплект мебели для руководителя   тол руководителя 2150х1600х750мм  стеллаж 2450х400х2100мм  омплект мебели для руководителя состоит из стола и стеллажа    тол руководителя  размер  2150х1600х750мм   атериал       18мм   вет по согласованию   теллаж  раз"&amp;"мер  2450х400х2100мм   атериал       18мм   вет по согласованию    а ножках установлены пластиковые пятки ")</f>
        <v xml:space="preserve"> омплект мебели для руководителя   тол руководителя 2150х1600х750мм  стеллаж 2450х400х2100мм  омплект мебели для руководителя состоит из стола и стеллажа    тол руководителя  размер  2150х1600х750мм   атериал       18мм   вет по согласованию   теллаж  размер  2450х400х2100мм   атериал       18мм   вет по согласованию    а ножках установлены пластиковые пятки </v>
      </c>
    </row>
    <row r="3822" spans="1:8" ht="12.75" x14ac:dyDescent="0.2">
      <c r="A3822" s="31" t="s">
        <v>9268</v>
      </c>
      <c r="B3822" s="27" t="s">
        <v>720</v>
      </c>
      <c r="C3822" s="27"/>
      <c r="D3822" s="33" t="s">
        <v>14</v>
      </c>
      <c r="E3822" s="9"/>
      <c r="F3822" s="32"/>
      <c r="G3822" s="10"/>
      <c r="H3822" s="30" t="str">
        <f ca="1">IFERROR(__xludf.DUMMYFUNCTION("LOWER(REGEXREPLACE(B3822&amp;"" ""&amp;C3822,""[^а-яa-z0-9 ]"","" ""))")," ровать односпальная ")</f>
        <v xml:space="preserve"> ровать односпальная </v>
      </c>
    </row>
    <row r="3823" spans="1:8" ht="38.25" x14ac:dyDescent="0.2">
      <c r="A3823" s="31" t="s">
        <v>9269</v>
      </c>
      <c r="B3823" s="27" t="s">
        <v>9270</v>
      </c>
      <c r="C3823" s="27" t="s">
        <v>9271</v>
      </c>
      <c r="D3823" s="33" t="s">
        <v>14</v>
      </c>
      <c r="E3823" s="34">
        <v>2</v>
      </c>
      <c r="F3823" s="34">
        <v>35</v>
      </c>
      <c r="G3823" s="10">
        <v>58589</v>
      </c>
      <c r="H3823" s="30" t="str">
        <f ca="1">IFERROR(__xludf.DUMMYFUNCTION("LOWER(REGEXREPLACE(B3823&amp;"" ""&amp;C3823,""[^а-яa-z0-9 ]"","" ""))")," ровать односпальная  материал      18мм  размер 900х2000мм  ровать односпальная без матраса   зголовье твердое   снование в комплекте   атериал      18 мм   азмер кровати  900х2000 мм ")</f>
        <v xml:space="preserve"> ровать односпальная  материал      18мм  размер 900х2000мм  ровать односпальная без матраса   зголовье твердое   снование в комплекте   атериал      18 мм   азмер кровати  900х2000 мм </v>
      </c>
    </row>
    <row r="3824" spans="1:8" ht="12.75" x14ac:dyDescent="0.2">
      <c r="A3824" s="31" t="s">
        <v>9272</v>
      </c>
      <c r="B3824" s="27" t="s">
        <v>735</v>
      </c>
      <c r="C3824" s="27"/>
      <c r="D3824" s="33" t="s">
        <v>14</v>
      </c>
      <c r="E3824" s="9"/>
      <c r="F3824" s="32"/>
      <c r="G3824" s="10"/>
      <c r="H3824" s="30" t="str">
        <f ca="1">IFERROR(__xludf.DUMMYFUNCTION("LOWER(REGEXREPLACE(B3824&amp;"" ""&amp;C3824,""[^а-яa-z0-9 ]"","" ""))")," ровать двухъярусная ")</f>
        <v xml:space="preserve"> ровать двухъярусная </v>
      </c>
    </row>
    <row r="3825" spans="1:8" ht="76.5" x14ac:dyDescent="0.2">
      <c r="A3825" s="31" t="s">
        <v>9273</v>
      </c>
      <c r="B3825" s="27" t="s">
        <v>9274</v>
      </c>
      <c r="C3825" s="27" t="s">
        <v>9275</v>
      </c>
      <c r="D3825" s="33" t="s">
        <v>14</v>
      </c>
      <c r="E3825" s="34">
        <v>2</v>
      </c>
      <c r="F3825" s="34">
        <v>45</v>
      </c>
      <c r="G3825" s="10">
        <v>151244</v>
      </c>
      <c r="H3825" s="30" t="str">
        <f ca="1">IFERROR(__xludf.DUMMYFUNCTION("LOWER(REGEXREPLACE(B3825&amp;"" ""&amp;C3825,""[^а-яa-z0-9 ]"","" ""))")," ровать двухъярусная металлическая с лестницей  размер 2000х900х1800мм  ровать двухъярусная металлическая с четырьмя металлическими ребрами жесткости  ограничителями на втором ярусе и лестницей   азмер спального места  800х1900мм   снование кроватей  свар"&amp;"ная сетка  с ячейками 50х100мм   пособ крепежа  клин   рофиль  металлическая труба 20х40мм   пинка  круглая труба   ип покраски  порошковая   абариты кровати  2000х900х1800мм ")</f>
        <v xml:space="preserve"> ровать двухъярусная металлическая с лестницей  размер 2000х900х1800мм  ровать двухъярусная металлическая с четырьмя металлическими ребрами жесткости  ограничителями на втором ярусе и лестницей   азмер спального места  800х1900мм   снование кроватей  сварная сетка  с ячейками 50х100мм   пособ крепежа  клин   рофиль  металлическая труба 20х40мм   пинка  круглая труба   ип покраски  порошковая   абариты кровати  2000х900х1800мм </v>
      </c>
    </row>
    <row r="3826" spans="1:8" ht="12.75" x14ac:dyDescent="0.2">
      <c r="A3826" s="31" t="s">
        <v>9276</v>
      </c>
      <c r="B3826" s="27" t="s">
        <v>9277</v>
      </c>
      <c r="C3826" s="27"/>
      <c r="D3826" s="33" t="s">
        <v>14</v>
      </c>
      <c r="E3826" s="9"/>
      <c r="F3826" s="32"/>
      <c r="G3826" s="10"/>
      <c r="H3826" s="30" t="str">
        <f ca="1">IFERROR(__xludf.DUMMYFUNCTION("LOWER(REGEXREPLACE(B3826&amp;"" ""&amp;C3826,""[^а-яa-z0-9 ]"","" ""))")," артотека металлическая ")</f>
        <v xml:space="preserve"> артотека металлическая </v>
      </c>
    </row>
    <row r="3827" spans="1:8" ht="51" x14ac:dyDescent="0.2">
      <c r="A3827" s="31" t="s">
        <v>9278</v>
      </c>
      <c r="B3827" s="27" t="s">
        <v>9279</v>
      </c>
      <c r="C3827" s="27"/>
      <c r="D3827" s="33" t="s">
        <v>14</v>
      </c>
      <c r="E3827" s="34">
        <v>2</v>
      </c>
      <c r="F3827" s="34">
        <v>50</v>
      </c>
      <c r="G3827" s="10">
        <v>125543</v>
      </c>
      <c r="H3827" s="30" t="str">
        <f ca="1">IFERROR(__xludf.DUMMYFUNCTION("LOWER(REGEXREPLACE(B3827&amp;"" ""&amp;C3827,""[^а-яa-z0-9 ]"","" ""))")," артотека металлическая напольная с четырьмя выдвижными ящиками типа  рактик     04   азмер  1330х470х630мм   ип замка ключевой   окрытие шкафа полимерно порошковая краска ")</f>
        <v xml:space="preserve"> артотека металлическая напольная с четырьмя выдвижными ящиками типа  рактик     04   азмер  1330х470х630мм   ип замка ключевой   окрытие шкафа полимерно порошковая краска </v>
      </c>
    </row>
    <row r="3828" spans="1:8" ht="12.75" x14ac:dyDescent="0.2">
      <c r="A3828" s="31" t="s">
        <v>9280</v>
      </c>
      <c r="B3828" s="27" t="s">
        <v>9281</v>
      </c>
      <c r="C3828" s="27"/>
      <c r="D3828" s="33" t="s">
        <v>14</v>
      </c>
      <c r="E3828" s="9"/>
      <c r="F3828" s="32"/>
      <c r="G3828" s="10"/>
      <c r="H3828" s="30" t="str">
        <f ca="1">IFERROR(__xludf.DUMMYFUNCTION("LOWER(REGEXREPLACE(B3828&amp;"" ""&amp;C3828,""[^а-яa-z0-9 ]"","" ""))")," ресло мягкое ")</f>
        <v xml:space="preserve"> ресло мягкое </v>
      </c>
    </row>
    <row r="3829" spans="1:8" ht="38.25" x14ac:dyDescent="0.2">
      <c r="A3829" s="31" t="s">
        <v>9282</v>
      </c>
      <c r="B3829" s="27" t="s">
        <v>9283</v>
      </c>
      <c r="C3829" s="27" t="s">
        <v>9284</v>
      </c>
      <c r="D3829" s="33" t="s">
        <v>14</v>
      </c>
      <c r="E3829" s="34">
        <v>2</v>
      </c>
      <c r="F3829" s="34">
        <v>15</v>
      </c>
      <c r="G3829" s="10">
        <v>97181</v>
      </c>
      <c r="H3829" s="30" t="str">
        <f ca="1">IFERROR(__xludf.DUMMYFUNCTION("LOWER(REGEXREPLACE(B3829&amp;"" ""&amp;C3829,""[^а-яa-z0-9 ]"","" ""))")," ресло офисное мягкое  без боковин  размеры  не менее 550х790х815мм  аркас деревянный  опоры дерево  материал обивки  ткань или экокожа   абаритные размеры  не менее 550х790х815мм")</f>
        <v xml:space="preserve"> ресло офисное мягкое  без боковин  размеры  не менее 550х790х815мм  аркас деревянный  опоры дерево  материал обивки  ткань или экокожа   абаритные размеры  не менее 550х790х815мм</v>
      </c>
    </row>
    <row r="3830" spans="1:8" ht="25.5" x14ac:dyDescent="0.2">
      <c r="A3830" s="31" t="s">
        <v>9285</v>
      </c>
      <c r="B3830" s="27" t="s">
        <v>9286</v>
      </c>
      <c r="C3830" s="27" t="s">
        <v>9287</v>
      </c>
      <c r="D3830" s="33" t="s">
        <v>14</v>
      </c>
      <c r="E3830" s="34">
        <v>2</v>
      </c>
      <c r="F3830" s="34">
        <v>22</v>
      </c>
      <c r="G3830" s="10">
        <v>148468</v>
      </c>
      <c r="H3830" s="30" t="str">
        <f ca="1">IFERROR(__xludf.DUMMYFUNCTION("LOWER(REGEXREPLACE(B3830&amp;"" ""&amp;C3830,""[^а-яa-z0-9 ]"","" ""))")," ресло офисное мягкое  размеры  900х700х750мм  аркас деревянный  опоры массив дерева  материал обивки  ткань или экокожа   абаритные размеры  900х700х750мм")</f>
        <v xml:space="preserve"> ресло офисное мягкое  размеры  900х700х750мм  аркас деревянный  опоры массив дерева  материал обивки  ткань или экокожа   абаритные размеры  900х700х750мм</v>
      </c>
    </row>
    <row r="3831" spans="1:8" ht="25.5" x14ac:dyDescent="0.2">
      <c r="A3831" s="31" t="s">
        <v>9288</v>
      </c>
      <c r="B3831" s="27" t="s">
        <v>9289</v>
      </c>
      <c r="C3831" s="27" t="s">
        <v>9290</v>
      </c>
      <c r="D3831" s="33" t="s">
        <v>14</v>
      </c>
      <c r="E3831" s="34">
        <v>2</v>
      </c>
      <c r="F3831" s="34">
        <v>23</v>
      </c>
      <c r="G3831" s="10">
        <v>131925</v>
      </c>
      <c r="H3831" s="30" t="str">
        <f ca="1">IFERROR(__xludf.DUMMYFUNCTION("LOWER(REGEXREPLACE(B3831&amp;"" ""&amp;C3831,""[^а-яa-z0-9 ]"","" ""))")," ресло офисное мягкое  размеры  900х800х750мм  аркас деревянный  опоры металл  материал обивки  ткань или экокожа   абаритные размеры  900х800х750мм")</f>
        <v xml:space="preserve"> ресло офисное мягкое  размеры  900х800х750мм  аркас деревянный  опоры металл  материал обивки  ткань или экокожа   абаритные размеры  900х800х750мм</v>
      </c>
    </row>
    <row r="3832" spans="1:8" ht="25.5" x14ac:dyDescent="0.2">
      <c r="A3832" s="31" t="s">
        <v>9291</v>
      </c>
      <c r="B3832" s="27" t="s">
        <v>9292</v>
      </c>
      <c r="C3832" s="27" t="s">
        <v>9293</v>
      </c>
      <c r="D3832" s="33" t="s">
        <v>14</v>
      </c>
      <c r="E3832" s="34">
        <v>2</v>
      </c>
      <c r="F3832" s="34">
        <v>20</v>
      </c>
      <c r="G3832" s="10">
        <v>101877</v>
      </c>
      <c r="H3832" s="30" t="str">
        <f ca="1">IFERROR(__xludf.DUMMYFUNCTION("LOWER(REGEXREPLACE(B3832&amp;"" ""&amp;C3832,""[^а-яa-z0-9 ]"","" ""))")," ресло офисное мягкое  размеры  750х650х800мм  аркас деревянный  опоры пластик  материал обивки  ткань или экокожа   абаритные размеры    750х650х800мм")</f>
        <v xml:space="preserve"> ресло офисное мягкое  размеры  750х650х800мм  аркас деревянный  опоры пластик  материал обивки  ткань или экокожа   абаритные размеры    750х650х800мм</v>
      </c>
    </row>
    <row r="3833" spans="1:8" ht="25.5" x14ac:dyDescent="0.2">
      <c r="A3833" s="31" t="s">
        <v>9294</v>
      </c>
      <c r="B3833" s="27" t="s">
        <v>9295</v>
      </c>
      <c r="C3833" s="27" t="s">
        <v>9295</v>
      </c>
      <c r="D3833" s="33" t="s">
        <v>14</v>
      </c>
      <c r="E3833" s="34">
        <v>2</v>
      </c>
      <c r="F3833" s="34">
        <v>27</v>
      </c>
      <c r="G3833" s="10">
        <v>158521</v>
      </c>
      <c r="H3833" s="30" t="str">
        <f ca="1">IFERROR(__xludf.DUMMYFUNCTION("LOWER(REGEXREPLACE(B3833&amp;"" ""&amp;C3833,""[^а-яa-z0-9 ]"","" ""))")," ресло модульное   атериал ткань   азмер 920х650мм  ресло модульное   атериал ткань   азмер 920х650мм")</f>
        <v xml:space="preserve"> ресло модульное   атериал ткань   азмер 920х650мм  ресло модульное   атериал ткань   азмер 920х650мм</v>
      </c>
    </row>
    <row r="3834" spans="1:8" ht="12.75" x14ac:dyDescent="0.2">
      <c r="A3834" s="31" t="s">
        <v>9296</v>
      </c>
      <c r="B3834" s="27" t="s">
        <v>9297</v>
      </c>
      <c r="C3834" s="27"/>
      <c r="D3834" s="33" t="s">
        <v>68</v>
      </c>
      <c r="E3834" s="9"/>
      <c r="F3834" s="32"/>
      <c r="G3834" s="10"/>
      <c r="H3834" s="30" t="str">
        <f ca="1">IFERROR(__xludf.DUMMYFUNCTION("LOWER(REGEXREPLACE(B3834&amp;"" ""&amp;C3834,""[^а-яa-z0-9 ]"","" ""))")," иван модульный ")</f>
        <v xml:space="preserve"> иван модульный </v>
      </c>
    </row>
    <row r="3835" spans="1:8" ht="38.25" x14ac:dyDescent="0.2">
      <c r="A3835" s="31" t="s">
        <v>9298</v>
      </c>
      <c r="B3835" s="27" t="s">
        <v>9299</v>
      </c>
      <c r="C3835" s="27" t="s">
        <v>9300</v>
      </c>
      <c r="D3835" s="33" t="s">
        <v>68</v>
      </c>
      <c r="E3835" s="34">
        <v>2</v>
      </c>
      <c r="F3835" s="34">
        <v>144</v>
      </c>
      <c r="G3835" s="10">
        <v>374123</v>
      </c>
      <c r="H3835" s="30" t="str">
        <f ca="1">IFERROR(__xludf.DUMMYFUNCTION("LOWER(REGEXREPLACE(B3835&amp;"" ""&amp;C3835,""[^а-яa-z0-9 ]"","" ""))")," иван офисный 3 х секционный  без боковин  размеры  2830х830х1150мм  е трансформируемый без боковин   остоит из 3х секций   ысота спинки 1150мм   аркас деревянный  опоры пластик  материал обивки  ткань или экокожа   абаритные размеры        2830х830х1150м"&amp;"м")</f>
        <v xml:space="preserve"> иван офисный 3 х секционный  без боковин  размеры  2830х830х1150мм  е трансформируемый без боковин   остоит из 3х секций   ысота спинки 1150мм   аркас деревянный  опоры пластик  материал обивки  ткань или экокожа   абаритные размеры        2830х830х1150мм</v>
      </c>
    </row>
    <row r="3836" spans="1:8" ht="38.25" x14ac:dyDescent="0.2">
      <c r="A3836" s="31" t="s">
        <v>9301</v>
      </c>
      <c r="B3836" s="27" t="s">
        <v>9302</v>
      </c>
      <c r="C3836" s="27" t="s">
        <v>9303</v>
      </c>
      <c r="D3836" s="33" t="s">
        <v>68</v>
      </c>
      <c r="E3836" s="34">
        <v>2</v>
      </c>
      <c r="F3836" s="34">
        <v>128</v>
      </c>
      <c r="G3836" s="10">
        <v>509493</v>
      </c>
      <c r="H3836" s="30" t="str">
        <f ca="1">IFERROR(__xludf.DUMMYFUNCTION("LOWER(REGEXREPLACE(B3836&amp;"" ""&amp;C3836,""[^а-яa-z0-9 ]"","" ""))")," иван офисный 4 х секционный  размеры  3500х2500х780мм  е трансформируемый  каркас деревянный    поры металл  материал обивки  ткань или экокожа   абаритные размеры  3500х2500х780мм")</f>
        <v xml:space="preserve"> иван офисный 4 х секционный  размеры  3500х2500х780мм  е трансформируемый  каркас деревянный    поры металл  материал обивки  ткань или экокожа   абаритные размеры  3500х2500х780мм</v>
      </c>
    </row>
    <row r="3837" spans="1:8" ht="38.25" x14ac:dyDescent="0.2">
      <c r="A3837" s="31" t="s">
        <v>9304</v>
      </c>
      <c r="B3837" s="27" t="s">
        <v>9305</v>
      </c>
      <c r="C3837" s="27" t="s">
        <v>9306</v>
      </c>
      <c r="D3837" s="33" t="s">
        <v>68</v>
      </c>
      <c r="E3837" s="34">
        <v>2</v>
      </c>
      <c r="F3837" s="34">
        <v>68</v>
      </c>
      <c r="G3837" s="10">
        <v>251345</v>
      </c>
      <c r="H3837" s="30" t="str">
        <f ca="1">IFERROR(__xludf.DUMMYFUNCTION("LOWER(REGEXREPLACE(B3837&amp;"" ""&amp;C3837,""[^а-яa-z0-9 ]"","" ""))")," иван офисный 3 х секционный  размеры  2000х700х750мм  е трансформируемый  каркас деревянный  опоры металл  материал обивки  ткань или экокожа   абаритные размеры   2000х700х750мм")</f>
        <v xml:space="preserve"> иван офисный 3 х секционный  размеры  2000х700х750мм  е трансформируемый  каркас деревянный  опоры металл  материал обивки  ткань или экокожа   абаритные размеры   2000х700х750мм</v>
      </c>
    </row>
    <row r="3838" spans="1:8" ht="12.75" x14ac:dyDescent="0.2">
      <c r="A3838" s="31" t="s">
        <v>9307</v>
      </c>
      <c r="B3838" s="27" t="s">
        <v>9308</v>
      </c>
      <c r="C3838" s="27"/>
      <c r="D3838" s="33" t="s">
        <v>14</v>
      </c>
      <c r="E3838" s="9"/>
      <c r="F3838" s="32"/>
      <c r="G3838" s="10"/>
      <c r="H3838" s="30" t="str">
        <f ca="1">IFERROR(__xludf.DUMMYFUNCTION("LOWER(REGEXREPLACE(B3838&amp;"" ""&amp;C3838,""[^а-яa-z0-9 ]"","" ""))")," иван 2 х местный ")</f>
        <v xml:space="preserve"> иван 2 х местный </v>
      </c>
    </row>
    <row r="3839" spans="1:8" ht="38.25" x14ac:dyDescent="0.2">
      <c r="A3839" s="31" t="s">
        <v>9309</v>
      </c>
      <c r="B3839" s="8" t="s">
        <v>9310</v>
      </c>
      <c r="C3839" s="27" t="s">
        <v>9311</v>
      </c>
      <c r="D3839" s="33" t="s">
        <v>14</v>
      </c>
      <c r="E3839" s="34">
        <v>2</v>
      </c>
      <c r="F3839" s="34">
        <v>20</v>
      </c>
      <c r="G3839" s="10">
        <v>160510</v>
      </c>
      <c r="H3839" s="30" t="str">
        <f ca="1">IFERROR(__xludf.DUMMYFUNCTION("LOWER(REGEXREPLACE(B3839&amp;"" ""&amp;C3839,""[^а-яa-z0-9 ]"","" ""))")," иван 2 х местный офисный без боковин  размеры  1100х700х1000мм  е трансформируемый  каркас деревянный  опоры пластик  материал обивки  ткань или экокожа   абаритные размеры  1100х700х1000мм")</f>
        <v xml:space="preserve"> иван 2 х местный офисный без боковин  размеры  1100х700х1000мм  е трансформируемый  каркас деревянный  опоры пластик  материал обивки  ткань или экокожа   абаритные размеры  1100х700х1000мм</v>
      </c>
    </row>
    <row r="3840" spans="1:8" ht="38.25" x14ac:dyDescent="0.2">
      <c r="A3840" s="31" t="s">
        <v>9312</v>
      </c>
      <c r="B3840" s="8" t="s">
        <v>9313</v>
      </c>
      <c r="C3840" s="27" t="s">
        <v>9314</v>
      </c>
      <c r="D3840" s="33" t="s">
        <v>14</v>
      </c>
      <c r="E3840" s="34">
        <v>2</v>
      </c>
      <c r="F3840" s="34">
        <v>16</v>
      </c>
      <c r="G3840" s="10">
        <v>129559</v>
      </c>
      <c r="H3840" s="30" t="str">
        <f ca="1">IFERROR(__xludf.DUMMYFUNCTION("LOWER(REGEXREPLACE(B3840&amp;"" ""&amp;C3840,""[^а-яa-z0-9 ]"","" ""))")," иван 2 х местный офисный без боковин  размеры  600х950х1150мм  е трансформируемый  каркас деревянный  опоры пластик  материал обивки  ткань или экокожа   абаритные размеры   600х950х1150мм")</f>
        <v xml:space="preserve"> иван 2 х местный офисный без боковин  размеры  600х950х1150мм  е трансформируемый  каркас деревянный  опоры пластик  материал обивки  ткань или экокожа   абаритные размеры   600х950х1150мм</v>
      </c>
    </row>
    <row r="3841" spans="1:8" ht="38.25" x14ac:dyDescent="0.2">
      <c r="A3841" s="31" t="s">
        <v>9315</v>
      </c>
      <c r="B3841" s="8" t="s">
        <v>9316</v>
      </c>
      <c r="C3841" s="27" t="s">
        <v>9317</v>
      </c>
      <c r="D3841" s="33" t="s">
        <v>14</v>
      </c>
      <c r="E3841" s="34">
        <v>2</v>
      </c>
      <c r="F3841" s="34">
        <v>32</v>
      </c>
      <c r="G3841" s="10">
        <v>287896</v>
      </c>
      <c r="H3841" s="30" t="str">
        <f ca="1">IFERROR(__xludf.DUMMYFUNCTION("LOWER(REGEXREPLACE(B3841&amp;"" ""&amp;C3841,""[^а-яa-z0-9 ]"","" ""))")," иван 2 х местный офисный без боковин  подушки спинки  размеры  1400х900х750мм  е трансформируемый  каркас деревянный  опоры металл  подушки спинки  материал обивки  ткань или экокожа   абаритные размеры  1400х900х750мм")</f>
        <v xml:space="preserve"> иван 2 х местный офисный без боковин  подушки спинки  размеры  1400х900х750мм  е трансформируемый  каркас деревянный  опоры металл  подушки спинки  материал обивки  ткань или экокожа   абаритные размеры  1400х900х750мм</v>
      </c>
    </row>
    <row r="3842" spans="1:8" ht="38.25" x14ac:dyDescent="0.2">
      <c r="A3842" s="31" t="s">
        <v>9318</v>
      </c>
      <c r="B3842" s="8" t="s">
        <v>9319</v>
      </c>
      <c r="C3842" s="27" t="s">
        <v>9320</v>
      </c>
      <c r="D3842" s="33" t="s">
        <v>14</v>
      </c>
      <c r="E3842" s="34">
        <v>2</v>
      </c>
      <c r="F3842" s="34">
        <v>30</v>
      </c>
      <c r="G3842" s="10">
        <v>245622</v>
      </c>
      <c r="H3842" s="30" t="str">
        <f ca="1">IFERROR(__xludf.DUMMYFUNCTION("LOWER(REGEXREPLACE(B3842&amp;"" ""&amp;C3842,""[^а-яa-z0-9 ]"","" ""))")," иван 2 х местный офисный без боковин  размеры  1400х900х750мм  е трансформируемый  каркас деревянный  опоры металл  материал обивки  ткань или экокожа   абаритные размеры  1400х900х750мм")</f>
        <v xml:space="preserve"> иван 2 х местный офисный без боковин  размеры  1400х900х750мм  е трансформируемый  каркас деревянный  опоры металл  материал обивки  ткань или экокожа   абаритные размеры  1400х900х750мм</v>
      </c>
    </row>
    <row r="3843" spans="1:8" ht="38.25" x14ac:dyDescent="0.2">
      <c r="A3843" s="31" t="s">
        <v>9321</v>
      </c>
      <c r="B3843" s="8" t="s">
        <v>9322</v>
      </c>
      <c r="C3843" s="27" t="s">
        <v>9323</v>
      </c>
      <c r="D3843" s="33" t="s">
        <v>14</v>
      </c>
      <c r="E3843" s="34">
        <v>2</v>
      </c>
      <c r="F3843" s="34">
        <v>60</v>
      </c>
      <c r="G3843" s="10">
        <v>274515</v>
      </c>
      <c r="H3843" s="30" t="str">
        <f ca="1">IFERROR(__xludf.DUMMYFUNCTION("LOWER(REGEXREPLACE(B3843&amp;"" ""&amp;C3843,""[^а-яa-z0-9 ]"","" ""))")," иван 2 х местный офисный  размеры  1560х950х850мм  е трансформируемый   аркас деревянный    поры металл   атериал обивки  ткань или экокожа   абаритные размеры              1560х950х850")</f>
        <v xml:space="preserve"> иван 2 х местный офисный  размеры  1560х950х850мм  е трансформируемый   аркас деревянный    поры металл   атериал обивки  ткань или экокожа   абаритные размеры              1560х950х850</v>
      </c>
    </row>
    <row r="3844" spans="1:8" ht="38.25" x14ac:dyDescent="0.2">
      <c r="A3844" s="31" t="s">
        <v>9324</v>
      </c>
      <c r="B3844" s="8" t="s">
        <v>9325</v>
      </c>
      <c r="C3844" s="27" t="s">
        <v>9326</v>
      </c>
      <c r="D3844" s="33" t="s">
        <v>14</v>
      </c>
      <c r="E3844" s="34">
        <v>2</v>
      </c>
      <c r="F3844" s="34">
        <v>48</v>
      </c>
      <c r="G3844" s="10">
        <v>234001</v>
      </c>
      <c r="H3844" s="30" t="str">
        <f ca="1">IFERROR(__xludf.DUMMYFUNCTION("LOWER(REGEXREPLACE(B3844&amp;"" ""&amp;C3844,""[^а-яa-z0-9 ]"","" ""))")," иван 2 х местный офисный  размеры  1600х700х750мм  е трансформируемый   аркас деревянный  опоры металл  материал обивки  ткань или экокожа   абаритные размеры          1600х700х750мм")</f>
        <v xml:space="preserve"> иван 2 х местный офисный  размеры  1600х700х750мм  е трансформируемый   аркас деревянный  опоры металл  материал обивки  ткань или экокожа   абаритные размеры          1600х700х750мм</v>
      </c>
    </row>
    <row r="3845" spans="1:8" ht="38.25" x14ac:dyDescent="0.2">
      <c r="A3845" s="31" t="s">
        <v>9327</v>
      </c>
      <c r="B3845" s="8" t="s">
        <v>9328</v>
      </c>
      <c r="C3845" s="27" t="s">
        <v>9329</v>
      </c>
      <c r="D3845" s="33" t="s">
        <v>14</v>
      </c>
      <c r="E3845" s="34">
        <v>2</v>
      </c>
      <c r="F3845" s="34">
        <v>64</v>
      </c>
      <c r="G3845" s="10">
        <v>130645</v>
      </c>
      <c r="H3845" s="30" t="str">
        <f ca="1">IFERROR(__xludf.DUMMYFUNCTION("LOWER(REGEXREPLACE(B3845&amp;"" ""&amp;C3845,""[^а-яa-z0-9 ]"","" ""))")," иван 2 х местный офисный без боковин  размеры  1700х660х450мм  е трансформируемый   аркас деревянный  опоры пластик  материал обивки  ткань или экокожа   абаритные размеры  1700х660х450мм")</f>
        <v xml:space="preserve"> иван 2 х местный офисный без боковин  размеры  1700х660х450мм  е трансформируемый   аркас деревянный  опоры пластик  материал обивки  ткань или экокожа   абаритные размеры  1700х660х450мм</v>
      </c>
    </row>
    <row r="3846" spans="1:8" ht="51" x14ac:dyDescent="0.2">
      <c r="A3846" s="31" t="s">
        <v>9330</v>
      </c>
      <c r="B3846" s="27" t="s">
        <v>9331</v>
      </c>
      <c r="C3846" s="27" t="s">
        <v>9332</v>
      </c>
      <c r="D3846" s="33" t="s">
        <v>14</v>
      </c>
      <c r="E3846" s="34">
        <v>2</v>
      </c>
      <c r="F3846" s="34">
        <v>96</v>
      </c>
      <c r="G3846" s="10">
        <v>378073</v>
      </c>
      <c r="H3846" s="30" t="str">
        <f ca="1">IFERROR(__xludf.DUMMYFUNCTION("LOWER(REGEXREPLACE(B3846&amp;"" ""&amp;C3846,""[^а-яa-z0-9 ]"","" ""))")," иван 2 х местный офисный  высота спинки с трех сторон 1400мм  габаритные размеры  1600х750х1400мм  е трансформируемый   аркас деревянный  опоры металл  материал обивки  ткань или экокожа   ысота спинки с трех сторон 1400мм  2 подушки   абаритные размеры "&amp;" 1600х750х1400мм")</f>
        <v xml:space="preserve"> иван 2 х местный офисный  высота спинки с трех сторон 1400мм  габаритные размеры  1600х750х1400мм  е трансформируемый   аркас деревянный  опоры металл  материал обивки  ткань или экокожа   ысота спинки с трех сторон 1400мм  2 подушки   абаритные размеры  1600х750х1400мм</v>
      </c>
    </row>
    <row r="3847" spans="1:8" ht="63.75" x14ac:dyDescent="0.2">
      <c r="A3847" s="31" t="s">
        <v>9333</v>
      </c>
      <c r="B3847" s="27" t="s">
        <v>9334</v>
      </c>
      <c r="C3847" s="27" t="s">
        <v>9335</v>
      </c>
      <c r="D3847" s="33" t="s">
        <v>14</v>
      </c>
      <c r="E3847" s="34">
        <v>2</v>
      </c>
      <c r="F3847" s="34">
        <v>142</v>
      </c>
      <c r="G3847" s="10">
        <v>358468</v>
      </c>
      <c r="H3847" s="30" t="str">
        <f ca="1">IFERROR(__xludf.DUMMYFUNCTION("LOWER(REGEXREPLACE(B3847&amp;"" ""&amp;C3847,""[^а-яa-z0-9 ]"","" ""))")," иван офисный  зонированный  высота спинки 1230мм  габаритные размеры  1090х1850х1230мм  е трансформируемый   аркас деревянный  опоры пластик  материал обивки  ткань или экокожа   обильная перегородка при перемещении позволяет создать закрытое со всех сто"&amp;"рон пространство  зона с монтированным диваном и подставкой под ноги   ысота спинки 1230мм   абаритные размеры  1090х1850х1230мм")</f>
        <v xml:space="preserve"> иван офисный  зонированный  высота спинки 1230мм  габаритные размеры  1090х1850х1230мм  е трансформируемый   аркас деревянный  опоры пластик  материал обивки  ткань или экокожа   обильная перегородка при перемещении позволяет создать закрытое со всех сторон пространство  зона с монтированным диваном и подставкой под ноги   ысота спинки 1230мм   абаритные размеры  1090х1850х1230мм</v>
      </c>
    </row>
    <row r="3848" spans="1:8" ht="12.75" x14ac:dyDescent="0.2">
      <c r="A3848" s="31" t="s">
        <v>9336</v>
      </c>
      <c r="B3848" s="27" t="s">
        <v>9337</v>
      </c>
      <c r="C3848" s="27"/>
      <c r="D3848" s="33" t="s">
        <v>14</v>
      </c>
      <c r="E3848" s="9"/>
      <c r="F3848" s="32"/>
      <c r="G3848" s="10"/>
      <c r="H3848" s="30" t="str">
        <f ca="1">IFERROR(__xludf.DUMMYFUNCTION("LOWER(REGEXREPLACE(B3848&amp;"" ""&amp;C3848,""[^а-яa-z0-9 ]"","" ""))")," иван 3 х местный ")</f>
        <v xml:space="preserve"> иван 3 х местный </v>
      </c>
    </row>
    <row r="3849" spans="1:8" ht="38.25" x14ac:dyDescent="0.2">
      <c r="A3849" s="31" t="s">
        <v>9338</v>
      </c>
      <c r="B3849" s="27" t="s">
        <v>9339</v>
      </c>
      <c r="C3849" s="27" t="s">
        <v>9340</v>
      </c>
      <c r="D3849" s="33" t="s">
        <v>14</v>
      </c>
      <c r="E3849" s="34">
        <v>2</v>
      </c>
      <c r="F3849" s="34">
        <v>65</v>
      </c>
      <c r="G3849" s="10">
        <v>334787</v>
      </c>
      <c r="H3849" s="30" t="str">
        <f ca="1">IFERROR(__xludf.DUMMYFUNCTION("LOWER(REGEXREPLACE(B3849&amp;"" ""&amp;C3849,""[^а-яa-z0-9 ]"","" ""))")," иван 3 х местный офисный  размеры  1800х850х700мм  е трансформируемый   аркас деревянный  опоры металл  материал обивки  ткань или экокожа   абаритные размеры  1800х850х700мм")</f>
        <v xml:space="preserve"> иван 3 х местный офисный  размеры  1800х850х700мм  е трансформируемый   аркас деревянный  опоры металл  материал обивки  ткань или экокожа   абаритные размеры  1800х850х700мм</v>
      </c>
    </row>
    <row r="3850" spans="1:8" ht="38.25" x14ac:dyDescent="0.2">
      <c r="A3850" s="31" t="s">
        <v>9341</v>
      </c>
      <c r="B3850" s="27" t="s">
        <v>9342</v>
      </c>
      <c r="C3850" s="27" t="s">
        <v>9343</v>
      </c>
      <c r="D3850" s="33" t="s">
        <v>14</v>
      </c>
      <c r="E3850" s="34">
        <v>2</v>
      </c>
      <c r="F3850" s="34">
        <v>68</v>
      </c>
      <c r="G3850" s="10">
        <v>348288</v>
      </c>
      <c r="H3850" s="30" t="str">
        <f ca="1">IFERROR(__xludf.DUMMYFUNCTION("LOWER(REGEXREPLACE(B3850&amp;"" ""&amp;C3850,""[^а-яa-z0-9 ]"","" ""))")," иван 3 х местный офисный  размеры  2000х900х900мм  е трансформируемый   аркас деревянный  опоры металл  материал обивки  ткань или экокожа   абаритные размеры  2000х900х900мм")</f>
        <v xml:space="preserve"> иван 3 х местный офисный  размеры  2000х900х900мм  е трансформируемый   аркас деревянный  опоры металл  материал обивки  ткань или экокожа   абаритные размеры  2000х900х900мм</v>
      </c>
    </row>
    <row r="3851" spans="1:8" ht="38.25" x14ac:dyDescent="0.2">
      <c r="A3851" s="31" t="s">
        <v>9344</v>
      </c>
      <c r="B3851" s="27" t="s">
        <v>9345</v>
      </c>
      <c r="C3851" s="27" t="s">
        <v>9346</v>
      </c>
      <c r="D3851" s="33" t="s">
        <v>14</v>
      </c>
      <c r="E3851" s="34">
        <v>2</v>
      </c>
      <c r="F3851" s="34">
        <v>64</v>
      </c>
      <c r="G3851" s="10">
        <v>271833</v>
      </c>
      <c r="H3851" s="30" t="str">
        <f ca="1">IFERROR(__xludf.DUMMYFUNCTION("LOWER(REGEXREPLACE(B3851&amp;"" ""&amp;C3851,""[^а-яa-z0-9 ]"","" ""))")," иван 3 х местный офисный  размеры  1800х700х750мм  е трансформируемый   аркас деревянный  опоры металл  материал обивки  ткань или экокожа   абаритные размеры  1800х700х750мм")</f>
        <v xml:space="preserve"> иван 3 х местный офисный  размеры  1800х700х750мм  е трансформируемый   аркас деревянный  опоры металл  материал обивки  ткань или экокожа   абаритные размеры  1800х700х750мм</v>
      </c>
    </row>
    <row r="3852" spans="1:8" ht="38.25" x14ac:dyDescent="0.2">
      <c r="A3852" s="31" t="s">
        <v>9347</v>
      </c>
      <c r="B3852" s="27" t="s">
        <v>9348</v>
      </c>
      <c r="C3852" s="27" t="s">
        <v>9349</v>
      </c>
      <c r="D3852" s="33" t="s">
        <v>14</v>
      </c>
      <c r="E3852" s="34">
        <v>2</v>
      </c>
      <c r="F3852" s="34">
        <v>68</v>
      </c>
      <c r="G3852" s="10">
        <v>351885</v>
      </c>
      <c r="H3852" s="30" t="str">
        <f ca="1">IFERROR(__xludf.DUMMYFUNCTION("LOWER(REGEXREPLACE(B3852&amp;"" ""&amp;C3852,""[^а-яa-z0-9 ]"","" ""))")," иван 3 х местный офисный  размеры  2100х850х700мм  е трансформируемый   аркас деревянный  опоры металл  материал обивки  ткань или экокожа   абаритные размеры  2100х850х700мм")</f>
        <v xml:space="preserve"> иван 3 х местный офисный  размеры  2100х850х700мм  е трансформируемый   аркас деревянный  опоры металл  материал обивки  ткань или экокожа   абаритные размеры  2100х850х700мм</v>
      </c>
    </row>
    <row r="3853" spans="1:8" ht="38.25" x14ac:dyDescent="0.2">
      <c r="A3853" s="31" t="s">
        <v>9350</v>
      </c>
      <c r="B3853" s="27" t="s">
        <v>9351</v>
      </c>
      <c r="C3853" s="27" t="s">
        <v>9352</v>
      </c>
      <c r="D3853" s="33" t="s">
        <v>14</v>
      </c>
      <c r="E3853" s="34">
        <v>2</v>
      </c>
      <c r="F3853" s="34">
        <v>74</v>
      </c>
      <c r="G3853" s="10">
        <v>380685</v>
      </c>
      <c r="H3853" s="30" t="str">
        <f ca="1">IFERROR(__xludf.DUMMYFUNCTION("LOWER(REGEXREPLACE(B3853&amp;"" ""&amp;C3853,""[^а-яa-z0-9 ]"","" ""))")," иван 3 х местный офисный  опоры пластик  размеры  2200х950х840мм  е трансформируемый   аркас деревянный  опоры пластик  материал обивки  ткань или экокожа   абаритные размеры  2200х950х840мм")</f>
        <v xml:space="preserve"> иван 3 х местный офисный  опоры пластик  размеры  2200х950х840мм  е трансформируемый   аркас деревянный  опоры пластик  материал обивки  ткань или экокожа   абаритные размеры  2200х950х840мм</v>
      </c>
    </row>
    <row r="3854" spans="1:8" ht="38.25" x14ac:dyDescent="0.2">
      <c r="A3854" s="31" t="s">
        <v>9353</v>
      </c>
      <c r="B3854" s="27" t="s">
        <v>9354</v>
      </c>
      <c r="C3854" s="27" t="s">
        <v>9355</v>
      </c>
      <c r="D3854" s="33" t="s">
        <v>14</v>
      </c>
      <c r="E3854" s="34">
        <v>2</v>
      </c>
      <c r="F3854" s="34">
        <v>76</v>
      </c>
      <c r="G3854" s="10">
        <v>391485</v>
      </c>
      <c r="H3854" s="30" t="str">
        <f ca="1">IFERROR(__xludf.DUMMYFUNCTION("LOWER(REGEXREPLACE(B3854&amp;"" ""&amp;C3854,""[^а-яa-z0-9 ]"","" ""))")," иван 3 х местный офисный  опоры металл  размеры  2200х950х840мм  е трансформируемый   аркас деревянный  опоры металл  материал обивки  ткань или экокожа   абаритные размеры  2200х950х840мм")</f>
        <v xml:space="preserve"> иван 3 х местный офисный  опоры металл  размеры  2200х950х840мм  е трансформируемый   аркас деревянный  опоры металл  материал обивки  ткань или экокожа   абаритные размеры  2200х950х840мм</v>
      </c>
    </row>
    <row r="3855" spans="1:8" ht="38.25" x14ac:dyDescent="0.2">
      <c r="A3855" s="31" t="s">
        <v>9356</v>
      </c>
      <c r="B3855" s="27" t="s">
        <v>9357</v>
      </c>
      <c r="C3855" s="27" t="s">
        <v>9358</v>
      </c>
      <c r="D3855" s="33" t="s">
        <v>14</v>
      </c>
      <c r="E3855" s="34">
        <v>2</v>
      </c>
      <c r="F3855" s="34">
        <v>77</v>
      </c>
      <c r="G3855" s="10">
        <v>373503</v>
      </c>
      <c r="H3855" s="30" t="str">
        <f ca="1">IFERROR(__xludf.DUMMYFUNCTION("LOWER(REGEXREPLACE(B3855&amp;"" ""&amp;C3855,""[^а-яa-z0-9 ]"","" ""))")," иван 3 х местный офисный  размеры  2170х950х850мм  еханизм трансформации   нижка    аркас деревянный  опоры металл  материал обивки  ткань или экокожа   абаритные размеры  2170х950х850мм")</f>
        <v xml:space="preserve"> иван 3 х местный офисный  размеры  2170х950х850мм  еханизм трансформации   нижка    аркас деревянный  опоры металл  материал обивки  ткань или экокожа   абаритные размеры  2170х950х850мм</v>
      </c>
    </row>
    <row r="3856" spans="1:8" ht="38.25" x14ac:dyDescent="0.2">
      <c r="A3856" s="31" t="s">
        <v>9359</v>
      </c>
      <c r="B3856" s="27" t="s">
        <v>9360</v>
      </c>
      <c r="C3856" s="27" t="s">
        <v>9361</v>
      </c>
      <c r="D3856" s="33" t="s">
        <v>14</v>
      </c>
      <c r="E3856" s="34">
        <v>2</v>
      </c>
      <c r="F3856" s="34">
        <v>62</v>
      </c>
      <c r="G3856" s="10">
        <v>227760</v>
      </c>
      <c r="H3856" s="30" t="str">
        <f ca="1">IFERROR(__xludf.DUMMYFUNCTION("LOWER(REGEXREPLACE(B3856&amp;"" ""&amp;C3856,""[^а-яa-z0-9 ]"","" ""))")," иван 3 х местный офисный  размеры  2000х800х750мм  е трансформируемый   аркас деревянный  опоры металл  материал обивки  ткань или экокожа   абаритные размеры  2000х800х750мм")</f>
        <v xml:space="preserve"> иван 3 х местный офисный  размеры  2000х800х750мм  е трансформируемый   аркас деревянный  опоры металл  материал обивки  ткань или экокожа   абаритные размеры  2000х800х750мм</v>
      </c>
    </row>
    <row r="3857" spans="1:8" ht="38.25" x14ac:dyDescent="0.2">
      <c r="A3857" s="31" t="s">
        <v>9362</v>
      </c>
      <c r="B3857" s="27" t="s">
        <v>9363</v>
      </c>
      <c r="C3857" s="27" t="s">
        <v>9364</v>
      </c>
      <c r="D3857" s="33" t="s">
        <v>14</v>
      </c>
      <c r="E3857" s="34">
        <v>2</v>
      </c>
      <c r="F3857" s="34">
        <v>60</v>
      </c>
      <c r="G3857" s="10">
        <v>198076</v>
      </c>
      <c r="H3857" s="30" t="str">
        <f ca="1">IFERROR(__xludf.DUMMYFUNCTION("LOWER(REGEXREPLACE(B3857&amp;"" ""&amp;C3857,""[^а-яa-z0-9 ]"","" ""))")," иван 3 х местный офисный  размеры  1800х650х800мм  е трансформируемый   аркас деревянный  опоры пластик  материал обивки  ткань или экокожа   абаритные размеры  1800х650х800мм")</f>
        <v xml:space="preserve"> иван 3 х местный офисный  размеры  1800х650х800мм  е трансформируемый   аркас деревянный  опоры пластик  материал обивки  ткань или экокожа   абаритные размеры  1800х650х800мм</v>
      </c>
    </row>
    <row r="3858" spans="1:8" ht="38.25" x14ac:dyDescent="0.2">
      <c r="A3858" s="31" t="s">
        <v>9365</v>
      </c>
      <c r="B3858" s="27" t="s">
        <v>9366</v>
      </c>
      <c r="C3858" s="27" t="s">
        <v>9367</v>
      </c>
      <c r="D3858" s="33" t="s">
        <v>14</v>
      </c>
      <c r="E3858" s="34">
        <v>2</v>
      </c>
      <c r="F3858" s="34">
        <v>69</v>
      </c>
      <c r="G3858" s="10">
        <v>251169</v>
      </c>
      <c r="H3858" s="30" t="str">
        <f ca="1">IFERROR(__xludf.DUMMYFUNCTION("LOWER(REGEXREPLACE(B3858&amp;"" ""&amp;C3858,""[^а-яa-z0-9 ]"","" ""))")," иван 3 х местный офисный  размеры  2000х700х750мм  е трансформируемый   аркас деревянный  опоры металл  материал обивки  ткань или экокожа   абаритные размеры  2000х700х750мм")</f>
        <v xml:space="preserve"> иван 3 х местный офисный  размеры  2000х700х750мм  е трансформируемый   аркас деревянный  опоры металл  материал обивки  ткань или экокожа   абаритные размеры  2000х700х750мм</v>
      </c>
    </row>
    <row r="3859" spans="1:8" ht="63.75" x14ac:dyDescent="0.2">
      <c r="A3859" s="31" t="s">
        <v>9368</v>
      </c>
      <c r="B3859" s="27" t="s">
        <v>9369</v>
      </c>
      <c r="C3859" s="27" t="s">
        <v>9370</v>
      </c>
      <c r="D3859" s="33" t="s">
        <v>14</v>
      </c>
      <c r="E3859" s="34">
        <v>2</v>
      </c>
      <c r="F3859" s="34">
        <v>180</v>
      </c>
      <c r="G3859" s="10">
        <v>204837</v>
      </c>
      <c r="H3859" s="30" t="str">
        <f ca="1">IFERROR(__xludf.DUMMYFUNCTION("LOWER(REGEXREPLACE(B3859&amp;"" ""&amp;C3859,""[^а-яa-z0-9 ]"","" ""))")," иван 3 х местный  размеры  2200х530х780мм  иван тр хместный  длина 2200 мм  высота спинки от пола 780 мм  глубина посадочного места 530 мм   аркас имеет жесткий каркас изготовленный  из       обит      пенополиуретан  различных толщин  10 40 мм    кань  "&amp;" экокожа   урнитура  конфирматы  шурупы  скобы мебельные   иван имеет пластиковые ножки  защищающие пол от повреждений ")</f>
        <v xml:space="preserve"> иван 3 х местный  размеры  2200х530х780мм  иван тр хместный  длина 2200 мм  высота спинки от пола 780 мм  глубина посадочного места 530 мм   аркас имеет жесткий каркас изготовленный  из       обит      пенополиуретан  различных толщин  10 40 мм    кань   экокожа   урнитура  конфирматы  шурупы  скобы мебельные   иван имеет пластиковые ножки  защищающие пол от повреждений </v>
      </c>
    </row>
    <row r="3860" spans="1:8" ht="38.25" x14ac:dyDescent="0.2">
      <c r="A3860" s="31" t="s">
        <v>9371</v>
      </c>
      <c r="B3860" s="27" t="s">
        <v>9372</v>
      </c>
      <c r="C3860" s="27" t="s">
        <v>9373</v>
      </c>
      <c r="D3860" s="33" t="s">
        <v>14</v>
      </c>
      <c r="E3860" s="34">
        <v>2</v>
      </c>
      <c r="F3860" s="34">
        <v>75</v>
      </c>
      <c r="G3860" s="10">
        <v>541909</v>
      </c>
      <c r="H3860" s="30" t="str">
        <f ca="1">IFERROR(__xludf.DUMMYFUNCTION("LOWER(REGEXREPLACE(B3860&amp;"" ""&amp;C3860,""[^а-яa-z0-9 ]"","" ""))")," иван 3 х местный   иденье и спинка из полиуретана      кожи        ерные ножки из нержавеющей стали   азмер  1900х750х790мм  ена высокой плотности 40    аркас из дерева   тальная параллельная внутренняя пружина   ерный полиуретан  70 40 ")</f>
        <v xml:space="preserve"> иван 3 х местный   иденье и спинка из полиуретана      кожи        ерные ножки из нержавеющей стали   азмер  1900х750х790мм  ена высокой плотности 40    аркас из дерева   тальная параллельная внутренняя пружина   ерный полиуретан  70 40 </v>
      </c>
    </row>
    <row r="3861" spans="1:8" ht="38.25" x14ac:dyDescent="0.2">
      <c r="A3861" s="31" t="s">
        <v>9374</v>
      </c>
      <c r="B3861" s="27" t="s">
        <v>9375</v>
      </c>
      <c r="C3861" s="27" t="s">
        <v>9376</v>
      </c>
      <c r="D3861" s="33" t="s">
        <v>14</v>
      </c>
      <c r="E3861" s="34">
        <v>2</v>
      </c>
      <c r="F3861" s="34">
        <v>78</v>
      </c>
      <c r="G3861" s="10">
        <v>524601</v>
      </c>
      <c r="H3861" s="30" t="str">
        <f ca="1">IFERROR(__xludf.DUMMYFUNCTION("LOWER(REGEXREPLACE(B3861&amp;"" ""&amp;C3861,""[^а-яa-z0-9 ]"","" ""))")," иван 3 х местный   иденье и спинка из полиуретана      кожи        ерные ножки из нержавеющей стали   азмер  1930х760х720мм  ена высокой плотности 40    аркас из дерева   тальная параллельная внутренняя пружина    ранжевый полиуретан  70 28 ")</f>
        <v xml:space="preserve"> иван 3 х местный   иденье и спинка из полиуретана      кожи        ерные ножки из нержавеющей стали   азмер  1930х760х720мм  ена высокой плотности 40    аркас из дерева   тальная параллельная внутренняя пружина    ранжевый полиуретан  70 28 </v>
      </c>
    </row>
    <row r="3862" spans="1:8" ht="38.25" x14ac:dyDescent="0.2">
      <c r="A3862" s="31" t="s">
        <v>9377</v>
      </c>
      <c r="B3862" s="27" t="s">
        <v>9378</v>
      </c>
      <c r="C3862" s="27" t="s">
        <v>9379</v>
      </c>
      <c r="D3862" s="33" t="s">
        <v>14</v>
      </c>
      <c r="E3862" s="34">
        <v>2</v>
      </c>
      <c r="F3862" s="34">
        <v>70</v>
      </c>
      <c r="G3862" s="10">
        <v>559209</v>
      </c>
      <c r="H3862" s="30" t="str">
        <f ca="1">IFERROR(__xludf.DUMMYFUNCTION("LOWER(REGEXREPLACE(B3862&amp;"" ""&amp;C3862,""[^а-яa-z0-9 ]"","" ""))")," иван 3 х местный   иденье и спинка из полиуретана      кожи        аркас из металла   азмер  1800х750х700мм  ена высокой плотности   вет    лтый  синий")</f>
        <v xml:space="preserve"> иван 3 х местный   иденье и спинка из полиуретана      кожи        аркас из металла   азмер  1800х750х700мм  ена высокой плотности   вет    лтый  синий</v>
      </c>
    </row>
    <row r="3863" spans="1:8" ht="12.75" x14ac:dyDescent="0.2">
      <c r="A3863" s="31" t="s">
        <v>9380</v>
      </c>
      <c r="B3863" s="27" t="s">
        <v>9381</v>
      </c>
      <c r="C3863" s="27"/>
      <c r="D3863" s="33" t="s">
        <v>14</v>
      </c>
      <c r="E3863" s="9"/>
      <c r="F3863" s="32"/>
      <c r="G3863" s="10"/>
      <c r="H3863" s="30" t="str">
        <f ca="1">IFERROR(__xludf.DUMMYFUNCTION("LOWER(REGEXREPLACE(B3863&amp;"" ""&amp;C3863,""[^а-яa-z0-9 ]"","" ""))")," уф ")</f>
        <v xml:space="preserve"> уф </v>
      </c>
    </row>
    <row r="3864" spans="1:8" ht="25.5" x14ac:dyDescent="0.2">
      <c r="A3864" s="31" t="s">
        <v>9382</v>
      </c>
      <c r="B3864" s="27" t="s">
        <v>9383</v>
      </c>
      <c r="C3864" s="27" t="s">
        <v>9384</v>
      </c>
      <c r="D3864" s="33" t="s">
        <v>14</v>
      </c>
      <c r="E3864" s="34">
        <v>2</v>
      </c>
      <c r="F3864" s="34">
        <v>2</v>
      </c>
      <c r="G3864" s="10">
        <v>58022</v>
      </c>
      <c r="H3864" s="30" t="str">
        <f ca="1">IFERROR(__xludf.DUMMYFUNCTION("LOWER(REGEXREPLACE(B3864&amp;"" ""&amp;C3864,""[^а-яa-z0-9 ]"","" ""))")," уф 500 400мм  уф 500 400мм   одходит для зоны рекреации и офиса  учебного заведения   атериал по согласованию")</f>
        <v xml:space="preserve"> уф 500 400мм  уф 500 400мм   одходит для зоны рекреации и офиса  учебного заведения   атериал по согласованию</v>
      </c>
    </row>
    <row r="3865" spans="1:8" ht="25.5" x14ac:dyDescent="0.2">
      <c r="A3865" s="31" t="s">
        <v>9385</v>
      </c>
      <c r="B3865" s="27" t="s">
        <v>9386</v>
      </c>
      <c r="C3865" s="27" t="s">
        <v>9387</v>
      </c>
      <c r="D3865" s="33" t="s">
        <v>14</v>
      </c>
      <c r="E3865" s="34">
        <v>2</v>
      </c>
      <c r="F3865" s="35">
        <v>6.8</v>
      </c>
      <c r="G3865" s="10">
        <v>25206</v>
      </c>
      <c r="H3865" s="30" t="str">
        <f ca="1">IFERROR(__xludf.DUMMYFUNCTION("LOWER(REGEXREPLACE(B3865&amp;"" ""&amp;C3865,""[^а-яa-z0-9 ]"","" ""))")," уф мягкий квадратный  размеры  450х450х450мм  уф мягкий квадратный   аркас деревянный  опоры пластик  материал обивки  ткань или  экокожа   абаритные размеры 450х450х450мм")</f>
        <v xml:space="preserve"> уф мягкий квадратный  размеры  450х450х450мм  уф мягкий квадратный   аркас деревянный  опоры пластик  материал обивки  ткань или  экокожа   абаритные размеры 450х450х450мм</v>
      </c>
    </row>
    <row r="3866" spans="1:8" ht="38.25" x14ac:dyDescent="0.2">
      <c r="A3866" s="31" t="s">
        <v>9388</v>
      </c>
      <c r="B3866" s="27" t="s">
        <v>9389</v>
      </c>
      <c r="C3866" s="27" t="s">
        <v>9390</v>
      </c>
      <c r="D3866" s="33" t="s">
        <v>14</v>
      </c>
      <c r="E3866" s="34">
        <v>2</v>
      </c>
      <c r="F3866" s="34">
        <v>7</v>
      </c>
      <c r="G3866" s="10">
        <v>25207</v>
      </c>
      <c r="H3866" s="30" t="str">
        <f ca="1">IFERROR(__xludf.DUMMYFUNCTION("LOWER(REGEXREPLACE(B3866&amp;"" ""&amp;C3866,""[^а-яa-z0-9 ]"","" ""))")," уф мягкий круглый  размеры  диаметр 450мм  высота 450мм  уф мягкий круглый   аркас деревянный  опоры пластик  материал обивки  ткань или экокожа   абаритные размеры  диаметр 450мм  высота 450мм")</f>
        <v xml:space="preserve"> уф мягкий круглый  размеры  диаметр 450мм  высота 450мм  уф мягкий круглый   аркас деревянный  опоры пластик  материал обивки  ткань или экокожа   абаритные размеры  диаметр 450мм  высота 450мм</v>
      </c>
    </row>
    <row r="3867" spans="1:8" ht="38.25" x14ac:dyDescent="0.2">
      <c r="A3867" s="31" t="s">
        <v>9391</v>
      </c>
      <c r="B3867" s="27" t="s">
        <v>9392</v>
      </c>
      <c r="C3867" s="27" t="s">
        <v>9393</v>
      </c>
      <c r="D3867" s="33" t="s">
        <v>14</v>
      </c>
      <c r="E3867" s="34">
        <v>2</v>
      </c>
      <c r="F3867" s="34">
        <v>11</v>
      </c>
      <c r="G3867" s="10">
        <v>90871</v>
      </c>
      <c r="H3867" s="30" t="str">
        <f ca="1">IFERROR(__xludf.DUMMYFUNCTION("LOWER(REGEXREPLACE(B3867&amp;"" ""&amp;C3867,""[^а-яa-z0-9 ]"","" ""))")," уф мягкий в форме камня  размеры  диаметр 520мм  высота 450мм  уф мягкий в форме камня   аркас деревянный  опоры пластик  материал обивки  ткань или экокожа   абаритные размеры  диаметр 520мм  высота 450мм")</f>
        <v xml:space="preserve"> уф мягкий в форме камня  размеры  диаметр 520мм  высота 450мм  уф мягкий в форме камня   аркас деревянный  опоры пластик  материал обивки  ткань или экокожа   абаритные размеры  диаметр 520мм  высота 450мм</v>
      </c>
    </row>
    <row r="3868" spans="1:8" ht="38.25" x14ac:dyDescent="0.2">
      <c r="A3868" s="31" t="s">
        <v>9394</v>
      </c>
      <c r="B3868" s="27" t="s">
        <v>9395</v>
      </c>
      <c r="C3868" s="27" t="s">
        <v>9396</v>
      </c>
      <c r="D3868" s="33" t="s">
        <v>14</v>
      </c>
      <c r="E3868" s="34">
        <v>2</v>
      </c>
      <c r="F3868" s="34">
        <v>18</v>
      </c>
      <c r="G3868" s="10">
        <v>100790</v>
      </c>
      <c r="H3868" s="30" t="str">
        <f ca="1">IFERROR(__xludf.DUMMYFUNCTION("LOWER(REGEXREPLACE(B3868&amp;"" ""&amp;C3868,""[^а-яa-z0-9 ]"","" ""))")," уф мягкий прямоугольный  размеры  1500х450х450мм  уф мягкий прямоугольный   аркас деревянный  опора пластик  материал обивки  ткань или экокожа   абаритные размеры  1500х450х450мм")</f>
        <v xml:space="preserve"> уф мягкий прямоугольный  размеры  1500х450х450мм  уф мягкий прямоугольный   аркас деревянный  опора пластик  материал обивки  ткань или экокожа   абаритные размеры  1500х450х450мм</v>
      </c>
    </row>
    <row r="3869" spans="1:8" ht="38.25" x14ac:dyDescent="0.2">
      <c r="A3869" s="31" t="s">
        <v>9397</v>
      </c>
      <c r="B3869" s="27" t="s">
        <v>9398</v>
      </c>
      <c r="C3869" s="27" t="s">
        <v>9399</v>
      </c>
      <c r="D3869" s="33" t="s">
        <v>14</v>
      </c>
      <c r="E3869" s="34">
        <v>2</v>
      </c>
      <c r="F3869" s="34">
        <v>12</v>
      </c>
      <c r="G3869" s="10">
        <v>68392</v>
      </c>
      <c r="H3869" s="30" t="str">
        <f ca="1">IFERROR(__xludf.DUMMYFUNCTION("LOWER(REGEXREPLACE(B3869&amp;"" ""&amp;C3869,""[^а-яa-z0-9 ]"","" ""))")," уф мягкий прямоугольный   размеры  1000х400х450мм  уф мягкий прямоугольный   аркас деревянный  опора пластик  материал обивки  ткань или экокожа   абаритные размеры  1000х400х450мм")</f>
        <v xml:space="preserve"> уф мягкий прямоугольный   размеры  1000х400х450мм  уф мягкий прямоугольный   аркас деревянный  опора пластик  материал обивки  ткань или экокожа   абаритные размеры  1000х400х450мм</v>
      </c>
    </row>
    <row r="3870" spans="1:8" ht="38.25" x14ac:dyDescent="0.2">
      <c r="A3870" s="31" t="s">
        <v>9400</v>
      </c>
      <c r="B3870" s="27" t="s">
        <v>9401</v>
      </c>
      <c r="C3870" s="27" t="s">
        <v>9402</v>
      </c>
      <c r="D3870" s="33" t="s">
        <v>14</v>
      </c>
      <c r="E3870" s="34">
        <v>2</v>
      </c>
      <c r="F3870" s="35">
        <v>15.8</v>
      </c>
      <c r="G3870" s="10">
        <v>71824</v>
      </c>
      <c r="H3870" s="30" t="str">
        <f ca="1">IFERROR(__xludf.DUMMYFUNCTION("LOWER(REGEXREPLACE(B3870&amp;"" ""&amp;C3870,""[^а-яa-z0-9 ]"","" ""))")," уф мягкий прямоугольный   размеры  1200х400х450мм  уф мягкий прямоугольный   аркас деревянный  опора пластик  материал обивки  ткань или экокожа   абаритные размеры  1200х400х450мм")</f>
        <v xml:space="preserve"> уф мягкий прямоугольный   размеры  1200х400х450мм  уф мягкий прямоугольный   аркас деревянный  опора пластик  материал обивки  ткань или экокожа   абаритные размеры  1200х400х450мм</v>
      </c>
    </row>
    <row r="3871" spans="1:8" ht="38.25" x14ac:dyDescent="0.2">
      <c r="A3871" s="31" t="s">
        <v>9403</v>
      </c>
      <c r="B3871" s="27" t="s">
        <v>9404</v>
      </c>
      <c r="C3871" s="27" t="s">
        <v>9405</v>
      </c>
      <c r="D3871" s="33" t="s">
        <v>14</v>
      </c>
      <c r="E3871" s="34">
        <v>2</v>
      </c>
      <c r="F3871" s="34">
        <v>19</v>
      </c>
      <c r="G3871" s="10">
        <v>138564</v>
      </c>
      <c r="H3871" s="30" t="str">
        <f ca="1">IFERROR(__xludf.DUMMYFUNCTION("LOWER(REGEXREPLACE(B3871&amp;"" ""&amp;C3871,""[^а-яa-z0-9 ]"","" ""))")," уф мягкий в виде фигуры молекулы  размеры  радиус 750мм  высота 450мм  уф мягкий в виде фигуры молекулы   аркас деревянный  опора пластик  материал обивки  ткань или экокожа   абаритные размеры  радиус 750мм  высота 450мм")</f>
        <v xml:space="preserve"> уф мягкий в виде фигуры молекулы  размеры  радиус 750мм  высота 450мм  уф мягкий в виде фигуры молекулы   аркас деревянный  опора пластик  материал обивки  ткань или экокожа   абаритные размеры  радиус 750мм  высота 450мм</v>
      </c>
    </row>
    <row r="3872" spans="1:8" ht="25.5" x14ac:dyDescent="0.2">
      <c r="A3872" s="31" t="s">
        <v>9406</v>
      </c>
      <c r="B3872" s="27" t="s">
        <v>9407</v>
      </c>
      <c r="C3872" s="27" t="s">
        <v>9408</v>
      </c>
      <c r="D3872" s="33" t="s">
        <v>14</v>
      </c>
      <c r="E3872" s="34">
        <v>2</v>
      </c>
      <c r="F3872" s="34">
        <v>10</v>
      </c>
      <c r="G3872" s="10">
        <v>51298</v>
      </c>
      <c r="H3872" s="30" t="str">
        <f ca="1">IFERROR(__xludf.DUMMYFUNCTION("LOWER(REGEXREPLACE(B3872&amp;"" ""&amp;C3872,""[^а-яa-z0-9 ]"","" ""))")," уф мягкий со спинкой  размеры  550х500х400мм  уф мягкий со спинкой   аркас деревянный  опора пластик  материал обивки  ткань или экокожа   абаритные размеры  550х500х400мм")</f>
        <v xml:space="preserve"> уф мягкий со спинкой  размеры  550х500х400мм  уф мягкий со спинкой   аркас деревянный  опора пластик  материал обивки  ткань или экокожа   абаритные размеры  550х500х400мм</v>
      </c>
    </row>
    <row r="3873" spans="1:8" ht="25.5" x14ac:dyDescent="0.2">
      <c r="A3873" s="31" t="s">
        <v>9409</v>
      </c>
      <c r="B3873" s="27" t="s">
        <v>9410</v>
      </c>
      <c r="C3873" s="27" t="s">
        <v>9411</v>
      </c>
      <c r="D3873" s="33" t="s">
        <v>14</v>
      </c>
      <c r="E3873" s="34">
        <v>2</v>
      </c>
      <c r="F3873" s="34">
        <v>21</v>
      </c>
      <c r="G3873" s="10">
        <v>97204</v>
      </c>
      <c r="H3873" s="30" t="str">
        <f ca="1">IFERROR(__xludf.DUMMYFUNCTION("LOWER(REGEXREPLACE(B3873&amp;"" ""&amp;C3873,""[^а-яa-z0-9 ]"","" ""))")," уф мягкий со спинкой  размеры  720х720х650мм  уф мягкий со спинкой   аркас деревянный  опора пластик  материал обивки  ткань или экокожа   абаритные размеры  720х720х650мм")</f>
        <v xml:space="preserve"> уф мягкий со спинкой  размеры  720х720х650мм  уф мягкий со спинкой   аркас деревянный  опора пластик  материал обивки  ткань или экокожа   абаритные размеры  720х720х650мм</v>
      </c>
    </row>
    <row r="3874" spans="1:8" ht="25.5" x14ac:dyDescent="0.2">
      <c r="A3874" s="31" t="s">
        <v>9412</v>
      </c>
      <c r="B3874" s="27" t="s">
        <v>9413</v>
      </c>
      <c r="C3874" s="27" t="s">
        <v>9414</v>
      </c>
      <c r="D3874" s="33" t="s">
        <v>14</v>
      </c>
      <c r="E3874" s="34">
        <v>2</v>
      </c>
      <c r="F3874" s="34">
        <v>12</v>
      </c>
      <c r="G3874" s="10">
        <v>68932</v>
      </c>
      <c r="H3874" s="30" t="str">
        <f ca="1">IFERROR(__xludf.DUMMYFUNCTION("LOWER(REGEXREPLACE(B3874&amp;"" ""&amp;C3874,""[^а-яa-z0-9 ]"","" ""))")," уф мягкий со спинкой   размеры  600х700х880мм  уф мягкий со спинкой   аркас деревянный  опора металл  материал обивки  ткань или экокожа   абаритные размеры  600х700х880мм")</f>
        <v xml:space="preserve"> уф мягкий со спинкой   размеры  600х700х880мм  уф мягкий со спинкой   аркас деревянный  опора металл  материал обивки  ткань или экокожа   абаритные размеры  600х700х880мм</v>
      </c>
    </row>
    <row r="3875" spans="1:8" ht="25.5" x14ac:dyDescent="0.2">
      <c r="A3875" s="31" t="s">
        <v>9415</v>
      </c>
      <c r="B3875" s="27" t="s">
        <v>9416</v>
      </c>
      <c r="C3875" s="27" t="s">
        <v>9417</v>
      </c>
      <c r="D3875" s="33" t="s">
        <v>14</v>
      </c>
      <c r="E3875" s="34">
        <v>2</v>
      </c>
      <c r="F3875" s="34">
        <v>11</v>
      </c>
      <c r="G3875" s="10">
        <v>61554</v>
      </c>
      <c r="H3875" s="30" t="str">
        <f ca="1">IFERROR(__xludf.DUMMYFUNCTION("LOWER(REGEXREPLACE(B3875&amp;"" ""&amp;C3875,""[^а-яa-z0-9 ]"","" ""))")," уф мягкий со спинкой  размеры  530х500х750мм  уф мягкий со спинкой   аркас деревянный  опора металл  материал обивки  ткань или экокожа   абаритные размеры  530х500х750мм")</f>
        <v xml:space="preserve"> уф мягкий со спинкой  размеры  530х500х750мм  уф мягкий со спинкой   аркас деревянный  опора металл  материал обивки  ткань или экокожа   абаритные размеры  530х500х750мм</v>
      </c>
    </row>
    <row r="3876" spans="1:8" ht="38.25" x14ac:dyDescent="0.2">
      <c r="A3876" s="31" t="s">
        <v>9418</v>
      </c>
      <c r="B3876" s="27" t="s">
        <v>9419</v>
      </c>
      <c r="C3876" s="27" t="s">
        <v>9420</v>
      </c>
      <c r="D3876" s="33" t="s">
        <v>1506</v>
      </c>
      <c r="E3876" s="34">
        <v>2</v>
      </c>
      <c r="F3876" s="34">
        <v>9</v>
      </c>
      <c r="G3876" s="10">
        <v>115593</v>
      </c>
      <c r="H3876" s="30" t="str">
        <f ca="1">IFERROR(__xludf.DUMMYFUNCTION("LOWER(REGEXREPLACE(B3876&amp;"" ""&amp;C3876,""[^а-яa-z0-9 ]"","" ""))")," абор пуфов мягкий  4 шт    размеры общего набора  1000х1300х450мм  абор состоит из 4 пуфов мягких   аркас деревянный  опора пластик  материал обивки  ткань или экокожа   абаритные размеры общего набора  1000х1300х450мм")</f>
        <v xml:space="preserve"> абор пуфов мягкий  4 шт    размеры общего набора  1000х1300х450мм  абор состоит из 4 пуфов мягких   аркас деревянный  опора пластик  материал обивки  ткань или экокожа   абаритные размеры общего набора  1000х1300х450мм</v>
      </c>
    </row>
    <row r="3877" spans="1:8" ht="38.25" x14ac:dyDescent="0.2">
      <c r="A3877" s="31" t="s">
        <v>9421</v>
      </c>
      <c r="B3877" s="27" t="s">
        <v>9422</v>
      </c>
      <c r="C3877" s="27" t="s">
        <v>9423</v>
      </c>
      <c r="D3877" s="33" t="s">
        <v>1506</v>
      </c>
      <c r="E3877" s="34">
        <v>2</v>
      </c>
      <c r="F3877" s="34">
        <v>56</v>
      </c>
      <c r="G3877" s="10">
        <v>278996</v>
      </c>
      <c r="H3877" s="30" t="str">
        <f ca="1">IFERROR(__xludf.DUMMYFUNCTION("LOWER(REGEXREPLACE(B3877&amp;"" ""&amp;C3877,""[^а-яa-z0-9 ]"","" ""))")," абор пуфов мягкий  не менее 8 шт    размеры общего набора  не менее 610х700х450мм  абор состоит из не менее 8 пуфов мягких   аркас деревянный  опора пластик  материал обивки  ткань или экокожа   абаритные размеры общего набора  не менее 610х700х450мм")</f>
        <v xml:space="preserve"> абор пуфов мягкий  не менее 8 шт    размеры общего набора  не менее 610х700х450мм  абор состоит из не менее 8 пуфов мягких   аркас деревянный  опора пластик  материал обивки  ткань или экокожа   абаритные размеры общего набора  не менее 610х700х450мм</v>
      </c>
    </row>
    <row r="3878" spans="1:8" ht="38.25" x14ac:dyDescent="0.2">
      <c r="A3878" s="31" t="s">
        <v>9424</v>
      </c>
      <c r="B3878" s="27" t="s">
        <v>9425</v>
      </c>
      <c r="C3878" s="27" t="s">
        <v>9426</v>
      </c>
      <c r="D3878" s="33" t="s">
        <v>1506</v>
      </c>
      <c r="E3878" s="34">
        <v>2</v>
      </c>
      <c r="F3878" s="34">
        <v>33</v>
      </c>
      <c r="G3878" s="10">
        <v>231065</v>
      </c>
      <c r="H3878" s="30" t="str">
        <f ca="1">IFERROR(__xludf.DUMMYFUNCTION("LOWER(REGEXREPLACE(B3878&amp;"" ""&amp;C3878,""[^а-яa-z0-9 ]"","" ""))")," абор пуфов со спинкой мягкий  3 шт    размеры общего набора   1650х500х750мм  абор состоит из 3 пуфов мягких со спинкой   аркас деревянный  опора металл  материал обивки  ткань или экокожа   абаритные размеры общего набора  1650х500х750мм")</f>
        <v xml:space="preserve"> абор пуфов со спинкой мягкий  3 шт    размеры общего набора   1650х500х750мм  абор состоит из 3 пуфов мягких со спинкой   аркас деревянный  опора металл  материал обивки  ткань или экокожа   абаритные размеры общего набора  1650х500х750мм</v>
      </c>
    </row>
    <row r="3879" spans="1:8" ht="38.25" x14ac:dyDescent="0.2">
      <c r="A3879" s="31" t="s">
        <v>9427</v>
      </c>
      <c r="B3879" s="27" t="s">
        <v>9428</v>
      </c>
      <c r="C3879" s="27" t="s">
        <v>9429</v>
      </c>
      <c r="D3879" s="33" t="s">
        <v>1506</v>
      </c>
      <c r="E3879" s="34">
        <v>2</v>
      </c>
      <c r="F3879" s="34">
        <v>36</v>
      </c>
      <c r="G3879" s="10">
        <v>259134</v>
      </c>
      <c r="H3879" s="30" t="str">
        <f ca="1">IFERROR(__xludf.DUMMYFUNCTION("LOWER(REGEXREPLACE(B3879&amp;"" ""&amp;C3879,""[^а-яa-z0-9 ]"","" ""))")," абор пуфов со спинкой мягкий  3 шт    размеры общего набора  1800х700х880мм  абор состоит из 3 пуфов мягких со спинкой   аркас деревянный  опора металл  материал обивки  ткань или экокожа   абаритные размеры общего набора  1800х700х880мм")</f>
        <v xml:space="preserve"> абор пуфов со спинкой мягкий  3 шт    размеры общего набора  1800х700х880мм  абор состоит из 3 пуфов мягких со спинкой   аркас деревянный  опора металл  материал обивки  ткань или экокожа   абаритные размеры общего набора  1800х700х880мм</v>
      </c>
    </row>
    <row r="3880" spans="1:8" ht="38.25" x14ac:dyDescent="0.2">
      <c r="A3880" s="31" t="s">
        <v>9430</v>
      </c>
      <c r="B3880" s="27" t="s">
        <v>9431</v>
      </c>
      <c r="C3880" s="27" t="s">
        <v>9432</v>
      </c>
      <c r="D3880" s="33" t="s">
        <v>1506</v>
      </c>
      <c r="E3880" s="34">
        <v>2</v>
      </c>
      <c r="F3880" s="34">
        <v>42</v>
      </c>
      <c r="G3880" s="10">
        <v>247287</v>
      </c>
      <c r="H3880" s="30" t="str">
        <f ca="1">IFERROR(__xludf.DUMMYFUNCTION("LOWER(REGEXREPLACE(B3880&amp;"" ""&amp;C3880,""[^а-яa-z0-9 ]"","" ""))")," абор пуфов со спинкой мягкий  5 шт    размеры общего набора  1500х1300х810мм  абор состоит из 5 пуфов мягких   аркас деревянный  опора металл  материал обивки  ткань или экокожа   абаритные размеры общего набора  1500х1300х810мм")</f>
        <v xml:space="preserve"> абор пуфов со спинкой мягкий  5 шт    размеры общего набора  1500х1300х810мм  абор состоит из 5 пуфов мягких   аркас деревянный  опора металл  материал обивки  ткань или экокожа   абаритные размеры общего набора  1500х1300х810мм</v>
      </c>
    </row>
    <row r="3881" spans="1:8" ht="25.5" x14ac:dyDescent="0.2">
      <c r="A3881" s="31" t="s">
        <v>9433</v>
      </c>
      <c r="B3881" s="27" t="s">
        <v>9434</v>
      </c>
      <c r="C3881" s="27" t="s">
        <v>9435</v>
      </c>
      <c r="D3881" s="33" t="s">
        <v>14</v>
      </c>
      <c r="E3881" s="34">
        <v>2</v>
      </c>
      <c r="F3881" s="34">
        <v>5</v>
      </c>
      <c r="G3881" s="10">
        <v>70635</v>
      </c>
      <c r="H3881" s="30" t="str">
        <f ca="1">IFERROR(__xludf.DUMMYFUNCTION("LOWER(REGEXREPLACE(B3881&amp;"" ""&amp;C3881,""[^а-яa-z0-9 ]"","" ""))")," уф модульный   азмер 497х623х400мм  ыполнен из ппу самой высотокой плотности  плотной ткани  которая не принимает форму тела  возвращается в исходную форму ")</f>
        <v xml:space="preserve"> уф модульный   азмер 497х623х400мм  ыполнен из ппу самой высотокой плотности  плотной ткани  которая не принимает форму тела  возвращается в исходную форму </v>
      </c>
    </row>
    <row r="3882" spans="1:8" ht="12.75" x14ac:dyDescent="0.2">
      <c r="A3882" s="31" t="s">
        <v>9436</v>
      </c>
      <c r="B3882" s="27" t="s">
        <v>9437</v>
      </c>
      <c r="C3882" s="27"/>
      <c r="D3882" s="33" t="s">
        <v>14</v>
      </c>
      <c r="E3882" s="9"/>
      <c r="F3882" s="32"/>
      <c r="G3882" s="10"/>
      <c r="H3882" s="30" t="str">
        <f ca="1">IFERROR(__xludf.DUMMYFUNCTION("LOWER(REGEXREPLACE(B3882&amp;"" ""&amp;C3882,""[^а-яa-z0-9 ]"","" ""))")," ресло для актового  медиа и конференц залов ")</f>
        <v xml:space="preserve"> ресло для актового  медиа и конференц залов </v>
      </c>
    </row>
    <row r="3883" spans="1:8" ht="76.5" x14ac:dyDescent="0.2">
      <c r="A3883" s="31" t="s">
        <v>9438</v>
      </c>
      <c r="B3883" s="27" t="s">
        <v>9439</v>
      </c>
      <c r="C3883" s="27" t="s">
        <v>9440</v>
      </c>
      <c r="D3883" s="33" t="s">
        <v>14</v>
      </c>
      <c r="E3883" s="34">
        <v>2</v>
      </c>
      <c r="F3883" s="34">
        <v>15</v>
      </c>
      <c r="G3883" s="10">
        <v>94483</v>
      </c>
      <c r="H3883" s="30" t="str">
        <f ca="1">IFERROR(__xludf.DUMMYFUNCTION("LOWER(REGEXREPLACE(B3883&amp;"" ""&amp;C3883,""[^а-яa-z0-9 ]"","" ""))")," ресло типа  путник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п"&amp;"одлокотников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f>
        <v xml:space="preserve"> ресло типа  путник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v>
      </c>
    </row>
    <row r="3884" spans="1:8" ht="51" x14ac:dyDescent="0.2">
      <c r="A3884" s="31" t="s">
        <v>9441</v>
      </c>
      <c r="B3884" s="27" t="s">
        <v>9442</v>
      </c>
      <c r="C3884" s="27" t="s">
        <v>9443</v>
      </c>
      <c r="D3884" s="33" t="s">
        <v>14</v>
      </c>
      <c r="E3884" s="34">
        <v>2</v>
      </c>
      <c r="F3884" s="34">
        <v>15</v>
      </c>
      <c r="G3884" s="10">
        <v>75936</v>
      </c>
      <c r="H3884" s="30" t="str">
        <f ca="1">IFERROR(__xludf.DUMMYFUNCTION("LOWER(REGEXREPLACE(B3884&amp;"" ""&amp;C3884,""[^а-яa-z0-9 ]"","" ""))")," ресло типа  ега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f>
        <v xml:space="preserve"> ресло типа  ега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v>
      </c>
    </row>
    <row r="3885" spans="1:8" ht="38.25" x14ac:dyDescent="0.2">
      <c r="A3885" s="31" t="s">
        <v>9444</v>
      </c>
      <c r="B3885" s="27" t="s">
        <v>9445</v>
      </c>
      <c r="C3885" s="27" t="s">
        <v>9446</v>
      </c>
      <c r="D3885" s="33" t="s">
        <v>14</v>
      </c>
      <c r="E3885" s="34">
        <v>2</v>
      </c>
      <c r="F3885" s="34">
        <v>15</v>
      </c>
      <c r="G3885" s="10">
        <v>70877</v>
      </c>
      <c r="H3885" s="30" t="str">
        <f ca="1">IFERROR(__xludf.DUMMYFUNCTION("LOWER(REGEXREPLACE(B3885&amp;"" ""&amp;C3885,""[^а-яa-z0-9 ]"","" ""))")," ресло типа  ремьер   снова металлокаркас  наполнитель      подлокотники из цельного бруса  материал бук   азмеры  ширина 520 мм  высота 860 мм  глубина в слож  440 мм  глубина в разлож  600 мм")</f>
        <v xml:space="preserve"> ресло типа  ремьер   снова металлокаркас  наполнитель      подлокотники из цельного бруса  материал бук   азмеры  ширина 520 мм  высота 860 мм  глубина в слож  440 мм  глубина в разлож  600 мм</v>
      </c>
    </row>
    <row r="3886" spans="1:8" ht="51" x14ac:dyDescent="0.2">
      <c r="A3886" s="31" t="s">
        <v>9447</v>
      </c>
      <c r="B3886" s="27" t="s">
        <v>9448</v>
      </c>
      <c r="C3886" s="27" t="s">
        <v>9449</v>
      </c>
      <c r="D3886" s="33" t="s">
        <v>14</v>
      </c>
      <c r="E3886" s="34">
        <v>2</v>
      </c>
      <c r="F3886" s="34">
        <v>15</v>
      </c>
      <c r="G3886" s="10">
        <v>68854</v>
      </c>
      <c r="H3886" s="30" t="str">
        <f ca="1">IFERROR(__xludf.DUMMYFUNCTION("LOWER(REGEXREPLACE(B3886&amp;"" ""&amp;C3886,""[^а-яa-z0-9 ]"","" ""))")," ресло типа  оло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f>
        <v xml:space="preserve"> ресло типа  оло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v>
      </c>
    </row>
    <row r="3887" spans="1:8" ht="89.25" x14ac:dyDescent="0.2">
      <c r="A3887" s="31" t="s">
        <v>9450</v>
      </c>
      <c r="B3887" s="27" t="s">
        <v>9451</v>
      </c>
      <c r="C3887" s="27" t="s">
        <v>9452</v>
      </c>
      <c r="D3887" s="33" t="s">
        <v>14</v>
      </c>
      <c r="E3887" s="34">
        <v>2</v>
      </c>
      <c r="F3887" s="34">
        <v>15</v>
      </c>
      <c r="G3887" s="10">
        <v>89088</v>
      </c>
      <c r="H3887" s="30" t="str">
        <f ca="1">IFERROR(__xludf.DUMMYFUNCTION("LOWER(REGEXREPLACE(B3887&amp;"" ""&amp;C3887,""[^а-яa-z0-9 ]"","" ""))")," ресло типа  но   аполнение эластичный пенополиуретан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"&amp;"ребрами жесткости  азмеры  высота   900 мм  ширина   520 мм  глубина в сложенном состоянии   225 мм  глубина в разложенном состоянии   655 мм")</f>
        <v xml:space="preserve"> ресло типа  но   аполнение эластичный пенополиуретан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  азмеры  высота   900 мм  ширина   520 мм  глубина в сложенном состоянии   225 мм  глубина в разложенном состоянии   655 мм</v>
      </c>
    </row>
    <row r="3888" spans="1:8" ht="76.5" x14ac:dyDescent="0.2">
      <c r="A3888" s="31" t="s">
        <v>9453</v>
      </c>
      <c r="B3888" s="27" t="s">
        <v>9454</v>
      </c>
      <c r="C3888" s="27" t="s">
        <v>9455</v>
      </c>
      <c r="D3888" s="33" t="s">
        <v>14</v>
      </c>
      <c r="E3888" s="34">
        <v>2</v>
      </c>
      <c r="F3888" s="34">
        <v>15</v>
      </c>
      <c r="G3888" s="10">
        <v>94483</v>
      </c>
      <c r="H3888" s="30" t="str">
        <f ca="1">IFERROR(__xludf.DUMMYFUNCTION("LOWER(REGEXREPLACE(B3888&amp;"" ""&amp;C3888,""[^а-яa-z0-9 ]"","" ""))")," ресло типа  аскад    123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ос"&amp;"ями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f>
        <v xml:space="preserve"> ресло типа  аскад    123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v>
      </c>
    </row>
    <row r="3889" spans="1:8" ht="51" x14ac:dyDescent="0.2">
      <c r="A3889" s="31" t="s">
        <v>9456</v>
      </c>
      <c r="B3889" s="27" t="s">
        <v>9457</v>
      </c>
      <c r="C3889" s="27" t="s">
        <v>9458</v>
      </c>
      <c r="D3889" s="33" t="s">
        <v>14</v>
      </c>
      <c r="E3889" s="34">
        <v>2</v>
      </c>
      <c r="F3889" s="34">
        <v>15</v>
      </c>
      <c r="G3889" s="10">
        <v>75936</v>
      </c>
      <c r="H3889" s="30" t="str">
        <f ca="1">IFERROR(__xludf.DUMMYFUNCTION("LOWER(REGEXREPLACE(B3889&amp;"" ""&amp;C3889,""[^а-яa-z0-9 ]"","" ""))")," ресло типа  аскад    126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f>
        <v xml:space="preserve"> ресло типа  аскад    126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v>
      </c>
    </row>
    <row r="3890" spans="1:8" ht="38.25" x14ac:dyDescent="0.2">
      <c r="A3890" s="31" t="s">
        <v>9459</v>
      </c>
      <c r="B3890" s="27" t="s">
        <v>9460</v>
      </c>
      <c r="C3890" s="27" t="s">
        <v>9446</v>
      </c>
      <c r="D3890" s="33" t="s">
        <v>14</v>
      </c>
      <c r="E3890" s="34">
        <v>2</v>
      </c>
      <c r="F3890" s="34">
        <v>15</v>
      </c>
      <c r="G3890" s="10">
        <v>70877</v>
      </c>
      <c r="H3890" s="30" t="str">
        <f ca="1">IFERROR(__xludf.DUMMYFUNCTION("LOWER(REGEXREPLACE(B3890&amp;"" ""&amp;C3890,""[^а-яa-z0-9 ]"","" ""))")," ресло типа  аскад    124   снова металлокаркас  наполнитель      подлокотники из цельного бруса  материал бук   азмеры  ширина 520 мм  высота 860 мм  глубина в слож  440 мм  глубина в разлож  600 мм")</f>
        <v xml:space="preserve"> ресло типа  аскад    124   снова металлокаркас  наполнитель      подлокотники из цельного бруса  материал бук   азмеры  ширина 520 мм  высота 860 мм  глубина в слож  440 мм  глубина в разлож  600 мм</v>
      </c>
    </row>
    <row r="3891" spans="1:8" ht="51" x14ac:dyDescent="0.2">
      <c r="A3891" s="31" t="s">
        <v>9461</v>
      </c>
      <c r="B3891" s="27" t="s">
        <v>9462</v>
      </c>
      <c r="C3891" s="27" t="s">
        <v>9449</v>
      </c>
      <c r="D3891" s="33" t="s">
        <v>14</v>
      </c>
      <c r="E3891" s="34">
        <v>2</v>
      </c>
      <c r="F3891" s="34">
        <v>15</v>
      </c>
      <c r="G3891" s="10">
        <v>68854</v>
      </c>
      <c r="H3891" s="30" t="str">
        <f ca="1">IFERROR(__xludf.DUMMYFUNCTION("LOWER(REGEXREPLACE(B3891&amp;"" ""&amp;C3891,""[^а-яa-z0-9 ]"","" ""))")," ресло типа  аскад    113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f>
        <v xml:space="preserve"> ресло типа  аскад    113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v>
      </c>
    </row>
    <row r="3892" spans="1:8" ht="114.75" x14ac:dyDescent="0.2">
      <c r="A3892" s="31" t="s">
        <v>9463</v>
      </c>
      <c r="B3892" s="27" t="s">
        <v>9464</v>
      </c>
      <c r="C3892" s="27" t="s">
        <v>9465</v>
      </c>
      <c r="D3892" s="33" t="s">
        <v>14</v>
      </c>
      <c r="E3892" s="34">
        <v>2</v>
      </c>
      <c r="F3892" s="34">
        <v>20</v>
      </c>
      <c r="G3892" s="10">
        <v>112488</v>
      </c>
      <c r="H3892" s="30" t="str">
        <f ca="1">IFERROR(__xludf.DUMMYFUNCTION("LOWER(REGEXREPLACE(B3892&amp;"" ""&amp;C3892,""[^а-яa-z0-9 ]"","" ""))")," ресло театральное  мягкие элементы спинки и сидения обтянуты мебельной тканью  подлокотники      опоры металл  с откидывающимся сидением  абаритные размеры  655х690х850мм   аркас  выполнен из калиброванного хвойного бруса 1 категории и березовой  фанеры "&amp;"класс эмиссии  1   оединения шиповые  на клее      водная основа  и мебельной скобе  опоры металл   одлокотники     цвет  енге   ягкие элементы сиденья и спинки изготовлены из эластичного и прочного пенополиуритана   силенный каркас спинки и сиденья с воз"&amp;"можностью консольного крепления или анкерного крепления к полу  с откидывающимся сидением   ягкие элементы спинки и сидения обтянуты мебельной тканью    вет по согласованию с заказчиком   одлокотники из мдф с отделкой пленкой     ")</f>
        <v xml:space="preserve"> ресло театральное  мягкие элементы спинки и сидения обтянуты мебельной тканью  подлокотники      опоры металл  с откидывающимся сидением  абаритные размеры  655х690х850мм   аркас  выполнен из калиброванного хвойного бруса 1 категории и березовой  фанеры класс эмиссии  1   оединения шиповые  на клее      водная основа  и мебельной скобе  опоры металл   одлокотники     цвет  енге   ягкие элементы сиденья и спинки изготовлены из эластичного и прочного пенополиуритана   силенный каркас спинки и сиденья с возможностью консольного крепления или анкерного крепления к полу  с откидывающимся сидением   ягкие элементы спинки и сидения обтянуты мебельной тканью    вет по согласованию с заказчиком   одлокотники из мдф с отделкой пленкой     </v>
      </c>
    </row>
    <row r="3893" spans="1:8" ht="102" x14ac:dyDescent="0.2">
      <c r="A3893" s="31" t="s">
        <v>9466</v>
      </c>
      <c r="B3893" s="27" t="s">
        <v>9467</v>
      </c>
      <c r="C3893" s="27" t="s">
        <v>9468</v>
      </c>
      <c r="D3893" s="33" t="s">
        <v>14</v>
      </c>
      <c r="E3893" s="34">
        <v>2</v>
      </c>
      <c r="F3893" s="34">
        <v>25</v>
      </c>
      <c r="G3893" s="10">
        <v>121501</v>
      </c>
      <c r="H3893" s="30" t="str">
        <f ca="1">IFERROR(__xludf.DUMMYFUNCTION("LOWER(REGEXREPLACE(B3893&amp;"" ""&amp;C3893,""[^а-яa-z0-9 ]"","" ""))")," ресло театральное  обивочный материал велюр  накладки на подлокотники из цельного массива дерева  опоры металл  с откидывающимся сидением  абаритные размеры  620х700х1000мм   аркас  выполнен из калиброванного  хвойного бруса 1 категории и березовой  фане"&amp;"ры класс эмиссии  1   оединения шиповые   на клее      водная основа  и мебельной скобе  опоры металл    ягкие элементы сиденья  и спинки изготовлены из эластичного и прочного пенополиуритана    откидывающимся сидением  накладки на подлокотники выполнены "&amp;"из цельного массива дерева  покрыты высококачественными полиуретановыми лаками   бивочный материал велюр  цвет по согласованию с заказчиком   аксимальная нагрузка 120кг")</f>
        <v xml:space="preserve"> ресло театральное  обивочный материал велюр  накладки на подлокотники из цельного массива дерева  опоры металл  с откидывающимся сидением  абаритные размеры  620х700х1000мм   аркас  выполнен из калиброванного  хвойного бруса 1 категории и березовой  фанеры класс эмиссии  1   оединения шиповые   на клее      водная основа  и мебельной скобе  опоры металл    ягкие элементы сиденья  и спинки изготовлены из эластичного и прочного пенополиуритана    откидывающимся сидением  накладки на подлокотники выполнены из цельного массива дерева  покрыты высококачественными полиуретановыми лаками   бивочный материал велюр  цвет по согласованию с заказчиком   аксимальная нагрузка 120кг</v>
      </c>
    </row>
    <row r="3894" spans="1:8" ht="102" x14ac:dyDescent="0.2">
      <c r="A3894" s="31" t="s">
        <v>9469</v>
      </c>
      <c r="B3894" s="27" t="s">
        <v>9470</v>
      </c>
      <c r="C3894" s="27" t="s">
        <v>9471</v>
      </c>
      <c r="D3894" s="33" t="s">
        <v>14</v>
      </c>
      <c r="E3894" s="34">
        <v>2</v>
      </c>
      <c r="F3894" s="35">
        <v>20.7</v>
      </c>
      <c r="G3894" s="10">
        <v>70225</v>
      </c>
      <c r="H3894" s="30" t="str">
        <f ca="1">IFERROR(__xludf.DUMMYFUNCTION("LOWER(REGEXREPLACE(B3894&amp;"" ""&amp;C3894,""[^а-яa-z0-9 ]"","" ""))")," ресло театральное  металлокаркас высокой прочности из толстостенных труб  подлокотники из высококачественной фанеры  ткань   триплированная износостойкая  подушки из пенополиуретана повышенной плотности  азмеры  высота 880мм  ширина 500 550мм  глубина в "&amp;"сложенном состоянии 525мм  глубина в разложенном состоянии 690мм   еталлокаркас высокой прочности из толстостенных труб  полимерная окраска   одлокотники из высококачественной фанеры   кань   триплированная износостойкая   одушки из пенополиуретана повыше"&amp;"нной плотности   олщина     50 мм   лотная ткань устойчивая к износу  триплированная сеткой и      возможность изготовления чехлов на молниях для удобства их чистки ")</f>
        <v xml:space="preserve"> ресло театральное  металлокаркас высокой прочности из толстостенных труб  подлокотники из высококачественной фанеры  ткань   триплированная износостойкая  подушки из пенополиуретана повышенной плотности  азмеры  высота 880мм  ширина 500 550мм  глубина в сложенном состоянии 525мм  глубина в разложенном состоянии 690мм   еталлокаркас высокой прочности из толстостенных труб  полимерная окраска   одлокотники из высококачественной фанеры   кань   триплированная износостойкая   одушки из пенополиуретана повышенной плотности   олщина     50 мм   лотная ткань устойчивая к износу  триплированная сеткой и      возможность изготовления чехлов на молниях для удобства их чистки </v>
      </c>
    </row>
    <row r="3895" spans="1:8" ht="51" x14ac:dyDescent="0.2">
      <c r="A3895" s="31" t="s">
        <v>9472</v>
      </c>
      <c r="B3895" s="27" t="s">
        <v>9473</v>
      </c>
      <c r="C3895" s="27" t="s">
        <v>9474</v>
      </c>
      <c r="D3895" s="33" t="s">
        <v>14</v>
      </c>
      <c r="E3895" s="34">
        <v>2</v>
      </c>
      <c r="F3895" s="34">
        <v>18</v>
      </c>
      <c r="G3895" s="10">
        <v>70214</v>
      </c>
      <c r="H3895" s="30" t="str">
        <f ca="1">IFERROR(__xludf.DUMMYFUNCTION("LOWER(REGEXREPLACE(B3895&amp;"" ""&amp;C3895,""[^а-яa-z0-9 ]"","" ""))")," ресло для актового зала   идение и спинка мягкие обитые   иденье откидывается   ама металлическая ч рного цвета   бивка  искусственная кожа  ткань  ресло для актового зала   идение и спинка мягкие обитые   ама металлическая ч рного цвета   абаритные разм"&amp;"еры   лина 1800мм   ирина 560мм   ысота 785мм   бивка  искусственная кожа  ткань")</f>
        <v xml:space="preserve"> ресло для актового зала   идение и спинка мягкие обитые   иденье откидывается   ама металлическая ч рного цвета   бивка  искусственная кожа  ткань  ресло для актового зала   идение и спинка мягкие обитые   ама металлическая ч рного цвета   абаритные размеры   лина 1800мм   ирина 560мм   ысота 785мм   бивка  искусственная кожа  ткань</v>
      </c>
    </row>
    <row r="3896" spans="1:8" ht="51" x14ac:dyDescent="0.2">
      <c r="A3896" s="31" t="s">
        <v>9475</v>
      </c>
      <c r="B3896" s="27" t="s">
        <v>9476</v>
      </c>
      <c r="C3896" s="27" t="s">
        <v>9477</v>
      </c>
      <c r="D3896" s="33" t="s">
        <v>14</v>
      </c>
      <c r="E3896" s="34">
        <v>2</v>
      </c>
      <c r="F3896" s="34">
        <v>21</v>
      </c>
      <c r="G3896" s="10">
        <v>33300</v>
      </c>
      <c r="H3896" s="30" t="str">
        <f ca="1">IFERROR(__xludf.DUMMYFUNCTION("LOWER(REGEXREPLACE(B3896&amp;"" ""&amp;C3896,""[^а-яa-z0-9 ]"","" ""))")," ресло театральное  каркас металлический цветной  подлокотники с деревянной накладкой  обивка   гобелен   азмер  480х420х670мм  ресло театральное  каркас металлический цветной  подлокотники с деревянной накладкой  обивка   гобелен   азмер  480х420х670мм  "&amp;" ысота от пола до сиденья 460мм ")</f>
        <v xml:space="preserve"> ресло театральное  каркас металлический цветной  подлокотники с деревянной накладкой  обивка   гобелен   азмер  480х420х670мм  ресло театральное  каркас металлический цветной  подлокотники с деревянной накладкой  обивка   гобелен   азмер  480х420х670мм   ысота от пола до сиденья 460мм </v>
      </c>
    </row>
    <row r="3897" spans="1:8" ht="51" x14ac:dyDescent="0.2">
      <c r="A3897" s="31" t="s">
        <v>9478</v>
      </c>
      <c r="B3897" s="27" t="s">
        <v>9479</v>
      </c>
      <c r="C3897" s="27" t="s">
        <v>9480</v>
      </c>
      <c r="D3897" s="33" t="s">
        <v>14</v>
      </c>
      <c r="E3897" s="34">
        <v>2</v>
      </c>
      <c r="F3897" s="34">
        <v>21</v>
      </c>
      <c r="G3897" s="10">
        <v>30881</v>
      </c>
      <c r="H3897" s="30" t="str">
        <f ca="1">IFERROR(__xludf.DUMMYFUNCTION("LOWER(REGEXREPLACE(B3897&amp;"" ""&amp;C3897,""[^а-яa-z0-9 ]"","" ""))")," ресло театральное  каркас металлический цветной  подлокотники с деревянной накладкой  обивка   гобелен  ресло театральное  каркас металлический цветной  подлокотники с деревянной накладкой  обивка   гобелен   ысота спинки 590мм   ысота от пола до сиденья"&amp;" 490мм ")</f>
        <v xml:space="preserve"> ресло театральное  каркас металлический цветной  подлокотники с деревянной накладкой  обивка   гобелен  ресло театральное  каркас металлический цветной  подлокотники с деревянной накладкой  обивка   гобелен   ысота спинки 590мм   ысота от пола до сиденья 490мм </v>
      </c>
    </row>
    <row r="3898" spans="1:8" ht="153" x14ac:dyDescent="0.2">
      <c r="A3898" s="31" t="s">
        <v>9481</v>
      </c>
      <c r="B3898" s="8" t="s">
        <v>9482</v>
      </c>
      <c r="C3898" s="27" t="s">
        <v>9483</v>
      </c>
      <c r="D3898" s="33" t="s">
        <v>14</v>
      </c>
      <c r="E3898" s="34">
        <v>2</v>
      </c>
      <c r="F3898" s="34">
        <v>25</v>
      </c>
      <c r="G3898" s="10">
        <v>82371</v>
      </c>
      <c r="H3898" s="30" t="str">
        <f ca="1">IFERROR(__xludf.DUMMYFUNCTION("LOWER(REGEXREPLACE(B3898&amp;"" ""&amp;C3898,""[^а-яa-z0-9 ]"","" ""))")," ресло для актового зала   снова металлокаркас  спинка размером 700 440 140 мм и сиденье размером 440 460 130 мм из пенополиуретана  обивка из полиэстеровой износостойкой ткани  механизм возврата  ресло для актового зала на металлокаркасе   пинка размером"&amp;" 700   440   140 мм и сиденье размером 440   460   130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из"&amp;"носостойкостью и устойчивостью к выцветанию    конструкции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по"&amp;"длокотник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f>
        <v xml:space="preserve"> ресло для актового зала   снова металлокаркас  спинка размером 700 440 140 мм и сиденье размером 440 460 130 мм из пенополиуретана  обивка из полиэстеровой износостойкой ткани  механизм возврата  ресло для актового зала на металлокаркасе   пинка размером 700   440   140 мм и сиденье размером 440   460   130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износостойкостью и устойчивостью к выцветанию    конструкции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v>
      </c>
    </row>
    <row r="3899" spans="1:8" ht="153" x14ac:dyDescent="0.2">
      <c r="A3899" s="31" t="s">
        <v>9484</v>
      </c>
      <c r="B3899" s="27" t="s">
        <v>9485</v>
      </c>
      <c r="C3899" s="27" t="s">
        <v>9486</v>
      </c>
      <c r="D3899" s="33" t="s">
        <v>14</v>
      </c>
      <c r="E3899" s="34">
        <v>2</v>
      </c>
      <c r="F3899" s="34">
        <v>25</v>
      </c>
      <c r="G3899" s="10">
        <v>87679</v>
      </c>
      <c r="H3899" s="30" t="str">
        <f ca="1">IFERROR(__xludf.DUMMYFUNCTION("LOWER(REGEXREPLACE(B3899&amp;"" ""&amp;C3899,""[^а-яa-z0-9 ]"","" ""))")," ресло для актового зала   снова металлокаркас  спинка размером 700 440 130 мм и сиденье размером 470 460 160 мм из пенополиуретана  обивка из полиэстеровой износостойкой ткани  механизм возврата  ресло для актового зала на металлокаркасе   пинка размером"&amp;" 700   440   130 мм и сиденье размером 470   460   160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из"&amp;"носостойкостью и устойчивостью к выцветанию    конструкции сиденья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наклад"&amp;"ка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f>
        <v xml:space="preserve"> ресло для актового зала   снова металлокаркас  спинка размером 700 440 130 мм и сиденье размером 470 460 160 мм из пенополиуретана  обивка из полиэстеровой износостойкой ткани  механизм возврата  ресло для актового зала на металлокаркасе   пинка размером 700   440   130 мм и сиденье размером 470   460   160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износостойкостью и устойчивостью к выцветанию    конструкции сиденья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v>
      </c>
    </row>
    <row r="3900" spans="1:8" ht="216.75" x14ac:dyDescent="0.2">
      <c r="A3900" s="31" t="s">
        <v>9487</v>
      </c>
      <c r="B3900" s="27" t="s">
        <v>9488</v>
      </c>
      <c r="C3900" s="27" t="s">
        <v>9489</v>
      </c>
      <c r="D3900" s="33" t="s">
        <v>14</v>
      </c>
      <c r="E3900" s="34">
        <v>2</v>
      </c>
      <c r="F3900" s="34">
        <v>30</v>
      </c>
      <c r="G3900" s="10">
        <v>90353</v>
      </c>
      <c r="H3900" s="30" t="str">
        <f ca="1">IFERROR(__xludf.DUMMYFUNCTION("LOWER(REGEXREPLACE(B3900&amp;"" ""&amp;C3900,""[^а-яa-z0-9 ]"","" ""))")," ресло для актового зала   снова металлокаркас  спинка размером 685 450 120 мм и сиденье размером 450 450 150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на металлокаркасе   иденье размером 450   450   150 мм и спинка размером 685   450   120 мм изготовлены из пенополиуретана высокой плотности    50 кг м      комплект поставки входит высококачественная холоднокатаная стальная пл"&amp;"астина толщиной 1 5 мм  обеспечивающая ж сткость и прочность конструкции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звукопоглощаю"&amp;"щими вентиляционными отверстиями в форме сот  что улучшает акустические характеристики и вентиляцию    комплект входит откидная доска для письма   одлокотники изготовлены из натурального дуба   еханизм возврата пружинного типа обеспечивает автоматическое "&amp;"и плавное возвращение сиденья в исходное положение  бивка кресла изготовлена из износостойкой полиэстеровой ткани  устойчивой к выцветанию   оковая панель выполнена из деревянных досок  покрытых пенополиуретаном и обтянутых износостойкой тканью с внутренн"&amp;"им переплетением   репление кресла к полу осуществляется с помощью анкерных элементов")</f>
        <v xml:space="preserve"> ресло для актового зала   снова металлокаркас  спинка размером 685 450 120 мм и сиденье размером 450 450 150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иденье размером 450   450   150 мм и спинка размером 685   450   120 мм изготовлены из пенополиуретана высокой плотности    50 кг м      комплект поставки входит высококачественная холоднокатаная стальная пластина толщиной 1 5 мм  обеспечивающая ж сткость и прочность конструкции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что улучшает акустические характеристики и вентиляцию    комплект входит откидная доска для письма   одлокотники изготовлены из натурального дуба   еханизм возврата пружинного типа обеспечивает автоматическое и плавное возвращение сиденья в исходное положение  бивка кресла изготовлена из износостойкой полиэстеровой ткани  устойчивой к выцветанию   оковая панель выполнена из деревянных досок  покрытых пенополиуретаном и обтянутых износостойкой тканью с внутренним переплетением   репление кресла к полу осуществляется с помощью анкерных элементов</v>
      </c>
    </row>
    <row r="3901" spans="1:8" ht="191.25" x14ac:dyDescent="0.2">
      <c r="A3901" s="31" t="s">
        <v>9490</v>
      </c>
      <c r="B3901" s="27" t="s">
        <v>9491</v>
      </c>
      <c r="C3901" s="27" t="s">
        <v>9492</v>
      </c>
      <c r="D3901" s="33" t="s">
        <v>14</v>
      </c>
      <c r="E3901" s="34">
        <v>2</v>
      </c>
      <c r="F3901" s="34">
        <v>28</v>
      </c>
      <c r="G3901" s="10">
        <v>92999</v>
      </c>
      <c r="H3901" s="30" t="str">
        <f ca="1">IFERROR(__xludf.DUMMYFUNCTION("LOWER(REGEXREPLACE(B3901&amp;"" ""&amp;C3901,""[^а-яa-z0-9 ]"","" ""))"),"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на металлокаркасе   пинка 715 470 120 мм из полиуретана    600 кг м   и сиденье 485 480 140 мм из полиуретана    45 кг м     адняя внутренняя панель спинки выполнена из формованной фанеры размером 660 410 6 мм   адняя наружная "&amp;"панель изготовлена из многослойной доски из тв рдых пород древесины высокой плотности и имеет размеры 725   520   15 мм   нешняя панель сиденья выполнена из многослойной древесины лиственных пород размером 460   425   15 мм   иденье оснащено возвратным ме"&amp;"ханизмом на основе пружины и стальной рамной конструкции  обеспечивающим над жное и плавное возвращение в исходное положение   оверхность подлокотника изготовлена из натурального дуба толщиной 20 мм    комплект входит откидной столик для письма   бивочная"&amp;" ткань устойчива к образованию пятен и выцветанию  отличается высокой износостойкостью   оковая панель выполнена из прочного полипропилена   ама подлокотника изготовлена из горячекатаной стали толщиной 2 0 мм  нижняя опорная пластина   из холоднокатаной ш"&amp;"тампованной стали толщиной 2 0 мм ")</f>
        <v xml:space="preserve">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пинка 715 470 120 мм из полиуретана    600 кг м   и сиденье 485 480 140 мм из полиуретана    45 кг м     адняя внутренняя панель спинки выполнена из формованной фанеры размером 660 410 6 мм   адняя наружная панель изготовлена из многослойной доски из тв рдых пород древесины высокой плотности и имеет размеры 725   520   15 мм   нешняя панель сиденья выполнена из многослойной древесины лиственных пород размером 460   425   15 мм   иденье оснащено возвратным механизмом на основе пружины и стальной рамной конструкции  обеспечивающим над жное и плавное возвращение в исходное положение   оверхность подлокотника изготовлена из натурального дуба толщиной 20 мм    комплект входит откидной столик для письма   бивочная ткань устойчива к образованию пятен и выцветанию  отличается высокой износостойкостью   оковая панель выполнена из прочного полипропилена   ама подлокотника изготовлена из горячекатаной стали толщиной 2 0 мм  нижняя опорная пластина   из холоднокатаной штампованной стали толщиной 2 0 мм </v>
      </c>
    </row>
    <row r="3902" spans="1:8" ht="191.25" x14ac:dyDescent="0.2">
      <c r="A3902" s="31" t="s">
        <v>9493</v>
      </c>
      <c r="B3902" s="27" t="s">
        <v>9494</v>
      </c>
      <c r="C3902" s="27" t="s">
        <v>9495</v>
      </c>
      <c r="D3902" s="33" t="s">
        <v>14</v>
      </c>
      <c r="E3902" s="34">
        <v>2</v>
      </c>
      <c r="F3902" s="34">
        <v>38</v>
      </c>
      <c r="G3902" s="10">
        <v>89057</v>
      </c>
      <c r="H3902" s="30" t="str">
        <f ca="1">IFERROR(__xludf.DUMMYFUNCTION("LOWER(REGEXREPLACE(B3902&amp;"" ""&amp;C3902,""[^а-яa-z0-9 ]"","" ""))")," ресло для актового зала   снова металлокаркас  спинка размером 710 460 130 мм и сиденье размером 460 450 150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на металлокаркасе   иденье размером 460   450   150 мм и спинка размером 710   460   130 мм изготовлены из пенополиуретана высокой плотности    50 кг м     нутренняя панель спинки выполнена из фанеры  внешняя   из древесины лис"&amp;"твенных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способствующими дополнительной вентиляции и улучшению акустики    конструкцию кресла входит откидная "&amp;"доска для письма   оверхность подлокотника изготовлена из натурального дуба   бивка выполнена из прочной износостойкой полиэстеровой ткани  устойчивой к выцветанию и загрязнениям   еханизм возврата пружинного типа обеспечивает автоматическое и плавное воз"&amp;"вращение сиденья в исходное положение  оковая панель выполнена из деревянных досок  покрытых пенополиуретаном и обтянутых износостойкой тканью с внутренним переплетом   репление кресла к полу осуществляется с помощью анкерных элементов")</f>
        <v xml:space="preserve"> ресло для актового зала   снова металлокаркас  спинка размером 710 460 130 мм и сиденье размером 460 450 150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иденье размером 460   450   150 мм и спинка размером 710   460   130 мм изготовлены из пенополиуретана высокой плотности    50 кг м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способствующими дополнительной вентиляции и улучшению акустики    конструкцию кресла входит откидная доска для письма   оверхность подлокотника изготовлена из натурального дуба   бивка выполнена из прочной износостойкой полиэстеровой ткани  устойчивой к выцветанию и загрязнениям   еханизм возврата пружинного типа обеспечивает автоматическое и плавное возвращение сиденья в исходное положение  оковая панель выполнена из деревянных досок  покрытых пенополиуретаном и обтянутых износостойкой тканью с внутренним переплетом   репление кресла к полу осуществляется с помощью анкерных элементов</v>
      </c>
    </row>
    <row r="3903" spans="1:8" ht="242.25" x14ac:dyDescent="0.2">
      <c r="A3903" s="31" t="s">
        <v>9496</v>
      </c>
      <c r="B3903" s="27" t="s">
        <v>9497</v>
      </c>
      <c r="C3903" s="27" t="s">
        <v>9498</v>
      </c>
      <c r="D3903" s="33" t="s">
        <v>14</v>
      </c>
      <c r="E3903" s="34">
        <v>2</v>
      </c>
      <c r="F3903" s="34">
        <v>32</v>
      </c>
      <c r="G3903" s="10">
        <v>98322</v>
      </c>
      <c r="H3903" s="30" t="str">
        <f ca="1">IFERROR(__xludf.DUMMYFUNCTION("LOWER(REGEXREPLACE(B3903&amp;"" ""&amp;C3903,""[^а-яa-z0-9 ]"","" ""))"),"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обладающей высокой износостойкостью и устойчивостью к выцветанию  механизм во"&amp;"зврата  подлокотники из натурального дуба  откидная доска для письма  ресло для актового зала на металлокаркасе   пинка изготовлена из пенополиуретана высокой плотности размерами 715   470   120 мм и плотностью 60 кг м    иденье выполнено из пенополиурета"&amp;"на высокой плотности размером 485   480   140 мм и плотностью 45 кг м    адняя внутренняя панель спинки изготовлена из формованной под давлением фанеры размером 660   410   6 мм   адняя наружная панель выполнена из многослойной доски из тв рдых пород древ"&amp;"есины высокой плотности  размерами 725   520   15 мм   нешняя панель сиденья выполнена из многослойной лиственной древесины с размерами 460   425   15 мм   иденье оснащено возвратным механизмом на основе пружины и стальной рамной конструкции  обеспечивающ"&amp;"им над жное и плавное возвращение в исходное положение   оверхность подлокотника выполнена из натурального дуба толщиной 20 мм    комплект входит откидной столик для письма   оковая панель изготовлена из прочного полипропилена   ама подлокотника выполнена"&amp;" из горячекатаной стали толщиной 2 0 мм  а нижняя опорная пластина   из холоднокатаной штампованной стали такой же толщины   бивка кресла выполнена из полиэстеровой ткани  обладающей высокой износостойкостью и устойчивостью к выцветанию   репление кресла "&amp;"к полу осуществляется с помощью анкерных элементов")</f>
        <v xml:space="preserve">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  ресло для актового зала на металлокаркасе   пинка изготовлена из пенополиуретана высокой плотности размерами 715   470   120 мм и плотностью 60 кг м    иденье выполнено из пенополиуретана высокой плотности размером 485   480   140 мм и плотностью 45 кг м    адняя внутренняя панель спинки изготовлена из формованной под давлением фанеры размером 660   410   6 мм   адняя наружная панель выполнена из многослойной доски из тв рдых пород древесины высокой плотности  размерами 725   520   15 мм   нешняя панель сиденья выполнена из многослойной лиственной древесины с размерами 460   425   15 мм   иденье оснащено возвратным механизмом на основе пружины и стальной рамной конструкции  обеспечивающим над жное и плавное возвращение в исходное положение   оверхность подлокотника выполнена из натурального дуба толщиной 20 мм    комплект входит откидной столик для письма   оковая панель изготовлена из прочного полипропилена   ама подлокотника выполнена из горячекатаной стали толщиной 2 0 мм  а нижняя опорная пластина   из холоднокатаной штампованной стали такой же толщины   бивка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v>
      </c>
    </row>
    <row r="3904" spans="1:8" ht="178.5" x14ac:dyDescent="0.2">
      <c r="A3904" s="31" t="s">
        <v>9499</v>
      </c>
      <c r="B3904" s="27" t="s">
        <v>9500</v>
      </c>
      <c r="C3904" s="27" t="s">
        <v>9501</v>
      </c>
      <c r="D3904" s="33" t="s">
        <v>14</v>
      </c>
      <c r="E3904" s="34">
        <v>2</v>
      </c>
      <c r="F3904" s="34">
        <v>30</v>
      </c>
      <c r="G3904" s="10">
        <v>109461</v>
      </c>
      <c r="H3904" s="30" t="str">
        <f ca="1">IFERROR(__xludf.DUMMYFUNCTION("LOWER(REGEXREPLACE(B3904&amp;"" ""&amp;C3904,""[^а-яa-z0-9 ]"","" ""))"),"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откидная доска для пись"&amp;"ма  ресло для актового зала с основанием из алюминия   пинка выполнена из пенополиуретана высокой плотности размерами 710   465   140 мм и плотностью 45 кг м    иденье   также из пенополиуретана высокой плотности  размером 500   450   140 мм  с плотностью"&amp;" 55 кг м    адняя наружная панель спинки изготовлена из многослойной плиты древесины лиственных пород  750   515   15 мм   внутренняя панель   из фанеры  680   480   6 мм    нешняя панель сиденья выполнена из многослойной доски из тв рдых пород древесины "&amp;"размером 460   430   14 мм   еханизм возврата   демпфирующий  обеспечивает плавное поднятие сиденья   одлокотники изготовлены из натурального дуба  245   60   20 мм     комплект входит откидная доска для письма из алюминиевого сплава с     панелью   бивка"&amp;"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 ")</f>
        <v xml:space="preserve">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с основанием из алюминия   пинка выполнена из пенополиуретана высокой плотности размерами 710   465   140 мм и плотностью 45 кг м    иденье   также из пенополиуретана высокой плотности  размером 500   450   140 мм  с плотностью 55 кг м    адняя наружная панель спинки изготовлена из многослойной плиты древесины лиственных пород  750   515   15 мм   внутренняя панель   из фанеры  680   480   6 мм    нешняя панель сиденья выполнена из многослойной доски из тв рдых пород древесины размером 460   430   14 мм   еханизм возврата   демпфирующий  обеспечивает плавное поднятие сиденья   одлокотники изготовлены из натурального дуба  245   60   20 мм     комплект входит откидная доска для письма из алюминиевого сплава с     панелью   бивка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 </v>
      </c>
    </row>
    <row r="3905" spans="1:8" ht="165.75" x14ac:dyDescent="0.2">
      <c r="A3905" s="31" t="s">
        <v>9502</v>
      </c>
      <c r="B3905" s="27" t="s">
        <v>9503</v>
      </c>
      <c r="C3905" s="27" t="s">
        <v>9504</v>
      </c>
      <c r="D3905" s="33" t="s">
        <v>14</v>
      </c>
      <c r="E3905" s="34">
        <v>2</v>
      </c>
      <c r="F3905" s="34">
        <v>32</v>
      </c>
      <c r="G3905" s="10">
        <v>114247</v>
      </c>
      <c r="H3905" s="30" t="str">
        <f ca="1">IFERROR(__xludf.DUMMYFUNCTION("LOWER(REGEXREPLACE(B3905&amp;"" ""&amp;C3905,""[^а-яa-z0-9 ]"","" ""))")," ресло для актового зала   снова металлокаркас  спинка размером 700 465 85 мм и сиденье размером 450 455 150 мм из пенополиуретана  обивка из полиэстеровой износостойкой ткани  механизм возврата  подлокотники из натурального дуба  ресло для актового зала "&amp;"с основанием из алюминия   пинка размером 700   465   85 мм и сиденье размером 450   455   150 мм изготовлены из пенополиуретана высокой плотности   нутренняя панель спинки выполнена из фанеры  внешняя   из многослойного шпона толщиной 15 мм   оверхность "&amp;"подлокотника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оковая панель выполнена из древесноволокнистой плиты средней плотности        отформованной методом ли"&amp;"тья под давлением  с наружной отделкой из пенополиуретана и износостойкой тканевой обивки   еханизм возврата пружинного типа обеспечивает автоматическое и плавное возвращение сиденья в исходное положение   репление кресла к полу осуществляется с помощью а"&amp;"нкерных элементов ")</f>
        <v xml:space="preserve"> ресло для актового зала   снова металлокаркас  спинка размером 700 465 85 мм и сиденье размером 450 455 150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пинка размером 700   465   85 мм и сиденье размером 450   455   150 мм изготовлены из пенополиуретана высокой плотности   нутренняя панель спинки выполнена из фанеры  внешняя   из многослойного шпона толщиной 15 мм   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оковая панель выполнена из древесноволокнистой плиты средней плотности        отформованной методом литья под давлением  с наружной отделкой из пенополиуретана и износостойкой тканевой обивки   еханизм возврата пружинного типа обеспечивает автоматическое и плавное возвращение сиденья в исходное положение   репление кресла к полу осуществляется с помощью анкерных элементов </v>
      </c>
    </row>
    <row r="3906" spans="1:8" ht="140.25" x14ac:dyDescent="0.2">
      <c r="A3906" s="31" t="s">
        <v>9505</v>
      </c>
      <c r="B3906" s="27" t="s">
        <v>9506</v>
      </c>
      <c r="C3906" s="27" t="s">
        <v>9507</v>
      </c>
      <c r="D3906" s="33" t="s">
        <v>14</v>
      </c>
      <c r="E3906" s="34">
        <v>2</v>
      </c>
      <c r="F3906" s="34">
        <v>32</v>
      </c>
      <c r="G3906" s="10">
        <v>115573</v>
      </c>
      <c r="H3906" s="30" t="str">
        <f ca="1">IFERROR(__xludf.DUMMYFUNCTION("LOWER(REGEXREPLACE(B3906&amp;"" ""&amp;C3906,""[^а-яa-z0-9 ]"","" ""))")," ресло для актового зала   снова металлокаркас  спинка размером 700 430 120 мм и сиденье размером 470 450 170 мм из пенополиуретана  обивка из полиэстеровой износостойкой ткани  механизм возврата  подлокотники из натурального дуба  ресло для актового зала"&amp;" с основанием из алюминия   иденье размером 470   450   170 мм и спинка размером 700   430   120 мм изготовлены из пенополиуретана высокой плотности    50 кг м     нутренние и внешние панели сиденья и спинки выполнены из фанеры тв рдых пород  облицованные"&amp;" износостойкой текстурированной тканью   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есущая конструкция корпуса сиденья изг"&amp;"отовлена из холоднокатаной стальной пластины толщиной 1 5 мм   репление кресла к полу осуществляется с помощью анкерных элементов ")</f>
        <v xml:space="preserve"> ресло для актового зала   снова металлокаркас  спинка размером 700 430 120 мм и сиденье размером 470 450 170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иденье размером 470   450   170 мм и спинка размером 700   430   120 мм изготовлены из пенополиуретана высокой плотности    50 кг м     нутренние и внешние панели сиденья и спинки выполнены из фанеры тв рдых пород  облицованные износостойкой текстурированной тканью   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есущая конструкция корпуса сиденья изготовлена из холоднокатаной стальной пластины толщиной 1 5 мм   репление кресла к полу осуществляется с помощью анкерных элементов </v>
      </c>
    </row>
    <row r="3907" spans="1:8" ht="140.25" x14ac:dyDescent="0.2">
      <c r="A3907" s="31" t="s">
        <v>9508</v>
      </c>
      <c r="B3907" s="27" t="s">
        <v>9509</v>
      </c>
      <c r="C3907" s="27" t="s">
        <v>9510</v>
      </c>
      <c r="D3907" s="33" t="s">
        <v>14</v>
      </c>
      <c r="E3907" s="34">
        <v>2</v>
      </c>
      <c r="F3907" s="34">
        <v>36</v>
      </c>
      <c r="G3907" s="10">
        <v>122224</v>
      </c>
      <c r="H3907" s="30" t="str">
        <f ca="1">IFERROR(__xludf.DUMMYFUNCTION("LOWER(REGEXREPLACE(B3907&amp;"" ""&amp;C3907,""[^а-яa-z0-9 ]"","" ""))")," ресло для актового зала   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 рного полипропилена  ресло для актового з"&amp;"ала на металлокаркасе   ежосевое расстояние составляет 580 мм   ысота спинки   1080 1090 мм  высота посадочного места   575 мм   иденье и спинка выполнены из пенополиуретана высокой плотности    55 кг м    аружные панели спинки и сиденья изготовлены из пр"&amp;"очного полипропилена   бивка выполнена из износостойкой ткани  устойчивой к выцветанию   одлокотник изготовлен из стальной пластины и трубы  верхняя накладка   из ч рного полипропилена   оковая панель выполнена из фанеры и обтянута снаружи хлопчатобумажно"&amp;"й тканью толщиной 5 мм   иденье оснащено пружинным механизмом автоматического возврата  обеспечивающим над жное и плавное возвращение в исходное положение ")</f>
        <v xml:space="preserve"> ресло для актового зала   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 рного полипропилена  ресло для актового зала на металлокаркасе   ежосевое расстояние составляет 580 мм   ысота спинки   1080 1090 мм  высота посадочного места   575 мм   иденье и спинка выполнены из пенополиуретана высокой плотности    55 кг м    аружные панели спинки и сиденья изготовлены из прочного полипропилена   бивка выполнена из износостойкой ткани  устойчивой к выцветанию   одлокотник изготовлен из стальной пластины и трубы  верхняя накладка   из ч рного полипропилена   оковая панель выполнена из фанеры и обтянута снаружи хлопчатобумажной тканью толщиной 5 мм   иденье оснащено пружинным механизмом автоматического возврата  обеспечивающим над жное и плавное возвращение в исходное положение </v>
      </c>
    </row>
    <row r="3908" spans="1:8" ht="153" x14ac:dyDescent="0.2">
      <c r="A3908" s="31" t="s">
        <v>9511</v>
      </c>
      <c r="B3908" s="27" t="s">
        <v>9512</v>
      </c>
      <c r="C3908" s="27" t="s">
        <v>9513</v>
      </c>
      <c r="D3908" s="33" t="s">
        <v>14</v>
      </c>
      <c r="E3908" s="34">
        <v>2</v>
      </c>
      <c r="F3908" s="34">
        <v>26</v>
      </c>
      <c r="G3908" s="10">
        <v>150052</v>
      </c>
      <c r="H3908" s="30" t="str">
        <f ca="1">IFERROR(__xludf.DUMMYFUNCTION("LOWER(REGEXREPLACE(B3908&amp;"" ""&amp;C3908,""[^а-яa-z0-9 ]"","" ""))")," ресло для актового зала   снова металлокаркас  спинка размером 700 450 150 мм и сиденье размером 450 460 170 мм из пенополиуретана  обивка из полиэстеровой износостойкой ткани  механизм возврата  подлокотники из натурального дуба или бука  ресло для акто"&amp;"вого зала с основанием из алюминия   пинка размером 700   450   150 мм и сиденье размером 450   460   170 мм выполнены из пенополиуретана высокой плотности     55 кг м3    аружные панели сиденья и спинки изготовлены многослойных досок тв рдых пород древес"&amp;"ины  внутренняя панель спинки   из фанеры   бивка выполнена из влагостойкой  пылезащитной и противообрастающей ткани  устойчивой к износу и выцветанию   одлокотник выполнен из натурального дуба или бука   строенный столик для письма изготовлен из прочного"&amp;" композитного материала       иденье оснащено пружинным механизмом автоматического возврата  обеспечивающим плавное и бесшумное возвращение в исходное положение   репление кресла к полу осуществляется с помощью анкерных элементов ")</f>
        <v xml:space="preserve"> ресло для актового зала   снова металлокаркас  спинка размером 700 450 150 мм и сиденье размером 450 460 170 мм из пенополиуретана  обивка из полиэстеровой износостойкой ткани  механизм возврата  подлокотники из натурального дуба или бука  ресло для актового зала с основанием из алюминия   пинка размером 700   450   150 мм и сиденье размером 450   460   170 мм выполнены из пенополиуретана высокой плотности     55 кг м3    аружные панели сиденья и спинки изготовлены многослойных досок тв рдых пород древесины  внутренняя панель спинки   из фанеры   бивка выполнена из влагостойкой  пылезащитной и противообрастающей ткани  устойчивой к износу и выцветанию   одлокотник выполнен из натурального дуба или бука   строенный столик для письма изготовлен из прочного композитного материала       иденье оснащено пружинным механизмом автоматического возврата  обеспечивающим плавное и бесшумное возвращение в исходное положение   репление кресла к полу осуществляется с помощью анкерных элементов </v>
      </c>
    </row>
    <row r="3909" spans="1:8" ht="165.75" x14ac:dyDescent="0.2">
      <c r="A3909" s="31" t="s">
        <v>9514</v>
      </c>
      <c r="B3909" s="27" t="s">
        <v>9515</v>
      </c>
      <c r="C3909" s="27" t="s">
        <v>9516</v>
      </c>
      <c r="D3909" s="33" t="s">
        <v>14</v>
      </c>
      <c r="E3909" s="34">
        <v>2</v>
      </c>
      <c r="F3909" s="34">
        <v>28</v>
      </c>
      <c r="G3909" s="10">
        <v>195442</v>
      </c>
      <c r="H3909" s="30" t="str">
        <f ca="1">IFERROR(__xludf.DUMMYFUNCTION("LOWER(REGEXREPLACE(B3909&amp;"" ""&amp;C3909,""[^а-яa-z0-9 ]"","" ""))"),"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ресло для актового зала"&amp;" с основанием из алюминия   пинка размером 710   465   140 мм выполнена из пенополиуретана высокой плотности  45 кг м     иденье размером 500   450   140 мм изготовлено из полиуретана с плотностью 55 кг м    адняя наружная панель спинки выполнена из много"&amp;"слойной плиты лиственных пород  750   515   15 мм   внутренняя панель   из формованной фанеры  680   480   6 мм    нешняя панель сиденья изготовлена из многослойной доски тв рдых пород древесины  размерами 460   430   14 мм   иденье оснащено пружинным мех"&amp;"анизмом автоматического возврата  обеспечивающим плавное и над жное возвращение в исходное положение   одлокотник выполнен из натурального дуба и имеет размеры 245   60   20 мм   бивочная ткань выполнена из полиэстра   отличается высокой износостойкостью "&amp;"и устойчивостью к выцветанию   репление кресла к полу осуществляется с помощью анкерных элементов ")</f>
        <v xml:space="preserve">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пинка размером 710   465   140 мм выполнена из пенополиуретана высокой плотности  45 кг м     иденье размером 500   450   140 мм изготовлено из полиуретана с плотностью 55 кг м    адняя наружная панель спинки выполнена из многослойной плиты лиственных пород  750   515   15 мм   внутренняя панель   из формованной фанеры  680   480   6 мм    нешняя панель сиденья изготовлена из многослойной доски тв рдых пород древесины  размерами 460   430   14 мм   иденье оснащено пружинным механизмом автоматического возврата  обеспечивающим плавное и над жное возвращение в исходное положение   одлокотник выполнен из натурального дуба и имеет размеры 245   60   20 мм   бивочная ткань выполнена из полиэстра   отличается высокой износостойкостью и устойчивостью к выцветанию   репление кресла к полу осуществляется с помощью анкерных элементов </v>
      </c>
    </row>
    <row r="3910" spans="1:8" ht="165.75" x14ac:dyDescent="0.2">
      <c r="A3910" s="31" t="s">
        <v>9517</v>
      </c>
      <c r="B3910" s="27" t="s">
        <v>9518</v>
      </c>
      <c r="C3910" s="27" t="s">
        <v>9519</v>
      </c>
      <c r="D3910" s="33" t="s">
        <v>14</v>
      </c>
      <c r="E3910" s="34">
        <v>2</v>
      </c>
      <c r="F3910" s="34">
        <v>48</v>
      </c>
      <c r="G3910" s="10">
        <v>663681</v>
      </c>
      <c r="H3910" s="30" t="str">
        <f ca="1">IFERROR(__xludf.DUMMYFUNCTION("LOWER(REGEXREPLACE(B3910&amp;"" ""&amp;C3910,""[^а-яa-z0-9 ]"","" ""))")," ресло     для актового зала с электроприводом и основанием из цельной древесины  подлокотник оснащ н чехлом с глубокой декоративной утяжкой и матовой крышкой для чашки  обивка из натуральной кожи или высококачественной мебельной ткани  ресло     с электр"&amp;"оприводом и основанием из цельной древесины   азмеры  расстояние между центрами сидений составляет 600 мм  глубина сиденья   850 мм  высота спинки   1000 мм  высота сиденья   610 мм  а в разложенном положении   до 1640 мм   одлокотник оснащ н чехлом с глу"&amp;"бокой декоративной утяжкой и матовой крышкой для чашки   оручень бокс фиксируется с применением высококачественного полиуретана толщиной 10 мм  наружный слой выполнен из прочного и износостойкого материала   бивка может быть выполнена из натуральной кожи "&amp;"любого цвета по выбору заказчика либо из высококачественной мебельной ткани   нутренним наполнителем служит огнестойкий пенополиуретан   лектропривод основан на встроенной стойке с бесшумным механизмом действия и не требует технического обслуживания   реп"&amp;"ление кресла к полу не требуется")</f>
        <v xml:space="preserve"> ресло     для актового зала с электроприводом и основанием из цельной древесины  подлокотник оснащ н чехлом с глубокой декоративной утяжкой и матовой крышкой для чашки  обивка из натуральной кожи или высококачественной мебельной ткани  ресло     с электроприводом и основанием из цельной древесины   азмеры  расстояние между центрами сидений составляет 600 мм  глубина сиденья   850 мм  высота спинки   1000 мм  высота сиденья   610 мм  а в разложенном положении   до 1640 мм   одлокотник оснащ н чехлом с глубокой декоративной утяжкой и матовой крышкой для чашки   оручень бокс фиксируется с применением высококачественного полиуретана толщиной 10 мм  наружный слой выполнен из прочного и износостойкого материала   бивка может быть выполнена из натуральной кожи любого цвета по выбору заказчика либо из высококачественной мебельной ткани   нутренним наполнителем служит огнестойкий пенополиуретан   лектропривод основан на встроенной стойке с бесшумным механизмом действия и не требует технического обслуживания   репление кресла к полу не требуется</v>
      </c>
    </row>
    <row r="3911" spans="1:8" ht="178.5" x14ac:dyDescent="0.2">
      <c r="A3911" s="31" t="s">
        <v>9520</v>
      </c>
      <c r="B3911" s="27" t="s">
        <v>9521</v>
      </c>
      <c r="C3911" s="27" t="s">
        <v>9522</v>
      </c>
      <c r="D3911" s="33" t="s">
        <v>14</v>
      </c>
      <c r="E3911" s="34">
        <v>2</v>
      </c>
      <c r="F3911" s="34">
        <v>33</v>
      </c>
      <c r="G3911" s="10">
        <v>438037</v>
      </c>
      <c r="H3911" s="30" t="str">
        <f ca="1">IFERROR(__xludf.DUMMYFUNCTION("LOWER(REGEXREPLACE(B3911&amp;"" ""&amp;C3911,""[^а-яa-z0-9 ]"","" ""))")," ресло     для актового зала   аркас из массива древесины  основание из алюминия  обивка из микрофибровой кожи  устойчивой к износу  ресло     для актового зала с основанием из алюминия   дноместное  длиной от 800 до 1200 мм   двухместное  от 1500 до 1800"&amp;" мм   а также в раскладной модификации   по индивидуальному заказу   лубина сиденья составляет 500 600 мм   ысота сиденья от пола   400 450 мм  высота спинки   500 700 мм  ширина подлокотника   от 100 до 200 мм   опустимая нагрузка на одно посадочное мест"&amp;"о   не менее 150 кг   аркас кресла выполнен из массива древесины    качестве наполнителя используются пенополиуретан с плотностью не менее 35 кг м   а также  при необходимости  пенополиуретан с эффектом памяти или слой латекса   для повышенного комфорта  "&amp;"  конструкции основания может применяться пружинная система или пенопласт высокой плотности   бивка выполнена из микрофибровой кожи  устойчивой к износу   се используемые материалы соответствуют требованиям пожарной безопасности  предусмотренным для зрите"&amp;"льных залов  актовых помещений и кинотеатров   репление кресла к полу не требуется")</f>
        <v xml:space="preserve"> ресло     для актового зала   аркас из массива древесины  основание из алюминия  обивка из микрофибровой кожи  устойчивой к износу  ресло     для актового зала с основанием из алюминия   дноместное  длиной от 800 до 1200 мм   двухместное  от 1500 до 1800 мм   а также в раскладной модификации   по индивидуальному заказу   лубина сиденья составляет 500 600 мм   ысота сиденья от пола   400 450 мм  высота спинки   500 700 мм  ширина подлокотника   от 100 до 200 мм   опустимая нагрузка на одно посадочное место   не менее 150 кг   аркас кресла выполнен из массива древесины    качестве наполнителя используются пенополиуретан с плотностью не менее 35 кг м   а также  при необходимости  пенополиуретан с эффектом памяти или слой латекса   для повышенного комфорта    конструкции основания может применяться пружинная система или пенопласт высокой плотности   бивка выполнена из микрофибровой кожи  устойчивой к износу   се используемые материалы соответствуют требованиям пожарной безопасности  предусмотренным для зрительных залов  актовых помещений и кинотеатров   репление кресла к полу не требуется</v>
      </c>
    </row>
    <row r="3912" spans="1:8" ht="178.5" x14ac:dyDescent="0.2">
      <c r="A3912" s="31" t="s">
        <v>9523</v>
      </c>
      <c r="B3912" s="27" t="s">
        <v>9524</v>
      </c>
      <c r="C3912" s="27" t="s">
        <v>9525</v>
      </c>
      <c r="D3912" s="33" t="s">
        <v>14</v>
      </c>
      <c r="E3912" s="34">
        <v>2</v>
      </c>
      <c r="F3912" s="34">
        <v>49</v>
      </c>
      <c r="G3912" s="10">
        <v>610606</v>
      </c>
      <c r="H3912" s="30" t="str">
        <f ca="1">IFERROR(__xludf.DUMMYFUNCTION("LOWER(REGEXREPLACE(B3912&amp;"" ""&amp;C3912,""[^а-яa-z0-9 ]"","" ""))")," ресло реклайнер для     зоны актового зала  каркас из массива древесины  металлических элементов и плит высокой плотности  обивка из микрофибровой кожи  устойчивой к износу  ресло реклайнер с каркасом из массива древесины  металлических элементов и плит "&amp;"высокой плотности предназначено для комфортного размещения в зонах отдыха  кинозалах и общественных помещениях   лубина сиденья составляет 500 600 мм и обеспечивает над жную поддержку ног   ысота сиденья от пола   400 450 мм  высота спинки   500 700 мм   "&amp;"ирина подлокотников варьируется от 100 до 200 мм   опустимая нагрузка на одно посадочное место   не менее 150 кг    качестве наполнителя используется пенополиуретан с плотностью не менее 35 кг м    ля повышения уровня комфорта возможны варианты с пеной с "&amp;"эффектом памяти или латексным слоем   порная часть конструкции включает пружинную систему либо пенопласт высокой плотности   бивка кресла выполнена из микрофибровой кожи  отличающейся высокой износостойкостью и простотой в уходе   се материалы соответству"&amp;"ют требованиям пожарной безопасности  предусмотренным для кинотеатров  актовых и общественных залов   репление кресла к полу не требуется")</f>
        <v xml:space="preserve"> ресло реклайнер для     зоны актового зала  каркас из массива древесины  металлических элементов и плит высокой плотности  обивка из микрофибровой кожи  устойчивой к износу  ресло 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лубина сиденья составляет 500 600 мм и обеспечивает над жную поддержку ног   ысота сиденья от пола   400 450 мм  высота спинки   500 700 мм   ирина подлокотников варьируется от 100 до 200 мм   опустимая нагрузка на одно посадочное место   не менее 150 кг    качестве наполнителя используется пенополиуретан с плотностью не менее 35 кг м    ля повышения уровня комфорта возможны варианты с пеной с эффектом памяти или латексным слоем   порная часть конструкции включает пружинную систему либо пенопласт высокой плотности   бивка кресла выполнена из микрофибровой кожи  отличающейся высокой износостойкостью и простотой в уходе   се материалы соответствуют требованиям пожарной безопасности  предусмотренным для кинотеатров  актовых и общественных залов   репление кресла к полу не требуется</v>
      </c>
    </row>
    <row r="3913" spans="1:8" ht="191.25" x14ac:dyDescent="0.2">
      <c r="A3913" s="31" t="s">
        <v>9526</v>
      </c>
      <c r="B3913" s="27" t="s">
        <v>9527</v>
      </c>
      <c r="C3913" s="27" t="s">
        <v>9528</v>
      </c>
      <c r="D3913" s="33" t="s">
        <v>14</v>
      </c>
      <c r="E3913" s="34">
        <v>2</v>
      </c>
      <c r="F3913" s="34">
        <v>50</v>
      </c>
      <c r="G3913" s="10">
        <v>849467</v>
      </c>
      <c r="H3913" s="30" t="str">
        <f ca="1">IFERROR(__xludf.DUMMYFUNCTION("LOWER(REGEXREPLACE(B3913&amp;"" ""&amp;C3913,""[^а-яa-z0-9 ]"","" ""))")," ресло реклайнер для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  ресло реклайнер с откидной спинко"&amp;"й и выдвижной подставкой ног   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лубина сиденья составляет 500 600 мм  обеспечив"&amp;"ая над жную опору для ног  высота сиденья от пола   400 450 мм  высота спинки   500 700 мм  ширина подлокотников   от 100 до 200 мм   опустимая нагрузка на одно посадочное место   не менее 150 кг    качестве наполнителя используется пенополиуретан с плотн"&amp;"остью не менее 35 кг м    о желанию возможна комплектация слоем латекса или пеной с эффектом памяти для повышения комфорта    основании кресла может применяться пружинная система либо пенопласт высокой плотности  в зависимости от модели   бивка выполнена "&amp;"из микрофибровой кожи  устойчивой к износу и простотой в уходе   се применяемые материалы соответствуют требованиям пожарной безопасности  установленным для кинотеатров и общественных учреждений   репление кресла к полу не требуется")</f>
        <v xml:space="preserve"> ресло реклайнер для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  ресло реклайнер с откидной спинкой и выдвижной подставкой ног   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лубина сиденья составляет 500 600 мм  обеспечивая над жную опору для ног  высота сиденья от пола   400 450 мм  высота спинки   500 700 мм  ширина подлокотников   от 100 до 200 мм   опустимая нагрузка на одно посадочное место   не менее 150 кг    качестве наполнителя используется пенополиуретан с плотностью не менее 35 кг м    о желанию возможна комплектация слоем латекса или пеной с эффектом памяти для повышения комфорта    основании кресла может применяться пружинная система либо пенопласт высокой плотности  в зависимости от модели   бивка выполнена из микрофибровой кожи  устойчивой к износу и простотой в уходе   се применяемые материалы соответствуют требованиям пожарной безопасности  установленным для кинотеатров и общественных учреждений   репление кресла к полу не требуется</v>
      </c>
    </row>
    <row r="3914" spans="1:8" ht="242.25" x14ac:dyDescent="0.2">
      <c r="A3914" s="31" t="s">
        <v>9529</v>
      </c>
      <c r="B3914" s="27" t="s">
        <v>9530</v>
      </c>
      <c r="C3914" s="27" t="s">
        <v>9531</v>
      </c>
      <c r="D3914" s="33" t="s">
        <v>14</v>
      </c>
      <c r="E3914" s="34">
        <v>2</v>
      </c>
      <c r="F3914" s="34">
        <v>14</v>
      </c>
      <c r="G3914" s="10">
        <v>46822</v>
      </c>
      <c r="H3914" s="30" t="str">
        <f ca="1">IFERROR(__xludf.DUMMYFUNCTION("LOWER(REGEXREPLACE(B3914&amp;"" ""&amp;C3914,""[^а-яa-z0-9 ]"","" ""))")," ресло для актового зала  опора каркаса изготавливается из стальных квадратных труб  поворотный механизм  обивка из ткани  размеры 600х600х990 мм  пора каркаса изготавливается из стальных квадратных труб 50х50х1 2 мм  к которому приварен прямоугольный фла"&amp;"нец для крепления к полу изготовленный из листового металла толщиной 3 мм   ресла крепятся на опорную балку из квадратной трубы 60х60 мм  толщиной не менее 3 мм   аркас подлокотников и спинки изготовлен из плоскоовальной трубы 50х25 толщиной не менее 1 2 "&amp;"мм и 40х20 мм толщиной не менее 1 2 мм  которые гнутся по узкой плоскости   одлокотник изготовлен из щитовой сосны   се соединения спинки и подлокотника выполнены по методу выреза сквозного отверстия по профилю трубы и дальнейшего соединения с помощью сва"&amp;"рки   акже на балке имеется пластина толщиной 2 мм для крепления спинки   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крепится"&amp;" к опорной балке с помощью болтового соединения   оворотный механизм имеет 2 рабочих положения  которые позволяют придать сиденью горизонтальное или вертикальное положение   тветные элементы механизма поворота крепятся к сиденью при помощи болтов   снован"&amp;"ие спинки и сидушки выполнено из фанеры  на которую в последующем приклеивается вторично вспененный     высокой плотности и одевается чехол из ткани   озможно изготовление 2 х  3 х и 4 х секционных кресел ")</f>
        <v xml:space="preserve"> ресло для актового зала  опора каркаса изготавливается из стальных квадратных труб  поворотный механизм  обивка из ткани  размеры 600х600х990 мм  пора каркаса изготавливается из стальных квадратных труб 50х50х1 2 мм  к которому приварен прямоугольный фланец для крепления к полу изготовленный из листового металла толщиной 3 мм   ресла крепятся на опорную балку из квадратной трубы 60х60 мм  толщиной не менее 3 мм   аркас подлокотников и спинки изготовлен из плоскоовальной трубы 50х25 толщиной не менее 1 2 мм и 40х20 мм толщиной не менее 1 2 мм  которые гнутся по узкой плоскости   одлокотник изготовлен из щитовой сосны   се соединения спинки и подлокотника выполнены по методу выреза сквозного отверстия по профилю трубы и дальнейшего соединения с помощью сварки   акже на балке имеется пластина толщиной 2 мм для крепления спинки   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оворотный механизм имеет 2 рабочих положения  которые позволяют придать сиденью горизонтальное или вертикальное положение   тветные элементы механизма поворота крепятся к сиденью при помощи болтов   снование спинки и сидушки выполнено из фанеры  на которую в последующем приклеивается вторично вспененный     высокой плотности и одевается чехол из ткани   озможно изготовление 2 х  3 х и 4 х секционных кресел </v>
      </c>
    </row>
    <row r="3915" spans="1:8" ht="12.75" x14ac:dyDescent="0.2">
      <c r="A3915" s="31" t="s">
        <v>9532</v>
      </c>
      <c r="B3915" s="27" t="s">
        <v>9533</v>
      </c>
      <c r="C3915" s="27"/>
      <c r="D3915" s="33" t="s">
        <v>14</v>
      </c>
      <c r="E3915" s="9"/>
      <c r="F3915" s="32"/>
      <c r="G3915" s="10"/>
      <c r="H3915" s="30" t="str">
        <f ca="1">IFERROR(__xludf.DUMMYFUNCTION("LOWER(REGEXREPLACE(B3915&amp;"" ""&amp;C3915,""[^а-яa-z0-9 ]"","" ""))")," ресло для спортивного зала ")</f>
        <v xml:space="preserve"> ресло для спортивного зала </v>
      </c>
    </row>
    <row r="3916" spans="1:8" ht="89.25" x14ac:dyDescent="0.2">
      <c r="A3916" s="31" t="s">
        <v>9534</v>
      </c>
      <c r="B3916" s="27" t="s">
        <v>9535</v>
      </c>
      <c r="C3916" s="27" t="s">
        <v>9536</v>
      </c>
      <c r="D3916" s="33" t="s">
        <v>14</v>
      </c>
      <c r="E3916" s="34">
        <v>2</v>
      </c>
      <c r="F3916" s="34">
        <v>8</v>
      </c>
      <c r="G3916" s="10">
        <v>65791</v>
      </c>
      <c r="H3916" s="30" t="str">
        <f ca="1">IFERROR(__xludf.DUMMYFUNCTION("LOWER(REGEXREPLACE(B3916&amp;"" ""&amp;C3916,""[^а-яa-z0-9 ]"","" ""))")," ресло типа  аскад    22    олумягкое кресло со складывающимся сиденьем  обивка износоустойчивая высококачественная ткань  каркас из металлической трубы   возможностью штабелироваться близко друг к другу   аркас из металлической трубы прямоугольного и ква"&amp;"дратного сечения  эластичный поролон плотность 25 кг м3  обивка ткань износоустойчивая ткань   пинка кресла имеет радиусную форму   еталлоконструкции покрыты полимерно порошковой эмалью   аркас выполнен из металлической трубы методом дорновой гибки  не до"&amp;"пускается гофрирование  сморщивание  трубы в месте гибки ")</f>
        <v xml:space="preserve"> ресло типа  аскад    22    олумягкое кресло со складывающимся сиденьем  обивка износоустойчивая высококачественная ткань  каркас из металлической трубы   возможностью штабелироваться близко друг к другу   аркас из металлической трубы прямоугольного и квадратного сечения  эластичный поролон плотность 25 кг м3  обивка ткань износоустойчивая ткань   пинка кресла имеет радиусную форму   еталлоконструкции покрыты полимерно порошковой эмалью   аркас выполнен из металлической трубы методом дорновой гибки  не допускается гофрирование  сморщивание  трубы в месте гибки </v>
      </c>
    </row>
    <row r="3917" spans="1:8" ht="38.25" x14ac:dyDescent="0.2">
      <c r="A3917" s="31" t="s">
        <v>9537</v>
      </c>
      <c r="B3917" s="27" t="s">
        <v>9538</v>
      </c>
      <c r="C3917" s="27" t="s">
        <v>9539</v>
      </c>
      <c r="D3917" s="33" t="s">
        <v>14</v>
      </c>
      <c r="E3917" s="34">
        <v>2</v>
      </c>
      <c r="F3917" s="34">
        <v>8</v>
      </c>
      <c r="G3917" s="10">
        <v>48593</v>
      </c>
      <c r="H3917" s="30" t="str">
        <f ca="1">IFERROR(__xludf.DUMMYFUNCTION("LOWER(REGEXREPLACE(B3917&amp;"" ""&amp;C3917,""[^а-яa-z0-9 ]"","" ""))")," ресло типа  аскад    15   атериал пластик  основание металлический каркас  сиденье откидывается  азмеры  высота 915мм  глубина в разложенном состоянии   550 мм  глубина в сложенном состоянии   230 мм  межцентровое расстояние кресел от 470 до 520 мм")</f>
        <v xml:space="preserve"> ресло типа  аскад    15   атериал пластик  основание металлический каркас  сиденье откидывается  азмеры  высота 915мм  глубина в разложенном состоянии   550 мм  глубина в сложенном состоянии   230 мм  межцентровое расстояние кресел от 470 до 520 мм</v>
      </c>
    </row>
    <row r="3918" spans="1:8" ht="51" x14ac:dyDescent="0.2">
      <c r="A3918" s="31" t="s">
        <v>9540</v>
      </c>
      <c r="B3918" s="27" t="s">
        <v>9541</v>
      </c>
      <c r="C3918" s="27" t="s">
        <v>9539</v>
      </c>
      <c r="D3918" s="33" t="s">
        <v>14</v>
      </c>
      <c r="E3918" s="34">
        <v>2</v>
      </c>
      <c r="F3918" s="34">
        <v>8</v>
      </c>
      <c r="G3918" s="10">
        <v>64105</v>
      </c>
      <c r="H3918" s="30" t="str">
        <f ca="1">IFERROR(__xludf.DUMMYFUNCTION("LOWER(REGEXREPLACE(B3918&amp;"" ""&amp;C3918,""[^а-яa-z0-9 ]"","" ""))")," ресло типа  аскад    05   атериал пластик  основание металлический каркас  пружинный механизм возврата сиденья в сложенное положение  азмеры  высота 915мм  глубина в разложенном состоянии   550 мм  глубина в сложенном состоянии   230 мм  межцентровое рас"&amp;"стояние кресел от 470 до 520 мм")</f>
        <v xml:space="preserve"> ресло типа  аскад    05   атериал пластик  основание металлический каркас  пружинный механизм возврата сиденья в сложенное положение  азмеры  высота 915мм  глубина в разложенном состоянии   550 мм  глубина в сложенном состоянии   230 мм  межцентровое расстояние кресел от 470 до 520 мм</v>
      </c>
    </row>
    <row r="3919" spans="1:8" ht="51" x14ac:dyDescent="0.2">
      <c r="A3919" s="31" t="s">
        <v>9542</v>
      </c>
      <c r="B3919" s="27" t="s">
        <v>9543</v>
      </c>
      <c r="C3919" s="27" t="s">
        <v>9544</v>
      </c>
      <c r="D3919" s="33" t="s">
        <v>14</v>
      </c>
      <c r="E3919" s="34">
        <v>2</v>
      </c>
      <c r="F3919" s="34">
        <v>8</v>
      </c>
      <c r="G3919" s="10">
        <v>42522</v>
      </c>
      <c r="H3919" s="30" t="str">
        <f ca="1">IFERROR(__xludf.DUMMYFUNCTION("LOWER(REGEXREPLACE(B3919&amp;"" ""&amp;C3919,""[^а-яa-z0-9 ]"","" ""))")," ресло типа  аскад    02   атериал пластик  основание металлический каркас  сиденье с механизмом возврата гравитационным  иденье и спинка повышенной ударопрочности   азмеры  высота 870 мм  глубина в разложенном состоянии   540 мм  глубина в сложенном сост"&amp;"оянии   230 мм  межцентровое расстояние кресел от 470 до 520 мм")</f>
        <v xml:space="preserve"> ресло типа  аскад    02   атериал пластик  основание металлический каркас  сиденье с механизмом возврата гравитационным  иденье и спинка повышенной ударопрочности   азмеры  высота 870 мм  глубина в разложенном состоянии   540 мм  глубина в сложенном состоянии   230 мм  межцентровое расстояние кресел от 470 до 520 мм</v>
      </c>
    </row>
    <row r="3920" spans="1:8" ht="63.75" x14ac:dyDescent="0.2">
      <c r="A3920" s="31" t="s">
        <v>9545</v>
      </c>
      <c r="B3920" s="27" t="s">
        <v>9546</v>
      </c>
      <c r="C3920" s="27" t="s">
        <v>9547</v>
      </c>
      <c r="D3920" s="33" t="s">
        <v>14</v>
      </c>
      <c r="E3920" s="34">
        <v>2</v>
      </c>
      <c r="F3920" s="34">
        <v>8</v>
      </c>
      <c r="G3920" s="10">
        <v>75571</v>
      </c>
      <c r="H3920" s="30" t="str">
        <f ca="1">IFERROR(__xludf.DUMMYFUNCTION("LOWER(REGEXREPLACE(B3920&amp;"" ""&amp;C3920,""[^а-яa-z0-9 ]"","" ""))")," ресло типа  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   азмеры  ширина 520мм  высота 840 мм  глубина в сложенном 250мм  в разложенн"&amp;"ом 680 мм")</f>
        <v xml:space="preserve"> ресло типа  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   азмеры  ширина 520мм  высота 840 мм  глубина в сложенном 250мм  в разложенном 680 мм</v>
      </c>
    </row>
    <row r="3921" spans="1:8" ht="191.25" x14ac:dyDescent="0.2">
      <c r="A3921" s="31" t="s">
        <v>9548</v>
      </c>
      <c r="B3921" s="8" t="s">
        <v>9549</v>
      </c>
      <c r="C3921" s="27" t="s">
        <v>9550</v>
      </c>
      <c r="D3921" s="33" t="s">
        <v>14</v>
      </c>
      <c r="E3921" s="34">
        <v>2</v>
      </c>
      <c r="F3921" s="34">
        <v>9</v>
      </c>
      <c r="G3921" s="10">
        <v>61726</v>
      </c>
      <c r="H3921" s="30" t="str">
        <f ca="1">IFERROR(__xludf.DUMMYFUNCTION("LOWER(REGEXREPLACE(B3921&amp;"" ""&amp;C3921,""[^а-яa-z0-9 ]"","" ""))")," иденье складное  размеры  450х500х390мм   иденье и спинка из полиэтилена высокой плотности  гравитационная складная система  опора труба электросварная круглая с полимерно порошковым покрытием  иденье складное  иденье и спинка  сырье из полиэтилена высок"&amp;"ой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ргономичная форма сиденья   снова для сидения  изготовлен из метал"&amp;"ла  порошковое покрытие для обработки поверхности после защиты от ржавчины в помещении   кладной механизм  гравитационная складная система   пора   руба электросварная круглая диаметром 32 и 25 мм  при толщине стенки 2 5 и 2 мм  покрыта полимерно порошков"&amp;"ой краской   олщина легированного листового металла 4 мм  апольное крепление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мик"&amp;"рон   азмеры  450 ширина  390 высота  500 глубина  мм ")</f>
        <v xml:space="preserve"> иденье складное  размеры  450х500х390мм   иденье и спинка из полиэтилена высокой плотности  гравитационная складная система  опора труба электросварная круглая с полимерно порошковым покрытием  иденье складное  иденье и спинка  сырье из полиэтилена высокой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ргономичная форма сиденья   снова для сидения  изготовлен из металла  порошковое покрытие для обработки поверхности после защиты от ржавчины в помещении   кладной механизм  гравитационная складная система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апольное крепление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450 ширина  390 высота  500 глубина  мм </v>
      </c>
    </row>
    <row r="3922" spans="1:8" ht="204" x14ac:dyDescent="0.2">
      <c r="A3922" s="31" t="s">
        <v>9551</v>
      </c>
      <c r="B3922" s="8" t="s">
        <v>9552</v>
      </c>
      <c r="C3922" s="27" t="s">
        <v>9553</v>
      </c>
      <c r="D3922" s="33" t="s">
        <v>14</v>
      </c>
      <c r="E3922" s="34">
        <v>2</v>
      </c>
      <c r="F3922" s="35">
        <v>7.5</v>
      </c>
      <c r="G3922" s="10">
        <v>43734</v>
      </c>
      <c r="H3922" s="30" t="str">
        <f ca="1">IFERROR(__xludf.DUMMYFUNCTION("LOWER(REGEXREPLACE(B3922&amp;"" ""&amp;C3922,""[^а-яa-z0-9 ]"","" ""))")," иденье нескладное  размеры  446 458х467 478х400мм   иденье и спинка из полиэтилена высокой плотности  опора труба электросварная круглая с полимерно порошковым покрытием  иденье статичное  иденье и спинка  сырье из полиэтилена высокой плотности         в"&amp;"ыдувное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снова для сидения  ножки  отлитые из алюминиевого пресса с помощью металлических крепежн"&amp;"ых элементов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становка  установка на пол подступенок   ластиковые колпачки для ви"&amp;"нтов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446 458 ширина  400 высота  467 478 глубина  мм   есколько способов установки отвечают сложн"&amp;"ым требованиям к установке на объекте ")</f>
        <v xml:space="preserve"> иденье нескладное  размеры  446 458х467 478х400мм   иденье и спинка из полиэтилена высокой плотности  опора труба электросварная круглая с полимерно порошковым покрытием  иденье статичное  иденье и спинка  сырье из полиэтилена высокой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снова для сидения  ножки  отлитые из алюминиевого пресса с помощью металлических крепежных элементов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становка  установка на пол подступенок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446 458 ширина  400 высота  467 478 глубина  мм   есколько способов установки отвечают сложным требованиям к установке на объекте </v>
      </c>
    </row>
    <row r="3923" spans="1:8" ht="127.5" x14ac:dyDescent="0.2">
      <c r="A3923" s="31" t="s">
        <v>9554</v>
      </c>
      <c r="B3923" s="27" t="s">
        <v>9555</v>
      </c>
      <c r="C3923" s="27" t="s">
        <v>9556</v>
      </c>
      <c r="D3923" s="33" t="s">
        <v>14</v>
      </c>
      <c r="E3923" s="34">
        <v>2</v>
      </c>
      <c r="F3923" s="35">
        <v>8.5</v>
      </c>
      <c r="G3923" s="10">
        <v>75573</v>
      </c>
      <c r="H3923" s="30" t="str">
        <f ca="1">IFERROR(__xludf.DUMMYFUNCTION("LOWER(REGEXREPLACE(B3923&amp;"" ""&amp;C3923,""[^а-яa-z0-9 ]"","" ""))")," ресло пластиковое складное  размер 550х480х840мм  металлокаркас с полимерно порошковым покрытием  кладное пластмассовое кресло в комлекте с кронштейном   ресло предназначено для установки на открытых и закрытых спортивных сооружениях  стадионы  ледовые д"&amp;"ворцы  спортивные комплексы    нтивандальное исполнение   ргономичный  стильный дизайн   еталлокаркас защищен полимерно порошковым покрытием либо методом горячего оцинкования   спытано на прочность  долговечность  статичную нагрузку и износоустойчивость  "&amp;" емпературный режим эксплуатации от   40   до   50     ащищено от воздействия ультрафиолетовых лучей   ыполнено из материалов  замедляющих процесс горения   абариты    лубина 550мм   ирина 480мм   ысота от пола 840мм   430мм  от пола до сидения ")</f>
        <v xml:space="preserve"> ресло пластиковое складное  размер 550х480х840мм  металлокаркас с полимерно порошковым покрытием  кладное пластмассовое кресло в комлекте с кронштейном   ресло предназначено для установки на открытых и закрытых спортивных сооружениях  стадионы  ледовые дворцы  спортивные комплексы    нтивандальное исполнение   ргономичный  стильный дизайн   еталлокаркас защищен полимерно порошковым покрытием либо методом горячего оцинкования   спытано на прочность  долговечность  статичную нагрузку и износоустойчивость   емпературный режим эксплуатации от   40   до   50     ащищено от воздействия ультрафиолетовых лучей   ыполнено из материалов  замедляющих процесс горения   абариты    лубина 550мм   ирина 480мм   ысота от пола 840мм   430мм  от пола до сидения </v>
      </c>
    </row>
    <row r="3924" spans="1:8" ht="63.75" x14ac:dyDescent="0.2">
      <c r="A3924" s="31" t="s">
        <v>9557</v>
      </c>
      <c r="B3924" s="27" t="s">
        <v>9558</v>
      </c>
      <c r="C3924" s="27" t="s">
        <v>9559</v>
      </c>
      <c r="D3924" s="33" t="s">
        <v>14</v>
      </c>
      <c r="E3924" s="34">
        <v>2</v>
      </c>
      <c r="F3924" s="34">
        <v>35</v>
      </c>
      <c r="G3924" s="10">
        <v>254751</v>
      </c>
      <c r="H3924" s="30" t="str">
        <f ca="1">IFERROR(__xludf.DUMMYFUNCTION("LOWER(REGEXREPLACE(B3924&amp;"" ""&amp;C3924,""[^а-яa-z0-9 ]"","" ""))")," камья зрительская для спортивных сооружений на 5 мест  пластиковые сиденья    азмеры  длина   2500 мм  высота сидения   450 мм  со спинкой   725 мм  глубина   423 мм  аркас изготовлен из профильной трубы 40х20 мм  сидение   пластик  окраска металлокаркас"&amp;"а порошковая   еталлокаркас поставляется в собранном виде  пластиковые сиденья крепятся к каркасу при помощи болтов ")</f>
        <v xml:space="preserve"> камья зрительская для спортивных сооружений на 5 мест  пластиковые сиденья    азмеры  длина   2500 мм  высота сидения   450 мм  со спинкой   725 мм  глубина   423 мм  аркас изготовлен из профильной трубы 40х20 мм  сидение   пластик  окраска металлокаркаса порошковая   еталлокаркас поставляется в собранном виде  пластиковые сиденья крепятся к каркасу при помощи болтов </v>
      </c>
    </row>
    <row r="3925" spans="1:8" ht="63.75" x14ac:dyDescent="0.2">
      <c r="A3925" s="31" t="s">
        <v>9560</v>
      </c>
      <c r="B3925" s="27" t="s">
        <v>9561</v>
      </c>
      <c r="C3925" s="27" t="s">
        <v>9559</v>
      </c>
      <c r="D3925" s="33" t="s">
        <v>14</v>
      </c>
      <c r="E3925" s="34">
        <v>2</v>
      </c>
      <c r="F3925" s="34">
        <v>28</v>
      </c>
      <c r="G3925" s="10">
        <v>148515</v>
      </c>
      <c r="H3925" s="30" t="str">
        <f ca="1">IFERROR(__xludf.DUMMYFUNCTION("LOWER(REGEXREPLACE(B3925&amp;"" ""&amp;C3925,""[^а-яa-z0-9 ]"","" ""))")," камья зрительская для спортивных сооружений на 3 места  пластиковые сиденья    азмеры  длина   1425 мм  высота сидения   450 мм  со спинкой   725 мм  глубина   423 мм  аркас изготовлен из профильной трубы 40х20 мм  сидение   пластик  окраска металлокарка"&amp;"са порошковая   еталлокаркас поставляется в собранном виде  пластиковые сиденья крепятся к каркасу при помощи болтов ")</f>
        <v xml:space="preserve"> камья зрительская для спортивных сооружений на 3 места  пластиковые сиденья    азмеры  длина   1425 мм  высота сидения   450 мм  со спинкой   725 мм  глубина   423 мм  аркас изготовлен из профильной трубы 40х20 мм  сидение   пластик  окраска металлокаркаса порошковая   еталлокаркас поставляется в собранном виде  пластиковые сиденья крепятся к каркасу при помощи болтов </v>
      </c>
    </row>
    <row r="3926" spans="1:8" ht="12.75" x14ac:dyDescent="0.2">
      <c r="A3926" s="31" t="s">
        <v>9562</v>
      </c>
      <c r="B3926" s="27" t="s">
        <v>9563</v>
      </c>
      <c r="C3926" s="27"/>
      <c r="D3926" s="33" t="s">
        <v>14</v>
      </c>
      <c r="E3926" s="9"/>
      <c r="F3926" s="32"/>
      <c r="G3926" s="10"/>
      <c r="H3926" s="30" t="str">
        <f ca="1">IFERROR(__xludf.DUMMYFUNCTION("LOWER(REGEXREPLACE(B3926&amp;"" ""&amp;C3926,""[^а-яa-z0-9 ]"","" ""))")," тол журнальный ")</f>
        <v xml:space="preserve"> тол журнальный </v>
      </c>
    </row>
    <row r="3927" spans="1:8" ht="76.5" x14ac:dyDescent="0.2">
      <c r="A3927" s="31" t="s">
        <v>9564</v>
      </c>
      <c r="B3927" s="27" t="s">
        <v>9565</v>
      </c>
      <c r="C3927" s="27" t="s">
        <v>9566</v>
      </c>
      <c r="D3927" s="33" t="s">
        <v>14</v>
      </c>
      <c r="E3927" s="34">
        <v>2</v>
      </c>
      <c r="F3927" s="34">
        <v>18</v>
      </c>
      <c r="G3927" s="10">
        <v>45030</v>
      </c>
      <c r="H3927" s="30" t="str">
        <f ca="1">IFERROR(__xludf.DUMMYFUNCTION("LOWER(REGEXREPLACE(B3927&amp;"" ""&amp;C3927,""[^а-яa-z0-9 ]"","" ""))")," толик круглой формы  столешница  из      16мм  ножки металл  размеры  диаметр 500мм  высота 750мм  толешница выполнена из      16 мм  кромка     с исполькозованием высокотемпературного клея   аталлические части стола изготовлены из листового металла толщ"&amp;"иной 8 мм   зделия окрашены методом электростатического порошкового напыления   орцы профилей закрыты пластиковыми заглушками для предотвращения повреждения потребителей")</f>
        <v xml:space="preserve"> толик круглой формы  столешница  из      16мм  ножки металл  размеры  диаметр 500мм  высота 750мм  толешница выполнена из      16 мм  кромка     с исполькозованием высокотемпературного клея   аталлические части стола изготовлены из листового металла толщиной 8 мм   зделия окрашены методом электростатического порошкового напыления   орцы профилей закрыты пластиковыми заглушками для предотвращения повреждения потребителей</v>
      </c>
    </row>
    <row r="3928" spans="1:8" ht="38.25" x14ac:dyDescent="0.2">
      <c r="A3928" s="31" t="s">
        <v>9567</v>
      </c>
      <c r="B3928" s="27" t="s">
        <v>9568</v>
      </c>
      <c r="C3928" s="27" t="s">
        <v>9569</v>
      </c>
      <c r="D3928" s="33" t="s">
        <v>14</v>
      </c>
      <c r="E3928" s="34">
        <v>2</v>
      </c>
      <c r="F3928" s="36">
        <v>26.95</v>
      </c>
      <c r="G3928" s="10">
        <v>25644</v>
      </c>
      <c r="H3928" s="30" t="str">
        <f ca="1">IFERROR(__xludf.DUMMYFUNCTION("LOWER(REGEXREPLACE(B3928&amp;"" ""&amp;C3928,""[^а-яa-z0-9 ]"","" ""))")," тол журнальный прямоугольной формы  столешница из      32мм  каркас из      16мм  размер 1000х700х500мм  ирина   1000мм  глубина   700мм  высота   500мм   толешница из      32мм  каркас выполнен из      16мм   орцы облицованы  кромкой     толщиной 2мм ")</f>
        <v xml:space="preserve"> тол журнальный прямоугольной формы  столешница из      32мм  каркас из      16мм  размер 1000х700х500мм  ирина   1000мм  глубина   700мм  высота   500мм   толешница из      32мм  каркас выполнен из      16мм   орцы облицованы  кромкой     толщиной 2мм </v>
      </c>
    </row>
    <row r="3929" spans="1:8" ht="76.5" x14ac:dyDescent="0.2">
      <c r="A3929" s="31" t="s">
        <v>9570</v>
      </c>
      <c r="B3929" s="27" t="s">
        <v>9571</v>
      </c>
      <c r="C3929" s="27" t="s">
        <v>9572</v>
      </c>
      <c r="D3929" s="33" t="s">
        <v>14</v>
      </c>
      <c r="E3929" s="34">
        <v>2</v>
      </c>
      <c r="F3929" s="34">
        <v>12</v>
      </c>
      <c r="G3929" s="10">
        <v>174017</v>
      </c>
      <c r="H3929" s="30" t="str">
        <f ca="1">IFERROR(__xludf.DUMMYFUNCTION("LOWER(REGEXREPLACE(B3929&amp;"" ""&amp;C3929,""[^а-яa-z0-9 ]"","" ""))")," тол журнальный с двумя круглыми столешницами  радиус 600мм  высота 400мм  радиус 800мм  высота 450мм  столешница из     пластика 12мм  основание металлическое  тол журнальный с двумя круглыми столешницами  радиус 600мм  высота 400мм  радиус 800мм  высота"&amp;" 450мм   снование металлическое  покрашено методом электростатического порошкового напыления   атериал рабочей поверхности стола  химически стойкий пластик     толщиной 12 мм  комплект  из 2 столиков ")</f>
        <v xml:space="preserve"> тол журнальный с двумя круглыми столешницами  радиус 600мм  высота 400мм  радиус 800мм  высота 450мм  столешница из     пластика 12мм  основание металлическое  тол журнальный с двумя круглыми столешницами  радиус 600мм  высота 400мм  радиус 800мм  высота 450мм   снование металлическое  покрашено методом электростатического порошкового напыления   атериал рабочей поверхности стола  химически стойкий пластик     толщиной 12 мм  комплект  из 2 столиков </v>
      </c>
    </row>
    <row r="3930" spans="1:8" ht="12.75" x14ac:dyDescent="0.2">
      <c r="A3930" s="31" t="s">
        <v>9573</v>
      </c>
      <c r="B3930" s="27" t="s">
        <v>9574</v>
      </c>
      <c r="C3930" s="27"/>
      <c r="D3930" s="33" t="s">
        <v>14</v>
      </c>
      <c r="E3930" s="9"/>
      <c r="F3930" s="32"/>
      <c r="G3930" s="10"/>
      <c r="H3930" s="30" t="str">
        <f ca="1">IFERROR(__xludf.DUMMYFUNCTION("LOWER(REGEXREPLACE(B3930&amp;"" ""&amp;C3930,""[^а-яa-z0-9 ]"","" ""))")," умба лабораторная ")</f>
        <v xml:space="preserve"> умба лабораторная </v>
      </c>
    </row>
    <row r="3931" spans="1:8" ht="63.75" x14ac:dyDescent="0.2">
      <c r="A3931" s="31" t="s">
        <v>9575</v>
      </c>
      <c r="B3931" s="27" t="s">
        <v>9576</v>
      </c>
      <c r="C3931" s="27" t="s">
        <v>9577</v>
      </c>
      <c r="D3931" s="33" t="s">
        <v>14</v>
      </c>
      <c r="E3931" s="34">
        <v>2</v>
      </c>
      <c r="F3931" s="34">
        <v>80</v>
      </c>
      <c r="G3931" s="10">
        <v>195818</v>
      </c>
      <c r="H3931" s="30" t="str">
        <f ca="1">IFERROR(__xludf.DUMMYFUNCTION("LOWER(REGEXREPLACE(B3931&amp;"" ""&amp;C3931,""[^а-яa-z0-9 ]"","" ""))")," умба лабораторная 500х600х780мм  умба с лабораторной раковиной   умба выполнена из листового металла   абораторная раковина изготовлена   из полипропиленового пластика  устойчивая к щелочам  кислотам и высоким температурам   меситель для лаборатории изго"&amp;"товлен из латуни   а поверхность нанесено многослойное эпоксидное покрытие  устойчивое к щелочам и кислотам")</f>
        <v xml:space="preserve"> умба лабораторная 500х600х780мм  умба с лабораторной раковиной   умба выполнена из листового металла   абораторная раковина изготовлена   из полипропиленового пластика  устойчивая к щелочам  кислотам и высоким температурам   меситель для лаборатории изготовлен из латуни   а поверхность нанесено многослойное эпоксидное покрытие  устойчивое к щелочам и кислотам</v>
      </c>
    </row>
    <row r="3932" spans="1:8" ht="102" x14ac:dyDescent="0.2">
      <c r="A3932" s="31" t="s">
        <v>9578</v>
      </c>
      <c r="B3932" s="27" t="s">
        <v>9579</v>
      </c>
      <c r="C3932" s="27" t="s">
        <v>9580</v>
      </c>
      <c r="D3932" s="33" t="s">
        <v>14</v>
      </c>
      <c r="E3932" s="34">
        <v>2</v>
      </c>
      <c r="F3932" s="34">
        <v>21</v>
      </c>
      <c r="G3932" s="10">
        <v>358699</v>
      </c>
      <c r="H3932" s="30" t="str">
        <f ca="1">IFERROR(__xludf.DUMMYFUNCTION("LOWER(REGEXREPLACE(B3932&amp;"" ""&amp;C3932,""[^а-яa-z0-9 ]"","" ""))")," умба лабораторная с раковиной  смесителем и сушкой   азмер 500х500х850 мм  тол мойка производственный со смесителем   азмеры 500х500х850мм   атериал       толщина материала 16 мм  кромка     с использованием высокотемпературного клея   толешница выполнен"&amp;"а из химстойкой панели    12 мм   аковина из полипропиленового химически стойкого пластика  размером 390х290х260мм   астенная сушка 550х400х120мм  сифон  смеситель в комплекте из пропилена для холодной и горячей воды   анализация   комплектующие к подключ"&amp;"ению   становлены пластиковые подпятники  регулируемые ")</f>
        <v xml:space="preserve"> умба лабораторная с раковиной  смесителем и сушкой   азмер 500х500х850 мм  тол мойка производственный со смесителем   азмеры 500х500х850мм   атериал       толщина материала 16 мм  кромка     с использованием высокотемпературного клея   толешница выполнена из химстойкой панели    12 мм   аковина из полипропиленового химически стойкого пластика  размером 390х290х260мм   астенная сушка 550х400х120мм  сифон  смеситель в комплекте из пропилена для холодной и горячей воды   анализация   комплектующие к подключению   становлены пластиковые подпятники  регулируемые </v>
      </c>
    </row>
    <row r="3933" spans="1:8" ht="114.75" x14ac:dyDescent="0.2">
      <c r="A3933" s="31" t="s">
        <v>9581</v>
      </c>
      <c r="B3933" s="27" t="s">
        <v>9582</v>
      </c>
      <c r="C3933" s="27" t="s">
        <v>9583</v>
      </c>
      <c r="D3933" s="33" t="s">
        <v>14</v>
      </c>
      <c r="E3933" s="34">
        <v>2</v>
      </c>
      <c r="F3933" s="34">
        <v>17</v>
      </c>
      <c r="G3933" s="10">
        <v>23451</v>
      </c>
      <c r="H3933" s="30" t="str">
        <f ca="1">IFERROR(__xludf.DUMMYFUNCTION("LOWER(REGEXREPLACE(B3933&amp;"" ""&amp;C3933,""[^а-яa-z0-9 ]"","" ""))")," умба лабораторная на колесах с одной дверцей       16 мм  размеры 500х400х650 мм  умба лабораторная на колесах с одной дверцей  абаритные размеры тумбы должны быть  не менее  ширина 500 мм  глубина 400 мм  высота 650 мм   атериал изготовления корпуса  фа"&amp;"сада и задней стенки должна быть      толщиной не менее 16 мм   орцы должны быть отделаны кромкой из     толщиной не менее 0 4 мм   онструктивно тумба должна быть разделена полкой на две одинаковые ниши по горизонтали  закрытые одной дверцей  имеющей мебе"&amp;"льную ручку и внутренний замок   борка должна производиться с помощью конфирматов 6 4х50 мм и эксцентриковых стяжек   умба должна опираться на роликовые опоры высотой не менее 50 мм ")</f>
        <v xml:space="preserve"> умба лабораторная на колесах с одной дверцей       16 мм  размеры 500х400х650 мм  умба лабораторная на колесах с одной дверцей  абаритные размеры тумбы должны быть  не менее  ширина 500 мм  глубина 400 мм  высота 650 мм   атериал изготовления корпуса  фасада и задней стенки должна быть      толщиной не менее 16 мм   орцы должны быть отделаны кромкой из     толщиной не менее 0 4 мм   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борка должна производиться с помощью конфирматов 6 4х50 мм и эксцентриковых стяжек   умба должна опираться на роликовые опоры высотой не менее 50 мм </v>
      </c>
    </row>
    <row r="3934" spans="1:8" ht="102" x14ac:dyDescent="0.2">
      <c r="A3934" s="31" t="s">
        <v>9584</v>
      </c>
      <c r="B3934" s="27" t="s">
        <v>9585</v>
      </c>
      <c r="C3934" s="27" t="s">
        <v>9586</v>
      </c>
      <c r="D3934" s="33" t="s">
        <v>14</v>
      </c>
      <c r="E3934" s="34">
        <v>2</v>
      </c>
      <c r="F3934" s="34">
        <v>28</v>
      </c>
      <c r="G3934" s="10">
        <v>50343</v>
      </c>
      <c r="H3934" s="30" t="str">
        <f ca="1">IFERROR(__xludf.DUMMYFUNCTION("LOWER(REGEXREPLACE(B3934&amp;"" ""&amp;C3934,""[^а-яa-z0-9 ]"","" ""))")," умба лабораторная на колесах с выдвижными ящиками       16 мм  размеры 500х440х600 мм  умба лабораторная на колесах с выдвижными ящиками   абаритные размеры тумбы не менее  ширина 500 мм  глубина 440 мм  высота 600 мм   атериал изготовления корпуса и фас"&amp;"ада      толщиной не менее 16 мм   орцы обработаны кромкой из     толщиной не менее 0 4 мм   а крышки тумбы не менее 2 мм   онструктивно тумба состоит из четырех ящиков высотой 142 мм  с жестким дном и направляющими полного выдвижения с доводчиком  имеющи"&amp;"й мебельную ручку скобу   борка производиться с помощью конфирматов 6 4х50 мм и эксцентриковых стяжек   умба опирается на колесные опоры ")</f>
        <v xml:space="preserve"> умба лабораторная на колесах с выдвижными ящиками       16 мм  размеры 500х440х600 мм  умба лабораторная на колесах с выдвижными ящиками   абаритные размеры тумбы не менее  ширина 500 мм  глубина 440 мм  высота 600 мм   атериал изготовления корпуса и фасада      толщиной не менее 16 мм   орцы обработаны кромкой из     толщиной не менее 0 4 мм   а крышки тумбы не менее 2 мм   онструктивно тумба состоит из четырех ящиков высотой 142 мм  с жестким дном и направляющими полного выдвижения с доводчиком  имеющий мебельную ручку скобу   борка производиться с помощью конфирматов 6 4х50 мм и эксцентриковых стяжек   умба опирается на колесные опоры </v>
      </c>
    </row>
    <row r="3935" spans="1:8" ht="12.75" x14ac:dyDescent="0.2">
      <c r="A3935" s="31" t="s">
        <v>9587</v>
      </c>
      <c r="B3935" s="27" t="s">
        <v>9588</v>
      </c>
      <c r="C3935" s="27"/>
      <c r="D3935" s="33" t="s">
        <v>14</v>
      </c>
      <c r="E3935" s="9"/>
      <c r="F3935" s="32"/>
      <c r="G3935" s="10"/>
      <c r="H3935" s="30" t="str">
        <f ca="1">IFERROR(__xludf.DUMMYFUNCTION("LOWER(REGEXREPLACE(B3935&amp;"" ""&amp;C3935,""[^а-яa-z0-9 ]"","" ""))")," каф металлический односекционный ")</f>
        <v xml:space="preserve"> каф металлический односекционный </v>
      </c>
    </row>
    <row r="3936" spans="1:8" ht="114.75" x14ac:dyDescent="0.2">
      <c r="A3936" s="31" t="s">
        <v>9589</v>
      </c>
      <c r="B3936" s="27" t="s">
        <v>9590</v>
      </c>
      <c r="C3936" s="27" t="s">
        <v>9591</v>
      </c>
      <c r="D3936" s="33" t="s">
        <v>14</v>
      </c>
      <c r="E3936" s="34">
        <v>2</v>
      </c>
      <c r="F3936" s="34">
        <v>17</v>
      </c>
      <c r="G3936" s="10">
        <v>69736</v>
      </c>
      <c r="H3936" s="30" t="str">
        <f ca="1">IFERROR(__xludf.DUMMYFUNCTION("LOWER(REGEXREPLACE(B3936&amp;"" ""&amp;C3936,""[^а-яa-z0-9 ]"","" ""))"),"типа       с одной ячейкой  размеры 300х500х1830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37" spans="1:8" ht="114.75" x14ac:dyDescent="0.2">
      <c r="A3937" s="31" t="s">
        <v>9592</v>
      </c>
      <c r="B3937" s="27" t="s">
        <v>9593</v>
      </c>
      <c r="C3937" s="27" t="s">
        <v>9591</v>
      </c>
      <c r="D3937" s="33" t="s">
        <v>14</v>
      </c>
      <c r="E3937" s="34">
        <v>2</v>
      </c>
      <c r="F3937" s="34">
        <v>15</v>
      </c>
      <c r="G3937" s="10">
        <v>56367</v>
      </c>
      <c r="H3937" s="30" t="str">
        <f ca="1">IFERROR(__xludf.DUMMYFUNCTION("LOWER(REGEXREPLACE(B3937&amp;"" ""&amp;C3937,""[^а-яa-z0-9 ]"","" ""))"),"типа       с одной ячейкой  размеры 300х400х1800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300х400х1800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38" spans="1:8" ht="114.75" x14ac:dyDescent="0.2">
      <c r="A3938" s="31" t="s">
        <v>9594</v>
      </c>
      <c r="B3938" s="27" t="s">
        <v>9595</v>
      </c>
      <c r="C3938" s="27" t="s">
        <v>9591</v>
      </c>
      <c r="D3938" s="33" t="s">
        <v>14</v>
      </c>
      <c r="E3938" s="34">
        <v>2</v>
      </c>
      <c r="F3938" s="34">
        <v>17</v>
      </c>
      <c r="G3938" s="10">
        <v>72599</v>
      </c>
      <c r="H3938" s="30" t="str">
        <f ca="1">IFERROR(__xludf.DUMMYFUNCTION("LOWER(REGEXREPLACE(B3938&amp;"" ""&amp;C3938,""[^а-яa-z0-9 ]"","" ""))"),"типа       с одной ячейкой  размеры 300х500х1860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39" spans="1:8" ht="114.75" x14ac:dyDescent="0.2">
      <c r="A3939" s="31" t="s">
        <v>9596</v>
      </c>
      <c r="B3939" s="27" t="s">
        <v>9597</v>
      </c>
      <c r="C3939" s="27" t="s">
        <v>9591</v>
      </c>
      <c r="D3939" s="33" t="s">
        <v>14</v>
      </c>
      <c r="E3939" s="34">
        <v>2</v>
      </c>
      <c r="F3939" s="34">
        <v>18</v>
      </c>
      <c r="G3939" s="10">
        <v>69740</v>
      </c>
      <c r="H3939" s="30" t="str">
        <f ca="1">IFERROR(__xludf.DUMMYFUNCTION("LOWER(REGEXREPLACE(B3939&amp;"" ""&amp;C3939,""[^а-яa-z0-9 ]"","" ""))"),"типа       с одной ячейкой  размеры 325х500х1800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325х500х1800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0" spans="1:8" ht="114.75" x14ac:dyDescent="0.2">
      <c r="A3940" s="31" t="s">
        <v>9598</v>
      </c>
      <c r="B3940" s="27" t="s">
        <v>9599</v>
      </c>
      <c r="C3940" s="27" t="s">
        <v>9591</v>
      </c>
      <c r="D3940" s="33" t="s">
        <v>14</v>
      </c>
      <c r="E3940" s="34">
        <v>2</v>
      </c>
      <c r="F3940" s="34">
        <v>20</v>
      </c>
      <c r="G3940" s="10">
        <v>77383</v>
      </c>
      <c r="H3940" s="30" t="str">
        <f ca="1">IFERROR(__xludf.DUMMYFUNCTION("LOWER(REGEXREPLACE(B3940&amp;"" ""&amp;C3940,""[^а-яa-z0-9 ]"","" ""))"),"типа       с одной ячейкой  размеры 400х500х1830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1" spans="1:8" ht="114.75" x14ac:dyDescent="0.2">
      <c r="A3941" s="31" t="s">
        <v>9600</v>
      </c>
      <c r="B3941" s="27" t="s">
        <v>9601</v>
      </c>
      <c r="C3941" s="27" t="s">
        <v>9591</v>
      </c>
      <c r="D3941" s="33" t="s">
        <v>14</v>
      </c>
      <c r="E3941" s="34">
        <v>2</v>
      </c>
      <c r="F3941" s="34">
        <v>22</v>
      </c>
      <c r="G3941" s="10">
        <v>77391</v>
      </c>
      <c r="H3941" s="30" t="str">
        <f ca="1">IFERROR(__xludf.DUMMYFUNCTION("LOWER(REGEXREPLACE(B3941&amp;"" ""&amp;C3941,""[^а-яa-z0-9 ]"","" ""))"),"типа       с одной ячейкой  размеры 400х500х1860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2" spans="1:8" ht="114.75" x14ac:dyDescent="0.2">
      <c r="A3942" s="31" t="s">
        <v>9602</v>
      </c>
      <c r="B3942" s="27" t="s">
        <v>9603</v>
      </c>
      <c r="C3942" s="27" t="s">
        <v>9591</v>
      </c>
      <c r="D3942" s="33" t="s">
        <v>14</v>
      </c>
      <c r="E3942" s="34">
        <v>2</v>
      </c>
      <c r="F3942" s="34">
        <v>17</v>
      </c>
      <c r="G3942" s="10">
        <v>77371</v>
      </c>
      <c r="H3942" s="30" t="str">
        <f ca="1">IFERROR(__xludf.DUMMYFUNCTION("LOWER(REGEXREPLACE(B3942&amp;"" ""&amp;C3942,""[^а-яa-z0-9 ]"","" ""))"),"типа       с одной ячейкой  размеры 460х380х1830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460х380х1830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3" spans="1:8" ht="114.75" x14ac:dyDescent="0.2">
      <c r="A3943" s="31" t="s">
        <v>9604</v>
      </c>
      <c r="B3943" s="27" t="s">
        <v>9605</v>
      </c>
      <c r="C3943" s="27" t="s">
        <v>9591</v>
      </c>
      <c r="D3943" s="33" t="s">
        <v>14</v>
      </c>
      <c r="E3943" s="34">
        <v>2</v>
      </c>
      <c r="F3943" s="34">
        <v>25</v>
      </c>
      <c r="G3943" s="10">
        <v>85038</v>
      </c>
      <c r="H3943" s="30" t="str">
        <f ca="1">IFERROR(__xludf.DUMMYFUNCTION("LOWER(REGEXREPLACE(B3943&amp;"" ""&amp;C3943,""[^а-яa-z0-9 ]"","" ""))"),"типа       с одной ячейкой  размеры 500х550х2000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замк"&amp;"ом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ультр"&amp;"афиолетовому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500х550х2000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4" spans="1:8" ht="114.75" x14ac:dyDescent="0.2">
      <c r="A3944" s="31" t="s">
        <v>9606</v>
      </c>
      <c r="B3944" s="27" t="s">
        <v>9607</v>
      </c>
      <c r="C3944" s="27" t="s">
        <v>9608</v>
      </c>
      <c r="D3944" s="33" t="s">
        <v>14</v>
      </c>
      <c r="E3944" s="34">
        <v>2</v>
      </c>
      <c r="F3944" s="34">
        <v>17</v>
      </c>
      <c r="G3944" s="10">
        <v>68782</v>
      </c>
      <c r="H3944" s="30" t="str">
        <f ca="1">IFERROR(__xludf.DUMMYFUNCTION("LOWER(REGEXREPLACE(B3944&amp;"" ""&amp;C3944,""[^а-яa-z0-9 ]"","" ""))"),"типа       с одной ячейкой  размеры 300х500х1830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5" spans="1:8" ht="114.75" x14ac:dyDescent="0.2">
      <c r="A3945" s="31" t="s">
        <v>9609</v>
      </c>
      <c r="B3945" s="27" t="s">
        <v>9610</v>
      </c>
      <c r="C3945" s="27" t="s">
        <v>9608</v>
      </c>
      <c r="D3945" s="33" t="s">
        <v>14</v>
      </c>
      <c r="E3945" s="34">
        <v>2</v>
      </c>
      <c r="F3945" s="34">
        <v>15</v>
      </c>
      <c r="G3945" s="10">
        <v>63048</v>
      </c>
      <c r="H3945" s="30" t="str">
        <f ca="1">IFERROR(__xludf.DUMMYFUNCTION("LOWER(REGEXREPLACE(B3945&amp;"" ""&amp;C3945,""[^а-яa-z0-9 ]"","" ""))"),"типа       с одной ячейкой  размеры 300х400х1800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300х400х1800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6" spans="1:8" ht="114.75" x14ac:dyDescent="0.2">
      <c r="A3946" s="31" t="s">
        <v>9611</v>
      </c>
      <c r="B3946" s="27" t="s">
        <v>9612</v>
      </c>
      <c r="C3946" s="27" t="s">
        <v>9608</v>
      </c>
      <c r="D3946" s="33" t="s">
        <v>14</v>
      </c>
      <c r="E3946" s="34">
        <v>2</v>
      </c>
      <c r="F3946" s="34">
        <v>17</v>
      </c>
      <c r="G3946" s="10">
        <v>71645</v>
      </c>
      <c r="H3946" s="30" t="str">
        <f ca="1">IFERROR(__xludf.DUMMYFUNCTION("LOWER(REGEXREPLACE(B3946&amp;"" ""&amp;C3946,""[^а-яa-z0-9 ]"","" ""))"),"типа       с одной ячейкой  размеры 300х500х1860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7" spans="1:8" ht="114.75" x14ac:dyDescent="0.2">
      <c r="A3947" s="31" t="s">
        <v>9613</v>
      </c>
      <c r="B3947" s="27" t="s">
        <v>9614</v>
      </c>
      <c r="C3947" s="27" t="s">
        <v>9608</v>
      </c>
      <c r="D3947" s="33" t="s">
        <v>14</v>
      </c>
      <c r="E3947" s="34">
        <v>2</v>
      </c>
      <c r="F3947" s="34">
        <v>18</v>
      </c>
      <c r="G3947" s="10">
        <v>68786</v>
      </c>
      <c r="H3947" s="30" t="str">
        <f ca="1">IFERROR(__xludf.DUMMYFUNCTION("LOWER(REGEXREPLACE(B3947&amp;"" ""&amp;C3947,""[^а-яa-z0-9 ]"","" ""))"),"типа       с одной ячейкой  размеры 325х500х1800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325х500х1800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8" spans="1:8" ht="114.75" x14ac:dyDescent="0.2">
      <c r="A3948" s="31" t="s">
        <v>9615</v>
      </c>
      <c r="B3948" s="27" t="s">
        <v>9616</v>
      </c>
      <c r="C3948" s="27" t="s">
        <v>9608</v>
      </c>
      <c r="D3948" s="33" t="s">
        <v>14</v>
      </c>
      <c r="E3948" s="34">
        <v>2</v>
      </c>
      <c r="F3948" s="34">
        <v>20</v>
      </c>
      <c r="G3948" s="10">
        <v>76429</v>
      </c>
      <c r="H3948" s="30" t="str">
        <f ca="1">IFERROR(__xludf.DUMMYFUNCTION("LOWER(REGEXREPLACE(B3948&amp;"" ""&amp;C3948,""[^а-яa-z0-9 ]"","" ""))"),"типа       с одной ячейкой  размеры 400х500х1830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49" spans="1:8" ht="114.75" x14ac:dyDescent="0.2">
      <c r="A3949" s="31" t="s">
        <v>9617</v>
      </c>
      <c r="B3949" s="27" t="s">
        <v>9618</v>
      </c>
      <c r="C3949" s="27" t="s">
        <v>9608</v>
      </c>
      <c r="D3949" s="33" t="s">
        <v>14</v>
      </c>
      <c r="E3949" s="34">
        <v>2</v>
      </c>
      <c r="F3949" s="34">
        <v>22</v>
      </c>
      <c r="G3949" s="10">
        <v>76437</v>
      </c>
      <c r="H3949" s="30" t="str">
        <f ca="1">IFERROR(__xludf.DUMMYFUNCTION("LOWER(REGEXREPLACE(B3949&amp;"" ""&amp;C3949,""[^а-яa-z0-9 ]"","" ""))"),"типа       с одной ячейкой  размеры 400х500х1860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0" spans="1:8" ht="114.75" x14ac:dyDescent="0.2">
      <c r="A3950" s="31" t="s">
        <v>9619</v>
      </c>
      <c r="B3950" s="27" t="s">
        <v>9620</v>
      </c>
      <c r="C3950" s="27" t="s">
        <v>9608</v>
      </c>
      <c r="D3950" s="33" t="s">
        <v>14</v>
      </c>
      <c r="E3950" s="34">
        <v>2</v>
      </c>
      <c r="F3950" s="34">
        <v>17</v>
      </c>
      <c r="G3950" s="10">
        <v>76417</v>
      </c>
      <c r="H3950" s="30" t="str">
        <f ca="1">IFERROR(__xludf.DUMMYFUNCTION("LOWER(REGEXREPLACE(B3950&amp;"" ""&amp;C3950,""[^а-яa-z0-9 ]"","" ""))"),"типа       с одной ячейкой  размеры 460х380х1830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460х380х1830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1" spans="1:8" ht="114.75" x14ac:dyDescent="0.2">
      <c r="A3951" s="31" t="s">
        <v>9621</v>
      </c>
      <c r="B3951" s="27" t="s">
        <v>9622</v>
      </c>
      <c r="C3951" s="27" t="s">
        <v>9608</v>
      </c>
      <c r="D3951" s="33" t="s">
        <v>14</v>
      </c>
      <c r="E3951" s="34">
        <v>2</v>
      </c>
      <c r="F3951" s="34">
        <v>25</v>
      </c>
      <c r="G3951" s="10">
        <v>84084</v>
      </c>
      <c r="H3951" s="30" t="str">
        <f ca="1">IFERROR(__xludf.DUMMYFUNCTION("LOWER(REGEXREPLACE(B3951&amp;"" ""&amp;C3951,""[^а-яa-z0-9 ]"","" ""))"),"типа       с одной ячейкой  размеры 500х550х2000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замко"&amp;"м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500х550х2000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2" spans="1:8" ht="114.75" x14ac:dyDescent="0.2">
      <c r="A3952" s="31" t="s">
        <v>9623</v>
      </c>
      <c r="B3952" s="27" t="s">
        <v>9624</v>
      </c>
      <c r="C3952" s="27" t="s">
        <v>9625</v>
      </c>
      <c r="D3952" s="33" t="s">
        <v>14</v>
      </c>
      <c r="E3952" s="34">
        <v>2</v>
      </c>
      <c r="F3952" s="34">
        <v>17</v>
      </c>
      <c r="G3952" s="10">
        <v>83097</v>
      </c>
      <c r="H3952" s="30" t="str">
        <f ca="1">IFERROR(__xludf.DUMMYFUNCTION("LOWER(REGEXREPLACE(B3952&amp;"" ""&amp;C3952,""[^а-яa-z0-9 ]"","" ""))"),"типа       с одной ячейкой  размеры 300х500х1830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3" spans="1:8" ht="114.75" x14ac:dyDescent="0.2">
      <c r="A3953" s="31" t="s">
        <v>9626</v>
      </c>
      <c r="B3953" s="27" t="s">
        <v>9627</v>
      </c>
      <c r="C3953" s="27" t="s">
        <v>9625</v>
      </c>
      <c r="D3953" s="33" t="s">
        <v>14</v>
      </c>
      <c r="E3953" s="34">
        <v>2</v>
      </c>
      <c r="F3953" s="34">
        <v>15</v>
      </c>
      <c r="G3953" s="10">
        <v>77363</v>
      </c>
      <c r="H3953" s="30" t="str">
        <f ca="1">IFERROR(__xludf.DUMMYFUNCTION("LOWER(REGEXREPLACE(B3953&amp;"" ""&amp;C3953,""[^а-яa-z0-9 ]"","" ""))"),"типа       с одной ячейкой  размеры 300х400х1800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300х400х1800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4" spans="1:8" ht="114.75" x14ac:dyDescent="0.2">
      <c r="A3954" s="31" t="s">
        <v>9628</v>
      </c>
      <c r="B3954" s="27" t="s">
        <v>9629</v>
      </c>
      <c r="C3954" s="27" t="s">
        <v>9625</v>
      </c>
      <c r="D3954" s="33" t="s">
        <v>14</v>
      </c>
      <c r="E3954" s="34">
        <v>2</v>
      </c>
      <c r="F3954" s="34">
        <v>17</v>
      </c>
      <c r="G3954" s="10">
        <v>83097</v>
      </c>
      <c r="H3954" s="30" t="str">
        <f ca="1">IFERROR(__xludf.DUMMYFUNCTION("LOWER(REGEXREPLACE(B3954&amp;"" ""&amp;C3954,""[^а-яa-z0-9 ]"","" ""))"),"типа       с одной ячейкой  размеры 300х500х1860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5" spans="1:8" ht="114.75" x14ac:dyDescent="0.2">
      <c r="A3955" s="31" t="s">
        <v>9630</v>
      </c>
      <c r="B3955" s="27" t="s">
        <v>9631</v>
      </c>
      <c r="C3955" s="27" t="s">
        <v>9625</v>
      </c>
      <c r="D3955" s="33" t="s">
        <v>14</v>
      </c>
      <c r="E3955" s="34">
        <v>2</v>
      </c>
      <c r="F3955" s="34">
        <v>18</v>
      </c>
      <c r="G3955" s="10">
        <v>83101</v>
      </c>
      <c r="H3955" s="30" t="str">
        <f ca="1">IFERROR(__xludf.DUMMYFUNCTION("LOWER(REGEXREPLACE(B3955&amp;"" ""&amp;C3955,""[^а-яa-z0-9 ]"","" ""))"),"типа       с одной ячейкой  размеры 325х500х1800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325х500х1800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6" spans="1:8" ht="114.75" x14ac:dyDescent="0.2">
      <c r="A3956" s="31" t="s">
        <v>9632</v>
      </c>
      <c r="B3956" s="27" t="s">
        <v>9633</v>
      </c>
      <c r="C3956" s="27" t="s">
        <v>9625</v>
      </c>
      <c r="D3956" s="33" t="s">
        <v>14</v>
      </c>
      <c r="E3956" s="34">
        <v>2</v>
      </c>
      <c r="F3956" s="34">
        <v>20</v>
      </c>
      <c r="G3956" s="10">
        <v>90744</v>
      </c>
      <c r="H3956" s="30" t="str">
        <f ca="1">IFERROR(__xludf.DUMMYFUNCTION("LOWER(REGEXREPLACE(B3956&amp;"" ""&amp;C3956,""[^а-яa-z0-9 ]"","" ""))"),"типа       с одной ячейкой  размеры 400х500х1830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7" spans="1:8" ht="114.75" x14ac:dyDescent="0.2">
      <c r="A3957" s="31" t="s">
        <v>9634</v>
      </c>
      <c r="B3957" s="27" t="s">
        <v>9635</v>
      </c>
      <c r="C3957" s="27" t="s">
        <v>9625</v>
      </c>
      <c r="D3957" s="33" t="s">
        <v>14</v>
      </c>
      <c r="E3957" s="34">
        <v>2</v>
      </c>
      <c r="F3957" s="34">
        <v>22</v>
      </c>
      <c r="G3957" s="10">
        <v>90752</v>
      </c>
      <c r="H3957" s="30" t="str">
        <f ca="1">IFERROR(__xludf.DUMMYFUNCTION("LOWER(REGEXREPLACE(B3957&amp;"" ""&amp;C3957,""[^а-яa-z0-9 ]"","" ""))"),"типа       с одной ячейкой  размеры 400х500х1860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8" spans="1:8" ht="114.75" x14ac:dyDescent="0.2">
      <c r="A3958" s="31" t="s">
        <v>9636</v>
      </c>
      <c r="B3958" s="27" t="s">
        <v>9637</v>
      </c>
      <c r="C3958" s="27" t="s">
        <v>9625</v>
      </c>
      <c r="D3958" s="33" t="s">
        <v>14</v>
      </c>
      <c r="E3958" s="34">
        <v>2</v>
      </c>
      <c r="F3958" s="34">
        <v>17</v>
      </c>
      <c r="G3958" s="10">
        <v>90732</v>
      </c>
      <c r="H3958" s="30" t="str">
        <f ca="1">IFERROR(__xludf.DUMMYFUNCTION("LOWER(REGEXREPLACE(B3958&amp;"" ""&amp;C3958,""[^а-яa-z0-9 ]"","" ""))"),"типа       с одной ячейкой  размеры 460х380х1830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460х380х1830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59" spans="1:8" ht="114.75" x14ac:dyDescent="0.2">
      <c r="A3959" s="31" t="s">
        <v>9638</v>
      </c>
      <c r="B3959" s="27" t="s">
        <v>9639</v>
      </c>
      <c r="C3959" s="27" t="s">
        <v>9625</v>
      </c>
      <c r="D3959" s="33" t="s">
        <v>14</v>
      </c>
      <c r="E3959" s="34">
        <v>2</v>
      </c>
      <c r="F3959" s="34">
        <v>25</v>
      </c>
      <c r="G3959" s="10">
        <v>98399</v>
      </c>
      <c r="H3959" s="30" t="str">
        <f ca="1">IFERROR(__xludf.DUMMYFUNCTION("LOWER(REGEXREPLACE(B3959&amp;"" ""&amp;C3959,""[^а-яa-z0-9 ]"","" ""))"),"типа       с одной ячейкой  размеры 500х550х2000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индивидуа"&amp;"льным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проч"&amp;"ности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одной ячейкой  размеры 500х550х2000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60" spans="1:8" ht="127.5" x14ac:dyDescent="0.2">
      <c r="A3960" s="31" t="s">
        <v>9640</v>
      </c>
      <c r="B3960" s="27" t="s">
        <v>9641</v>
      </c>
      <c r="C3960" s="27" t="s">
        <v>9642</v>
      </c>
      <c r="D3960" s="33" t="s">
        <v>14</v>
      </c>
      <c r="E3960" s="34">
        <v>2</v>
      </c>
      <c r="F3960" s="34">
        <v>17</v>
      </c>
      <c r="G3960" s="10">
        <v>78936</v>
      </c>
      <c r="H3960" s="30" t="str">
        <f ca="1">IFERROR(__xludf.DUMMYFUNCTION("LOWER(REGEXREPLACE(B3960&amp;"" ""&amp;C3960,""[^а-яa-z0-9 ]"","" ""))"),"типа       с двумя ячейками  размеры 300х500х1830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300х500х1830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1" spans="1:8" ht="127.5" x14ac:dyDescent="0.2">
      <c r="A3961" s="31" t="s">
        <v>9643</v>
      </c>
      <c r="B3961" s="27" t="s">
        <v>9644</v>
      </c>
      <c r="C3961" s="27" t="s">
        <v>9642</v>
      </c>
      <c r="D3961" s="33" t="s">
        <v>14</v>
      </c>
      <c r="E3961" s="34">
        <v>2</v>
      </c>
      <c r="F3961" s="34">
        <v>17</v>
      </c>
      <c r="G3961" s="10">
        <v>102184</v>
      </c>
      <c r="H3961" s="30" t="str">
        <f ca="1">IFERROR(__xludf.DUMMYFUNCTION("LOWER(REGEXREPLACE(B3961&amp;"" ""&amp;C3961,""[^а-яa-z0-9 ]"","" ""))"),"типа       с двумя ячейками  размеры 400х500х1830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2" spans="1:8" ht="127.5" x14ac:dyDescent="0.2">
      <c r="A3962" s="31" t="s">
        <v>9645</v>
      </c>
      <c r="B3962" s="27" t="s">
        <v>9646</v>
      </c>
      <c r="C3962" s="27" t="s">
        <v>9642</v>
      </c>
      <c r="D3962" s="33" t="s">
        <v>14</v>
      </c>
      <c r="E3962" s="34">
        <v>2</v>
      </c>
      <c r="F3962" s="34">
        <v>23</v>
      </c>
      <c r="G3962" s="10">
        <v>129884</v>
      </c>
      <c r="H3962" s="30" t="str">
        <f ca="1">IFERROR(__xludf.DUMMYFUNCTION("LOWER(REGEXREPLACE(B3962&amp;"" ""&amp;C3962,""[^а-яa-z0-9 ]"","" ""))"),"типа       с двумя ячейками  размеры 400х500х2300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400х500х2300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3" spans="1:8" ht="127.5" x14ac:dyDescent="0.2">
      <c r="A3963" s="31" t="s">
        <v>9647</v>
      </c>
      <c r="B3963" s="27" t="s">
        <v>9648</v>
      </c>
      <c r="C3963" s="27" t="s">
        <v>9649</v>
      </c>
      <c r="D3963" s="33" t="s">
        <v>14</v>
      </c>
      <c r="E3963" s="34">
        <v>2</v>
      </c>
      <c r="F3963" s="34">
        <v>17</v>
      </c>
      <c r="G3963" s="10">
        <v>77027</v>
      </c>
      <c r="H3963" s="30" t="str">
        <f ca="1">IFERROR(__xludf.DUMMYFUNCTION("LOWER(REGEXREPLACE(B3963&amp;"" ""&amp;C3963,""[^а-яa-z0-9 ]"","" ""))"),"типа       с двумя ячейками  размеры 300х500х1830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краше"&amp;"н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показа"&amp;"телями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300х500х1830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4" spans="1:8" ht="140.25" x14ac:dyDescent="0.2">
      <c r="A3964" s="31" t="s">
        <v>9650</v>
      </c>
      <c r="B3964" s="27" t="s">
        <v>9651</v>
      </c>
      <c r="C3964" s="27" t="s">
        <v>9652</v>
      </c>
      <c r="D3964" s="33" t="s">
        <v>14</v>
      </c>
      <c r="E3964" s="34">
        <v>2</v>
      </c>
      <c r="F3964" s="34">
        <v>23</v>
      </c>
      <c r="G3964" s="10">
        <v>100300</v>
      </c>
      <c r="H3964" s="30" t="str">
        <f ca="1">IFERROR(__xludf.DUMMYFUNCTION("LOWER(REGEXREPLACE(B3964&amp;"" ""&amp;C3964,""[^а-яa-z0-9 ]"","" ""))"),"типа       с двумя ячейками  размеры 400х500х1830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краше"&amp;"н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показа"&amp;"телями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5" spans="1:8" ht="140.25" x14ac:dyDescent="0.2">
      <c r="A3965" s="31" t="s">
        <v>9653</v>
      </c>
      <c r="B3965" s="27" t="s">
        <v>9654</v>
      </c>
      <c r="C3965" s="27" t="s">
        <v>9652</v>
      </c>
      <c r="D3965" s="33" t="s">
        <v>14</v>
      </c>
      <c r="E3965" s="34">
        <v>2</v>
      </c>
      <c r="F3965" s="34">
        <v>23</v>
      </c>
      <c r="G3965" s="10">
        <v>127943</v>
      </c>
      <c r="H3965" s="30" t="str">
        <f ca="1">IFERROR(__xludf.DUMMYFUNCTION("LOWER(REGEXREPLACE(B3965&amp;"" ""&amp;C3965,""[^а-яa-z0-9 ]"","" ""))"),"типа       с двумя ячейками  размеры 400х500х2300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краше"&amp;"н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показа"&amp;"телями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400х500х2300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6" spans="1:8" ht="127.5" x14ac:dyDescent="0.2">
      <c r="A3966" s="31" t="s">
        <v>9655</v>
      </c>
      <c r="B3966" s="27" t="s">
        <v>9656</v>
      </c>
      <c r="C3966" s="27" t="s">
        <v>9657</v>
      </c>
      <c r="D3966" s="33" t="s">
        <v>14</v>
      </c>
      <c r="E3966" s="34">
        <v>2</v>
      </c>
      <c r="F3966" s="34">
        <v>17</v>
      </c>
      <c r="G3966" s="10">
        <v>105658</v>
      </c>
      <c r="H3966" s="30" t="str">
        <f ca="1">IFERROR(__xludf.DUMMYFUNCTION("LOWER(REGEXREPLACE(B3966&amp;"" ""&amp;C3966,""[^а-яa-z0-9 ]"","" ""))"),"типа       с двумя ячейками  размеры 300х500х1830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300х500х1830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7" spans="1:8" ht="127.5" x14ac:dyDescent="0.2">
      <c r="A3967" s="31" t="s">
        <v>9658</v>
      </c>
      <c r="B3967" s="27" t="s">
        <v>9659</v>
      </c>
      <c r="C3967" s="27" t="s">
        <v>9657</v>
      </c>
      <c r="D3967" s="33" t="s">
        <v>14</v>
      </c>
      <c r="E3967" s="34">
        <v>2</v>
      </c>
      <c r="F3967" s="34">
        <v>17</v>
      </c>
      <c r="G3967" s="10">
        <v>128906</v>
      </c>
      <c r="H3967" s="30" t="str">
        <f ca="1">IFERROR(__xludf.DUMMYFUNCTION("LOWER(REGEXREPLACE(B3967&amp;"" ""&amp;C3967,""[^а-яa-z0-9 ]"","" ""))"),"типа       с двумя ячейками  размеры 400х500х1830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8" spans="1:8" ht="127.5" x14ac:dyDescent="0.2">
      <c r="A3968" s="31" t="s">
        <v>9660</v>
      </c>
      <c r="B3968" s="27" t="s">
        <v>9661</v>
      </c>
      <c r="C3968" s="27" t="s">
        <v>9657</v>
      </c>
      <c r="D3968" s="33" t="s">
        <v>14</v>
      </c>
      <c r="E3968" s="34">
        <v>2</v>
      </c>
      <c r="F3968" s="34">
        <v>23</v>
      </c>
      <c r="G3968" s="10">
        <v>156606</v>
      </c>
      <c r="H3968" s="30" t="str">
        <f ca="1">IFERROR(__xludf.DUMMYFUNCTION("LOWER(REGEXREPLACE(B3968&amp;"" ""&amp;C3968,""[^а-яa-z0-9 ]"","" ""))"),"типа       с двумя ячейками  размеры 400х500х2300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двумя ячейками  размеры 400х500х2300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69" spans="1:8" ht="76.5" x14ac:dyDescent="0.2">
      <c r="A3969" s="31" t="s">
        <v>9662</v>
      </c>
      <c r="B3969" s="27" t="s">
        <v>9663</v>
      </c>
      <c r="C3969" s="27" t="s">
        <v>9664</v>
      </c>
      <c r="D3969" s="33" t="s">
        <v>14</v>
      </c>
      <c r="E3969" s="34">
        <v>2</v>
      </c>
      <c r="F3969" s="34">
        <v>18</v>
      </c>
      <c r="G3969" s="10">
        <v>105051</v>
      </c>
      <c r="H3969" s="30" t="str">
        <f ca="1">IFERROR(__xludf.DUMMYFUNCTION("LOWER(REGEXREPLACE(B3969&amp;"" ""&amp;C3969,""[^а-яa-z0-9 ]"","" ""))"),"типа       с четырьмя ячейками  размеры 300х500х1830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300х500х1830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0" spans="1:8" ht="76.5" x14ac:dyDescent="0.2">
      <c r="A3970" s="31" t="s">
        <v>9665</v>
      </c>
      <c r="B3970" s="27" t="s">
        <v>9666</v>
      </c>
      <c r="C3970" s="27" t="s">
        <v>9664</v>
      </c>
      <c r="D3970" s="33" t="s">
        <v>14</v>
      </c>
      <c r="E3970" s="34">
        <v>2</v>
      </c>
      <c r="F3970" s="34">
        <v>11</v>
      </c>
      <c r="G3970" s="10">
        <v>69712</v>
      </c>
      <c r="H3970" s="30" t="str">
        <f ca="1">IFERROR(__xludf.DUMMYFUNCTION("LOWER(REGEXREPLACE(B3970&amp;"" ""&amp;C3970,""[^а-яa-z0-9 ]"","" ""))"),"типа       с четырьмя ячейками  размеры 250х300х1500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250х300х1500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1" spans="1:8" ht="76.5" x14ac:dyDescent="0.2">
      <c r="A3971" s="31" t="s">
        <v>9667</v>
      </c>
      <c r="B3971" s="27" t="s">
        <v>9668</v>
      </c>
      <c r="C3971" s="27" t="s">
        <v>9664</v>
      </c>
      <c r="D3971" s="33" t="s">
        <v>14</v>
      </c>
      <c r="E3971" s="34">
        <v>2</v>
      </c>
      <c r="F3971" s="34">
        <v>11</v>
      </c>
      <c r="G3971" s="10">
        <v>76392</v>
      </c>
      <c r="H3971" s="30" t="str">
        <f ca="1">IFERROR(__xludf.DUMMYFUNCTION("LOWER(REGEXREPLACE(B3971&amp;"" ""&amp;C3971,""[^а-яa-z0-9 ]"","" ""))"),"типа       с четырьмя ячейками  размеры 250х300х1600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250х300х1600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2" spans="1:8" ht="76.5" x14ac:dyDescent="0.2">
      <c r="A3972" s="31" t="s">
        <v>9669</v>
      </c>
      <c r="B3972" s="27" t="s">
        <v>9670</v>
      </c>
      <c r="C3972" s="27" t="s">
        <v>9671</v>
      </c>
      <c r="D3972" s="33" t="s">
        <v>14</v>
      </c>
      <c r="E3972" s="34">
        <v>2</v>
      </c>
      <c r="F3972" s="34">
        <v>18</v>
      </c>
      <c r="G3972" s="10">
        <v>83101</v>
      </c>
      <c r="H3972" s="30" t="str">
        <f ca="1">IFERROR(__xludf.DUMMYFUNCTION("LOWER(REGEXREPLACE(B3972&amp;"" ""&amp;C3972,""[^а-яa-z0-9 ]"","" ""))"),"типа       с четырьмя ячейками  размеры 300х300х1500 мм  индивидуальный замок   ертушка   онструкция  модульная  сборно разборная из  листовой стали  не менее 0 7 мм   крашен   снащен индивидуальным  замком   ертушка    вери снабжены декоративными вентиля"&amp;"ционными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300х300х1500 мм  индивидуальный замок   ертушка   онструкция  модульная  сборно разборная из  листовой стали  не менее 0 7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3" spans="1:8" ht="76.5" x14ac:dyDescent="0.2">
      <c r="A3973" s="31" t="s">
        <v>9672</v>
      </c>
      <c r="B3973" s="27" t="s">
        <v>9673</v>
      </c>
      <c r="C3973" s="27" t="s">
        <v>9674</v>
      </c>
      <c r="D3973" s="33" t="s">
        <v>14</v>
      </c>
      <c r="E3973" s="34">
        <v>2</v>
      </c>
      <c r="F3973" s="34">
        <v>18</v>
      </c>
      <c r="G3973" s="10">
        <v>101234</v>
      </c>
      <c r="H3973" s="30" t="str">
        <f ca="1">IFERROR(__xludf.DUMMYFUNCTION("LOWER(REGEXREPLACE(B3973&amp;"" ""&amp;C3973,""[^а-яa-z0-9 ]"","" ""))"),"типа       с четырьмя ячейками  размеры 300х500х1830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300х500х1830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4" spans="1:8" ht="76.5" x14ac:dyDescent="0.2">
      <c r="A3974" s="31" t="s">
        <v>9675</v>
      </c>
      <c r="B3974" s="27" t="s">
        <v>9676</v>
      </c>
      <c r="C3974" s="27" t="s">
        <v>9674</v>
      </c>
      <c r="D3974" s="33" t="s">
        <v>14</v>
      </c>
      <c r="E3974" s="34">
        <v>2</v>
      </c>
      <c r="F3974" s="34">
        <v>11</v>
      </c>
      <c r="G3974" s="10">
        <v>65895</v>
      </c>
      <c r="H3974" s="30" t="str">
        <f ca="1">IFERROR(__xludf.DUMMYFUNCTION("LOWER(REGEXREPLACE(B3974&amp;"" ""&amp;C3974,""[^а-яa-z0-9 ]"","" ""))"),"типа       с четырьмя ячейками  размеры 250х300х1500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250х300х1500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5" spans="1:8" ht="76.5" x14ac:dyDescent="0.2">
      <c r="A3975" s="31" t="s">
        <v>9677</v>
      </c>
      <c r="B3975" s="27" t="s">
        <v>9678</v>
      </c>
      <c r="C3975" s="27" t="s">
        <v>9674</v>
      </c>
      <c r="D3975" s="33" t="s">
        <v>14</v>
      </c>
      <c r="E3975" s="34">
        <v>2</v>
      </c>
      <c r="F3975" s="34">
        <v>11</v>
      </c>
      <c r="G3975" s="10">
        <v>72575</v>
      </c>
      <c r="H3975" s="30" t="str">
        <f ca="1">IFERROR(__xludf.DUMMYFUNCTION("LOWER(REGEXREPLACE(B3975&amp;"" ""&amp;C3975,""[^а-яa-z0-9 ]"","" ""))"),"типа       с четырьмя ячейками  размеры 250х300х1600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250х300х1600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3976" spans="1:8" ht="102" x14ac:dyDescent="0.2">
      <c r="A3976" s="31" t="s">
        <v>9679</v>
      </c>
      <c r="B3976" s="27" t="s">
        <v>9680</v>
      </c>
      <c r="C3976" s="27" t="s">
        <v>9681</v>
      </c>
      <c r="D3976" s="33" t="s">
        <v>14</v>
      </c>
      <c r="E3976" s="34">
        <v>2</v>
      </c>
      <c r="F3976" s="34">
        <v>18</v>
      </c>
      <c r="G3976" s="10">
        <v>158495</v>
      </c>
      <c r="H3976" s="30" t="str">
        <f ca="1">IFERROR(__xludf.DUMMYFUNCTION("LOWER(REGEXREPLACE(B3976&amp;"" ""&amp;C3976,""[^а-яa-z0-9 ]"","" ""))"),"типа       с четырьмя ячейками  размеры 300х500х1830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пальчиков"&amp;"ых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четырьмя ячейками  размеры 300х500х1830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77" spans="1:8" ht="102" x14ac:dyDescent="0.2">
      <c r="A3977" s="31" t="s">
        <v>9682</v>
      </c>
      <c r="B3977" s="27" t="s">
        <v>9683</v>
      </c>
      <c r="C3977" s="27" t="s">
        <v>9681</v>
      </c>
      <c r="D3977" s="33" t="s">
        <v>14</v>
      </c>
      <c r="E3977" s="34">
        <v>2</v>
      </c>
      <c r="F3977" s="34">
        <v>11</v>
      </c>
      <c r="G3977" s="10">
        <v>123155</v>
      </c>
      <c r="H3977" s="30" t="str">
        <f ca="1">IFERROR(__xludf.DUMMYFUNCTION("LOWER(REGEXREPLACE(B3977&amp;"" ""&amp;C3977,""[^а-яa-z0-9 ]"","" ""))"),"типа       с четырьмя ячейками  размеры 250х300х1500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пальчиков"&amp;"ых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четырьмя ячейками  размеры 250х300х1500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78" spans="1:8" ht="102" x14ac:dyDescent="0.2">
      <c r="A3978" s="31" t="s">
        <v>9684</v>
      </c>
      <c r="B3978" s="27" t="s">
        <v>9685</v>
      </c>
      <c r="C3978" s="27" t="s">
        <v>9681</v>
      </c>
      <c r="D3978" s="33" t="s">
        <v>14</v>
      </c>
      <c r="E3978" s="34">
        <v>2</v>
      </c>
      <c r="F3978" s="34">
        <v>11</v>
      </c>
      <c r="G3978" s="10">
        <v>129836</v>
      </c>
      <c r="H3978" s="30" t="str">
        <f ca="1">IFERROR(__xludf.DUMMYFUNCTION("LOWER(REGEXREPLACE(B3978&amp;"" ""&amp;C3978,""[^а-яa-z0-9 ]"","" ""))"),"типа       с четырьмя ячейками  размеры 250х300х1600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пальчиков"&amp;"ых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ультраф"&amp;"иолетовому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четырьмя ячейками  размеры 250х300х1600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79" spans="1:8" ht="12.75" x14ac:dyDescent="0.2">
      <c r="A3979" s="31" t="s">
        <v>9686</v>
      </c>
      <c r="B3979" s="27" t="s">
        <v>9687</v>
      </c>
      <c r="C3979" s="27"/>
      <c r="D3979" s="33" t="s">
        <v>14</v>
      </c>
      <c r="E3979" s="9"/>
      <c r="F3979" s="32"/>
      <c r="G3979" s="10"/>
      <c r="H3979" s="30" t="str">
        <f ca="1">IFERROR(__xludf.DUMMYFUNCTION("LOWER(REGEXREPLACE(B3979&amp;"" ""&amp;C3979,""[^а-яa-z0-9 ]"","" ""))")," каф металлический двухсекционный ")</f>
        <v xml:space="preserve"> каф металлический двухсекционный </v>
      </c>
    </row>
    <row r="3980" spans="1:8" ht="114.75" x14ac:dyDescent="0.2">
      <c r="A3980" s="31" t="s">
        <v>9688</v>
      </c>
      <c r="B3980" s="27" t="s">
        <v>9689</v>
      </c>
      <c r="C3980" s="27" t="s">
        <v>9690</v>
      </c>
      <c r="D3980" s="33" t="s">
        <v>14</v>
      </c>
      <c r="E3980" s="34">
        <v>2</v>
      </c>
      <c r="F3980" s="34">
        <v>29</v>
      </c>
      <c r="G3980" s="10">
        <v>95552</v>
      </c>
      <c r="H3980" s="30" t="str">
        <f ca="1">IFERROR(__xludf.DUMMYFUNCTION("LOWER(REGEXREPLACE(B3980&amp;"" ""&amp;C3980,""[^а-яa-z0-9 ]"","" ""))"),"типа       с двумя ячейками  размеры 575х500х1830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1" spans="1:8" ht="114.75" x14ac:dyDescent="0.2">
      <c r="A3981" s="31" t="s">
        <v>9691</v>
      </c>
      <c r="B3981" s="27" t="s">
        <v>9692</v>
      </c>
      <c r="C3981" s="27" t="s">
        <v>9690</v>
      </c>
      <c r="D3981" s="33" t="s">
        <v>14</v>
      </c>
      <c r="E3981" s="34">
        <v>2</v>
      </c>
      <c r="F3981" s="34">
        <v>24</v>
      </c>
      <c r="G3981" s="10">
        <v>78354</v>
      </c>
      <c r="H3981" s="30" t="str">
        <f ca="1">IFERROR(__xludf.DUMMYFUNCTION("LOWER(REGEXREPLACE(B3981&amp;"" ""&amp;C3981,""[^а-яa-z0-9 ]"","" ""))"),"типа       с двумя ячейками  размеры 418х500х1830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418х500х1830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2" spans="1:8" ht="114.75" x14ac:dyDescent="0.2">
      <c r="A3982" s="31" t="s">
        <v>9693</v>
      </c>
      <c r="B3982" s="27" t="s">
        <v>9694</v>
      </c>
      <c r="C3982" s="27" t="s">
        <v>9690</v>
      </c>
      <c r="D3982" s="33" t="s">
        <v>14</v>
      </c>
      <c r="E3982" s="34">
        <v>2</v>
      </c>
      <c r="F3982" s="34">
        <v>25</v>
      </c>
      <c r="G3982" s="10">
        <v>86947</v>
      </c>
      <c r="H3982" s="30" t="str">
        <f ca="1">IFERROR(__xludf.DUMMYFUNCTION("LOWER(REGEXREPLACE(B3982&amp;"" ""&amp;C3982,""[^а-яa-z0-9 ]"","" ""))"),"типа       с двумя ячейками  размеры 575х500х1500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3" spans="1:8" ht="114.75" x14ac:dyDescent="0.2">
      <c r="A3983" s="31" t="s">
        <v>9695</v>
      </c>
      <c r="B3983" s="27" t="s">
        <v>9696</v>
      </c>
      <c r="C3983" s="27" t="s">
        <v>9690</v>
      </c>
      <c r="D3983" s="33" t="s">
        <v>14</v>
      </c>
      <c r="E3983" s="34">
        <v>2</v>
      </c>
      <c r="F3983" s="34">
        <v>25</v>
      </c>
      <c r="G3983" s="10">
        <v>82175</v>
      </c>
      <c r="H3983" s="30" t="str">
        <f ca="1">IFERROR(__xludf.DUMMYFUNCTION("LOWER(REGEXREPLACE(B3983&amp;"" ""&amp;C3983,""[^а-яa-z0-9 ]"","" ""))"),"типа       с двумя ячейками  размеры 600х500х1500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4" spans="1:8" ht="114.75" x14ac:dyDescent="0.2">
      <c r="A3984" s="31" t="s">
        <v>9697</v>
      </c>
      <c r="B3984" s="27" t="s">
        <v>9698</v>
      </c>
      <c r="C3984" s="27" t="s">
        <v>9690</v>
      </c>
      <c r="D3984" s="33" t="s">
        <v>14</v>
      </c>
      <c r="E3984" s="34">
        <v>2</v>
      </c>
      <c r="F3984" s="34">
        <v>28</v>
      </c>
      <c r="G3984" s="10">
        <v>92685</v>
      </c>
      <c r="H3984" s="30" t="str">
        <f ca="1">IFERROR(__xludf.DUMMYFUNCTION("LOWER(REGEXREPLACE(B3984&amp;"" ""&amp;C3984,""[^а-яa-z0-9 ]"","" ""))"),"типа       с двумя ячейками  размеры 600х500х1760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600х500х1760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5" spans="1:8" ht="114.75" x14ac:dyDescent="0.2">
      <c r="A3985" s="31" t="s">
        <v>9699</v>
      </c>
      <c r="B3985" s="27" t="s">
        <v>9700</v>
      </c>
      <c r="C3985" s="27" t="s">
        <v>9690</v>
      </c>
      <c r="D3985" s="33" t="s">
        <v>14</v>
      </c>
      <c r="E3985" s="34">
        <v>2</v>
      </c>
      <c r="F3985" s="34">
        <v>30</v>
      </c>
      <c r="G3985" s="10">
        <v>98420</v>
      </c>
      <c r="H3985" s="30" t="str">
        <f ca="1">IFERROR(__xludf.DUMMYFUNCTION("LOWER(REGEXREPLACE(B3985&amp;"" ""&amp;C3985,""[^а-яa-z0-9 ]"","" ""))"),"типа       с двумя ячейками  размеры 600х500х1830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6" spans="1:8" ht="114.75" x14ac:dyDescent="0.2">
      <c r="A3986" s="31" t="s">
        <v>9701</v>
      </c>
      <c r="B3986" s="27" t="s">
        <v>9702</v>
      </c>
      <c r="C3986" s="27" t="s">
        <v>9690</v>
      </c>
      <c r="D3986" s="33" t="s">
        <v>14</v>
      </c>
      <c r="E3986" s="34">
        <v>2</v>
      </c>
      <c r="F3986" s="34">
        <v>35</v>
      </c>
      <c r="G3986" s="10">
        <v>114664</v>
      </c>
      <c r="H3986" s="30" t="str">
        <f ca="1">IFERROR(__xludf.DUMMYFUNCTION("LOWER(REGEXREPLACE(B3986&amp;"" ""&amp;C3986,""[^а-яa-z0-9 ]"","" ""))"),"типа       с двумя ячейками  размеры 800х500х1830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7" spans="1:8" ht="114.75" x14ac:dyDescent="0.2">
      <c r="A3987" s="31" t="s">
        <v>9703</v>
      </c>
      <c r="B3987" s="27" t="s">
        <v>9704</v>
      </c>
      <c r="C3987" s="27" t="s">
        <v>9690</v>
      </c>
      <c r="D3987" s="33" t="s">
        <v>14</v>
      </c>
      <c r="E3987" s="34">
        <v>2</v>
      </c>
      <c r="F3987" s="34">
        <v>35</v>
      </c>
      <c r="G3987" s="10">
        <v>114664</v>
      </c>
      <c r="H3987" s="30" t="str">
        <f ca="1">IFERROR(__xludf.DUMMYFUNCTION("LOWER(REGEXREPLACE(B3987&amp;"" ""&amp;C3987,""[^а-яa-z0-9 ]"","" ""))"),"типа       с двумя ячейками  размеры 800х500х1860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8" spans="1:8" ht="114.75" x14ac:dyDescent="0.2">
      <c r="A3988" s="31" t="s">
        <v>9705</v>
      </c>
      <c r="B3988" s="27" t="s">
        <v>9706</v>
      </c>
      <c r="C3988" s="27" t="s">
        <v>9707</v>
      </c>
      <c r="D3988" s="33" t="s">
        <v>14</v>
      </c>
      <c r="E3988" s="34">
        <v>2</v>
      </c>
      <c r="F3988" s="34">
        <v>29</v>
      </c>
      <c r="G3988" s="10">
        <v>93644</v>
      </c>
      <c r="H3988" s="30" t="str">
        <f ca="1">IFERROR(__xludf.DUMMYFUNCTION("LOWER(REGEXREPLACE(B3988&amp;"" ""&amp;C3988,""[^а-яa-z0-9 ]"","" ""))"),"типа       с двумя ячейками  размеры 575х500х1830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89" spans="1:8" ht="114.75" x14ac:dyDescent="0.2">
      <c r="A3989" s="31" t="s">
        <v>9708</v>
      </c>
      <c r="B3989" s="27" t="s">
        <v>9709</v>
      </c>
      <c r="C3989" s="27" t="s">
        <v>9707</v>
      </c>
      <c r="D3989" s="33" t="s">
        <v>14</v>
      </c>
      <c r="E3989" s="34">
        <v>2</v>
      </c>
      <c r="F3989" s="34">
        <v>24</v>
      </c>
      <c r="G3989" s="10">
        <v>76445</v>
      </c>
      <c r="H3989" s="30" t="str">
        <f ca="1">IFERROR(__xludf.DUMMYFUNCTION("LOWER(REGEXREPLACE(B3989&amp;"" ""&amp;C3989,""[^а-яa-z0-9 ]"","" ""))"),"типа       с двумя ячейками  размеры 418х500х1830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418х500х1830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0" spans="1:8" ht="114.75" x14ac:dyDescent="0.2">
      <c r="A3990" s="31" t="s">
        <v>9710</v>
      </c>
      <c r="B3990" s="27" t="s">
        <v>9711</v>
      </c>
      <c r="C3990" s="27" t="s">
        <v>9707</v>
      </c>
      <c r="D3990" s="33" t="s">
        <v>14</v>
      </c>
      <c r="E3990" s="34">
        <v>2</v>
      </c>
      <c r="F3990" s="34">
        <v>25</v>
      </c>
      <c r="G3990" s="10">
        <v>85038</v>
      </c>
      <c r="H3990" s="30" t="str">
        <f ca="1">IFERROR(__xludf.DUMMYFUNCTION("LOWER(REGEXREPLACE(B3990&amp;"" ""&amp;C3990,""[^а-яa-z0-9 ]"","" ""))"),"типа       с двумя ячейками  размеры 575х500х1500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1" spans="1:8" ht="114.75" x14ac:dyDescent="0.2">
      <c r="A3991" s="31" t="s">
        <v>9712</v>
      </c>
      <c r="B3991" s="27" t="s">
        <v>9713</v>
      </c>
      <c r="C3991" s="27" t="s">
        <v>9707</v>
      </c>
      <c r="D3991" s="33" t="s">
        <v>14</v>
      </c>
      <c r="E3991" s="34">
        <v>2</v>
      </c>
      <c r="F3991" s="34">
        <v>25</v>
      </c>
      <c r="G3991" s="10">
        <v>80267</v>
      </c>
      <c r="H3991" s="30" t="str">
        <f ca="1">IFERROR(__xludf.DUMMYFUNCTION("LOWER(REGEXREPLACE(B3991&amp;"" ""&amp;C3991,""[^а-яa-z0-9 ]"","" ""))"),"типа       с двумя ячейками  размеры 600х500х1500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2" spans="1:8" ht="114.75" x14ac:dyDescent="0.2">
      <c r="A3992" s="31" t="s">
        <v>9714</v>
      </c>
      <c r="B3992" s="27" t="s">
        <v>9715</v>
      </c>
      <c r="C3992" s="27" t="s">
        <v>9707</v>
      </c>
      <c r="D3992" s="33" t="s">
        <v>14</v>
      </c>
      <c r="E3992" s="34">
        <v>2</v>
      </c>
      <c r="F3992" s="34">
        <v>28</v>
      </c>
      <c r="G3992" s="10">
        <v>90777</v>
      </c>
      <c r="H3992" s="30" t="str">
        <f ca="1">IFERROR(__xludf.DUMMYFUNCTION("LOWER(REGEXREPLACE(B3992&amp;"" ""&amp;C3992,""[^а-яa-z0-9 ]"","" ""))"),"типа       с двумя ячейками  размеры 600х500х1760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600х500х1760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3" spans="1:8" ht="114.75" x14ac:dyDescent="0.2">
      <c r="A3993" s="31" t="s">
        <v>9716</v>
      </c>
      <c r="B3993" s="27" t="s">
        <v>9717</v>
      </c>
      <c r="C3993" s="27" t="s">
        <v>9707</v>
      </c>
      <c r="D3993" s="33" t="s">
        <v>14</v>
      </c>
      <c r="E3993" s="34">
        <v>2</v>
      </c>
      <c r="F3993" s="34">
        <v>30</v>
      </c>
      <c r="G3993" s="10">
        <v>96511</v>
      </c>
      <c r="H3993" s="30" t="str">
        <f ca="1">IFERROR(__xludf.DUMMYFUNCTION("LOWER(REGEXREPLACE(B3993&amp;"" ""&amp;C3993,""[^а-яa-z0-9 ]"","" ""))"),"типа       с двумя ячейками  размеры 600х500х1830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4" spans="1:8" ht="114.75" x14ac:dyDescent="0.2">
      <c r="A3994" s="31" t="s">
        <v>9718</v>
      </c>
      <c r="B3994" s="27" t="s">
        <v>9719</v>
      </c>
      <c r="C3994" s="27" t="s">
        <v>9707</v>
      </c>
      <c r="D3994" s="33" t="s">
        <v>14</v>
      </c>
      <c r="E3994" s="34">
        <v>2</v>
      </c>
      <c r="F3994" s="34">
        <v>32</v>
      </c>
      <c r="G3994" s="10">
        <v>112743</v>
      </c>
      <c r="H3994" s="30" t="str">
        <f ca="1">IFERROR(__xludf.DUMMYFUNCTION("LOWER(REGEXREPLACE(B3994&amp;"" ""&amp;C3994,""[^а-яa-z0-9 ]"","" ""))"),"типа       с двумя ячейками  размеры 800х500х1830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у"&amp;"стойчивое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5" spans="1:8" ht="127.5" x14ac:dyDescent="0.2">
      <c r="A3995" s="31" t="s">
        <v>9720</v>
      </c>
      <c r="B3995" s="27" t="s">
        <v>9721</v>
      </c>
      <c r="C3995" s="27" t="s">
        <v>9722</v>
      </c>
      <c r="D3995" s="33" t="s">
        <v>14</v>
      </c>
      <c r="E3995" s="34">
        <v>2</v>
      </c>
      <c r="F3995" s="34">
        <v>29</v>
      </c>
      <c r="G3995" s="10">
        <v>122274</v>
      </c>
      <c r="H3995" s="30" t="str">
        <f ca="1">IFERROR(__xludf.DUMMYFUNCTION("LOWER(REGEXREPLACE(B3995&amp;"" ""&amp;C3995,""[^а-яa-z0-9 ]"","" ""))"),"типа       с двумя ячейками  размеры 575х500х1830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6" spans="1:8" ht="127.5" x14ac:dyDescent="0.2">
      <c r="A3996" s="31" t="s">
        <v>9723</v>
      </c>
      <c r="B3996" s="27" t="s">
        <v>9724</v>
      </c>
      <c r="C3996" s="27" t="s">
        <v>9725</v>
      </c>
      <c r="D3996" s="33" t="s">
        <v>14</v>
      </c>
      <c r="E3996" s="34">
        <v>2</v>
      </c>
      <c r="F3996" s="34">
        <v>24</v>
      </c>
      <c r="G3996" s="10">
        <v>105076</v>
      </c>
      <c r="H3996" s="30" t="str">
        <f ca="1">IFERROR(__xludf.DUMMYFUNCTION("LOWER(REGEXREPLACE(B3996&amp;"" ""&amp;C3996,""[^а-яa-z0-9 ]"","" ""))"),"типа       с двумя ячейками  размеры 418х500х1830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418х500х1830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7" spans="1:8" ht="127.5" x14ac:dyDescent="0.2">
      <c r="A3997" s="31" t="s">
        <v>9726</v>
      </c>
      <c r="B3997" s="27" t="s">
        <v>9727</v>
      </c>
      <c r="C3997" s="27" t="s">
        <v>9728</v>
      </c>
      <c r="D3997" s="33" t="s">
        <v>14</v>
      </c>
      <c r="E3997" s="34">
        <v>2</v>
      </c>
      <c r="F3997" s="34">
        <v>25</v>
      </c>
      <c r="G3997" s="10">
        <v>113669</v>
      </c>
      <c r="H3997" s="30" t="str">
        <f ca="1">IFERROR(__xludf.DUMMYFUNCTION("LOWER(REGEXREPLACE(B3997&amp;"" ""&amp;C3997,""[^а-яa-z0-9 ]"","" ""))"),"типа       с двумя ячейками  размеры 575х500х1500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575х500х1500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8" spans="1:8" ht="127.5" x14ac:dyDescent="0.2">
      <c r="A3998" s="31" t="s">
        <v>9729</v>
      </c>
      <c r="B3998" s="27" t="s">
        <v>9730</v>
      </c>
      <c r="C3998" s="27" t="s">
        <v>9722</v>
      </c>
      <c r="D3998" s="33" t="s">
        <v>14</v>
      </c>
      <c r="E3998" s="34">
        <v>2</v>
      </c>
      <c r="F3998" s="34">
        <v>25</v>
      </c>
      <c r="G3998" s="10">
        <v>108897</v>
      </c>
      <c r="H3998" s="30" t="str">
        <f ca="1">IFERROR(__xludf.DUMMYFUNCTION("LOWER(REGEXREPLACE(B3998&amp;"" ""&amp;C3998,""[^а-яa-z0-9 ]"","" ""))"),"типа       с двумя ячейками  размеры 600х500х1500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3999" spans="1:8" ht="127.5" x14ac:dyDescent="0.2">
      <c r="A3999" s="31" t="s">
        <v>9731</v>
      </c>
      <c r="B3999" s="27" t="s">
        <v>9732</v>
      </c>
      <c r="C3999" s="27" t="s">
        <v>9722</v>
      </c>
      <c r="D3999" s="33" t="s">
        <v>14</v>
      </c>
      <c r="E3999" s="34">
        <v>2</v>
      </c>
      <c r="F3999" s="34">
        <v>28</v>
      </c>
      <c r="G3999" s="10">
        <v>119407</v>
      </c>
      <c r="H3999" s="30" t="str">
        <f ca="1">IFERROR(__xludf.DUMMYFUNCTION("LOWER(REGEXREPLACE(B3999&amp;"" ""&amp;C3999,""[^а-яa-z0-9 ]"","" ""))"),"типа       с двумя ячейками  размеры 600х500х1760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600х500х1760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0" spans="1:8" ht="127.5" x14ac:dyDescent="0.2">
      <c r="A4000" s="31" t="s">
        <v>9733</v>
      </c>
      <c r="B4000" s="27" t="s">
        <v>9734</v>
      </c>
      <c r="C4000" s="27" t="s">
        <v>9728</v>
      </c>
      <c r="D4000" s="33" t="s">
        <v>14</v>
      </c>
      <c r="E4000" s="34">
        <v>2</v>
      </c>
      <c r="F4000" s="34">
        <v>30</v>
      </c>
      <c r="G4000" s="10">
        <v>125141</v>
      </c>
      <c r="H4000" s="30" t="str">
        <f ca="1">IFERROR(__xludf.DUMMYFUNCTION("LOWER(REGEXREPLACE(B4000&amp;"" ""&amp;C4000,""[^а-яa-z0-9 ]"","" ""))"),"типа       с двумя ячейками  размеры 600х500х1830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600х500х1830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1" spans="1:8" ht="127.5" x14ac:dyDescent="0.2">
      <c r="A4001" s="31" t="s">
        <v>9735</v>
      </c>
      <c r="B4001" s="27" t="s">
        <v>9736</v>
      </c>
      <c r="C4001" s="27" t="s">
        <v>9722</v>
      </c>
      <c r="D4001" s="33" t="s">
        <v>14</v>
      </c>
      <c r="E4001" s="34">
        <v>2</v>
      </c>
      <c r="F4001" s="34">
        <v>35</v>
      </c>
      <c r="G4001" s="10">
        <v>141385</v>
      </c>
      <c r="H4001" s="30" t="str">
        <f ca="1">IFERROR(__xludf.DUMMYFUNCTION("LOWER(REGEXREPLACE(B4001&amp;"" ""&amp;C4001,""[^а-яa-z0-9 ]"","" ""))"),"типа       с двумя ячейками  размеры 800х500х1830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2" spans="1:8" ht="127.5" x14ac:dyDescent="0.2">
      <c r="A4002" s="31" t="s">
        <v>9737</v>
      </c>
      <c r="B4002" s="27" t="s">
        <v>9738</v>
      </c>
      <c r="C4002" s="27" t="s">
        <v>9722</v>
      </c>
      <c r="D4002" s="33" t="s">
        <v>14</v>
      </c>
      <c r="E4002" s="34">
        <v>2</v>
      </c>
      <c r="F4002" s="34">
        <v>35</v>
      </c>
      <c r="G4002" s="10">
        <v>141385</v>
      </c>
      <c r="H4002" s="30" t="str">
        <f ca="1">IFERROR(__xludf.DUMMYFUNCTION("LOWER(REGEXREPLACE(B4002&amp;"" ""&amp;C4002,""[^а-яa-z0-9 ]"","" ""))"),"типа       с двумя ячейками  размеры 800х500х1860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"&amp;"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показате"&amp;"лями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f>
        <v xml:space="preserve">типа       с двумя ячейками  размеры 800х500х1860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03" spans="1:8" ht="127.5" x14ac:dyDescent="0.2">
      <c r="A4003" s="31" t="s">
        <v>9739</v>
      </c>
      <c r="B4003" s="27" t="s">
        <v>9740</v>
      </c>
      <c r="C4003" s="27" t="s">
        <v>9741</v>
      </c>
      <c r="D4003" s="33" t="s">
        <v>14</v>
      </c>
      <c r="E4003" s="34">
        <v>2</v>
      </c>
      <c r="F4003" s="34">
        <v>28</v>
      </c>
      <c r="G4003" s="10">
        <v>121316</v>
      </c>
      <c r="H4003" s="30" t="str">
        <f ca="1">IFERROR(__xludf.DUMMYFUNCTION("LOWER(REGEXREPLACE(B4003&amp;"" ""&amp;C4003,""[^а-яa-z0-9 ]"","" ""))"),"типа       с четырьмя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4" spans="1:8" ht="127.5" x14ac:dyDescent="0.2">
      <c r="A4004" s="31" t="s">
        <v>9742</v>
      </c>
      <c r="B4004" s="27" t="s">
        <v>9743</v>
      </c>
      <c r="C4004" s="27" t="s">
        <v>9741</v>
      </c>
      <c r="D4004" s="33" t="s">
        <v>14</v>
      </c>
      <c r="E4004" s="34">
        <v>2</v>
      </c>
      <c r="F4004" s="34">
        <v>26</v>
      </c>
      <c r="G4004" s="10">
        <v>144212</v>
      </c>
      <c r="H4004" s="30" t="str">
        <f ca="1">IFERROR(__xludf.DUMMYFUNCTION("LOWER(REGEXREPLACE(B4004&amp;"" ""&amp;C4004,""[^а-яa-z0-9 ]"","" ""))"),"типа       с четырьмя ячейками  размеры 575х600х1830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575х600х1830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5" spans="1:8" ht="114.75" x14ac:dyDescent="0.2">
      <c r="A4005" s="31" t="s">
        <v>9744</v>
      </c>
      <c r="B4005" s="27" t="s">
        <v>9745</v>
      </c>
      <c r="C4005" s="27" t="s">
        <v>9746</v>
      </c>
      <c r="D4005" s="33" t="s">
        <v>14</v>
      </c>
      <c r="E4005" s="34">
        <v>2</v>
      </c>
      <c r="F4005" s="34">
        <v>29</v>
      </c>
      <c r="G4005" s="10">
        <v>126091</v>
      </c>
      <c r="H4005" s="30" t="str">
        <f ca="1">IFERROR(__xludf.DUMMYFUNCTION("LOWER(REGEXREPLACE(B4005&amp;"" ""&amp;C4005,""[^а-яa-z0-9 ]"","" ""))"),"типа       с четырьмя ячейками  размеры 600х500х1800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600х500х1800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6" spans="1:8" ht="127.5" x14ac:dyDescent="0.2">
      <c r="A4006" s="31" t="s">
        <v>9747</v>
      </c>
      <c r="B4006" s="27" t="s">
        <v>9748</v>
      </c>
      <c r="C4006" s="27" t="s">
        <v>9741</v>
      </c>
      <c r="D4006" s="33" t="s">
        <v>14</v>
      </c>
      <c r="E4006" s="34">
        <v>2</v>
      </c>
      <c r="F4006" s="34">
        <v>29</v>
      </c>
      <c r="G4006" s="10">
        <v>126091</v>
      </c>
      <c r="H4006" s="30" t="str">
        <f ca="1">IFERROR(__xludf.DUMMYFUNCTION("LOWER(REGEXREPLACE(B4006&amp;"" ""&amp;C4006,""[^а-яa-z0-9 ]"","" ""))"),"типа       с четырьмя ячейками  размеры 600х500х1830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7" spans="1:8" ht="127.5" x14ac:dyDescent="0.2">
      <c r="A4007" s="31" t="s">
        <v>9749</v>
      </c>
      <c r="B4007" s="27" t="s">
        <v>9750</v>
      </c>
      <c r="C4007" s="27" t="s">
        <v>9741</v>
      </c>
      <c r="D4007" s="33" t="s">
        <v>14</v>
      </c>
      <c r="E4007" s="34">
        <v>2</v>
      </c>
      <c r="F4007" s="34">
        <v>29</v>
      </c>
      <c r="G4007" s="10">
        <v>126091</v>
      </c>
      <c r="H4007" s="30" t="str">
        <f ca="1">IFERROR(__xludf.DUMMYFUNCTION("LOWER(REGEXREPLACE(B4007&amp;"" ""&amp;C4007,""[^а-яa-z0-9 ]"","" ""))"),"типа       с четырьмя ячейками  размеры 600х500х1850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600х500х1850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8" spans="1:8" ht="114.75" x14ac:dyDescent="0.2">
      <c r="A4008" s="31" t="s">
        <v>9751</v>
      </c>
      <c r="B4008" s="27" t="s">
        <v>9752</v>
      </c>
      <c r="C4008" s="27" t="s">
        <v>9746</v>
      </c>
      <c r="D4008" s="33" t="s">
        <v>14</v>
      </c>
      <c r="E4008" s="34">
        <v>2</v>
      </c>
      <c r="F4008" s="34">
        <v>33</v>
      </c>
      <c r="G4008" s="10">
        <v>131834</v>
      </c>
      <c r="H4008" s="30" t="str">
        <f ca="1">IFERROR(__xludf.DUMMYFUNCTION("LOWER(REGEXREPLACE(B4008&amp;"" ""&amp;C4008,""[^а-яa-z0-9 ]"","" ""))"),"типа       с четырьмя ячейками  размеры 760х400х1880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760х400х1880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09" spans="1:8" ht="127.5" x14ac:dyDescent="0.2">
      <c r="A4009" s="31" t="s">
        <v>9753</v>
      </c>
      <c r="B4009" s="27" t="s">
        <v>9754</v>
      </c>
      <c r="C4009" s="27" t="s">
        <v>9741</v>
      </c>
      <c r="D4009" s="33" t="s">
        <v>14</v>
      </c>
      <c r="E4009" s="34">
        <v>2</v>
      </c>
      <c r="F4009" s="34">
        <v>34</v>
      </c>
      <c r="G4009" s="10">
        <v>137564</v>
      </c>
      <c r="H4009" s="30" t="str">
        <f ca="1">IFERROR(__xludf.DUMMYFUNCTION("LOWER(REGEXREPLACE(B4009&amp;"" ""&amp;C4009,""[^а-яa-z0-9 ]"","" ""))"),"типа       с четырьмя ячейками  размеры 800х400х1880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800х400х1880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0" spans="1:8" ht="127.5" x14ac:dyDescent="0.2">
      <c r="A4010" s="31" t="s">
        <v>9755</v>
      </c>
      <c r="B4010" s="27" t="s">
        <v>9756</v>
      </c>
      <c r="C4010" s="27" t="s">
        <v>9757</v>
      </c>
      <c r="D4010" s="33" t="s">
        <v>14</v>
      </c>
      <c r="E4010" s="34">
        <v>2</v>
      </c>
      <c r="F4010" s="34">
        <v>28</v>
      </c>
      <c r="G4010" s="10">
        <v>117498</v>
      </c>
      <c r="H4010" s="30" t="str">
        <f ca="1">IFERROR(__xludf.DUMMYFUNCTION("LOWER(REGEXREPLACE(B4010&amp;"" ""&amp;C4010,""[^а-яa-z0-9 ]"","" ""))"),"типа       с четырьмя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1" spans="1:8" ht="114.75" x14ac:dyDescent="0.2">
      <c r="A4011" s="31" t="s">
        <v>9758</v>
      </c>
      <c r="B4011" s="27" t="s">
        <v>9759</v>
      </c>
      <c r="C4011" s="27" t="s">
        <v>9760</v>
      </c>
      <c r="D4011" s="33" t="s">
        <v>14</v>
      </c>
      <c r="E4011" s="34">
        <v>2</v>
      </c>
      <c r="F4011" s="34">
        <v>26</v>
      </c>
      <c r="G4011" s="10">
        <v>140394</v>
      </c>
      <c r="H4011" s="30" t="str">
        <f ca="1">IFERROR(__xludf.DUMMYFUNCTION("LOWER(REGEXREPLACE(B4011&amp;"" ""&amp;C4011,""[^а-яa-z0-9 ]"","" ""))"),"типа       с четырьмя ячейками  размеры 575х600х1830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575х600х1830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2" spans="1:8" ht="127.5" x14ac:dyDescent="0.2">
      <c r="A4012" s="31" t="s">
        <v>9761</v>
      </c>
      <c r="B4012" s="27" t="s">
        <v>9762</v>
      </c>
      <c r="C4012" s="27" t="s">
        <v>9757</v>
      </c>
      <c r="D4012" s="33" t="s">
        <v>14</v>
      </c>
      <c r="E4012" s="34">
        <v>2</v>
      </c>
      <c r="F4012" s="34">
        <v>29</v>
      </c>
      <c r="G4012" s="10">
        <v>122274</v>
      </c>
      <c r="H4012" s="30" t="str">
        <f ca="1">IFERROR(__xludf.DUMMYFUNCTION("LOWER(REGEXREPLACE(B4012&amp;"" ""&amp;C4012,""[^а-яa-z0-9 ]"","" ""))"),"типа       с четырьмя ячейками  размеры 600х500х1800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600х500х1800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3" spans="1:8" ht="127.5" x14ac:dyDescent="0.2">
      <c r="A4013" s="31" t="s">
        <v>9763</v>
      </c>
      <c r="B4013" s="27" t="s">
        <v>9764</v>
      </c>
      <c r="C4013" s="27" t="s">
        <v>9757</v>
      </c>
      <c r="D4013" s="33" t="s">
        <v>14</v>
      </c>
      <c r="E4013" s="34">
        <v>2</v>
      </c>
      <c r="F4013" s="34">
        <v>29</v>
      </c>
      <c r="G4013" s="10">
        <v>122274</v>
      </c>
      <c r="H4013" s="30" t="str">
        <f ca="1">IFERROR(__xludf.DUMMYFUNCTION("LOWER(REGEXREPLACE(B4013&amp;"" ""&amp;C4013,""[^а-яa-z0-9 ]"","" ""))"),"типа       с четырьмя ячейками  размеры 600х500х1830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4" spans="1:8" ht="114.75" x14ac:dyDescent="0.2">
      <c r="A4014" s="31" t="s">
        <v>9765</v>
      </c>
      <c r="B4014" s="27" t="s">
        <v>9766</v>
      </c>
      <c r="C4014" s="27" t="s">
        <v>9760</v>
      </c>
      <c r="D4014" s="33" t="s">
        <v>14</v>
      </c>
      <c r="E4014" s="34">
        <v>2</v>
      </c>
      <c r="F4014" s="34">
        <v>29</v>
      </c>
      <c r="G4014" s="10">
        <v>122274</v>
      </c>
      <c r="H4014" s="30" t="str">
        <f ca="1">IFERROR(__xludf.DUMMYFUNCTION("LOWER(REGEXREPLACE(B4014&amp;"" ""&amp;C4014,""[^а-яa-z0-9 ]"","" ""))"),"типа       с четырьмя ячейками  размеры 600х500х1850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600х500х1850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5" spans="1:8" ht="127.5" x14ac:dyDescent="0.2">
      <c r="A4015" s="31" t="s">
        <v>9767</v>
      </c>
      <c r="B4015" s="27" t="s">
        <v>9768</v>
      </c>
      <c r="C4015" s="27" t="s">
        <v>9757</v>
      </c>
      <c r="D4015" s="33" t="s">
        <v>14</v>
      </c>
      <c r="E4015" s="34">
        <v>2</v>
      </c>
      <c r="F4015" s="34">
        <v>33</v>
      </c>
      <c r="G4015" s="10">
        <v>128016</v>
      </c>
      <c r="H4015" s="30" t="str">
        <f ca="1">IFERROR(__xludf.DUMMYFUNCTION("LOWER(REGEXREPLACE(B4015&amp;"" ""&amp;C4015,""[^а-яa-z0-9 ]"","" ""))"),"типа       с четырьмя ячейками  размеры 760х400х1880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760х400х1880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6" spans="1:8" ht="127.5" x14ac:dyDescent="0.2">
      <c r="A4016" s="31" t="s">
        <v>9769</v>
      </c>
      <c r="B4016" s="27" t="s">
        <v>9770</v>
      </c>
      <c r="C4016" s="27" t="s">
        <v>9757</v>
      </c>
      <c r="D4016" s="33" t="s">
        <v>14</v>
      </c>
      <c r="E4016" s="34">
        <v>2</v>
      </c>
      <c r="F4016" s="34">
        <v>34</v>
      </c>
      <c r="G4016" s="10">
        <v>133747</v>
      </c>
      <c r="H4016" s="30" t="str">
        <f ca="1">IFERROR(__xludf.DUMMYFUNCTION("LOWER(REGEXREPLACE(B4016&amp;"" ""&amp;C4016,""[^а-яa-z0-9 ]"","" ""))"),"типа       с четырьмя ячейками  размеры 800х400х1880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индивиду"&amp;"альным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покрытие"&amp;"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800х400х1880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7" spans="1:8" ht="140.25" x14ac:dyDescent="0.2">
      <c r="A4017" s="31" t="s">
        <v>9771</v>
      </c>
      <c r="B4017" s="27" t="s">
        <v>9772</v>
      </c>
      <c r="C4017" s="27" t="s">
        <v>9773</v>
      </c>
      <c r="D4017" s="33" t="s">
        <v>14</v>
      </c>
      <c r="E4017" s="34">
        <v>2</v>
      </c>
      <c r="F4017" s="34">
        <v>29</v>
      </c>
      <c r="G4017" s="10">
        <v>174763</v>
      </c>
      <c r="H4017" s="30" t="str">
        <f ca="1">IFERROR(__xludf.DUMMYFUNCTION("LOWER(REGEXREPLACE(B4017&amp;"" ""&amp;C4017,""[^а-яa-z0-9 ]"","" ""))"),"типа       с четырьмя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8" spans="1:8" ht="127.5" x14ac:dyDescent="0.2">
      <c r="A4018" s="31" t="s">
        <v>9774</v>
      </c>
      <c r="B4018" s="27" t="s">
        <v>9775</v>
      </c>
      <c r="C4018" s="27" t="s">
        <v>9776</v>
      </c>
      <c r="D4018" s="33" t="s">
        <v>14</v>
      </c>
      <c r="E4018" s="34">
        <v>2</v>
      </c>
      <c r="F4018" s="34">
        <v>26</v>
      </c>
      <c r="G4018" s="10">
        <v>197655</v>
      </c>
      <c r="H4018" s="30" t="str">
        <f ca="1">IFERROR(__xludf.DUMMYFUNCTION("LOWER(REGEXREPLACE(B4018&amp;"" ""&amp;C4018,""[^а-яa-z0-9 ]"","" ""))"),"типа       с четырьмя ячейками  размеры 575х600х1830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575х600х1830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19" spans="1:8" ht="140.25" x14ac:dyDescent="0.2">
      <c r="A4019" s="31" t="s">
        <v>9777</v>
      </c>
      <c r="B4019" s="27" t="s">
        <v>9778</v>
      </c>
      <c r="C4019" s="27" t="s">
        <v>9773</v>
      </c>
      <c r="D4019" s="33" t="s">
        <v>14</v>
      </c>
      <c r="E4019" s="34">
        <v>2</v>
      </c>
      <c r="F4019" s="34">
        <v>29</v>
      </c>
      <c r="G4019" s="10">
        <v>179535</v>
      </c>
      <c r="H4019" s="30" t="str">
        <f ca="1">IFERROR(__xludf.DUMMYFUNCTION("LOWER(REGEXREPLACE(B4019&amp;"" ""&amp;C4019,""[^а-яa-z0-9 ]"","" ""))"),"типа       с четырьмя ячейками  размеры 600х500х1800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600х500х1800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0" spans="1:8" ht="140.25" x14ac:dyDescent="0.2">
      <c r="A4020" s="31" t="s">
        <v>9779</v>
      </c>
      <c r="B4020" s="27" t="s">
        <v>9780</v>
      </c>
      <c r="C4020" s="27" t="s">
        <v>9773</v>
      </c>
      <c r="D4020" s="33" t="s">
        <v>14</v>
      </c>
      <c r="E4020" s="34">
        <v>2</v>
      </c>
      <c r="F4020" s="34">
        <v>29</v>
      </c>
      <c r="G4020" s="10">
        <v>179535</v>
      </c>
      <c r="H4020" s="30" t="str">
        <f ca="1">IFERROR(__xludf.DUMMYFUNCTION("LOWER(REGEXREPLACE(B4020&amp;"" ""&amp;C4020,""[^а-яa-z0-9 ]"","" ""))"),"типа       с четырьмя ячейками  размеры 600х500х1830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1" spans="1:8" ht="127.5" x14ac:dyDescent="0.2">
      <c r="A4021" s="31" t="s">
        <v>9781</v>
      </c>
      <c r="B4021" s="27" t="s">
        <v>9782</v>
      </c>
      <c r="C4021" s="27" t="s">
        <v>9776</v>
      </c>
      <c r="D4021" s="33" t="s">
        <v>14</v>
      </c>
      <c r="E4021" s="34">
        <v>2</v>
      </c>
      <c r="F4021" s="34">
        <v>29</v>
      </c>
      <c r="G4021" s="10">
        <v>179535</v>
      </c>
      <c r="H4021" s="30" t="str">
        <f ca="1">IFERROR(__xludf.DUMMYFUNCTION("LOWER(REGEXREPLACE(B4021&amp;"" ""&amp;C4021,""[^а-яa-z0-9 ]"","" ""))"),"типа       с четырьмя ячейками  размеры 600х500х1850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600х500х1850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2" spans="1:8" ht="140.25" x14ac:dyDescent="0.2">
      <c r="A4022" s="31" t="s">
        <v>9783</v>
      </c>
      <c r="B4022" s="27" t="s">
        <v>9784</v>
      </c>
      <c r="C4022" s="27" t="s">
        <v>9773</v>
      </c>
      <c r="D4022" s="33" t="s">
        <v>14</v>
      </c>
      <c r="E4022" s="34">
        <v>2</v>
      </c>
      <c r="F4022" s="34">
        <v>33</v>
      </c>
      <c r="G4022" s="10">
        <v>185277</v>
      </c>
      <c r="H4022" s="30" t="str">
        <f ca="1">IFERROR(__xludf.DUMMYFUNCTION("LOWER(REGEXREPLACE(B4022&amp;"" ""&amp;C4022,""[^а-яa-z0-9 ]"","" ""))"),"типа       с четырьмя ячейками  размеры 760х400х1880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760х400х1880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3" spans="1:8" ht="140.25" x14ac:dyDescent="0.2">
      <c r="A4023" s="31" t="s">
        <v>9785</v>
      </c>
      <c r="B4023" s="27" t="s">
        <v>9786</v>
      </c>
      <c r="C4023" s="27" t="s">
        <v>9773</v>
      </c>
      <c r="D4023" s="33" t="s">
        <v>14</v>
      </c>
      <c r="E4023" s="34">
        <v>2</v>
      </c>
      <c r="F4023" s="34">
        <v>34</v>
      </c>
      <c r="G4023" s="10">
        <v>191007</v>
      </c>
      <c r="H4023" s="30" t="str">
        <f ca="1">IFERROR(__xludf.DUMMYFUNCTION("LOWER(REGEXREPLACE(B4023&amp;"" ""&amp;C4023,""[^а-яa-z0-9 ]"","" ""))"),"типа       с четырьмя ячейками  размеры 800х400х1880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сн"&amp;"ащен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показател"&amp;"ями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800х400х1880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4" spans="1:8" ht="127.5" x14ac:dyDescent="0.2">
      <c r="A4024" s="31" t="s">
        <v>9787</v>
      </c>
      <c r="B4024" s="27" t="s">
        <v>9788</v>
      </c>
      <c r="C4024" s="27" t="s">
        <v>9789</v>
      </c>
      <c r="D4024" s="33" t="s">
        <v>14</v>
      </c>
      <c r="E4024" s="34">
        <v>2</v>
      </c>
      <c r="F4024" s="34">
        <v>30</v>
      </c>
      <c r="G4024" s="10">
        <v>129913</v>
      </c>
      <c r="H4024" s="30" t="str">
        <f ca="1">IFERROR(__xludf.DUMMYFUNCTION("LOWER(REGEXREPLACE(B4024&amp;"" ""&amp;C4024,""[^а-яa-z0-9 ]"","" ""))"),"типа       с четырьмя закрытыми ячейками и четырьми открытыми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н"&amp;"е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долг"&amp;"овечности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5" spans="1:8" ht="127.5" x14ac:dyDescent="0.2">
      <c r="A4025" s="31" t="s">
        <v>9790</v>
      </c>
      <c r="B4025" s="27" t="s">
        <v>9791</v>
      </c>
      <c r="C4025" s="27" t="s">
        <v>9789</v>
      </c>
      <c r="D4025" s="33" t="s">
        <v>14</v>
      </c>
      <c r="E4025" s="34">
        <v>2</v>
      </c>
      <c r="F4025" s="34">
        <v>27</v>
      </c>
      <c r="G4025" s="10">
        <v>106042</v>
      </c>
      <c r="H4025" s="30" t="str">
        <f ca="1">IFERROR(__xludf.DUMMYFUNCTION("LOWER(REGEXREPLACE(B4025&amp;"" ""&amp;C4025,""[^а-яa-z0-9 ]"","" ""))"),"типа       с четырьмя закрытыми ячейками и четырьми открытыми ячейками  размеры 575х400х1860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н"&amp;"е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долг"&amp;"овечности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575х400х1860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6" spans="1:8" ht="114.75" x14ac:dyDescent="0.2">
      <c r="A4026" s="31" t="s">
        <v>9792</v>
      </c>
      <c r="B4026" s="27" t="s">
        <v>9793</v>
      </c>
      <c r="C4026" s="27" t="s">
        <v>9794</v>
      </c>
      <c r="D4026" s="33" t="s">
        <v>14</v>
      </c>
      <c r="E4026" s="34">
        <v>2</v>
      </c>
      <c r="F4026" s="34">
        <v>30</v>
      </c>
      <c r="G4026" s="10">
        <v>129913</v>
      </c>
      <c r="H4026" s="30" t="str">
        <f ca="1">IFERROR(__xludf.DUMMYFUNCTION("LOWER(REGEXREPLACE(B4026&amp;"" ""&amp;C4026,""[^а-яa-z0-9 ]"","" ""))"),"типа       с четырьмя закрытыми ячейками и четырьми открытыми ячейками  размеры 575х500х1860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н"&amp;"е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долг"&amp;"овечности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575х500х1860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7" spans="1:8" ht="127.5" x14ac:dyDescent="0.2">
      <c r="A4027" s="31" t="s">
        <v>9795</v>
      </c>
      <c r="B4027" s="27" t="s">
        <v>9796</v>
      </c>
      <c r="C4027" s="27" t="s">
        <v>9797</v>
      </c>
      <c r="D4027" s="33" t="s">
        <v>14</v>
      </c>
      <c r="E4027" s="34">
        <v>2</v>
      </c>
      <c r="F4027" s="34">
        <v>30</v>
      </c>
      <c r="G4027" s="10">
        <v>126096</v>
      </c>
      <c r="H4027" s="30" t="str">
        <f ca="1">IFERROR(__xludf.DUMMYFUNCTION("LOWER(REGEXREPLACE(B4027&amp;"" ""&amp;C4027,""[^а-яa-z0-9 ]"","" ""))"),"типа       с четырьмя закрытыми ячейками и четырьми открытыми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не"&amp;"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долго"&amp;"вечности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8" spans="1:8" ht="127.5" x14ac:dyDescent="0.2">
      <c r="A4028" s="31" t="s">
        <v>9798</v>
      </c>
      <c r="B4028" s="27" t="s">
        <v>9799</v>
      </c>
      <c r="C4028" s="27" t="s">
        <v>9797</v>
      </c>
      <c r="D4028" s="33" t="s">
        <v>14</v>
      </c>
      <c r="E4028" s="34">
        <v>2</v>
      </c>
      <c r="F4028" s="34">
        <v>27</v>
      </c>
      <c r="G4028" s="10">
        <v>102225</v>
      </c>
      <c r="H4028" s="30" t="str">
        <f ca="1">IFERROR(__xludf.DUMMYFUNCTION("LOWER(REGEXREPLACE(B4028&amp;"" ""&amp;C4028,""[^а-яa-z0-9 ]"","" ""))"),"типа       с четырьмя закрытыми ячейками и четырьми открытыми ячейками  размеры 575х400х1860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не"&amp;"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долго"&amp;"вечности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575х400х1860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29" spans="1:8" ht="114.75" x14ac:dyDescent="0.2">
      <c r="A4029" s="31" t="s">
        <v>9800</v>
      </c>
      <c r="B4029" s="27" t="s">
        <v>9801</v>
      </c>
      <c r="C4029" s="27" t="s">
        <v>9802</v>
      </c>
      <c r="D4029" s="33" t="s">
        <v>14</v>
      </c>
      <c r="E4029" s="34">
        <v>2</v>
      </c>
      <c r="F4029" s="34">
        <v>30</v>
      </c>
      <c r="G4029" s="10">
        <v>126096</v>
      </c>
      <c r="H4029" s="30" t="str">
        <f ca="1">IFERROR(__xludf.DUMMYFUNCTION("LOWER(REGEXREPLACE(B4029&amp;"" ""&amp;C4029,""[^а-яa-z0-9 ]"","" ""))"),"типа       с четырьмя закрытыми ячейками и четырьми открытыми ячейками  размеры 575х500х1860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не"&amp;"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долго"&amp;"вечности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закрытыми ячейками и четырьми открытыми ячейками  размеры 575х500х1860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0" spans="1:8" ht="127.5" x14ac:dyDescent="0.2">
      <c r="A4030" s="31" t="s">
        <v>9803</v>
      </c>
      <c r="B4030" s="27" t="s">
        <v>9804</v>
      </c>
      <c r="C4030" s="27" t="s">
        <v>9805</v>
      </c>
      <c r="D4030" s="33" t="s">
        <v>14</v>
      </c>
      <c r="E4030" s="34">
        <v>2</v>
      </c>
      <c r="F4030" s="34">
        <v>30</v>
      </c>
      <c r="G4030" s="10">
        <v>183356</v>
      </c>
      <c r="H4030" s="30" t="str">
        <f ca="1">IFERROR(__xludf.DUMMYFUNCTION("LOWER(REGEXREPLACE(B4030&amp;"" ""&amp;C4030,""[^а-яa-z0-9 ]"","" ""))"),"типа       с четырьмя закрытыми ячейками и четырьми открытыми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листов"&amp;"ой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незамет"&amp;"ной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наращиван"&amp;"ия секций ")</f>
        <v xml:space="preserve">типа       с четырьмя закрытыми ячейками и четырьми открытыми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1" spans="1:8" ht="127.5" x14ac:dyDescent="0.2">
      <c r="A4031" s="31" t="s">
        <v>9806</v>
      </c>
      <c r="B4031" s="27" t="s">
        <v>9807</v>
      </c>
      <c r="C4031" s="27" t="s">
        <v>9805</v>
      </c>
      <c r="D4031" s="33" t="s">
        <v>14</v>
      </c>
      <c r="E4031" s="34">
        <v>2</v>
      </c>
      <c r="F4031" s="34">
        <v>27</v>
      </c>
      <c r="G4031" s="10">
        <v>159485</v>
      </c>
      <c r="H4031" s="30" t="str">
        <f ca="1">IFERROR(__xludf.DUMMYFUNCTION("LOWER(REGEXREPLACE(B4031&amp;"" ""&amp;C4031,""[^а-яa-z0-9 ]"","" ""))"),"типа       с четырьмя закрытыми ячейками и четырьми открытыми ячейками  размеры 575х400х1860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листов"&amp;"ой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незамет"&amp;"ной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наращиван"&amp;"ия секций ")</f>
        <v xml:space="preserve">типа       с четырьмя закрытыми ячейками и четырьми открытыми ячейками  размеры 575х400х1860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2" spans="1:8" ht="127.5" x14ac:dyDescent="0.2">
      <c r="A4032" s="31" t="s">
        <v>9808</v>
      </c>
      <c r="B4032" s="27" t="s">
        <v>9809</v>
      </c>
      <c r="C4032" s="27" t="s">
        <v>9805</v>
      </c>
      <c r="D4032" s="33" t="s">
        <v>14</v>
      </c>
      <c r="E4032" s="34">
        <v>2</v>
      </c>
      <c r="F4032" s="34">
        <v>30</v>
      </c>
      <c r="G4032" s="10">
        <v>183356</v>
      </c>
      <c r="H4032" s="30" t="str">
        <f ca="1">IFERROR(__xludf.DUMMYFUNCTION("LOWER(REGEXREPLACE(B4032&amp;"" ""&amp;C4032,""[^а-яa-z0-9 ]"","" ""))"),"типа       с четырьмя закрытыми ячейками и четырьми открытыми ячейками  размеры 575х500х1860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листов"&amp;"ой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незамет"&amp;"ной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наращиван"&amp;"ия секций ")</f>
        <v xml:space="preserve">типа       с четырьмя закрытыми ячейками и четырьми открытыми ячейками  размеры 575х500х1860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3" spans="1:8" ht="127.5" x14ac:dyDescent="0.2">
      <c r="A4033" s="31" t="s">
        <v>9810</v>
      </c>
      <c r="B4033" s="27" t="s">
        <v>9811</v>
      </c>
      <c r="C4033" s="27" t="s">
        <v>9812</v>
      </c>
      <c r="D4033" s="33" t="s">
        <v>14</v>
      </c>
      <c r="E4033" s="34">
        <v>2</v>
      </c>
      <c r="F4033" s="34">
        <v>31</v>
      </c>
      <c r="G4033" s="10">
        <v>134689</v>
      </c>
      <c r="H4033" s="30" t="str">
        <f ca="1">IFERROR(__xludf.DUMMYFUNCTION("LOWER(REGEXREPLACE(B4033&amp;"" ""&amp;C4033,""[^а-яa-z0-9 ]"","" ""))"),"типа       с четырьмя ячейками с полкой  размеры 575х500х1830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кра"&amp;"шен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орошк"&amp;"ово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с полкой  размеры 575х500х1830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4" spans="1:8" ht="127.5" x14ac:dyDescent="0.2">
      <c r="A4034" s="31" t="s">
        <v>9813</v>
      </c>
      <c r="B4034" s="27" t="s">
        <v>9814</v>
      </c>
      <c r="C4034" s="27" t="s">
        <v>9812</v>
      </c>
      <c r="D4034" s="33" t="s">
        <v>14</v>
      </c>
      <c r="E4034" s="34">
        <v>2</v>
      </c>
      <c r="F4034" s="34">
        <v>31</v>
      </c>
      <c r="G4034" s="10">
        <v>134689</v>
      </c>
      <c r="H4034" s="30" t="str">
        <f ca="1">IFERROR(__xludf.DUMMYFUNCTION("LOWER(REGEXREPLACE(B4034&amp;"" ""&amp;C4034,""[^а-яa-z0-9 ]"","" ""))"),"типа       с четырьмя ячейками с полкой  размеры 575х400х1860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кра"&amp;"шен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орошк"&amp;"ово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с полкой  размеры 575х400х1860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5" spans="1:8" ht="76.5" x14ac:dyDescent="0.2">
      <c r="A4035" s="31" t="s">
        <v>9815</v>
      </c>
      <c r="B4035" s="27" t="s">
        <v>9816</v>
      </c>
      <c r="C4035" s="27" t="s">
        <v>9817</v>
      </c>
      <c r="D4035" s="33" t="s">
        <v>14</v>
      </c>
      <c r="E4035" s="34">
        <v>2</v>
      </c>
      <c r="F4035" s="34">
        <v>30</v>
      </c>
      <c r="G4035" s="10">
        <v>139456</v>
      </c>
      <c r="H4035" s="30" t="str">
        <f ca="1">IFERROR(__xludf.DUMMYFUNCTION("LOWER(REGEXREPLACE(B4035&amp;"" ""&amp;C4035,""[^а-яa-z0-9 ]"","" ""))"),"типа       с восемью ячейками  размеры 575х500х1830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вентиляци"&amp;"онными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восемью ячейками  размеры 575х500х1830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6" spans="1:8" ht="76.5" x14ac:dyDescent="0.2">
      <c r="A4036" s="31" t="s">
        <v>9818</v>
      </c>
      <c r="B4036" s="27" t="s">
        <v>9819</v>
      </c>
      <c r="C4036" s="27" t="s">
        <v>9820</v>
      </c>
      <c r="D4036" s="33" t="s">
        <v>14</v>
      </c>
      <c r="E4036" s="34">
        <v>2</v>
      </c>
      <c r="F4036" s="34">
        <v>30</v>
      </c>
      <c r="G4036" s="10">
        <v>131822</v>
      </c>
      <c r="H4036" s="30" t="str">
        <f ca="1">IFERROR(__xludf.DUMMYFUNCTION("LOWER(REGEXREPLACE(B4036&amp;"" ""&amp;C4036,""[^а-яa-z0-9 ]"","" ""))"),"типа       с восемью ячейками  размеры 575х500х1830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вентиляцио"&amp;"нными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восемью ячейками  размеры 575х500х1830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7" spans="1:8" ht="12.75" x14ac:dyDescent="0.2">
      <c r="A4037" s="31" t="s">
        <v>9821</v>
      </c>
      <c r="B4037" s="27" t="s">
        <v>9822</v>
      </c>
      <c r="C4037" s="27"/>
      <c r="D4037" s="33" t="s">
        <v>14</v>
      </c>
      <c r="E4037" s="9"/>
      <c r="F4037" s="32"/>
      <c r="G4037" s="10"/>
      <c r="H4037" s="30" t="str">
        <f ca="1">IFERROR(__xludf.DUMMYFUNCTION("LOWER(REGEXREPLACE(B4037&amp;"" ""&amp;C4037,""[^а-яa-z0-9 ]"","" ""))")," каф металлический трехсекционный ")</f>
        <v xml:space="preserve"> каф металлический трехсекционный </v>
      </c>
    </row>
    <row r="4038" spans="1:8" ht="127.5" x14ac:dyDescent="0.2">
      <c r="A4038" s="31" t="s">
        <v>9823</v>
      </c>
      <c r="B4038" s="27" t="s">
        <v>9824</v>
      </c>
      <c r="C4038" s="27" t="s">
        <v>9825</v>
      </c>
      <c r="D4038" s="33" t="s">
        <v>14</v>
      </c>
      <c r="E4038" s="34">
        <v>2</v>
      </c>
      <c r="F4038" s="34">
        <v>40</v>
      </c>
      <c r="G4038" s="10">
        <v>162401</v>
      </c>
      <c r="H4038" s="30" t="str">
        <f ca="1">IFERROR(__xludf.DUMMYFUNCTION("LOWER(REGEXREPLACE(B4038&amp;"" ""&amp;C4038,""[^а-яa-z0-9 ]"","" ""))"),"типа       с тремя ячейками  размеры 850х500х1830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полимерно"&amp;"е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39" spans="1:8" ht="127.5" x14ac:dyDescent="0.2">
      <c r="A4039" s="31" t="s">
        <v>9826</v>
      </c>
      <c r="B4039" s="27" t="s">
        <v>9827</v>
      </c>
      <c r="C4039" s="27" t="s">
        <v>9825</v>
      </c>
      <c r="D4039" s="33" t="s">
        <v>14</v>
      </c>
      <c r="E4039" s="34">
        <v>2</v>
      </c>
      <c r="F4039" s="34">
        <v>37</v>
      </c>
      <c r="G4039" s="10">
        <v>132804</v>
      </c>
      <c r="H4039" s="30" t="str">
        <f ca="1">IFERROR(__xludf.DUMMYFUNCTION("LOWER(REGEXREPLACE(B4039&amp;"" ""&amp;C4039,""[^а-яa-z0-9 ]"","" ""))"),"типа       с тремя ячейками  размеры 850х500х1500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полимерно"&amp;"е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0" spans="1:8" ht="127.5" x14ac:dyDescent="0.2">
      <c r="A4040" s="31" t="s">
        <v>9828</v>
      </c>
      <c r="B4040" s="27" t="s">
        <v>9829</v>
      </c>
      <c r="C4040" s="27" t="s">
        <v>9825</v>
      </c>
      <c r="D4040" s="33" t="s">
        <v>14</v>
      </c>
      <c r="E4040" s="34">
        <v>2</v>
      </c>
      <c r="F4040" s="34">
        <v>42</v>
      </c>
      <c r="G4040" s="10">
        <v>142368</v>
      </c>
      <c r="H4040" s="30" t="str">
        <f ca="1">IFERROR(__xludf.DUMMYFUNCTION("LOWER(REGEXREPLACE(B4040&amp;"" ""&amp;C4040,""[^а-яa-z0-9 ]"","" ""))"),"типа       с тремя ячейками  размеры 900х500х1830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и"&amp;"ндивидуальным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полимерно"&amp;"е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900х500х1830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1" spans="1:8" ht="127.5" x14ac:dyDescent="0.2">
      <c r="A4041" s="31" t="s">
        <v>9830</v>
      </c>
      <c r="B4041" s="27" t="s">
        <v>9831</v>
      </c>
      <c r="C4041" s="27" t="s">
        <v>9832</v>
      </c>
      <c r="D4041" s="33" t="s">
        <v>14</v>
      </c>
      <c r="E4041" s="34">
        <v>2</v>
      </c>
      <c r="F4041" s="34">
        <v>40</v>
      </c>
      <c r="G4041" s="10">
        <v>160493</v>
      </c>
      <c r="H4041" s="30" t="str">
        <f ca="1">IFERROR(__xludf.DUMMYFUNCTION("LOWER(REGEXREPLACE(B4041&amp;"" ""&amp;C4041,""[^а-яa-z0-9 ]"","" ""))"),"типа       с тремя ячейками  размеры 850х500х1830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2" spans="1:8" ht="127.5" x14ac:dyDescent="0.2">
      <c r="A4042" s="31" t="s">
        <v>9833</v>
      </c>
      <c r="B4042" s="27" t="s">
        <v>9834</v>
      </c>
      <c r="C4042" s="27" t="s">
        <v>9832</v>
      </c>
      <c r="D4042" s="33" t="s">
        <v>14</v>
      </c>
      <c r="E4042" s="34">
        <v>2</v>
      </c>
      <c r="F4042" s="34">
        <v>37</v>
      </c>
      <c r="G4042" s="10">
        <v>130896</v>
      </c>
      <c r="H4042" s="30" t="str">
        <f ca="1">IFERROR(__xludf.DUMMYFUNCTION("LOWER(REGEXREPLACE(B4042&amp;"" ""&amp;C4042,""[^а-яa-z0-9 ]"","" ""))"),"типа       с тремя ячейками  размеры 850х500х1500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3" spans="1:8" ht="127.5" x14ac:dyDescent="0.2">
      <c r="A4043" s="31" t="s">
        <v>9835</v>
      </c>
      <c r="B4043" s="27" t="s">
        <v>9836</v>
      </c>
      <c r="C4043" s="27" t="s">
        <v>9832</v>
      </c>
      <c r="D4043" s="33" t="s">
        <v>14</v>
      </c>
      <c r="E4043" s="34">
        <v>2</v>
      </c>
      <c r="F4043" s="34">
        <v>42</v>
      </c>
      <c r="G4043" s="10">
        <v>140459</v>
      </c>
      <c r="H4043" s="30" t="str">
        <f ca="1">IFERROR(__xludf.DUMMYFUNCTION("LOWER(REGEXREPLACE(B4043&amp;"" ""&amp;C4043,""[^а-яa-z0-9 ]"","" ""))"),"типа       с тремя ячейками  размеры 900х500х1830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"&amp;"индивидуальным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"&amp;"покрытие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900х500х1830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4" spans="1:8" ht="140.25" x14ac:dyDescent="0.2">
      <c r="A4044" s="31" t="s">
        <v>9837</v>
      </c>
      <c r="B4044" s="27" t="s">
        <v>9838</v>
      </c>
      <c r="C4044" s="27" t="s">
        <v>9839</v>
      </c>
      <c r="D4044" s="33" t="s">
        <v>14</v>
      </c>
      <c r="E4044" s="34">
        <v>2</v>
      </c>
      <c r="F4044" s="34">
        <v>40</v>
      </c>
      <c r="G4044" s="10">
        <v>203438</v>
      </c>
      <c r="H4044" s="30" t="str">
        <f ca="1">IFERROR(__xludf.DUMMYFUNCTION("LOWER(REGEXREPLACE(B4044&amp;"" ""&amp;C4044,""[^а-яa-z0-9 ]"","" ""))"),"типа       с тремя ячейками  размеры 850х500х1830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краш"&amp;"ен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пок"&amp;"азателями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5" spans="1:8" ht="140.25" x14ac:dyDescent="0.2">
      <c r="A4045" s="31" t="s">
        <v>9840</v>
      </c>
      <c r="B4045" s="27" t="s">
        <v>9841</v>
      </c>
      <c r="C4045" s="27" t="s">
        <v>9839</v>
      </c>
      <c r="D4045" s="33" t="s">
        <v>14</v>
      </c>
      <c r="E4045" s="34">
        <v>2</v>
      </c>
      <c r="F4045" s="34">
        <v>37</v>
      </c>
      <c r="G4045" s="10">
        <v>173841</v>
      </c>
      <c r="H4045" s="30" t="str">
        <f ca="1">IFERROR(__xludf.DUMMYFUNCTION("LOWER(REGEXREPLACE(B4045&amp;"" ""&amp;C4045,""[^а-яa-z0-9 ]"","" ""))"),"типа       с тремя ячейками  размеры 850х500х1500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краш"&amp;"ен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пок"&amp;"азателями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850х500х1500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6" spans="1:8" ht="140.25" x14ac:dyDescent="0.2">
      <c r="A4046" s="31" t="s">
        <v>9842</v>
      </c>
      <c r="B4046" s="27" t="s">
        <v>9843</v>
      </c>
      <c r="C4046" s="27" t="s">
        <v>9839</v>
      </c>
      <c r="D4046" s="33" t="s">
        <v>14</v>
      </c>
      <c r="E4046" s="34">
        <v>2</v>
      </c>
      <c r="F4046" s="34">
        <v>42</v>
      </c>
      <c r="G4046" s="10">
        <v>183405</v>
      </c>
      <c r="H4046" s="30" t="str">
        <f ca="1">IFERROR(__xludf.DUMMYFUNCTION("LOWER(REGEXREPLACE(B4046&amp;"" ""&amp;C4046,""[^а-яa-z0-9 ]"","" ""))"),"типа       с тремя ячейками  размеры 900х500х1830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краш"&amp;"ен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пок"&amp;"азателями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тремя ячейками  размеры 900х500х1830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7" spans="1:8" ht="127.5" x14ac:dyDescent="0.2">
      <c r="A4047" s="31" t="s">
        <v>9844</v>
      </c>
      <c r="B4047" s="27" t="s">
        <v>9845</v>
      </c>
      <c r="C4047" s="27" t="s">
        <v>9846</v>
      </c>
      <c r="D4047" s="33" t="s">
        <v>14</v>
      </c>
      <c r="E4047" s="34">
        <v>2</v>
      </c>
      <c r="F4047" s="34">
        <v>38</v>
      </c>
      <c r="G4047" s="10">
        <v>173845</v>
      </c>
      <c r="H4047" s="30" t="str">
        <f ca="1">IFERROR(__xludf.DUMMYFUNCTION("LOWER(REGEXREPLACE(B4047&amp;"" ""&amp;C4047,""[^а-яa-z0-9 ]"","" ""))"),"типа       с шестью ячейками  размеры 850х500х1830 мм  индивидуальный замок   рактик    каждой ячейке  1 полка  1 штанга  2 крючка на штанге  1 крючок на двери   онструкция  модульная  сборно разборная из  листовой стали  не менее 0 5 мм   крашен   снащен"&amp;"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полимерн"&amp;"ое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шестью ячейками  размеры 850х500х1830 мм  индивидуальный замок   рактик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8" spans="1:8" ht="127.5" x14ac:dyDescent="0.2">
      <c r="A4048" s="31" t="s">
        <v>9847</v>
      </c>
      <c r="B4048" s="27" t="s">
        <v>9848</v>
      </c>
      <c r="C4048" s="27" t="s">
        <v>9849</v>
      </c>
      <c r="D4048" s="33" t="s">
        <v>14</v>
      </c>
      <c r="E4048" s="34">
        <v>2</v>
      </c>
      <c r="F4048" s="34">
        <v>38</v>
      </c>
      <c r="G4048" s="10">
        <v>179571</v>
      </c>
      <c r="H4048" s="30" t="str">
        <f ca="1">IFERROR(__xludf.DUMMYFUNCTION("LOWER(REGEXREPLACE(B4048&amp;"" ""&amp;C4048,""[^а-яa-z0-9 ]"","" ""))"),"типа       с шестью ячейками  размеры 850х500х1830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снаще"&amp;"н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полимер"&amp;"ное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шестью ячейками  размеры 850х500х1830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49" spans="1:8" ht="114.75" x14ac:dyDescent="0.2">
      <c r="A4049" s="31" t="s">
        <v>9850</v>
      </c>
      <c r="B4049" s="27" t="s">
        <v>9851</v>
      </c>
      <c r="C4049" s="27" t="s">
        <v>9852</v>
      </c>
      <c r="D4049" s="33" t="s">
        <v>14</v>
      </c>
      <c r="E4049" s="34">
        <v>2</v>
      </c>
      <c r="F4049" s="34">
        <v>42</v>
      </c>
      <c r="G4049" s="10">
        <v>195812</v>
      </c>
      <c r="H4049" s="30" t="str">
        <f ca="1">IFERROR(__xludf.DUMMYFUNCTION("LOWER(REGEXREPLACE(B4049&amp;"" ""&amp;C4049,""[^а-яa-z0-9 ]"","" ""))"),"типа       с девятью ячейками  размеры 850х500х1830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f>
        <v xml:space="preserve">типа       с девятью ячейками  размеры 850х500х1830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v>
      </c>
    </row>
    <row r="4050" spans="1:8" ht="127.5" x14ac:dyDescent="0.2">
      <c r="A4050" s="31" t="s">
        <v>9853</v>
      </c>
      <c r="B4050" s="27" t="s">
        <v>9854</v>
      </c>
      <c r="C4050" s="27" t="s">
        <v>9855</v>
      </c>
      <c r="D4050" s="33" t="s">
        <v>14</v>
      </c>
      <c r="E4050" s="34">
        <v>2</v>
      </c>
      <c r="F4050" s="34">
        <v>42</v>
      </c>
      <c r="G4050" s="10">
        <v>187222</v>
      </c>
      <c r="H4050" s="30" t="str">
        <f ca="1">IFERROR(__xludf.DUMMYFUNCTION("LOWER(REGEXREPLACE(B4050&amp;"" ""&amp;C4050,""[^а-яa-z0-9 ]"","" ""))"),"типа       с девятью ячейками  размеры 850х500х1830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индивид"&amp;"уальным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покрыт"&amp;"ие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девятью ячейками  размеры 850х500х1830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1" spans="1:8" ht="76.5" x14ac:dyDescent="0.2">
      <c r="A4051" s="31" t="s">
        <v>9856</v>
      </c>
      <c r="B4051" s="27" t="s">
        <v>9857</v>
      </c>
      <c r="C4051" s="27" t="s">
        <v>9858</v>
      </c>
      <c r="D4051" s="33" t="s">
        <v>14</v>
      </c>
      <c r="E4051" s="34">
        <v>2</v>
      </c>
      <c r="F4051" s="34">
        <v>43</v>
      </c>
      <c r="G4051" s="10">
        <v>209176</v>
      </c>
      <c r="H4051" s="30" t="str">
        <f ca="1">IFERROR(__xludf.DUMMYFUNCTION("LOWER(REGEXREPLACE(B4051&amp;"" ""&amp;C4051,""[^а-яa-z0-9 ]"","" ""))"),"типа       с двенадцатью ячейками  размеры 850х500х1830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венти"&amp;"ляционными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двенадцатью ячейками  размеры 850х500х1830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2" spans="1:8" ht="76.5" x14ac:dyDescent="0.2">
      <c r="A4052" s="31" t="s">
        <v>9859</v>
      </c>
      <c r="B4052" s="27" t="s">
        <v>9860</v>
      </c>
      <c r="C4052" s="27" t="s">
        <v>9861</v>
      </c>
      <c r="D4052" s="33" t="s">
        <v>14</v>
      </c>
      <c r="E4052" s="34">
        <v>2</v>
      </c>
      <c r="F4052" s="34">
        <v>43</v>
      </c>
      <c r="G4052" s="10">
        <v>197724</v>
      </c>
      <c r="H4052" s="30" t="str">
        <f ca="1">IFERROR(__xludf.DUMMYFUNCTION("LOWER(REGEXREPLACE(B4052&amp;"" ""&amp;C4052,""[^а-яa-z0-9 ]"","" ""))"),"типа       с двенадцатью ячейками  размеры 850х500х1830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вентиля"&amp;"ционными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двенадцатью ячейками  размеры 850х500х1830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3" spans="1:8" ht="12.75" x14ac:dyDescent="0.2">
      <c r="A4053" s="31" t="s">
        <v>9862</v>
      </c>
      <c r="B4053" s="27" t="s">
        <v>9863</v>
      </c>
      <c r="C4053" s="27"/>
      <c r="D4053" s="33" t="s">
        <v>14</v>
      </c>
      <c r="E4053" s="9"/>
      <c r="F4053" s="32"/>
      <c r="G4053" s="10"/>
      <c r="H4053" s="30" t="str">
        <f ca="1">IFERROR(__xludf.DUMMYFUNCTION("LOWER(REGEXREPLACE(B4053&amp;"" ""&amp;C4053,""[^а-яa-z0-9 ]"","" ""))")," каф металлический четырехсекционный ")</f>
        <v xml:space="preserve"> каф металлический четырехсекционный </v>
      </c>
    </row>
    <row r="4054" spans="1:8" ht="127.5" x14ac:dyDescent="0.2">
      <c r="A4054" s="31" t="s">
        <v>9864</v>
      </c>
      <c r="B4054" s="27" t="s">
        <v>9865</v>
      </c>
      <c r="C4054" s="27" t="s">
        <v>9866</v>
      </c>
      <c r="D4054" s="33" t="s">
        <v>14</v>
      </c>
      <c r="E4054" s="34">
        <v>2</v>
      </c>
      <c r="F4054" s="34">
        <v>40</v>
      </c>
      <c r="G4054" s="10">
        <v>201529</v>
      </c>
      <c r="H4054" s="30" t="str">
        <f ca="1">IFERROR(__xludf.DUMMYFUNCTION("LOWER(REGEXREPLACE(B4054&amp;"" ""&amp;C4054,""[^а-яa-z0-9 ]"","" ""))"),"типа       с четырьмя ячейками  размеры 1150х500х1830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5" spans="1:8" ht="127.5" x14ac:dyDescent="0.2">
      <c r="A4055" s="31" t="s">
        <v>9867</v>
      </c>
      <c r="B4055" s="27" t="s">
        <v>9868</v>
      </c>
      <c r="C4055" s="27" t="s">
        <v>9866</v>
      </c>
      <c r="D4055" s="33" t="s">
        <v>14</v>
      </c>
      <c r="E4055" s="34">
        <v>2</v>
      </c>
      <c r="F4055" s="34">
        <v>47</v>
      </c>
      <c r="G4055" s="10">
        <v>179608</v>
      </c>
      <c r="H4055" s="30" t="str">
        <f ca="1">IFERROR(__xludf.DUMMYFUNCTION("LOWER(REGEXREPLACE(B4055&amp;"" ""&amp;C4055,""[^а-яa-z0-9 ]"","" ""))"),"типа       с четырьмя ячейками  размеры 1150х500х1500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6" spans="1:8" ht="127.5" x14ac:dyDescent="0.2">
      <c r="A4056" s="31" t="s">
        <v>9869</v>
      </c>
      <c r="B4056" s="27" t="s">
        <v>9870</v>
      </c>
      <c r="C4056" s="27" t="s">
        <v>9866</v>
      </c>
      <c r="D4056" s="33" t="s">
        <v>14</v>
      </c>
      <c r="E4056" s="34">
        <v>2</v>
      </c>
      <c r="F4056" s="34">
        <v>50</v>
      </c>
      <c r="G4056" s="10">
        <v>191072</v>
      </c>
      <c r="H4056" s="30" t="str">
        <f ca="1">IFERROR(__xludf.DUMMYFUNCTION("LOWER(REGEXREPLACE(B4056&amp;"" ""&amp;C4056,""[^а-яa-z0-9 ]"","" ""))"),"типа       с четырьмя ячейками  размеры 1150х500х1700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1150х500х1700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7" spans="1:8" ht="127.5" x14ac:dyDescent="0.2">
      <c r="A4057" s="31" t="s">
        <v>9871</v>
      </c>
      <c r="B4057" s="27" t="s">
        <v>9872</v>
      </c>
      <c r="C4057" s="27" t="s">
        <v>9866</v>
      </c>
      <c r="D4057" s="33" t="s">
        <v>14</v>
      </c>
      <c r="E4057" s="34">
        <v>2</v>
      </c>
      <c r="F4057" s="34">
        <v>42</v>
      </c>
      <c r="G4057" s="10">
        <v>142368</v>
      </c>
      <c r="H4057" s="30" t="str">
        <f ca="1">IFERROR(__xludf.DUMMYFUNCTION("LOWER(REGEXREPLACE(B4057&amp;"" ""&amp;C4057,""[^а-яa-z0-9 ]"","" ""))"),"типа       с четырьмя ячейками  размеры 1250х500х1230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с"&amp;"нащен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поли"&amp;"мерное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1250х500х1230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8" spans="1:8" ht="127.5" x14ac:dyDescent="0.2">
      <c r="A4058" s="31" t="s">
        <v>9873</v>
      </c>
      <c r="B4058" s="27" t="s">
        <v>9874</v>
      </c>
      <c r="C4058" s="27" t="s">
        <v>9875</v>
      </c>
      <c r="D4058" s="33" t="s">
        <v>14</v>
      </c>
      <c r="E4058" s="34">
        <v>2</v>
      </c>
      <c r="F4058" s="34">
        <v>40</v>
      </c>
      <c r="G4058" s="10">
        <v>197712</v>
      </c>
      <c r="H4058" s="30" t="str">
        <f ca="1">IFERROR(__xludf.DUMMYFUNCTION("LOWER(REGEXREPLACE(B4058&amp;"" ""&amp;C4058,""[^а-яa-z0-9 ]"","" ""))"),"типа       с четырьмя ячейками  размеры 1150х500х1830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59" spans="1:8" ht="127.5" x14ac:dyDescent="0.2">
      <c r="A4059" s="31" t="s">
        <v>9876</v>
      </c>
      <c r="B4059" s="27" t="s">
        <v>9877</v>
      </c>
      <c r="C4059" s="27" t="s">
        <v>9875</v>
      </c>
      <c r="D4059" s="33" t="s">
        <v>14</v>
      </c>
      <c r="E4059" s="34">
        <v>2</v>
      </c>
      <c r="F4059" s="34">
        <v>47</v>
      </c>
      <c r="G4059" s="10">
        <v>175791</v>
      </c>
      <c r="H4059" s="30" t="str">
        <f ca="1">IFERROR(__xludf.DUMMYFUNCTION("LOWER(REGEXREPLACE(B4059&amp;"" ""&amp;C4059,""[^а-яa-z0-9 ]"","" ""))"),"типа       с четырьмя ячейками  размеры 1150х500х1500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0" spans="1:8" ht="127.5" x14ac:dyDescent="0.2">
      <c r="A4060" s="31" t="s">
        <v>9878</v>
      </c>
      <c r="B4060" s="27" t="s">
        <v>9879</v>
      </c>
      <c r="C4060" s="27" t="s">
        <v>9875</v>
      </c>
      <c r="D4060" s="33" t="s">
        <v>14</v>
      </c>
      <c r="E4060" s="34">
        <v>2</v>
      </c>
      <c r="F4060" s="34">
        <v>50</v>
      </c>
      <c r="G4060" s="10">
        <v>187255</v>
      </c>
      <c r="H4060" s="30" t="str">
        <f ca="1">IFERROR(__xludf.DUMMYFUNCTION("LOWER(REGEXREPLACE(B4060&amp;"" ""&amp;C4060,""[^а-яa-z0-9 ]"","" ""))"),"типа       с четырьмя ячейками  размеры 1150х500х1700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1150х500х1700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1" spans="1:8" ht="127.5" x14ac:dyDescent="0.2">
      <c r="A4061" s="31" t="s">
        <v>9880</v>
      </c>
      <c r="B4061" s="27" t="s">
        <v>9881</v>
      </c>
      <c r="C4061" s="27" t="s">
        <v>9875</v>
      </c>
      <c r="D4061" s="33" t="s">
        <v>14</v>
      </c>
      <c r="E4061" s="34">
        <v>2</v>
      </c>
      <c r="F4061" s="34">
        <v>42</v>
      </c>
      <c r="G4061" s="10">
        <v>138551</v>
      </c>
      <c r="H4061" s="30" t="str">
        <f ca="1">IFERROR(__xludf.DUMMYFUNCTION("LOWER(REGEXREPLACE(B4061&amp;"" ""&amp;C4061,""[^а-яa-z0-9 ]"","" ""))"),"типа       с четырьмя ячейками  размеры 1250х500х1230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сн"&amp;"ащен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полиме"&amp;"рное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1250х500х1230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2" spans="1:8" ht="127.5" x14ac:dyDescent="0.2">
      <c r="A4062" s="31" t="s">
        <v>9882</v>
      </c>
      <c r="B4062" s="27" t="s">
        <v>9883</v>
      </c>
      <c r="C4062" s="27" t="s">
        <v>9884</v>
      </c>
      <c r="D4062" s="33" t="s">
        <v>14</v>
      </c>
      <c r="E4062" s="34">
        <v>2</v>
      </c>
      <c r="F4062" s="34">
        <v>40</v>
      </c>
      <c r="G4062" s="10">
        <v>254973</v>
      </c>
      <c r="H4062" s="30" t="str">
        <f ca="1">IFERROR(__xludf.DUMMYFUNCTION("LOWER(REGEXREPLACE(B4062&amp;"" ""&amp;C4062,""[^а-яa-z0-9 ]"","" ""))"),"типа       с четырьмя ячейками  размеры 1150х500х1830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3" spans="1:8" ht="140.25" x14ac:dyDescent="0.2">
      <c r="A4063" s="31" t="s">
        <v>9885</v>
      </c>
      <c r="B4063" s="27" t="s">
        <v>9886</v>
      </c>
      <c r="C4063" s="27" t="s">
        <v>9887</v>
      </c>
      <c r="D4063" s="33" t="s">
        <v>14</v>
      </c>
      <c r="E4063" s="34">
        <v>2</v>
      </c>
      <c r="F4063" s="34">
        <v>47</v>
      </c>
      <c r="G4063" s="10">
        <v>233051</v>
      </c>
      <c r="H4063" s="30" t="str">
        <f ca="1">IFERROR(__xludf.DUMMYFUNCTION("LOWER(REGEXREPLACE(B4063&amp;"" ""&amp;C4063,""[^а-яa-z0-9 ]"","" ""))"),"типа       с четырьмя ячейками  размеры 1150х500х1500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4" spans="1:8" ht="140.25" x14ac:dyDescent="0.2">
      <c r="A4064" s="31" t="s">
        <v>9888</v>
      </c>
      <c r="B4064" s="27" t="s">
        <v>9889</v>
      </c>
      <c r="C4064" s="27" t="s">
        <v>9887</v>
      </c>
      <c r="D4064" s="33" t="s">
        <v>14</v>
      </c>
      <c r="E4064" s="34">
        <v>2</v>
      </c>
      <c r="F4064" s="34">
        <v>50</v>
      </c>
      <c r="G4064" s="10">
        <v>244516</v>
      </c>
      <c r="H4064" s="30" t="str">
        <f ca="1">IFERROR(__xludf.DUMMYFUNCTION("LOWER(REGEXREPLACE(B4064&amp;"" ""&amp;C4064,""[^а-яa-z0-9 ]"","" ""))"),"типа       с четырьмя ячейками  размеры 1150х500х1700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1150х500х1700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5" spans="1:8" ht="127.5" x14ac:dyDescent="0.2">
      <c r="A4065" s="31" t="s">
        <v>9890</v>
      </c>
      <c r="B4065" s="27" t="s">
        <v>9891</v>
      </c>
      <c r="C4065" s="27" t="s">
        <v>9884</v>
      </c>
      <c r="D4065" s="33" t="s">
        <v>14</v>
      </c>
      <c r="E4065" s="34">
        <v>2</v>
      </c>
      <c r="F4065" s="34">
        <v>42</v>
      </c>
      <c r="G4065" s="10">
        <v>195812</v>
      </c>
      <c r="H4065" s="30" t="str">
        <f ca="1">IFERROR(__xludf.DUMMYFUNCTION("LOWER(REGEXREPLACE(B4065&amp;"" ""&amp;C4065,""[^а-яa-z0-9 ]"","" ""))"),"типа       с четырьмя ячейками  размеры 1250х500х1230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к"&amp;"рашен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высоким"&amp;"и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четырьмя ячейками  размеры 1250х500х1230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6" spans="1:8" ht="12.75" x14ac:dyDescent="0.2">
      <c r="A4066" s="31" t="s">
        <v>9892</v>
      </c>
      <c r="B4066" s="27" t="s">
        <v>9893</v>
      </c>
      <c r="C4066" s="27"/>
      <c r="D4066" s="33" t="s">
        <v>14</v>
      </c>
      <c r="E4066" s="9"/>
      <c r="F4066" s="32"/>
      <c r="G4066" s="10"/>
      <c r="H4066" s="30" t="str">
        <f ca="1">IFERROR(__xludf.DUMMYFUNCTION("LOWER(REGEXREPLACE(B4066&amp;"" ""&amp;C4066,""[^а-яa-z0-9 ]"","" ""))")," каф металлический пятисекционный ")</f>
        <v xml:space="preserve"> каф металлический пятисекционный </v>
      </c>
    </row>
    <row r="4067" spans="1:8" ht="76.5" x14ac:dyDescent="0.2">
      <c r="A4067" s="31" t="s">
        <v>9894</v>
      </c>
      <c r="B4067" s="27" t="s">
        <v>9895</v>
      </c>
      <c r="C4067" s="27" t="s">
        <v>9674</v>
      </c>
      <c r="D4067" s="33" t="s">
        <v>14</v>
      </c>
      <c r="E4067" s="34">
        <v>2</v>
      </c>
      <c r="F4067" s="34">
        <v>47</v>
      </c>
      <c r="G4067" s="10">
        <v>175791</v>
      </c>
      <c r="H4067" s="30" t="str">
        <f ca="1">IFERROR(__xludf.DUMMYFUNCTION("LOWER(REGEXREPLACE(B4067&amp;"" ""&amp;C4067,""[^а-яa-z0-9 ]"","" ""))"),"типа       с двадцатью пятью ячейками  размеры 1250х350х1280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ве"&amp;"нтиляционными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двадцатью пятью ячейками  размеры 1250х350х1280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8" spans="1:8" ht="76.5" x14ac:dyDescent="0.2">
      <c r="A4068" s="31" t="s">
        <v>9896</v>
      </c>
      <c r="B4068" s="27" t="s">
        <v>9897</v>
      </c>
      <c r="C4068" s="27" t="s">
        <v>9898</v>
      </c>
      <c r="D4068" s="33" t="s">
        <v>14</v>
      </c>
      <c r="E4068" s="34">
        <v>2</v>
      </c>
      <c r="F4068" s="34">
        <v>114</v>
      </c>
      <c r="G4068" s="10">
        <v>594066</v>
      </c>
      <c r="H4068" s="30" t="str">
        <f ca="1">IFERROR(__xludf.DUMMYFUNCTION("LOWER(REGEXREPLACE(B4068&amp;"" ""&amp;C4068,""[^а-яa-z0-9 ]"","" ""))"),"типа       с тридцатью ячейками  размеры 1780х400х2280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вентиля"&amp;"ционными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f>
        <v xml:space="preserve">типа       с тридцатью ячейками  размеры 1780х400х2280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v>
      </c>
    </row>
    <row r="4069" spans="1:8" ht="51" x14ac:dyDescent="0.2">
      <c r="A4069" s="31" t="s">
        <v>9899</v>
      </c>
      <c r="B4069" s="8" t="s">
        <v>9900</v>
      </c>
      <c r="C4069" s="27" t="s">
        <v>9901</v>
      </c>
      <c r="D4069" s="33" t="s">
        <v>14</v>
      </c>
      <c r="E4069" s="34">
        <v>2</v>
      </c>
      <c r="F4069" s="34">
        <v>68</v>
      </c>
      <c r="G4069" s="10">
        <v>309484</v>
      </c>
      <c r="H4069" s="30" t="str">
        <f ca="1">IFERROR(__xludf.DUMMYFUNCTION("LOWER(REGEXREPLACE(B4069&amp;"" ""&amp;C4069,""[^а-яa-z0-9 ]"","" ""))"),"типа       с тридцатью открытыми ячейками  размеры 1780х400х2280 мм  онструкция модульная  сборно разборная из  листовой стали  не менее 0 5 мм   крашен   орошково полимерное  устойчивое к ультрафиолетовому излучению  средствам дезинфекционной обработки п"&amp;"окрытие    крепление конструкции за счет зацепов и крепежа   меется возможность наращивания секций ")</f>
        <v xml:space="preserve">типа       с тридцатью открытыми ячейками  размеры 1780х400х2280 мм  онструкция модульная  сборно разборная из  листовой стали  не менее 0 5 мм   крашен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v>
      </c>
    </row>
    <row r="4070" spans="1:8" ht="12.75" x14ac:dyDescent="0.2">
      <c r="A4070" s="31" t="s">
        <v>9902</v>
      </c>
      <c r="B4070" s="27" t="s">
        <v>9903</v>
      </c>
      <c r="C4070" s="27"/>
      <c r="D4070" s="32"/>
      <c r="E4070" s="9"/>
      <c r="F4070" s="32"/>
      <c r="G4070" s="10"/>
      <c r="H4070" s="30" t="str">
        <f ca="1">IFERROR(__xludf.DUMMYFUNCTION("LOWER(REGEXREPLACE(B4070&amp;"" ""&amp;C4070,""[^а-яa-z0-9 ]"","" ""))")," рочее оборудование ")</f>
        <v xml:space="preserve"> рочее оборудование </v>
      </c>
    </row>
    <row r="4071" spans="1:8" ht="12.75" x14ac:dyDescent="0.2">
      <c r="A4071" s="31" t="s">
        <v>9904</v>
      </c>
      <c r="B4071" s="27" t="s">
        <v>9905</v>
      </c>
      <c r="C4071" s="27"/>
      <c r="D4071" s="33" t="s">
        <v>14</v>
      </c>
      <c r="E4071" s="9"/>
      <c r="F4071" s="32"/>
      <c r="G4071" s="10"/>
      <c r="H4071" s="30" t="str">
        <f ca="1">IFERROR(__xludf.DUMMYFUNCTION("LOWER(REGEXREPLACE(B4071&amp;"" ""&amp;C4071,""[^а-яa-z0-9 ]"","" ""))")," ейф несгораемый ")</f>
        <v xml:space="preserve"> ейф несгораемый </v>
      </c>
    </row>
    <row r="4072" spans="1:8" ht="12.75" x14ac:dyDescent="0.2">
      <c r="A4072" s="31" t="s">
        <v>9906</v>
      </c>
      <c r="B4072" s="27" t="s">
        <v>9907</v>
      </c>
      <c r="C4072" s="27"/>
      <c r="D4072" s="33" t="s">
        <v>14</v>
      </c>
      <c r="E4072" s="9"/>
      <c r="F4072" s="32"/>
      <c r="G4072" s="10">
        <v>562491</v>
      </c>
      <c r="H4072" s="30" t="str">
        <f ca="1">IFERROR(__xludf.DUMMYFUNCTION("LOWER(REGEXREPLACE(B4072&amp;"" ""&amp;C4072,""[^а-яa-z0-9 ]"","" ""))")," каф металлический    1260   ")</f>
        <v xml:space="preserve"> каф металлический    1260   </v>
      </c>
    </row>
    <row r="4073" spans="1:8" ht="38.25" x14ac:dyDescent="0.2">
      <c r="A4073" s="31" t="s">
        <v>9908</v>
      </c>
      <c r="B4073" s="27" t="s">
        <v>9909</v>
      </c>
      <c r="C4073" s="27" t="s">
        <v>9910</v>
      </c>
      <c r="D4073" s="33" t="s">
        <v>14</v>
      </c>
      <c r="E4073" s="34">
        <v>2</v>
      </c>
      <c r="F4073" s="35">
        <v>1.5</v>
      </c>
      <c r="G4073" s="10">
        <v>18594</v>
      </c>
      <c r="H4073" s="30" t="str">
        <f ca="1">IFERROR(__xludf.DUMMYFUNCTION("LOWER(REGEXREPLACE(B4073&amp;"" ""&amp;C4073,""[^а-яa-z0-9 ]"","" ""))")," тюг  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 ")</f>
        <v xml:space="preserve"> тюг  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 </v>
      </c>
    </row>
    <row r="4074" spans="1:8" ht="12.75" x14ac:dyDescent="0.2">
      <c r="A4074" s="31" t="s">
        <v>9911</v>
      </c>
      <c r="B4074" s="27" t="s">
        <v>9912</v>
      </c>
      <c r="C4074" s="27"/>
      <c r="D4074" s="33" t="s">
        <v>14</v>
      </c>
      <c r="E4074" s="9"/>
      <c r="F4074" s="32"/>
      <c r="G4074" s="10"/>
      <c r="H4074" s="30" t="str">
        <f ca="1">IFERROR(__xludf.DUMMYFUNCTION("LOWER(REGEXREPLACE(B4074&amp;"" ""&amp;C4074,""[^а-яa-z0-9 ]"","" ""))")," ележка для перевозки грузов ")</f>
        <v xml:space="preserve"> ележка для перевозки грузов </v>
      </c>
    </row>
    <row r="4075" spans="1:8" ht="12.75" x14ac:dyDescent="0.2">
      <c r="A4075" s="31" t="s">
        <v>9913</v>
      </c>
      <c r="B4075" s="27" t="s">
        <v>9914</v>
      </c>
      <c r="C4075" s="27"/>
      <c r="D4075" s="33" t="s">
        <v>14</v>
      </c>
      <c r="E4075" s="9"/>
      <c r="F4075" s="32"/>
      <c r="G4075" s="10">
        <v>3393</v>
      </c>
      <c r="H4075" s="30" t="str">
        <f ca="1">IFERROR(__xludf.DUMMYFUNCTION("LOWER(REGEXREPLACE(B4075&amp;"" ""&amp;C4075,""[^а-яa-z0-9 ]"","" ""))")," ележка бытовая без дополнительных планок ")</f>
        <v xml:space="preserve"> ележка бытовая без дополнительных планок </v>
      </c>
    </row>
    <row r="4076" spans="1:8" ht="12.75" x14ac:dyDescent="0.2">
      <c r="A4076" s="31" t="s">
        <v>9915</v>
      </c>
      <c r="B4076" s="27" t="s">
        <v>9916</v>
      </c>
      <c r="C4076" s="27"/>
      <c r="D4076" s="33" t="s">
        <v>14</v>
      </c>
      <c r="E4076" s="9"/>
      <c r="F4076" s="32"/>
      <c r="G4076" s="10">
        <v>3571</v>
      </c>
      <c r="H4076" s="30" t="str">
        <f ca="1">IFERROR(__xludf.DUMMYFUNCTION("LOWER(REGEXREPLACE(B4076&amp;"" ""&amp;C4076,""[^а-яa-z0-9 ]"","" ""))")," ележка бытовая с дополнительными планками ")</f>
        <v xml:space="preserve"> ележка бытовая с дополнительными планками </v>
      </c>
    </row>
    <row r="4077" spans="1:8" ht="12.75" x14ac:dyDescent="0.2">
      <c r="A4077" s="31" t="s">
        <v>9917</v>
      </c>
      <c r="B4077" s="27" t="s">
        <v>9918</v>
      </c>
      <c r="C4077" s="27"/>
      <c r="D4077" s="33" t="s">
        <v>14</v>
      </c>
      <c r="E4077" s="9"/>
      <c r="F4077" s="32"/>
      <c r="G4077" s="10">
        <v>5357</v>
      </c>
      <c r="H4077" s="30" t="str">
        <f ca="1">IFERROR(__xludf.DUMMYFUNCTION("LOWER(REGEXREPLACE(B4077&amp;"" ""&amp;C4077,""[^а-яa-z0-9 ]"","" ""))")," ележка грузовая ")</f>
        <v xml:space="preserve"> ележка грузовая </v>
      </c>
    </row>
    <row r="4078" spans="1:8" ht="12.75" x14ac:dyDescent="0.2">
      <c r="A4078" s="31" t="s">
        <v>9919</v>
      </c>
      <c r="B4078" s="27" t="s">
        <v>9920</v>
      </c>
      <c r="C4078" s="27"/>
      <c r="D4078" s="33" t="s">
        <v>14</v>
      </c>
      <c r="E4078" s="9"/>
      <c r="F4078" s="32"/>
      <c r="G4078" s="10">
        <v>6250</v>
      </c>
      <c r="H4078" s="30" t="str">
        <f ca="1">IFERROR(__xludf.DUMMYFUNCTION("LOWER(REGEXREPLACE(B4078&amp;"" ""&amp;C4078,""[^а-яa-z0-9 ]"","" ""))")," ележка грузовая   без сумки ")</f>
        <v xml:space="preserve"> ележка грузовая   без сумки </v>
      </c>
    </row>
    <row r="4079" spans="1:8" ht="12.75" x14ac:dyDescent="0.2">
      <c r="A4079" s="31" t="s">
        <v>9921</v>
      </c>
      <c r="B4079" s="27" t="s">
        <v>9922</v>
      </c>
      <c r="C4079" s="27"/>
      <c r="D4079" s="33" t="s">
        <v>14</v>
      </c>
      <c r="E4079" s="9"/>
      <c r="F4079" s="32"/>
      <c r="G4079" s="10">
        <v>7589</v>
      </c>
      <c r="H4079" s="30" t="str">
        <f ca="1">IFERROR(__xludf.DUMMYFUNCTION("LOWER(REGEXREPLACE(B4079&amp;"" ""&amp;C4079,""[^а-яa-z0-9 ]"","" ""))")," ележка грузовая   с сумкой ")</f>
        <v xml:space="preserve"> ележка грузовая   с сумкой </v>
      </c>
    </row>
    <row r="4080" spans="1:8" ht="12.75" x14ac:dyDescent="0.2">
      <c r="A4080" s="31" t="s">
        <v>9923</v>
      </c>
      <c r="B4080" s="27" t="s">
        <v>9924</v>
      </c>
      <c r="C4080" s="27"/>
      <c r="D4080" s="33" t="s">
        <v>14</v>
      </c>
      <c r="E4080" s="9"/>
      <c r="F4080" s="32"/>
      <c r="G4080" s="10">
        <v>11161</v>
      </c>
      <c r="H4080" s="30" t="str">
        <f ca="1">IFERROR(__xludf.DUMMYFUNCTION("LOWER(REGEXREPLACE(B4080&amp;"" ""&amp;C4080,""[^а-яa-z0-9 ]"","" ""))")," ележка багажная грузоподъемностью до 200 кг ")</f>
        <v xml:space="preserve"> ележка багажная грузоподъемностью до 200 кг </v>
      </c>
    </row>
    <row r="4081" spans="1:8" ht="25.5" x14ac:dyDescent="0.2">
      <c r="A4081" s="31" t="s">
        <v>9925</v>
      </c>
      <c r="B4081" s="27" t="s">
        <v>9926</v>
      </c>
      <c r="C4081" s="27"/>
      <c r="D4081" s="33" t="s">
        <v>14</v>
      </c>
      <c r="E4081" s="9"/>
      <c r="F4081" s="32"/>
      <c r="G4081" s="10">
        <v>11161</v>
      </c>
      <c r="H4081" s="30" t="str">
        <f ca="1">IFERROR(__xludf.DUMMYFUNCTION("LOWER(REGEXREPLACE(B4081&amp;"" ""&amp;C4081,""[^а-яa-z0-9 ]"","" ""))")," ележка багажная грузоподъемностью до 200 кг с удлин нной пластиной ")</f>
        <v xml:space="preserve"> ележка багажная грузоподъемностью до 200 кг с удлин нной пластиной </v>
      </c>
    </row>
    <row r="4082" spans="1:8" ht="12.75" x14ac:dyDescent="0.2">
      <c r="A4082" s="31" t="s">
        <v>9927</v>
      </c>
      <c r="B4082" s="27" t="s">
        <v>9928</v>
      </c>
      <c r="C4082" s="27"/>
      <c r="D4082" s="33" t="s">
        <v>14</v>
      </c>
      <c r="E4082" s="9"/>
      <c r="F4082" s="32"/>
      <c r="G4082" s="10">
        <v>11161</v>
      </c>
      <c r="H4082" s="30" t="str">
        <f ca="1">IFERROR(__xludf.DUMMYFUNCTION("LOWER(REGEXREPLACE(B4082&amp;"" ""&amp;C4082,""[^а-яa-z0-9 ]"","" ""))")," ележка почтовая грузоподъемностью до 200 кг ")</f>
        <v xml:space="preserve"> ележка почтовая грузоподъемностью до 200 кг </v>
      </c>
    </row>
    <row r="4083" spans="1:8" ht="25.5" x14ac:dyDescent="0.2">
      <c r="A4083" s="31" t="s">
        <v>9929</v>
      </c>
      <c r="B4083" s="27" t="s">
        <v>9930</v>
      </c>
      <c r="C4083" s="27"/>
      <c r="D4083" s="33" t="s">
        <v>14</v>
      </c>
      <c r="E4083" s="9"/>
      <c r="F4083" s="32"/>
      <c r="G4083" s="10">
        <v>13393</v>
      </c>
      <c r="H4083" s="30" t="str">
        <f ca="1">IFERROR(__xludf.DUMMYFUNCTION("LOWER(REGEXREPLACE(B4083&amp;"" ""&amp;C4083,""[^а-яa-z0-9 ]"","" ""))")," ележка почтовая грузоподъемностью до 200 кг с удлин нной пластиной и лопатой ")</f>
        <v xml:space="preserve"> ележка почтовая грузоподъемностью до 200 кг с удлин нной пластиной и лопатой </v>
      </c>
    </row>
    <row r="4084" spans="1:8" ht="12.75" x14ac:dyDescent="0.2">
      <c r="A4084" s="31" t="s">
        <v>9931</v>
      </c>
      <c r="B4084" s="27" t="s">
        <v>9932</v>
      </c>
      <c r="C4084" s="27"/>
      <c r="D4084" s="33" t="s">
        <v>14</v>
      </c>
      <c r="E4084" s="9"/>
      <c r="F4084" s="32"/>
      <c r="G4084" s="10">
        <v>20536</v>
      </c>
      <c r="H4084" s="30" t="str">
        <f ca="1">IFERROR(__xludf.DUMMYFUNCTION("LOWER(REGEXREPLACE(B4084&amp;"" ""&amp;C4084,""[^а-яa-z0-9 ]"","" ""))")," ележка садовая с пластиковым корытом ")</f>
        <v xml:space="preserve"> ележка садовая с пластиковым корытом </v>
      </c>
    </row>
    <row r="4085" spans="1:8" ht="12.75" x14ac:dyDescent="0.2">
      <c r="A4085" s="31" t="s">
        <v>9933</v>
      </c>
      <c r="B4085" s="27" t="s">
        <v>9934</v>
      </c>
      <c r="C4085" s="27"/>
      <c r="D4085" s="33" t="s">
        <v>14</v>
      </c>
      <c r="E4085" s="9"/>
      <c r="F4085" s="32"/>
      <c r="G4085" s="10">
        <v>20536</v>
      </c>
      <c r="H4085" s="30" t="str">
        <f ca="1">IFERROR(__xludf.DUMMYFUNCTION("LOWER(REGEXREPLACE(B4085&amp;"" ""&amp;C4085,""[^а-яa-z0-9 ]"","" ""))")," ележка садовая с металлическим корытом ")</f>
        <v xml:space="preserve"> ележка садовая с металлическим корытом </v>
      </c>
    </row>
    <row r="4086" spans="1:8" ht="25.5" x14ac:dyDescent="0.2">
      <c r="A4086" s="31" t="s">
        <v>9935</v>
      </c>
      <c r="B4086" s="27" t="s">
        <v>9936</v>
      </c>
      <c r="C4086" s="27" t="s">
        <v>9937</v>
      </c>
      <c r="D4086" s="33" t="s">
        <v>14</v>
      </c>
      <c r="E4086" s="34">
        <v>2</v>
      </c>
      <c r="F4086" s="35">
        <v>0.5</v>
      </c>
      <c r="G4086" s="10">
        <v>15045</v>
      </c>
      <c r="H4086" s="30" t="str">
        <f ca="1">IFERROR(__xludf.DUMMYFUNCTION("LOWER(REGEXREPLACE(B4086&amp;"" ""&amp;C4086,""[^а-яa-z0-9 ]"","" ""))")," озатор жидкого мыла  ластиковый с глазком  объем не менее 1000 мл  размеры длина 115мм  глубина 110мм  высота 245мм")</f>
        <v xml:space="preserve"> озатор жидкого мыла  ластиковый с глазком  объем не менее 1000 мл  размеры длина 115мм  глубина 110мм  высота 245мм</v>
      </c>
    </row>
    <row r="4087" spans="1:8" ht="12.75" x14ac:dyDescent="0.2">
      <c r="A4087" s="31" t="s">
        <v>9938</v>
      </c>
      <c r="B4087" s="27" t="s">
        <v>9939</v>
      </c>
      <c r="C4087" s="27"/>
      <c r="D4087" s="33" t="s">
        <v>14</v>
      </c>
      <c r="E4087" s="9"/>
      <c r="F4087" s="32"/>
      <c r="G4087" s="10"/>
      <c r="H4087" s="30" t="str">
        <f ca="1">IFERROR(__xludf.DUMMYFUNCTION("LOWER(REGEXREPLACE(B4087&amp;"" ""&amp;C4087,""[^а-яa-z0-9 ]"","" ""))")," лектросушитель для рук ")</f>
        <v xml:space="preserve"> лектросушитель для рук </v>
      </c>
    </row>
    <row r="4088" spans="1:8" ht="38.25" x14ac:dyDescent="0.2">
      <c r="A4088" s="31" t="s">
        <v>9940</v>
      </c>
      <c r="B4088" s="27" t="s">
        <v>9941</v>
      </c>
      <c r="C4088" s="27"/>
      <c r="D4088" s="33" t="s">
        <v>14</v>
      </c>
      <c r="E4088" s="34">
        <v>2</v>
      </c>
      <c r="F4088" s="35">
        <v>2.8</v>
      </c>
      <c r="G4088" s="10">
        <v>36207</v>
      </c>
      <c r="H4088" s="30" t="str">
        <f ca="1">IFERROR(__xludf.DUMMYFUNCTION("LOWER(REGEXREPLACE(B4088&amp;"" ""&amp;C4088,""[^а-яa-z0-9 ]"","" ""))")," лектросушитель для рук типа            798         атериал       ластик  мощность  2 300 т  скорость вращения двиг   23 000 об мин ")</f>
        <v xml:space="preserve"> лектросушитель для рук типа            798         атериал       ластик  мощность  2 300 т  скорость вращения двиг   23 000 об мин </v>
      </c>
    </row>
    <row r="4089" spans="1:8" ht="25.5" x14ac:dyDescent="0.2">
      <c r="A4089" s="31" t="s">
        <v>9942</v>
      </c>
      <c r="B4089" s="27" t="s">
        <v>9943</v>
      </c>
      <c r="C4089" s="27"/>
      <c r="D4089" s="33" t="s">
        <v>14</v>
      </c>
      <c r="E4089" s="34">
        <v>2</v>
      </c>
      <c r="F4089" s="35">
        <v>2.5</v>
      </c>
      <c r="G4089" s="10">
        <v>15298</v>
      </c>
      <c r="H4089" s="30" t="str">
        <f ca="1">IFERROR(__xludf.DUMMYFUNCTION("LOWER(REGEXREPLACE(B4089&amp;"" ""&amp;C4089,""[^а-яa-z0-9 ]"","" ""))")," лектросушитель для рук типа    103   атериал  пластик  мощность  2 000 т ")</f>
        <v xml:space="preserve"> лектросушитель для рук типа    103   атериал  пластик  мощность  2 000 т </v>
      </c>
    </row>
    <row r="4090" spans="1:8" ht="12.75" x14ac:dyDescent="0.2">
      <c r="A4090" s="31" t="s">
        <v>9944</v>
      </c>
      <c r="B4090" s="27" t="s">
        <v>9945</v>
      </c>
      <c r="C4090" s="27"/>
      <c r="D4090" s="33" t="s">
        <v>14</v>
      </c>
      <c r="E4090" s="9"/>
      <c r="F4090" s="32"/>
      <c r="G4090" s="10"/>
      <c r="H4090" s="30" t="str">
        <f ca="1">IFERROR(__xludf.DUMMYFUNCTION("LOWER(REGEXREPLACE(B4090&amp;"" ""&amp;C4090,""[^а-яa-z0-9 ]"","" ""))")," ен настенный ")</f>
        <v xml:space="preserve"> ен настенный </v>
      </c>
    </row>
    <row r="4091" spans="1:8" ht="51" x14ac:dyDescent="0.2">
      <c r="A4091" s="31" t="s">
        <v>9946</v>
      </c>
      <c r="B4091" s="8" t="s">
        <v>9947</v>
      </c>
      <c r="C4091" s="27"/>
      <c r="D4091" s="33" t="s">
        <v>14</v>
      </c>
      <c r="E4091" s="34">
        <v>2</v>
      </c>
      <c r="F4091" s="34">
        <v>1</v>
      </c>
      <c r="G4091" s="10">
        <v>15641</v>
      </c>
      <c r="H4091" s="30" t="str">
        <f ca="1">IFERROR(__xludf.DUMMYFUNCTION("LOWER(REGEXREPLACE(B4091&amp;"" ""&amp;C4091,""[^а-яa-z0-9 ]"","" ""))")," ен настенный для сушки волос типа             1200    ощность  1200 т  скорость воздух  12м с  скорость вращения двигателя  170 000 об мин ")</f>
        <v xml:space="preserve"> ен настенный для сушки волос типа             1200    ощность  1200 т  скорость воздух  12м с  скорость вращения двигателя  170 000 об мин </v>
      </c>
    </row>
    <row r="4092" spans="1:8" ht="38.25" x14ac:dyDescent="0.2">
      <c r="A4092" s="31" t="s">
        <v>9948</v>
      </c>
      <c r="B4092" s="27" t="s">
        <v>9949</v>
      </c>
      <c r="C4092" s="27"/>
      <c r="D4092" s="33" t="s">
        <v>14</v>
      </c>
      <c r="E4092" s="34">
        <v>2</v>
      </c>
      <c r="F4092" s="36">
        <v>0.83</v>
      </c>
      <c r="G4092" s="10">
        <v>8097</v>
      </c>
      <c r="H4092" s="30" t="str">
        <f ca="1">IFERROR(__xludf.DUMMYFUNCTION("LOWER(REGEXREPLACE(B4092&amp;"" ""&amp;C4092,""[^а-яa-z0-9 ]"","" ""))")," ен настенный для сушки волос стационарный    01   атериал  пластик  мощность  1100 т  220  50 ц  скорость воздушного потока  13м с ")</f>
        <v xml:space="preserve"> ен настенный для сушки волос стационарный    01   атериал  пластик  мощность  1100 т  220  50 ц  скорость воздушного потока  13м с </v>
      </c>
    </row>
    <row r="4093" spans="1:8" ht="12.75" x14ac:dyDescent="0.2">
      <c r="A4093" s="31" t="s">
        <v>9950</v>
      </c>
      <c r="B4093" s="27" t="s">
        <v>9951</v>
      </c>
      <c r="C4093" s="27"/>
      <c r="D4093" s="33" t="s">
        <v>14</v>
      </c>
      <c r="E4093" s="9"/>
      <c r="F4093" s="32"/>
      <c r="G4093" s="10"/>
      <c r="H4093" s="30" t="str">
        <f ca="1">IFERROR(__xludf.DUMMYFUNCTION("LOWER(REGEXREPLACE(B4093&amp;"" ""&amp;C4093,""[^а-яa-z0-9 ]"","" ""))")," испенсер для туалетной бумаги ")</f>
        <v xml:space="preserve"> испенсер для туалетной бумаги </v>
      </c>
    </row>
    <row r="4094" spans="1:8" ht="38.25" x14ac:dyDescent="0.2">
      <c r="A4094" s="31" t="s">
        <v>9952</v>
      </c>
      <c r="B4094" s="27" t="s">
        <v>9953</v>
      </c>
      <c r="C4094" s="27"/>
      <c r="D4094" s="33" t="s">
        <v>14</v>
      </c>
      <c r="E4094" s="34">
        <v>2</v>
      </c>
      <c r="F4094" s="36">
        <v>0.48</v>
      </c>
      <c r="G4094" s="10">
        <v>8905</v>
      </c>
      <c r="H4094" s="30" t="str">
        <f ca="1">IFERROR(__xludf.DUMMYFUNCTION("LOWER(REGEXREPLACE(B4094&amp;"" ""&amp;C4094,""[^а-яa-z0-9 ]"","" ""))")," испенсер для туалетной бумаги в рулонах типа  umbo   атериал  пластик  ручная подача  открывается с помощью ключа ")</f>
        <v xml:space="preserve"> испенсер для туалетной бумаги в рулонах типа  umbo   атериал  пластик  ручная подача  открывается с помощью ключа </v>
      </c>
    </row>
    <row r="4095" spans="1:8" ht="12.75" x14ac:dyDescent="0.2">
      <c r="A4095" s="31" t="s">
        <v>9954</v>
      </c>
      <c r="B4095" s="27" t="s">
        <v>9955</v>
      </c>
      <c r="C4095" s="27"/>
      <c r="D4095" s="33" t="s">
        <v>14</v>
      </c>
      <c r="E4095" s="9"/>
      <c r="F4095" s="32"/>
      <c r="G4095" s="10"/>
      <c r="H4095" s="30" t="str">
        <f ca="1">IFERROR(__xludf.DUMMYFUNCTION("LOWER(REGEXREPLACE(B4095&amp;"" ""&amp;C4095,""[^а-яa-z0-9 ]"","" ""))")," испенсер для бумажных полотенец ")</f>
        <v xml:space="preserve"> испенсер для бумажных полотенец </v>
      </c>
    </row>
    <row r="4096" spans="1:8" ht="51" x14ac:dyDescent="0.2">
      <c r="A4096" s="31" t="s">
        <v>9956</v>
      </c>
      <c r="B4096" s="27" t="s">
        <v>9957</v>
      </c>
      <c r="C4096" s="27"/>
      <c r="D4096" s="33" t="s">
        <v>14</v>
      </c>
      <c r="E4096" s="34">
        <v>2</v>
      </c>
      <c r="F4096" s="36">
        <v>0.65</v>
      </c>
      <c r="G4096" s="10">
        <v>4949</v>
      </c>
      <c r="H4096" s="30" t="str">
        <f ca="1">IFERROR(__xludf.DUMMYFUNCTION("LOWER(REGEXREPLACE(B4096&amp;"" ""&amp;C4096,""[^а-яa-z0-9 ]"","" ""))")," испенсер для бумажных полотенец типа  ialli   атериал  пластик    укладка  открывается ключом  небольшое окошко для контроля заполнения ")</f>
        <v xml:space="preserve"> испенсер для бумажных полотенец типа  ialli   атериал  пластик    укладка  открывается ключом  небольшое окошко для контроля заполнения </v>
      </c>
    </row>
    <row r="4097" spans="1:8" ht="38.25" x14ac:dyDescent="0.2">
      <c r="A4097" s="31" t="s">
        <v>9958</v>
      </c>
      <c r="B4097" s="27" t="s">
        <v>9959</v>
      </c>
      <c r="C4097" s="27"/>
      <c r="D4097" s="33" t="s">
        <v>14</v>
      </c>
      <c r="E4097" s="34">
        <v>2</v>
      </c>
      <c r="F4097" s="35">
        <v>0.4</v>
      </c>
      <c r="G4097" s="10">
        <v>2609</v>
      </c>
      <c r="H4097" s="30" t="str">
        <f ca="1">IFERROR(__xludf.DUMMYFUNCTION("LOWER(REGEXREPLACE(B4097&amp;"" ""&amp;C4097,""[^а-яa-z0-9 ]"","" ""))")," испенсер для бумажных полотенец типа  olly   атериал  пластик  настенный держатель рулонных полотенец с откидной крышкой ")</f>
        <v xml:space="preserve"> испенсер для бумажных полотенец типа  olly   атериал  пластик  настенный держатель рулонных полотенец с откидной крышкой </v>
      </c>
    </row>
    <row r="4098" spans="1:8" x14ac:dyDescent="0.2">
      <c r="A4098" s="12" t="s">
        <v>9960</v>
      </c>
      <c r="B4098" s="26"/>
      <c r="C4098" s="27"/>
      <c r="D4098" s="26"/>
      <c r="E4098" s="28"/>
      <c r="F4098" s="26"/>
      <c r="G4098" s="29"/>
      <c r="H4098" s="30" t="str">
        <f ca="1">IFERROR(__xludf.DUMMYFUNCTION("LOWER(REGEXREPLACE(B4098&amp;"" ""&amp;C4098,""[^а-яa-z0-9 ]"","" ""))")," ")</f>
        <v xml:space="preserve"> </v>
      </c>
    </row>
    <row r="4099" spans="1:8" ht="12.75" x14ac:dyDescent="0.2">
      <c r="A4099" s="31" t="s">
        <v>9961</v>
      </c>
      <c r="B4099" s="27" t="s">
        <v>9962</v>
      </c>
      <c r="C4099" s="27"/>
      <c r="D4099" s="32"/>
      <c r="E4099" s="9"/>
      <c r="F4099" s="32"/>
      <c r="G4099" s="10"/>
      <c r="H4099" s="30" t="str">
        <f ca="1">IFERROR(__xludf.DUMMYFUNCTION("LOWER(REGEXREPLACE(B4099&amp;"" ""&amp;C4099,""[^а-яa-z0-9 ]"","" ""))")," ебель для столовой ")</f>
        <v xml:space="preserve"> ебель для столовой </v>
      </c>
    </row>
    <row r="4100" spans="1:8" ht="12.75" x14ac:dyDescent="0.2">
      <c r="A4100" s="31" t="s">
        <v>9963</v>
      </c>
      <c r="B4100" s="27" t="s">
        <v>9964</v>
      </c>
      <c r="C4100" s="27"/>
      <c r="D4100" s="33" t="s">
        <v>68</v>
      </c>
      <c r="E4100" s="9"/>
      <c r="F4100" s="32"/>
      <c r="G4100" s="10"/>
      <c r="H4100" s="30" t="str">
        <f ca="1">IFERROR(__xludf.DUMMYFUNCTION("LOWER(REGEXREPLACE(B4100&amp;"" ""&amp;C4100,""[^а-яa-z0-9 ]"","" ""))")," омплект обеденной мебели ")</f>
        <v xml:space="preserve"> омплект обеденной мебели </v>
      </c>
    </row>
    <row r="4101" spans="1:8" ht="63.75" x14ac:dyDescent="0.2">
      <c r="A4101" s="31" t="s">
        <v>9965</v>
      </c>
      <c r="B4101" s="27" t="s">
        <v>9966</v>
      </c>
      <c r="C4101" s="27" t="s">
        <v>9967</v>
      </c>
      <c r="D4101" s="33" t="s">
        <v>68</v>
      </c>
      <c r="E4101" s="34">
        <v>2</v>
      </c>
      <c r="F4101" s="34">
        <v>32</v>
      </c>
      <c r="G4101" s="10">
        <v>332950</v>
      </c>
      <c r="H4101" s="30" t="str">
        <f ca="1">IFERROR(__xludf.DUMMYFUNCTION("LOWER(REGEXREPLACE(B4101&amp;"" ""&amp;C4101,""[^а-яa-z0-9 ]"","" ""))")," тол обеденный на 8 мест  с сиденьями  складной механизм  2550х1530х760 мм   тол обеденный на 8 мест  с сиденьями  складной механизм  2550х1530х760 мм   еталлокаркас  столешница      16мм  края из антивандальной полиуретановой кромки   иденье из полипропи"&amp;"ленового пластика   тол мобильный  имеет колесные прорезиненовые опоры со стопором и газлифты ")</f>
        <v xml:space="preserve"> тол обеденный на 8 мест  с сиденьями  складной механизм  2550х1530х760 мм   тол обеденный на 8 мест  с сиденьями  складной механизм  2550х1530х760 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v>
      </c>
    </row>
    <row r="4102" spans="1:8" ht="25.5" x14ac:dyDescent="0.2">
      <c r="A4102" s="31" t="s">
        <v>9968</v>
      </c>
      <c r="B4102" s="27" t="s">
        <v>9969</v>
      </c>
      <c r="C4102" s="27" t="s">
        <v>9970</v>
      </c>
      <c r="D4102" s="33" t="s">
        <v>68</v>
      </c>
      <c r="E4102" s="34">
        <v>2</v>
      </c>
      <c r="F4102" s="34">
        <v>40</v>
      </c>
      <c r="G4102" s="10">
        <v>149906</v>
      </c>
      <c r="H4102" s="30" t="str">
        <f ca="1">IFERROR(__xludf.DUMMYFUNCTION("LOWER(REGEXREPLACE(B4102&amp;"" ""&amp;C4102,""[^а-яa-z0-9 ]"","" ""))")," тол обеденный с 4 мя стульями  размер не менее 1500х600х700мм  тол обеденный с 4 мя стульями  размер не менее 1500х600х700мм   снование металлокаркас ")</f>
        <v xml:space="preserve"> тол обеденный с 4 мя стульями  размер не менее 1500х600х700мм  тол обеденный с 4 мя стульями  размер не менее 1500х600х700мм   снование металлокаркас </v>
      </c>
    </row>
    <row r="4103" spans="1:8" ht="51" x14ac:dyDescent="0.2">
      <c r="A4103" s="31" t="s">
        <v>9971</v>
      </c>
      <c r="B4103" s="27" t="s">
        <v>9972</v>
      </c>
      <c r="C4103" s="27" t="s">
        <v>9973</v>
      </c>
      <c r="D4103" s="33" t="s">
        <v>68</v>
      </c>
      <c r="E4103" s="34">
        <v>2</v>
      </c>
      <c r="F4103" s="34">
        <v>25</v>
      </c>
      <c r="G4103" s="10">
        <v>187646</v>
      </c>
      <c r="H4103" s="30" t="str">
        <f ca="1">IFERROR(__xludf.DUMMYFUNCTION("LOWER(REGEXREPLACE(B4103&amp;"" ""&amp;C4103,""[^а-яa-z0-9 ]"","" ""))")," тол обеденный на 6 мест  с сиденьями   азмер не менее 1530х1530х760мм  тол обеденный на 6 мест  с сиденьями   азмер не менее 1530х1530х760мм   еталлокаркас  столешница      16мм  края из антивандальной полиуретановой кромки   иденье из полипропиленового "&amp;"пластика   тол мобильный  имеет колесные прорезиненовые опоры со стопором и газлифты ")</f>
        <v xml:space="preserve"> тол обеденный на 6 мест  с сиденьями   азмер не менее 1530х1530х760мм  тол обеденный на 6 мест  с сиденьями   азмер не менее 1530х1530х760мм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v>
      </c>
    </row>
    <row r="4104" spans="1:8" ht="51" x14ac:dyDescent="0.2">
      <c r="A4104" s="31" t="s">
        <v>9974</v>
      </c>
      <c r="B4104" s="27" t="s">
        <v>9975</v>
      </c>
      <c r="C4104" s="27" t="s">
        <v>9976</v>
      </c>
      <c r="D4104" s="33" t="s">
        <v>14</v>
      </c>
      <c r="E4104" s="9"/>
      <c r="F4104" s="34">
        <v>4</v>
      </c>
      <c r="G4104" s="10">
        <v>42316</v>
      </c>
      <c r="H4104" s="30" t="str">
        <f ca="1">IFERROR(__xludf.DUMMYFUNCTION("LOWER(REGEXREPLACE(B4104&amp;"" ""&amp;C4104,""[^а-яa-z0-9 ]"","" ""))")," тул обеденный штабелируемый  сиденье выполнено из полипропилена  тул штабелируемый высота   850мм  ширина   450мм  глубина   570мм   иденье выполнено из полипропилена со специальными армирующими добавками  которые обеспечивают дополнительную прочность и "&amp;"долговечность  поверхность   под кожу с прострочкой  цвета на выбор")</f>
        <v xml:space="preserve"> тул обеденный штабелируемый  сиденье выполнено из полипропилена  тул штабелируемый высота   850мм  ширина   450мм  глубина   570мм   иденье выполнено из полипропилена со специальными армирующими добавками  которые обеспечивают дополнительную прочность и долговечность  поверхность   под кожу с прострочкой  цвета на выбор</v>
      </c>
    </row>
    <row r="4105" spans="1:8" ht="63.75" x14ac:dyDescent="0.2">
      <c r="A4105" s="31" t="s">
        <v>9977</v>
      </c>
      <c r="B4105" s="27" t="s">
        <v>9978</v>
      </c>
      <c r="C4105" s="27" t="s">
        <v>9979</v>
      </c>
      <c r="D4105" s="33" t="s">
        <v>68</v>
      </c>
      <c r="E4105" s="34">
        <v>2</v>
      </c>
      <c r="F4105" s="34">
        <v>40</v>
      </c>
      <c r="G4105" s="10">
        <v>590087</v>
      </c>
      <c r="H4105" s="30" t="str">
        <f ca="1">IFERROR(__xludf.DUMMYFUNCTION("LOWER(REGEXREPLACE(B4105&amp;"" ""&amp;C4105,""[^а-яa-z0-9 ]"","" ""))")," тол обеденный на 12 мест  с сиденьями  складной механизм    азмер не менее 3050х1530х760мм  тол обеденный на 12 мест  с сиденьями  складной механизм    азмер не менее 3050х1530х760мм   еталлокаркас  столешница      16мм  края из антивандальной полиуретан"&amp;"овой кромки   иденье из полипропиленового пластика   тол мобильный  имеет колесные прорезиненовые опоры со стопором и газлифты ")</f>
        <v xml:space="preserve"> тол обеденный на 12 мест  с сиденьями  складной механизм    азмер не менее 3050х1530х760мм  тол обеденный на 12 мест  с сиденьями  складной механизм    азмер не менее 3050х1530х760мм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v>
      </c>
    </row>
    <row r="4106" spans="1:8" ht="89.25" x14ac:dyDescent="0.2">
      <c r="A4106" s="31" t="s">
        <v>9980</v>
      </c>
      <c r="B4106" s="27" t="s">
        <v>9981</v>
      </c>
      <c r="C4106" s="27" t="s">
        <v>9982</v>
      </c>
      <c r="D4106" s="33" t="s">
        <v>68</v>
      </c>
      <c r="E4106" s="34">
        <v>2</v>
      </c>
      <c r="F4106" s="34">
        <v>98</v>
      </c>
      <c r="G4106" s="10">
        <v>459556</v>
      </c>
      <c r="H4106" s="30" t="str">
        <f ca="1">IFERROR(__xludf.DUMMYFUNCTION("LOWER(REGEXREPLACE(B4106&amp;"" ""&amp;C4106,""[^а-яa-z0-9 ]"","" ""))")," тол 8 и местный 2400х750х750мм со стульями в комплекте  тол состоит из двух частей  размер каждой части 1200х750х750 мм  общий размер 2400х750х750 мм    8 стульев   толешница изготавливается из химически и температурно стойкого материала    остформинг  т"&amp;"олщиной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"&amp;"кожей   иденье круглое ")</f>
        <v xml:space="preserve"> тол 8 и местный 2400х750х750мм со стульями в комплекте  тол состоит из двух частей  размер каждой части 1200х750х750 мм  общий размер 2400х750х750 мм    8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v>
      </c>
    </row>
    <row r="4107" spans="1:8" ht="89.25" x14ac:dyDescent="0.2">
      <c r="A4107" s="31" t="s">
        <v>9983</v>
      </c>
      <c r="B4107" s="27" t="s">
        <v>9984</v>
      </c>
      <c r="C4107" s="27" t="s">
        <v>9985</v>
      </c>
      <c r="D4107" s="33" t="s">
        <v>68</v>
      </c>
      <c r="E4107" s="34">
        <v>2</v>
      </c>
      <c r="F4107" s="34">
        <v>49</v>
      </c>
      <c r="G4107" s="10">
        <v>311074</v>
      </c>
      <c r="H4107" s="30" t="str">
        <f ca="1">IFERROR(__xludf.DUMMYFUNCTION("LOWER(REGEXREPLACE(B4107&amp;"" ""&amp;C4107,""[^а-яa-z0-9 ]"","" ""))")," тол 6 и местный 1800х750х750мм со стульями в комплекте  азмер стола 1800х750х750 мм   6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"&amp;"труб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f>
        <v xml:space="preserve"> тол 6 и местный 1800х750х750мм со стульями в комплекте  азмер стола 1800х750х750 мм   6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v>
      </c>
    </row>
    <row r="4108" spans="1:8" ht="89.25" x14ac:dyDescent="0.2">
      <c r="A4108" s="31" t="s">
        <v>9986</v>
      </c>
      <c r="B4108" s="27" t="s">
        <v>9987</v>
      </c>
      <c r="C4108" s="27" t="s">
        <v>9988</v>
      </c>
      <c r="D4108" s="33" t="s">
        <v>14</v>
      </c>
      <c r="E4108" s="34">
        <v>2</v>
      </c>
      <c r="F4108" s="35">
        <v>18.899999999999999</v>
      </c>
      <c r="G4108" s="10">
        <v>98995</v>
      </c>
      <c r="H4108" s="30" t="str">
        <f ca="1">IFERROR(__xludf.DUMMYFUNCTION("LOWER(REGEXREPLACE(B4108&amp;"" ""&amp;C4108,""[^а-яa-z0-9 ]"","" ""))")," тол обеденный  на 4 места  размер 1200х800х750мм   толешница из полипропилен  пластик   обтянутая высокопрочной пленкой   олщина столешницы  7 мм   о кайме стола загиб  высотой 27 мм  вета ножек по согласованию   атериал и метод изготовления  ножек   цел"&amp;"ьногнутая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7 мм   о кайме стола загиб  высота заги"&amp;"ба 27 мм   вета пленки столешницы по согласованию")</f>
        <v xml:space="preserve"> тол обеденный  на 4 места  размер 1200х800х750мм   толешница из полипропилен  пластик   обтянутая высокопрочной пленкой   олщина столешницы  7 мм   о кайме стола загиб  высотой 27 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7 мм   о кайме стола загиб  высота загиба 27 мм   вета пленки столешницы по согласованию</v>
      </c>
    </row>
    <row r="4109" spans="1:8" ht="89.25" x14ac:dyDescent="0.2">
      <c r="A4109" s="31" t="s">
        <v>9989</v>
      </c>
      <c r="B4109" s="27" t="s">
        <v>9990</v>
      </c>
      <c r="C4109" s="27" t="s">
        <v>9991</v>
      </c>
      <c r="D4109" s="33" t="s">
        <v>14</v>
      </c>
      <c r="E4109" s="34">
        <v>2</v>
      </c>
      <c r="F4109" s="35">
        <v>15.6</v>
      </c>
      <c r="G4109" s="10">
        <v>80097</v>
      </c>
      <c r="H4109" s="30" t="str">
        <f ca="1">IFERROR(__xludf.DUMMYFUNCTION("LOWER(REGEXREPLACE(B4109&amp;"" ""&amp;C4109,""[^а-яa-z0-9 ]"","" ""))")," тол обеденный  на 2 места  размер 800х800х750мм   толешница из полипропилен  пластик   обтянутая высокопрочной пленкой   олщина столешницы  2 5 мм   о кайме стола загиб  высотой 27 мм  вета ножек по согласованию   атериал и метод изготовления  ножек цель"&amp;"ногнутая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2 5 мм   о кайме стола загиб  высота заг"&amp;"иба 27 мм   вета пленки столешницы по согласованию")</f>
        <v xml:space="preserve"> тол обеденный  на 2 места  размер 800х800х750мм   толешница из полипропилен  пластик   обтянутая высокопрочной пленкой   олщина столешницы  2 5 мм   о кайме стола загиб  высотой 27 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2 5 мм   о кайме стола загиб  высота загиба 27 мм   вета пленки столешницы по согласованию</v>
      </c>
    </row>
    <row r="4110" spans="1:8" ht="63.75" x14ac:dyDescent="0.2">
      <c r="A4110" s="31" t="s">
        <v>9992</v>
      </c>
      <c r="B4110" s="27" t="s">
        <v>9993</v>
      </c>
      <c r="C4110" s="27" t="s">
        <v>9994</v>
      </c>
      <c r="D4110" s="33" t="s">
        <v>14</v>
      </c>
      <c r="E4110" s="34">
        <v>2</v>
      </c>
      <c r="F4110" s="35">
        <v>32.9</v>
      </c>
      <c r="G4110" s="10">
        <v>99049</v>
      </c>
      <c r="H4110" s="30" t="str">
        <f ca="1">IFERROR(__xludf.DUMMYFUNCTION("LOWER(REGEXREPLACE(B4110&amp;"" ""&amp;C4110,""[^а-яa-z0-9 ]"","" ""))")," тол обеденный на 4 места  размер 1200х800х750мм   толешница из высокопрочного     пластика  толщиной 11 5мм  вета ножек по согласованию   атериал и метод изготовления  ножек цельногнутая сталь   етод окрашивания ножек  порошковая окраска   орма ножки   т"&amp;"рапециевидная   олщина стали ножки  1 мм   атериал столешницы  высокопрочный      пластик   олщина столешницы  11 5 мм   вета  столешницы по согласованию")</f>
        <v xml:space="preserve"> тол обеденный на 4 места  размер 1200х800х750мм   толешница из высокопрочного     пластика  толщиной 11 5мм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высокопрочный      пластик   олщина столешницы  11 5 мм   вета  столешницы по согласованию</v>
      </c>
    </row>
    <row r="4111" spans="1:8" ht="76.5" x14ac:dyDescent="0.2">
      <c r="A4111" s="31" t="s">
        <v>9995</v>
      </c>
      <c r="B4111" s="27" t="s">
        <v>9996</v>
      </c>
      <c r="C4111" s="27" t="s">
        <v>9997</v>
      </c>
      <c r="D4111" s="33" t="s">
        <v>14</v>
      </c>
      <c r="E4111" s="34">
        <v>2</v>
      </c>
      <c r="F4111" s="35">
        <v>23.5</v>
      </c>
      <c r="G4111" s="10">
        <v>43257</v>
      </c>
      <c r="H4111" s="30" t="str">
        <f ca="1">IFERROR(__xludf.DUMMYFUNCTION("LOWER(REGEXREPLACE(B4111&amp;"" ""&amp;C4111,""[^а-яa-z0-9 ]"","" ""))")," тол обеденный 1500х600х700мм   толешница из     16 мм  облицована пластиковым покрытием  металлический каркас  тол обеденный 1500х600х700мм   тол изготавливается на металлическом каркасе прямоугольного сечения  покрытого стойкой к химическим и механическ"&amp;"им воздействиям полимерно порошковой краской  на свободных концах труб установлены заглушки из ударопрочных полимеров   толешница выполнена из      16 мм  облицована пластиковым покрытием  торцы обрамлены кромкой     2 мм ")</f>
        <v xml:space="preserve"> тол обеденный 1500х600х700мм   толешница из     16 мм  облицована пластиковым покрытием  металлический каркас  тол обеденный 1500х600х700мм   тол изготавливается на металлическом каркасе прямоугольного сечения  покрытого стойкой к химическим и механическим воздействиям полимерно порошковой краской  на свободных концах труб установлены заглушки из ударопрочных полимеров   толешница выполнена из      16 мм  облицована пластиковым покрытием  торцы обрамлены кромкой     2 мм </v>
      </c>
    </row>
    <row r="4112" spans="1:8" ht="89.25" x14ac:dyDescent="0.2">
      <c r="A4112" s="31" t="s">
        <v>9998</v>
      </c>
      <c r="B4112" s="27" t="s">
        <v>9999</v>
      </c>
      <c r="C4112" s="27" t="s">
        <v>10000</v>
      </c>
      <c r="D4112" s="33" t="s">
        <v>14</v>
      </c>
      <c r="E4112" s="34">
        <v>2</v>
      </c>
      <c r="F4112" s="34">
        <v>15</v>
      </c>
      <c r="G4112" s="10">
        <v>50733</v>
      </c>
      <c r="H4112" s="30" t="str">
        <f ca="1">IFERROR(__xludf.DUMMYFUNCTION("LOWER(REGEXREPLACE(B4112&amp;"" ""&amp;C4112,""[^а-яa-z0-9 ]"","" ""))")," тол обеденный на 4 места  размер 1200х800х800мм   толешница из     18мм  облицованная пластиком  металлический каркас  еталлический каркас прямоугольного сечения  покрытого стойкой к химическим и механическим воздействиям полимерно порошковой краской  на"&amp;" свободных концах труб установлены заглушки из ударопрочных полимеров   толешница выполнена из     18 мм  облицована пластиковым покрытием  торцы обрамлены кантом     2 мм   од столешницей предусмотрены металлические кронштейны для подвешивания табуретов ")</f>
        <v xml:space="preserve"> тол обеденный на 4 места  размер 1200х800х800мм   толешница из     18мм  облицованная пластиком  металлический каркас  еталлический каркас прямоугольного сечения  покрытого стойкой к химическим и механическим воздействиям полимерно порошковой краской  на свободных концах труб установлены заглушки из ударопрочных полимеров   толешница выполнена из     18 мм  облицована пластиковым покрытием  торцы обрамлены кантом     2 мм   од столешницей предусмотрены металлические кронштейны для подвешивания табуретов </v>
      </c>
    </row>
    <row r="4113" spans="1:8" ht="38.25" x14ac:dyDescent="0.2">
      <c r="A4113" s="31" t="s">
        <v>10001</v>
      </c>
      <c r="B4113" s="27" t="s">
        <v>10002</v>
      </c>
      <c r="C4113" s="27" t="s">
        <v>10003</v>
      </c>
      <c r="D4113" s="33" t="s">
        <v>14</v>
      </c>
      <c r="E4113" s="34">
        <v>2</v>
      </c>
      <c r="F4113" s="34">
        <v>12</v>
      </c>
      <c r="G4113" s="10">
        <v>27025</v>
      </c>
      <c r="H4113" s="30" t="str">
        <f ca="1">IFERROR(__xludf.DUMMYFUNCTION("LOWER(REGEXREPLACE(B4113&amp;"" ""&amp;C4113,""[^а-яa-z0-9 ]"","" ""))")," камья обеденная 3 х местная 1500х250х400 мм   аркас металлический  сиденье      16 мм  камья обеденная 3 х местная 1500х250х400 мм   аркас металлический  сиденье      16 мм  кромка    ")</f>
        <v xml:space="preserve"> камья обеденная 3 х местная 1500х250х400 мм   аркас металлический  сиденье      16 мм  камья обеденная 3 х местная 1500х250х400 мм   аркас металлический  сиденье      16 мм  кромка    </v>
      </c>
    </row>
    <row r="4114" spans="1:8" ht="38.25" x14ac:dyDescent="0.2">
      <c r="A4114" s="31" t="s">
        <v>10004</v>
      </c>
      <c r="B4114" s="27" t="s">
        <v>10005</v>
      </c>
      <c r="C4114" s="27" t="s">
        <v>10005</v>
      </c>
      <c r="D4114" s="33" t="s">
        <v>14</v>
      </c>
      <c r="E4114" s="34">
        <v>2</v>
      </c>
      <c r="F4114" s="34">
        <v>16</v>
      </c>
      <c r="G4114" s="10">
        <v>22875</v>
      </c>
      <c r="H4114" s="30" t="str">
        <f ca="1">IFERROR(__xludf.DUMMYFUNCTION("LOWER(REGEXREPLACE(B4114&amp;"" ""&amp;C4114,""[^а-яa-z0-9 ]"","" ""))")," тол обеденный 800х800х750мм  прямой каркас металлический цветной  столешница из      16мм  тол обеденный 800х800х750мм  прямой каркас металлический цветной  столешница из      16мм")</f>
        <v xml:space="preserve"> тол обеденный 800х800х750мм  прямой каркас металлический цветной  столешница из      16мм  тол обеденный 800х800х750мм  прямой каркас металлический цветной  столешница из      16мм</v>
      </c>
    </row>
    <row r="4115" spans="1:8" ht="38.25" x14ac:dyDescent="0.2">
      <c r="A4115" s="31" t="s">
        <v>10006</v>
      </c>
      <c r="B4115" s="8" t="s">
        <v>10007</v>
      </c>
      <c r="C4115" s="27" t="s">
        <v>10008</v>
      </c>
      <c r="D4115" s="33" t="s">
        <v>14</v>
      </c>
      <c r="E4115" s="34">
        <v>2</v>
      </c>
      <c r="F4115" s="34">
        <v>16</v>
      </c>
      <c r="G4115" s="10">
        <v>20508</v>
      </c>
      <c r="H4115" s="30" t="str">
        <f ca="1">IFERROR(__xludf.DUMMYFUNCTION("LOWER(REGEXREPLACE(B4115&amp;"" ""&amp;C4115,""[^а-яa-z0-9 ]"","" ""))")," тол обеденный 800х800х770мм    образный каркас металлический цветной  столешница из      16мм  тол обеденный 800х800х770мм    образный каркас металлический цветной  столешница из      16мм")</f>
        <v xml:space="preserve"> тол обеденный 800х800х770мм    образный каркас металлический цветной  столешница из      16мм  тол обеденный 800х800х770мм    образный каркас металлический цветной  столешница из      16мм</v>
      </c>
    </row>
    <row r="4116" spans="1:8" ht="38.25" x14ac:dyDescent="0.2">
      <c r="A4116" s="31" t="s">
        <v>10009</v>
      </c>
      <c r="B4116" s="27" t="s">
        <v>10010</v>
      </c>
      <c r="C4116" s="27" t="s">
        <v>10010</v>
      </c>
      <c r="D4116" s="33" t="s">
        <v>14</v>
      </c>
      <c r="E4116" s="34">
        <v>2</v>
      </c>
      <c r="F4116" s="34">
        <v>16</v>
      </c>
      <c r="G4116" s="10">
        <v>20685</v>
      </c>
      <c r="H4116" s="30" t="str">
        <f ca="1">IFERROR(__xludf.DUMMYFUNCTION("LOWER(REGEXREPLACE(B4116&amp;"" ""&amp;C4116,""[^а-яa-z0-9 ]"","" ""))")," тол обеденный 1200х800х770мм  каркас металлический цветной  столешница из      16мм  тол обеденный 1200х800х770мм  каркас металлический цветной  столешница из      16мм")</f>
        <v xml:space="preserve"> тол обеденный 1200х800х770мм  каркас металлический цветной  столешница из      16мм  тол обеденный 1200х800х770мм  каркас металлический цветной  столешница из      16мм</v>
      </c>
    </row>
    <row r="4117" spans="1:8" ht="140.25" x14ac:dyDescent="0.2">
      <c r="A4117" s="31" t="s">
        <v>10011</v>
      </c>
      <c r="B4117" s="27" t="s">
        <v>10012</v>
      </c>
      <c r="C4117" s="27" t="s">
        <v>10013</v>
      </c>
      <c r="D4117" s="33" t="s">
        <v>14</v>
      </c>
      <c r="E4117" s="34">
        <v>2</v>
      </c>
      <c r="F4117" s="34">
        <v>53</v>
      </c>
      <c r="G4117" s="10">
        <v>584425</v>
      </c>
      <c r="H4117" s="30" t="str">
        <f ca="1">IFERROR(__xludf.DUMMYFUNCTION("LOWER(REGEXREPLACE(B4117&amp;"" ""&amp;C4117,""[^а-яa-z0-9 ]"","" ""))")," тол обеденный на 12 мест  с сиденьями  складной механизм  3050х1530х760мм   толешница из ламинированного     18мм  сиденье из полипропилена  металлокаркас  тол обеденный мобильный на 12 мест  с сиденьями   толешница лиминированая плита     18 мм   ромка "&amp;"    с использованием высокотемпературного клея    складной механизм    еталлические детали складного обеденного стола изготовлены из круглых труб 25х1 5 мм и 22х1 5 мм  а листовые части вырезаны 2 мм чисто и гладко на лазерном станке с       ля удобного и"&amp;" легкого складывания стола  когда он не используется  используется газовый амортизатор   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т"&amp;"ол мобильный на колесиках   иденье стула изготовлено из прочного полипропилена путем выдувного формования  устойчивы к    лучам и не обесцвечиваются    абариты 3050х1530х760 мм")</f>
        <v xml:space="preserve"> тол обеденный на 12 мест  с сиденьями  складной механизм  3050х1530х760мм   толешница из ламинированного     18мм  сиденье из полипропилена  металлокаркас  тол обеденный мобильный на 12 мест  с сиденьями   толешница лиминированая плита     18 мм   ромка     с использованием высокотемпературного клея    складной механизм    еталлические детали складного обеденного стола изготовлены из круглых труб 25х1 5 мм и 22х1 5 мм  а листовые части вырезаны 2 мм чисто и гладко на лазерном станке с       ля удобного и легкого складывания стола  когда он не используется  используется газовый амортизатор   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абариты 3050х1530х760 мм</v>
      </c>
    </row>
    <row r="4118" spans="1:8" ht="114.75" x14ac:dyDescent="0.2">
      <c r="A4118" s="31" t="s">
        <v>10014</v>
      </c>
      <c r="B4118" s="27" t="s">
        <v>10015</v>
      </c>
      <c r="C4118" s="27" t="s">
        <v>10016</v>
      </c>
      <c r="D4118" s="33" t="s">
        <v>14</v>
      </c>
      <c r="E4118" s="34">
        <v>2</v>
      </c>
      <c r="F4118" s="34">
        <v>43</v>
      </c>
      <c r="G4118" s="10">
        <v>247208</v>
      </c>
      <c r="H4118" s="30" t="str">
        <f ca="1">IFERROR(__xludf.DUMMYFUNCTION("LOWER(REGEXREPLACE(B4118&amp;"" ""&amp;C4118,""[^а-яa-z0-9 ]"","" ""))")," тол обеденный на 6 мест  с сиденьями   азмер 1530х1530х760 мм   толешница из ламинированного     18мм  сиденье из полипропилена  металлокаркас  тол обеденный на 6 мест  с сиденьями   толешница из ламинированной плиты     18мм   ромка     с использованием"&amp;" высокотемпературного клея   еталлические части обеденного стола изготовлены из круглых труб 25x1 5 мм и 22x1 5 мм   зделия окрашены методом электростатического порошкового напыления   онцы профилей закрыты пластиковыми заглушками для предотвращения повре"&amp;"ждения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азмер 1530х1530х760 мм ")</f>
        <v xml:space="preserve"> тол обеденный на 6 мест  с сиденьями   азмер 1530х1530х760 мм   толешница из ламинированного     18мм  сиденье из полипропилена  металлокаркас  тол обеденный на 6 мест  с сиденьями   толешница из ламинированной плиты     18мм   ромка     с использованием высокотемпературного клея   еталлические части обеденного стола изготовлены из круглых труб 25x1 5 мм и 22x1 5 мм   зделия окрашены методом электростатического порошкового напыления   онцы профилей закрыты пластиковыми заглушками для предотвращения повреждения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азмер 1530х1530х760 мм </v>
      </c>
    </row>
    <row r="4119" spans="1:8" ht="89.25" x14ac:dyDescent="0.2">
      <c r="A4119" s="31" t="s">
        <v>10017</v>
      </c>
      <c r="B4119" s="27" t="s">
        <v>10018</v>
      </c>
      <c r="C4119" s="27" t="s">
        <v>10019</v>
      </c>
      <c r="D4119" s="33" t="s">
        <v>14</v>
      </c>
      <c r="E4119" s="34">
        <v>2</v>
      </c>
      <c r="F4119" s="34">
        <v>19</v>
      </c>
      <c r="G4119" s="10">
        <v>228704</v>
      </c>
      <c r="H4119" s="30" t="str">
        <f ca="1">IFERROR(__xludf.DUMMYFUNCTION("LOWER(REGEXREPLACE(B4119&amp;"" ""&amp;C4119,""[^а-яa-z0-9 ]"","" ""))")," тол обеденный  размер 1200х800х740 мм  столешница из     22 мм  4 опоры из трубы конической формы  абаритные размеры столешницы 1200 х 800 мм   ысота верхнего края столешницы над уровнем пола 740 мм   атериал столешницы                  толщиной не менее"&amp;" 22 мм   орцы столешницы имеют округлую форму   толешница крепится к опорамболтами с футорками   тол состоит из 4 опор  которые располагаются под углом к столешнице  изготовленной из трубы конической формы толщиной не менее 1 2 мм и покрытые полимерной кр"&amp;"аской ")</f>
        <v xml:space="preserve"> тол обеденный  размер 1200х800х740 мм  столешница из     22 мм  4 опоры из трубы конической формы  абаритные размеры столешницы 1200 х 800 мм   ысота верхнего края столешницы над уровнем пола 740 мм   атериал столешницы                  толщиной не менее 22 мм   орцы столешницы имеют округлую форму   толешница крепится к опорамболтами с футорками   тол состоит из 4 опор  которые располагаются под углом к столешнице  изготовленной из трубы конической формы толщиной не менее 1 2 мм и покрытые полимерной краской </v>
      </c>
    </row>
    <row r="4120" spans="1:8" ht="51" x14ac:dyDescent="0.2">
      <c r="A4120" s="31" t="s">
        <v>10020</v>
      </c>
      <c r="B4120" s="27" t="s">
        <v>10021</v>
      </c>
      <c r="C4120" s="27" t="s">
        <v>10022</v>
      </c>
      <c r="D4120" s="33" t="s">
        <v>14</v>
      </c>
      <c r="E4120" s="34">
        <v>2</v>
      </c>
      <c r="F4120" s="34">
        <v>22</v>
      </c>
      <c r="G4120" s="10">
        <v>135187</v>
      </c>
      <c r="H4120" s="30" t="str">
        <f ca="1">IFERROR(__xludf.DUMMYFUNCTION("LOWER(REGEXREPLACE(B4120&amp;"" ""&amp;C4120,""[^а-яa-z0-9 ]"","" ""))")," тол обеденный на 4 человека   толешница      покрытая     пластиком  толщина 22 мм  каркас металлический труба 60х30 мм  размеры 1200х700х750 мм  толешница      покрытая     пластиком  толщина 22мм  цвет белый  металл  труба 60х30 мм  цвет антрацит    70"&amp;"16")</f>
        <v xml:space="preserve"> тол обеденный на 4 человека   толешница      покрытая     пластиком  толщина 22 мм  каркас металлический труба 60х30 мм  размеры 1200х700х750 мм  толешница      покрытая     пластиком  толщина 22мм  цвет белый  металл  труба 60х30 мм  цвет антрацит    7016</v>
      </c>
    </row>
    <row r="4121" spans="1:8" ht="51" x14ac:dyDescent="0.2">
      <c r="A4121" s="31" t="s">
        <v>10023</v>
      </c>
      <c r="B4121" s="27" t="s">
        <v>10024</v>
      </c>
      <c r="C4121" s="27" t="s">
        <v>10025</v>
      </c>
      <c r="D4121" s="33" t="s">
        <v>14</v>
      </c>
      <c r="E4121" s="34">
        <v>2</v>
      </c>
      <c r="F4121" s="34">
        <v>25</v>
      </c>
      <c r="G4121" s="10">
        <v>191490</v>
      </c>
      <c r="H4121" s="30" t="str">
        <f ca="1">IFERROR(__xludf.DUMMYFUNCTION("LOWER(REGEXREPLACE(B4121&amp;"" ""&amp;C4121,""[^а-яa-z0-9 ]"","" ""))")," тол обеденный на 6 человек   толешница      покрытая     пластиком  толщина 22 мм  каркас металлический труба 60х30 мм  размеры 1800х700х750 мм  толешница      покрытая     пластиком  толщина 22мм  цвет белый  металл  труба 60х30 мм  цвет антрацит     70"&amp;"16")</f>
        <v xml:space="preserve"> тол обеденный на 6 человек   толешница      покрытая     пластиком  толщина 22 мм  каркас металлический труба 60х30 мм  размеры 1800х700х750 мм  толешница      покрытая     пластиком  толщина 22мм  цвет белый  металл  труба 60х30 мм  цвет антрацит     7016</v>
      </c>
    </row>
    <row r="4122" spans="1:8" ht="51" x14ac:dyDescent="0.2">
      <c r="A4122" s="31" t="s">
        <v>10026</v>
      </c>
      <c r="B4122" s="27" t="s">
        <v>10027</v>
      </c>
      <c r="C4122" s="27" t="s">
        <v>10028</v>
      </c>
      <c r="D4122" s="33" t="s">
        <v>14</v>
      </c>
      <c r="E4122" s="34">
        <v>2</v>
      </c>
      <c r="F4122" s="34">
        <v>22</v>
      </c>
      <c r="G4122" s="10">
        <v>141942</v>
      </c>
      <c r="H4122" s="30" t="str">
        <f ca="1">IFERROR(__xludf.DUMMYFUNCTION("LOWER(REGEXREPLACE(B4122&amp;"" ""&amp;C4122,""[^а-яa-z0-9 ]"","" ""))")," тол обеденный на 4 человека   толешница      покрытая     пластиком  толщина 22 мм  каркас металлический труба 60х15 мм  размеры 1200х700х750 мм  толешница      покрытая     пластиком  толщина 22мм  металл  труба 60х15 мм  цвет белый     9016")</f>
        <v xml:space="preserve"> тол обеденный на 4 человека   толешница      покрытая     пластиком  толщина 22 мм  каркас металлический труба 60х15 мм  размеры 1200х700х750 мм  толешница      покрытая     пластиком  толщина 22мм  металл  труба 60х15 мм  цвет белый     9016</v>
      </c>
    </row>
    <row r="4123" spans="1:8" ht="51" x14ac:dyDescent="0.2">
      <c r="A4123" s="31" t="s">
        <v>10029</v>
      </c>
      <c r="B4123" s="27" t="s">
        <v>10030</v>
      </c>
      <c r="C4123" s="27" t="s">
        <v>10028</v>
      </c>
      <c r="D4123" s="33" t="s">
        <v>14</v>
      </c>
      <c r="E4123" s="34">
        <v>2</v>
      </c>
      <c r="F4123" s="34">
        <v>25</v>
      </c>
      <c r="G4123" s="10">
        <v>208378</v>
      </c>
      <c r="H4123" s="30" t="str">
        <f ca="1">IFERROR(__xludf.DUMMYFUNCTION("LOWER(REGEXREPLACE(B4123&amp;"" ""&amp;C4123,""[^а-яa-z0-9 ]"","" ""))")," тол обеденный на 6 человек   толешница      покрытая     пластиком  толщина 22 мм  каркас металлический труба 60х15 мм  размеры 1800х700х750 мм  толешница      покрытая     пластиком  толщина 22мм  металл  труба 60х15 мм  цвет белый     9016")</f>
        <v xml:space="preserve"> тол обеденный на 6 человек   толешница      покрытая     пластиком  толщина 22 мм  каркас металлический труба 60х15 мм  размеры 1800х700х750 мм  толешница      покрытая     пластиком  толщина 22мм  металл  труба 60х15 мм  цвет белый     9016</v>
      </c>
    </row>
    <row r="4124" spans="1:8" ht="76.5" x14ac:dyDescent="0.2">
      <c r="A4124" s="31" t="s">
        <v>10031</v>
      </c>
      <c r="B4124" s="27" t="s">
        <v>10032</v>
      </c>
      <c r="C4124" s="27" t="s">
        <v>10033</v>
      </c>
      <c r="D4124" s="33" t="s">
        <v>14</v>
      </c>
      <c r="E4124" s="34">
        <v>2</v>
      </c>
      <c r="F4124" s="34">
        <v>22</v>
      </c>
      <c r="G4124" s="10">
        <v>116048</v>
      </c>
      <c r="H4124" s="30" t="str">
        <f ca="1">IFERROR(__xludf.DUMMYFUNCTION("LOWER(REGEXREPLACE(B4124&amp;"" ""&amp;C4124,""[^а-яa-z0-9 ]"","" ""))")," тол обеденный на 4 человека   толешница     покрытая     пластиком  толщина 22 мм  каркас металлический   образной формы диаметром 60 мм  размеры 1200х700х750 мм  толешница из     не менее 22 мм  облицована     пластиком для сопротивляемости к внешним ме"&amp;"ханическим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 мм и прямоугольного профиля не м"&amp;"енее 50х25х1 5 мм ")</f>
        <v xml:space="preserve"> тол обеденный на 4 человека   толешница     покрытая     пластиком  толщина 22 мм  каркас металлический   образной формы диаметром 60 мм  размеры 1200х700х750 мм  толешница из     не менее 22 мм  облицована     пластиком для сопротивляемости к внешним механическим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 мм и прямоугольного профиля не менее 50х25х1 5 мм </v>
      </c>
    </row>
    <row r="4125" spans="1:8" ht="76.5" x14ac:dyDescent="0.2">
      <c r="A4125" s="31" t="s">
        <v>10034</v>
      </c>
      <c r="B4125" s="27" t="s">
        <v>10035</v>
      </c>
      <c r="C4125" s="27" t="s">
        <v>10036</v>
      </c>
      <c r="D4125" s="33" t="s">
        <v>14</v>
      </c>
      <c r="E4125" s="34">
        <v>2</v>
      </c>
      <c r="F4125" s="34">
        <v>25</v>
      </c>
      <c r="G4125" s="10">
        <v>191490</v>
      </c>
      <c r="H4125" s="30" t="str">
        <f ca="1">IFERROR(__xludf.DUMMYFUNCTION("LOWER(REGEXREPLACE(B4125&amp;"" ""&amp;C4125,""[^а-яa-z0-9 ]"","" ""))")," тол обеденный на 6 человек   толешница     покрытая     пластиком  толщина 22 мм  каркас металлический   образной формы диаметром 60 мм  размеры 1800х700х750 мм  толешница из     не менее 22 мм  облицована     пластиком для сопротивляемости к внешним мех"&amp;"аническим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5мм и прямоугольного профиля не мен"&amp;"ее 50х25х1 5 мм ")</f>
        <v xml:space="preserve"> тол обеденный на 6 человек   толешница     покрытая     пластиком  толщина 22 мм  каркас металлический   образной формы диаметром 60 мм  размеры 1800х700х750 мм  толешница из     не менее 22 мм  облицована     пластиком для сопротивляемости к внешним механическим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5мм и прямоугольного профиля не менее 50х25х1 5 мм </v>
      </c>
    </row>
    <row r="4126" spans="1:8" ht="12.75" x14ac:dyDescent="0.2">
      <c r="A4126" s="31" t="s">
        <v>10037</v>
      </c>
      <c r="B4126" s="27" t="s">
        <v>10038</v>
      </c>
      <c r="C4126" s="27"/>
      <c r="D4126" s="33" t="s">
        <v>14</v>
      </c>
      <c r="E4126" s="9"/>
      <c r="F4126" s="32"/>
      <c r="G4126" s="10"/>
      <c r="H4126" s="30" t="str">
        <f ca="1">IFERROR(__xludf.DUMMYFUNCTION("LOWER(REGEXREPLACE(B4126&amp;"" ""&amp;C4126,""[^а-яa-z0-9 ]"","" ""))")," тул для столовой ")</f>
        <v xml:space="preserve"> тул для столовой </v>
      </c>
    </row>
    <row r="4127" spans="1:8" ht="63.75" x14ac:dyDescent="0.2">
      <c r="A4127" s="31" t="s">
        <v>10039</v>
      </c>
      <c r="B4127" s="27" t="s">
        <v>10040</v>
      </c>
      <c r="C4127" s="27" t="s">
        <v>10041</v>
      </c>
      <c r="D4127" s="33" t="s">
        <v>14</v>
      </c>
      <c r="E4127" s="34">
        <v>2</v>
      </c>
      <c r="F4127" s="34">
        <v>7</v>
      </c>
      <c r="G4127" s="10">
        <v>44542</v>
      </c>
      <c r="H4127" s="30" t="str">
        <f ca="1">IFERROR(__xludf.DUMMYFUNCTION("LOWER(REGEXREPLACE(B4127&amp;"" ""&amp;C4127,""[^а-яa-z0-9 ]"","" ""))")," тул барный   идение выполнено из полипропилена   зогнутая спинка сидения   еталлический каркас   азмер  460х480х1150мм  идение выполнено из полипропилена с армирующими добавками   о всей площади сидения толщина пластика варьируется от 5 мм до 8 мм из за "&amp;"конструктивных особенностей   зогнутая спинка сидения   еталлический каркас окрашен порошковой краской  устойчивой к механическому воздействию")</f>
        <v xml:space="preserve"> тул барный   идение выполнено из полипропилена   зогнутая спинка сидения   еталлический каркас   азмер  460х480х1150мм  идение выполнено из полипропилена с армирующими добавками   о всей площади сидения толщина пластика варьируется от 5 мм до 8 мм из за конструктивных особенностей   зогнутая спинка сидения   еталлический каркас окрашен порошковой краской  устойчивой к механическому воздействию</v>
      </c>
    </row>
    <row r="4128" spans="1:8" ht="25.5" x14ac:dyDescent="0.2">
      <c r="A4128" s="31" t="s">
        <v>10042</v>
      </c>
      <c r="B4128" s="27" t="s">
        <v>10043</v>
      </c>
      <c r="C4128" s="27" t="s">
        <v>10044</v>
      </c>
      <c r="D4128" s="33" t="s">
        <v>14</v>
      </c>
      <c r="E4128" s="34">
        <v>2</v>
      </c>
      <c r="F4128" s="34">
        <v>7</v>
      </c>
      <c r="G4128" s="10">
        <v>8242</v>
      </c>
      <c r="H4128" s="30" t="str">
        <f ca="1">IFERROR(__xludf.DUMMYFUNCTION("LOWER(REGEXREPLACE(B4128&amp;"" ""&amp;C4128,""[^а-яa-z0-9 ]"","" ""))")," тул типа  аиза   аркас металлический цветной   бивка эко кожа   азмер  380х380х890мм  аркас металлический цветной   бивка эко кожа   азмер  380х380х890мм")</f>
        <v xml:space="preserve"> тул типа  аиза   аркас металлический цветной   бивка эко кожа   азмер  380х380х890мм  аркас металлический цветной   бивка эко кожа   азмер  380х380х890мм</v>
      </c>
    </row>
    <row r="4129" spans="1:8" ht="38.25" x14ac:dyDescent="0.2">
      <c r="A4129" s="31" t="s">
        <v>10045</v>
      </c>
      <c r="B4129" s="27" t="s">
        <v>10046</v>
      </c>
      <c r="C4129" s="27" t="s">
        <v>10047</v>
      </c>
      <c r="D4129" s="33" t="s">
        <v>14</v>
      </c>
      <c r="E4129" s="34">
        <v>2</v>
      </c>
      <c r="F4129" s="34">
        <v>8</v>
      </c>
      <c r="G4129" s="10">
        <v>9974</v>
      </c>
      <c r="H4129" s="30" t="str">
        <f ca="1">IFERROR(__xludf.DUMMYFUNCTION("LOWER(REGEXREPLACE(B4129&amp;"" ""&amp;C4129,""[^а-яa-z0-9 ]"","" ""))")," тул типа  лия  люс   аркас металлический цветной   бивка эко кожа   азмер  380х380х910мм  аркас металлический цветной   бивка эко кожа   азмер  380х380х910мм")</f>
        <v xml:space="preserve"> тул типа  лия  люс   аркас металлический цветной   бивка эко кожа   азмер  380х380х910мм  аркас металлический цветной   бивка эко кожа   азмер  380х380х910мм</v>
      </c>
    </row>
    <row r="4130" spans="1:8" ht="38.25" x14ac:dyDescent="0.2">
      <c r="A4130" s="31" t="s">
        <v>10048</v>
      </c>
      <c r="B4130" s="8" t="s">
        <v>10049</v>
      </c>
      <c r="C4130" s="27" t="s">
        <v>10050</v>
      </c>
      <c r="D4130" s="33" t="s">
        <v>14</v>
      </c>
      <c r="E4130" s="34">
        <v>2</v>
      </c>
      <c r="F4130" s="34">
        <v>8</v>
      </c>
      <c r="G4130" s="10">
        <v>14173</v>
      </c>
      <c r="H4130" s="30" t="str">
        <f ca="1">IFERROR(__xludf.DUMMYFUNCTION("LOWER(REGEXREPLACE(B4130&amp;"" ""&amp;C4130,""[^а-яa-z0-9 ]"","" ""))")," тул типа  од 150   аркас металлический цветной  вальцованная труба    бивка эко кожа   азмер  445х385х980мм  аркас металлический цветной  вальцованная труба    бивка эко кожа   азмер  445х385х980мм")</f>
        <v xml:space="preserve"> тул типа  од 150   аркас металлический цветной  вальцованная труба    бивка эко кожа   азмер  445х385х980мм  аркас металлический цветной  вальцованная труба    бивка эко кожа   азмер  445х385х980мм</v>
      </c>
    </row>
    <row r="4131" spans="1:8" x14ac:dyDescent="0.2">
      <c r="A4131" s="12" t="s">
        <v>10051</v>
      </c>
      <c r="B4131" s="26"/>
      <c r="C4131" s="27"/>
      <c r="D4131" s="26"/>
      <c r="E4131" s="28"/>
      <c r="F4131" s="26"/>
      <c r="G4131" s="29"/>
      <c r="H4131" s="30" t="str">
        <f ca="1">IFERROR(__xludf.DUMMYFUNCTION("LOWER(REGEXREPLACE(B4131&amp;"" ""&amp;C4131,""[^а-яa-z0-9 ]"","" ""))")," ")</f>
        <v xml:space="preserve"> </v>
      </c>
    </row>
    <row r="4132" spans="1:8" ht="12.75" x14ac:dyDescent="0.2">
      <c r="A4132" s="31" t="s">
        <v>10052</v>
      </c>
      <c r="B4132" s="27" t="s">
        <v>10053</v>
      </c>
      <c r="C4132" s="27"/>
      <c r="D4132" s="32"/>
      <c r="E4132" s="9"/>
      <c r="F4132" s="32"/>
      <c r="G4132" s="10"/>
      <c r="H4132" s="30" t="str">
        <f ca="1">IFERROR(__xludf.DUMMYFUNCTION("LOWER(REGEXREPLACE(B4132&amp;"" ""&amp;C4132,""[^а-яa-z0-9 ]"","" ""))")," ейтральное оборудование ")</f>
        <v xml:space="preserve"> ейтральное оборудование </v>
      </c>
    </row>
    <row r="4133" spans="1:8" ht="25.5" x14ac:dyDescent="0.2">
      <c r="A4133" s="31" t="s">
        <v>10054</v>
      </c>
      <c r="B4133" s="8" t="s">
        <v>10055</v>
      </c>
      <c r="C4133" s="27"/>
      <c r="D4133" s="33" t="s">
        <v>14</v>
      </c>
      <c r="E4133" s="9"/>
      <c r="F4133" s="36">
        <v>31.48</v>
      </c>
      <c r="G4133" s="10">
        <v>166500</v>
      </c>
      <c r="H4133" s="30" t="str">
        <f ca="1">IFERROR(__xludf.DUMMYFUNCTION("LOWER(REGEXREPLACE(B4133&amp;"" ""&amp;C4133,""[^а-яa-z0-9 ]"","" ""))")," теллаж производственный       16 4  1600х400х1800  ")</f>
        <v xml:space="preserve"> теллаж производственный       16 4  1600х400х1800  </v>
      </c>
    </row>
    <row r="4134" spans="1:8" ht="51" x14ac:dyDescent="0.2">
      <c r="A4134" s="31" t="s">
        <v>10056</v>
      </c>
      <c r="B4134" s="8" t="s">
        <v>10057</v>
      </c>
      <c r="C4134" s="27" t="s">
        <v>10058</v>
      </c>
      <c r="D4134" s="33" t="s">
        <v>14</v>
      </c>
      <c r="E4134" s="9"/>
      <c r="F4134" s="36">
        <v>30.92</v>
      </c>
      <c r="G4134" s="10">
        <v>275824</v>
      </c>
      <c r="H4134" s="30" t="str">
        <f ca="1">IFERROR(__xludf.DUMMYFUNCTION("LOWER(REGEXREPLACE(B4134&amp;"" ""&amp;C4134,""[^а-яa-z0-9 ]"","" ""))")," теллаж производственный  размеры не менее 1500х500х1800мм  оличество полок 4   аксимальная загрузка на полку не менее 80кг  4 регулируемые по высоте полки  усиленные ребрами жесткости  и регулируемые по высоте пластиковые опоры   азборный каркас выполнен"&amp;" из уголка 40x40 мм нержавеющей стали  полки   из нержавеющей стали ")</f>
        <v xml:space="preserve"> теллаж производственный  размеры не менее 1500х500х1800мм  оличество полок 4   аксимальная загрузка на полку не менее 80кг  4 регулируемые по высоте полки  усиленные ребрами жесткости  и регулируемые по высоте пластиковые опоры   азборный каркас выполнен из уголка 40x40 мм нержавеющей стали  полки   из нержавеющей стали </v>
      </c>
    </row>
    <row r="4135" spans="1:8" ht="25.5" x14ac:dyDescent="0.2">
      <c r="A4135" s="31" t="s">
        <v>10059</v>
      </c>
      <c r="B4135" s="8" t="s">
        <v>10060</v>
      </c>
      <c r="C4135" s="27"/>
      <c r="D4135" s="33" t="s">
        <v>14</v>
      </c>
      <c r="E4135" s="9"/>
      <c r="F4135" s="35">
        <v>35.1</v>
      </c>
      <c r="G4135" s="10">
        <v>295329</v>
      </c>
      <c r="H4135" s="30" t="str">
        <f ca="1">IFERROR(__xludf.DUMMYFUNCTION("LOWER(REGEXREPLACE(B4135&amp;"" ""&amp;C4135,""[^а-яa-z0-9 ]"","" ""))")," теллаж производственный       12 6  1200х600х1800  ")</f>
        <v xml:space="preserve"> теллаж производственный       12 6  1200х600х1800  </v>
      </c>
    </row>
    <row r="4136" spans="1:8" ht="25.5" x14ac:dyDescent="0.2">
      <c r="A4136" s="31" t="s">
        <v>10061</v>
      </c>
      <c r="B4136" s="8" t="s">
        <v>10062</v>
      </c>
      <c r="C4136" s="27"/>
      <c r="D4136" s="33" t="s">
        <v>14</v>
      </c>
      <c r="E4136" s="9"/>
      <c r="F4136" s="36">
        <v>25.43</v>
      </c>
      <c r="G4136" s="10">
        <v>140496</v>
      </c>
      <c r="H4136" s="30" t="str">
        <f ca="1">IFERROR(__xludf.DUMMYFUNCTION("LOWER(REGEXREPLACE(B4136&amp;"" ""&amp;C4136,""[^а-яa-z0-9 ]"","" ""))")," теллаж производственный       12 4  1200х400х1800  ")</f>
        <v xml:space="preserve"> теллаж производственный       12 4  1200х400х1800  </v>
      </c>
    </row>
    <row r="4137" spans="1:8" ht="25.5" x14ac:dyDescent="0.2">
      <c r="A4137" s="31" t="s">
        <v>10063</v>
      </c>
      <c r="B4137" s="8" t="s">
        <v>10064</v>
      </c>
      <c r="C4137" s="27"/>
      <c r="D4137" s="33" t="s">
        <v>14</v>
      </c>
      <c r="E4137" s="9"/>
      <c r="F4137" s="32"/>
      <c r="G4137" s="10">
        <v>271429</v>
      </c>
      <c r="H4137" s="30" t="str">
        <f ca="1">IFERROR(__xludf.DUMMYFUNCTION("LOWER(REGEXREPLACE(B4137&amp;"" ""&amp;C4137,""[^а-яa-z0-9 ]"","" ""))")," теллаж производственный       10 6  1000х600х1800  ")</f>
        <v xml:space="preserve"> теллаж производственный       10 6  1000х600х1800  </v>
      </c>
    </row>
    <row r="4138" spans="1:8" ht="12.75" x14ac:dyDescent="0.2">
      <c r="A4138" s="31" t="s">
        <v>10065</v>
      </c>
      <c r="B4138" s="27" t="s">
        <v>10066</v>
      </c>
      <c r="C4138" s="27"/>
      <c r="D4138" s="33" t="s">
        <v>14</v>
      </c>
      <c r="E4138" s="9"/>
      <c r="F4138" s="32"/>
      <c r="G4138" s="10"/>
      <c r="H4138" s="30" t="str">
        <f ca="1">IFERROR(__xludf.DUMMYFUNCTION("LOWER(REGEXREPLACE(B4138&amp;"" ""&amp;C4138,""[^а-яa-z0-9 ]"","" ""))")," теллаж производственный ")</f>
        <v xml:space="preserve"> теллаж производственный </v>
      </c>
    </row>
    <row r="4139" spans="1:8" ht="25.5" x14ac:dyDescent="0.2">
      <c r="A4139" s="31" t="s">
        <v>10067</v>
      </c>
      <c r="B4139" s="27" t="s">
        <v>10068</v>
      </c>
      <c r="C4139" s="27"/>
      <c r="D4139" s="33" t="s">
        <v>14</v>
      </c>
      <c r="E4139" s="9"/>
      <c r="F4139" s="36">
        <v>20.59</v>
      </c>
      <c r="G4139" s="10">
        <v>126801</v>
      </c>
      <c r="H4139" s="30" t="str">
        <f ca="1">IFERROR(__xludf.DUMMYFUNCTION("LOWER(REGEXREPLACE(B4139&amp;"" ""&amp;C4139,""[^а-яa-z0-9 ]"","" ""))")," теллаж производственный       9 5  900х500х1800  ")</f>
        <v xml:space="preserve"> теллаж производственный       9 5  900х500х1800  </v>
      </c>
    </row>
    <row r="4140" spans="1:8" ht="38.25" x14ac:dyDescent="0.2">
      <c r="A4140" s="31" t="s">
        <v>10069</v>
      </c>
      <c r="B4140" s="27" t="s">
        <v>10070</v>
      </c>
      <c r="C4140" s="27"/>
      <c r="D4140" s="33" t="s">
        <v>14</v>
      </c>
      <c r="E4140" s="9"/>
      <c r="F4140" s="34">
        <v>31</v>
      </c>
      <c r="G4140" s="10">
        <v>336031</v>
      </c>
      <c r="H4140" s="30" t="str">
        <f ca="1">IFERROR(__xludf.DUMMYFUNCTION("LOWER(REGEXREPLACE(B4140&amp;"" ""&amp;C4140,""[^а-яa-z0-9 ]"","" ""))")," теллаж производственный 900х500х1805 мм  из нержавеющей стали  ножки труба 40 40  4 полки       900 500    ")</f>
        <v xml:space="preserve"> теллаж производственный 900х500х1805 мм  из нержавеющей стали  ножки труба 40 40  4 полки       900 500    </v>
      </c>
    </row>
    <row r="4141" spans="1:8" ht="38.25" x14ac:dyDescent="0.2">
      <c r="A4141" s="31" t="s">
        <v>10071</v>
      </c>
      <c r="B4141" s="27" t="s">
        <v>10072</v>
      </c>
      <c r="C4141" s="27"/>
      <c r="D4141" s="33" t="s">
        <v>14</v>
      </c>
      <c r="E4141" s="9"/>
      <c r="F4141" s="34">
        <v>32</v>
      </c>
      <c r="G4141" s="10">
        <v>360030</v>
      </c>
      <c r="H4141" s="30" t="str">
        <f ca="1">IFERROR(__xludf.DUMMYFUNCTION("LOWER(REGEXREPLACE(B4141&amp;"" ""&amp;C4141,""[^а-яa-z0-9 ]"","" ""))")," теллаж производственный 1000х500х1805 мм  из нержавеющей стали  ножки труба 40 40 4 полки     1000 500    ")</f>
        <v xml:space="preserve"> теллаж производственный 1000х500х1805 мм  из нержавеющей стали  ножки труба 40 40 4 полки     1000 500    </v>
      </c>
    </row>
    <row r="4142" spans="1:8" ht="38.25" x14ac:dyDescent="0.2">
      <c r="A4142" s="31" t="s">
        <v>10073</v>
      </c>
      <c r="B4142" s="27" t="s">
        <v>10074</v>
      </c>
      <c r="C4142" s="27"/>
      <c r="D4142" s="33" t="s">
        <v>14</v>
      </c>
      <c r="E4142" s="9"/>
      <c r="F4142" s="34">
        <v>41</v>
      </c>
      <c r="G4142" s="10">
        <v>405648</v>
      </c>
      <c r="H4142" s="30" t="str">
        <f ca="1">IFERROR(__xludf.DUMMYFUNCTION("LOWER(REGEXREPLACE(B4142&amp;"" ""&amp;C4142,""[^а-яa-z0-9 ]"","" ""))")," теллаж производственный 1200х500х1805 мм  из нержавеющей стали  ножки труба 40 40  4 полки     1200 500    ")</f>
        <v xml:space="preserve"> теллаж производственный 1200х500х1805 мм  из нержавеющей стали  ножки труба 40 40  4 полки     1200 500    </v>
      </c>
    </row>
    <row r="4143" spans="1:8" ht="38.25" x14ac:dyDescent="0.2">
      <c r="A4143" s="31" t="s">
        <v>10075</v>
      </c>
      <c r="B4143" s="27" t="s">
        <v>10076</v>
      </c>
      <c r="C4143" s="27"/>
      <c r="D4143" s="33" t="s">
        <v>14</v>
      </c>
      <c r="E4143" s="9"/>
      <c r="F4143" s="34">
        <v>46</v>
      </c>
      <c r="G4143" s="10">
        <v>453655</v>
      </c>
      <c r="H4143" s="30" t="str">
        <f ca="1">IFERROR(__xludf.DUMMYFUNCTION("LOWER(REGEXREPLACE(B4143&amp;"" ""&amp;C4143,""[^а-яa-z0-9 ]"","" ""))")," теллаж производственный 1400х500х1805 мм  из нержавеющей стали  ножки труба 40 40  4 полки      1400 500    ")</f>
        <v xml:space="preserve"> теллаж производственный 1400х500х1805 мм  из нержавеющей стали  ножки труба 40 40  4 полки      1400 500    </v>
      </c>
    </row>
    <row r="4144" spans="1:8" ht="76.5" x14ac:dyDescent="0.2">
      <c r="A4144" s="31" t="s">
        <v>10077</v>
      </c>
      <c r="B4144" s="27" t="s">
        <v>10078</v>
      </c>
      <c r="C4144" s="27"/>
      <c r="D4144" s="33" t="s">
        <v>14</v>
      </c>
      <c r="E4144" s="34">
        <v>2</v>
      </c>
      <c r="F4144" s="34">
        <v>56</v>
      </c>
      <c r="G4144" s="10">
        <v>439694</v>
      </c>
      <c r="H4144" s="30" t="str">
        <f ca="1">IFERROR(__xludf.DUMMYFUNCTION("LOWER(REGEXREPLACE(B4144&amp;"" ""&amp;C4144,""[^а-яa-z0-9 ]"","" ""))")," теллаж производственный разборный 1500х500х1800мм  4 сплошные полки из нержавеющей стали 0 8 мм  толщина полки 40 мм  усиленные ребрами жесткости  4 регулируемые по высоте пластиковые опоры      1500 500    ")</f>
        <v xml:space="preserve"> теллаж производственный разборный 1500х500х1800мм  4 сплошные полки из нержавеющей стали 0 8 мм  толщина полки 40 мм  усиленные ребрами жесткости  4 регулируемые по высоте пластиковые опоры      1500 500    </v>
      </c>
    </row>
    <row r="4145" spans="1:8" ht="76.5" x14ac:dyDescent="0.2">
      <c r="A4145" s="31" t="s">
        <v>10079</v>
      </c>
      <c r="B4145" s="27" t="s">
        <v>10080</v>
      </c>
      <c r="C4145" s="27"/>
      <c r="D4145" s="33" t="s">
        <v>14</v>
      </c>
      <c r="E4145" s="34">
        <v>2</v>
      </c>
      <c r="F4145" s="34">
        <v>42</v>
      </c>
      <c r="G4145" s="10">
        <v>258494</v>
      </c>
      <c r="H4145" s="30" t="str">
        <f ca="1">IFERROR(__xludf.DUMMYFUNCTION("LOWER(REGEXREPLACE(B4145&amp;"" ""&amp;C4145,""[^а-яa-z0-9 ]"","" ""))")," теллаж производственный разборный 1000х400х1800мм  4 сплошные полки из нержавеющей стали 0 8 мм  толщина полки 40 мм  усиленные ребрами жесткости  4 регулируемые по высоте пластиковые опоры      1000 400    ")</f>
        <v xml:space="preserve"> теллаж производственный разборный 1000х400х1800мм  4 сплошные полки из нержавеющей стали 0 8 мм  толщина полки 40 мм  усиленные ребрами жесткости  4 регулируемые по высоте пластиковые опоры      1000 400    </v>
      </c>
    </row>
    <row r="4146" spans="1:8" ht="76.5" x14ac:dyDescent="0.2">
      <c r="A4146" s="31" t="s">
        <v>10081</v>
      </c>
      <c r="B4146" s="27" t="s">
        <v>10082</v>
      </c>
      <c r="C4146" s="27"/>
      <c r="D4146" s="33" t="s">
        <v>14</v>
      </c>
      <c r="E4146" s="34">
        <v>2</v>
      </c>
      <c r="F4146" s="34">
        <v>44</v>
      </c>
      <c r="G4146" s="10">
        <v>287977</v>
      </c>
      <c r="H4146" s="30" t="str">
        <f ca="1">IFERROR(__xludf.DUMMYFUNCTION("LOWER(REGEXREPLACE(B4146&amp;"" ""&amp;C4146,""[^а-яa-z0-9 ]"","" ""))")," теллаж производственный разборный 1200х400х1800мм  4 сплошные полки из нержавеющей стали 0 8 мм  толщина полки 40 мм  усиленные ребрами жесткости  4 регулируемые по высоте пластиковые опоры      1200 400    ")</f>
        <v xml:space="preserve"> теллаж производственный разборный 1200х400х1800мм  4 сплошные полки из нержавеющей стали 0 8 мм  толщина полки 40 мм  усиленные ребрами жесткости  4 регулируемые по высоте пластиковые опоры      1200 400    </v>
      </c>
    </row>
    <row r="4147" spans="1:8" ht="76.5" x14ac:dyDescent="0.2">
      <c r="A4147" s="31" t="s">
        <v>10083</v>
      </c>
      <c r="B4147" s="27" t="s">
        <v>10084</v>
      </c>
      <c r="C4147" s="27"/>
      <c r="D4147" s="33" t="s">
        <v>14</v>
      </c>
      <c r="E4147" s="34">
        <v>2</v>
      </c>
      <c r="F4147" s="34">
        <v>46</v>
      </c>
      <c r="G4147" s="10">
        <v>332196</v>
      </c>
      <c r="H4147" s="30" t="str">
        <f ca="1">IFERROR(__xludf.DUMMYFUNCTION("LOWER(REGEXREPLACE(B4147&amp;"" ""&amp;C4147,""[^а-яa-z0-9 ]"","" ""))")," теллаж производственный разборный 1500х400х1800мм  4 сплошные полки из нержавеющей стали 0 8 мм  толщина полки 40 мм  усиленные ребрами жесткости  4 регулируемые по высоте пластиковые опоры      1500 400    ")</f>
        <v xml:space="preserve"> теллаж производственный разборный 1500х400х1800мм  4 сплошные полки из нержавеющей стали 0 8 мм  толщина полки 40 мм  усиленные ребрами жесткости  4 регулируемые по высоте пластиковые опоры      1500 400    </v>
      </c>
    </row>
    <row r="4148" spans="1:8" ht="25.5" x14ac:dyDescent="0.2">
      <c r="A4148" s="31" t="s">
        <v>10085</v>
      </c>
      <c r="B4148" s="27" t="s">
        <v>10086</v>
      </c>
      <c r="C4148" s="27"/>
      <c r="D4148" s="33" t="s">
        <v>14</v>
      </c>
      <c r="E4148" s="34">
        <v>2</v>
      </c>
      <c r="F4148" s="36">
        <v>20.48</v>
      </c>
      <c r="G4148" s="10">
        <v>70702</v>
      </c>
      <c r="H4148" s="30" t="str">
        <f ca="1">IFERROR(__xludf.DUMMYFUNCTION("LOWER(REGEXREPLACE(B4148&amp;"" ""&amp;C4148,""[^а-яa-z0-9 ]"","" ""))")," теллаж производственный      100 40   ержавеющая сталь   азмер  1000x400x1530мм ")</f>
        <v xml:space="preserve"> теллаж производственный      100 40   ержавеющая сталь   азмер  1000x400x1530мм </v>
      </c>
    </row>
    <row r="4149" spans="1:8" ht="25.5" x14ac:dyDescent="0.2">
      <c r="A4149" s="31" t="s">
        <v>10087</v>
      </c>
      <c r="B4149" s="27" t="s">
        <v>10088</v>
      </c>
      <c r="C4149" s="27"/>
      <c r="D4149" s="33" t="s">
        <v>14</v>
      </c>
      <c r="E4149" s="34">
        <v>2</v>
      </c>
      <c r="F4149" s="36">
        <v>23.06</v>
      </c>
      <c r="G4149" s="10">
        <v>78146</v>
      </c>
      <c r="H4149" s="30" t="str">
        <f ca="1">IFERROR(__xludf.DUMMYFUNCTION("LOWER(REGEXREPLACE(B4149&amp;"" ""&amp;C4149,""[^а-яa-z0-9 ]"","" ""))")," теллаж производственный      120 40   ержавеющая сталь   азмер  1200x400x1530мм ")</f>
        <v xml:space="preserve"> теллаж производственный      120 40   ержавеющая сталь   азмер  1200x400x1530мм </v>
      </c>
    </row>
    <row r="4150" spans="1:8" ht="25.5" x14ac:dyDescent="0.2">
      <c r="A4150" s="31" t="s">
        <v>10089</v>
      </c>
      <c r="B4150" s="27" t="s">
        <v>10090</v>
      </c>
      <c r="C4150" s="27"/>
      <c r="D4150" s="33" t="s">
        <v>14</v>
      </c>
      <c r="E4150" s="34">
        <v>2</v>
      </c>
      <c r="F4150" s="36">
        <v>25.63</v>
      </c>
      <c r="G4150" s="10">
        <v>85252</v>
      </c>
      <c r="H4150" s="30" t="str">
        <f ca="1">IFERROR(__xludf.DUMMYFUNCTION("LOWER(REGEXREPLACE(B4150&amp;"" ""&amp;C4150,""[^а-яa-z0-9 ]"","" ""))")," теллаж производственный      140 40   ержавеющая сталь   азмер  1400x400x1530мм ")</f>
        <v xml:space="preserve"> теллаж производственный      140 40   ержавеющая сталь   азмер  1400x400x1530мм </v>
      </c>
    </row>
    <row r="4151" spans="1:8" ht="25.5" x14ac:dyDescent="0.2">
      <c r="A4151" s="31" t="s">
        <v>10091</v>
      </c>
      <c r="B4151" s="27" t="s">
        <v>10092</v>
      </c>
      <c r="C4151" s="27"/>
      <c r="D4151" s="33" t="s">
        <v>14</v>
      </c>
      <c r="E4151" s="34">
        <v>2</v>
      </c>
      <c r="F4151" s="36">
        <v>29.82</v>
      </c>
      <c r="G4151" s="10">
        <v>92364</v>
      </c>
      <c r="H4151" s="30" t="str">
        <f ca="1">IFERROR(__xludf.DUMMYFUNCTION("LOWER(REGEXREPLACE(B4151&amp;"" ""&amp;C4151,""[^а-яa-z0-9 ]"","" ""))")," теллаж производственный      160 40   ержавеющая сталь   азмер  1600x400x1530мм ")</f>
        <v xml:space="preserve"> теллаж производственный      160 40   ержавеющая сталь   азмер  1600x400x1530мм </v>
      </c>
    </row>
    <row r="4152" spans="1:8" ht="25.5" x14ac:dyDescent="0.2">
      <c r="A4152" s="31" t="s">
        <v>10093</v>
      </c>
      <c r="B4152" s="27" t="s">
        <v>10094</v>
      </c>
      <c r="C4152" s="27"/>
      <c r="D4152" s="33" t="s">
        <v>14</v>
      </c>
      <c r="E4152" s="34">
        <v>2</v>
      </c>
      <c r="F4152" s="36">
        <v>23.59</v>
      </c>
      <c r="G4152" s="10">
        <v>78148</v>
      </c>
      <c r="H4152" s="30" t="str">
        <f ca="1">IFERROR(__xludf.DUMMYFUNCTION("LOWER(REGEXREPLACE(B4152&amp;"" ""&amp;C4152,""[^а-яa-z0-9 ]"","" ""))")," теллаж производственный      100 50   ержавеющая сталь   азмер  1000x500x1530мм ")</f>
        <v xml:space="preserve"> теллаж производственный      100 50   ержавеющая сталь   азмер  1000x500x1530мм </v>
      </c>
    </row>
    <row r="4153" spans="1:8" ht="25.5" x14ac:dyDescent="0.2">
      <c r="A4153" s="31" t="s">
        <v>10095</v>
      </c>
      <c r="B4153" s="27" t="s">
        <v>10096</v>
      </c>
      <c r="C4153" s="27"/>
      <c r="D4153" s="33" t="s">
        <v>14</v>
      </c>
      <c r="E4153" s="34">
        <v>2</v>
      </c>
      <c r="F4153" s="36">
        <v>26.65</v>
      </c>
      <c r="G4153" s="10">
        <v>84580</v>
      </c>
      <c r="H4153" s="30" t="str">
        <f ca="1">IFERROR(__xludf.DUMMYFUNCTION("LOWER(REGEXREPLACE(B4153&amp;"" ""&amp;C4153,""[^а-яa-z0-9 ]"","" ""))")," теллаж производственный      120 50   ержавеющая сталь   азмер  1200x500x1530мм ")</f>
        <v xml:space="preserve"> теллаж производственный      120 50   ержавеющая сталь   азмер  1200x500x1530мм </v>
      </c>
    </row>
    <row r="4154" spans="1:8" ht="25.5" x14ac:dyDescent="0.2">
      <c r="A4154" s="31" t="s">
        <v>10097</v>
      </c>
      <c r="B4154" s="27" t="s">
        <v>10098</v>
      </c>
      <c r="C4154" s="27"/>
      <c r="D4154" s="33" t="s">
        <v>14</v>
      </c>
      <c r="E4154" s="34">
        <v>2</v>
      </c>
      <c r="F4154" s="36">
        <v>29.71</v>
      </c>
      <c r="G4154" s="10">
        <v>91350</v>
      </c>
      <c r="H4154" s="30" t="str">
        <f ca="1">IFERROR(__xludf.DUMMYFUNCTION("LOWER(REGEXREPLACE(B4154&amp;"" ""&amp;C4154,""[^а-яa-z0-9 ]"","" ""))")," теллаж производственный      140 50   ержавеющая сталь   азмер  1400x500x1530мм ")</f>
        <v xml:space="preserve"> теллаж производственный      140 50   ержавеющая сталь   азмер  1400x500x1530мм </v>
      </c>
    </row>
    <row r="4155" spans="1:8" ht="25.5" x14ac:dyDescent="0.2">
      <c r="A4155" s="31" t="s">
        <v>10099</v>
      </c>
      <c r="B4155" s="27" t="s">
        <v>10100</v>
      </c>
      <c r="C4155" s="27"/>
      <c r="D4155" s="33" t="s">
        <v>14</v>
      </c>
      <c r="E4155" s="34">
        <v>2</v>
      </c>
      <c r="F4155" s="36">
        <v>34.83</v>
      </c>
      <c r="G4155" s="10">
        <v>97452</v>
      </c>
      <c r="H4155" s="30" t="str">
        <f ca="1">IFERROR(__xludf.DUMMYFUNCTION("LOWER(REGEXREPLACE(B4155&amp;"" ""&amp;C4155,""[^а-яa-z0-9 ]"","" ""))")," теллаж производственный      160 50   ержавеющая сталь   азмер  1600x500x1530мм ")</f>
        <v xml:space="preserve"> теллаж производственный      160 50   ержавеющая сталь   азмер  1600x500x1530мм </v>
      </c>
    </row>
    <row r="4156" spans="1:8" ht="25.5" x14ac:dyDescent="0.2">
      <c r="A4156" s="31" t="s">
        <v>10101</v>
      </c>
      <c r="B4156" s="27" t="s">
        <v>10102</v>
      </c>
      <c r="C4156" s="27"/>
      <c r="D4156" s="33" t="s">
        <v>14</v>
      </c>
      <c r="E4156" s="34">
        <v>2</v>
      </c>
      <c r="F4156" s="36">
        <v>26.18</v>
      </c>
      <c r="G4156" s="10">
        <v>86944</v>
      </c>
      <c r="H4156" s="30" t="str">
        <f ca="1">IFERROR(__xludf.DUMMYFUNCTION("LOWER(REGEXREPLACE(B4156&amp;"" ""&amp;C4156,""[^а-яa-z0-9 ]"","" ""))")," теллаж для казана       120 70   ержавеющая сталь   азмер  1200x700x1530мм ")</f>
        <v xml:space="preserve"> теллаж для казана       120 70   ержавеющая сталь   азмер  1200x700x1530мм </v>
      </c>
    </row>
    <row r="4157" spans="1:8" ht="25.5" x14ac:dyDescent="0.2">
      <c r="A4157" s="31" t="s">
        <v>10103</v>
      </c>
      <c r="B4157" s="27" t="s">
        <v>10104</v>
      </c>
      <c r="C4157" s="27"/>
      <c r="D4157" s="33" t="s">
        <v>14</v>
      </c>
      <c r="E4157" s="34">
        <v>2</v>
      </c>
      <c r="F4157" s="36">
        <v>29.06</v>
      </c>
      <c r="G4157" s="10">
        <v>95065</v>
      </c>
      <c r="H4157" s="30" t="str">
        <f ca="1">IFERROR(__xludf.DUMMYFUNCTION("LOWER(REGEXREPLACE(B4157&amp;"" ""&amp;C4157,""[^а-яa-z0-9 ]"","" ""))")," теллаж для казана       140 70   ержавеющая сталь   азмер  1400x700x1530мм ")</f>
        <v xml:space="preserve"> теллаж для казана       140 70   ержавеющая сталь   азмер  1400x700x1530мм </v>
      </c>
    </row>
    <row r="4158" spans="1:8" ht="25.5" x14ac:dyDescent="0.2">
      <c r="A4158" s="31" t="s">
        <v>10105</v>
      </c>
      <c r="B4158" s="27" t="s">
        <v>10106</v>
      </c>
      <c r="C4158" s="27"/>
      <c r="D4158" s="33" t="s">
        <v>14</v>
      </c>
      <c r="E4158" s="34">
        <v>2</v>
      </c>
      <c r="F4158" s="36">
        <v>34.26</v>
      </c>
      <c r="G4158" s="10">
        <v>103870</v>
      </c>
      <c r="H4158" s="30" t="str">
        <f ca="1">IFERROR(__xludf.DUMMYFUNCTION("LOWER(REGEXREPLACE(B4158&amp;"" ""&amp;C4158,""[^а-яa-z0-9 ]"","" ""))")," теллаж для казана       160 70   ержавеющая сталь   азмер  1600x700x1530мм ")</f>
        <v xml:space="preserve"> теллаж для казана       160 70   ержавеющая сталь   азмер  1600x700x1530мм </v>
      </c>
    </row>
    <row r="4159" spans="1:8" ht="25.5" x14ac:dyDescent="0.2">
      <c r="A4159" s="31" t="s">
        <v>10107</v>
      </c>
      <c r="B4159" s="27" t="s">
        <v>10108</v>
      </c>
      <c r="C4159" s="27"/>
      <c r="D4159" s="33" t="s">
        <v>14</v>
      </c>
      <c r="E4159" s="34">
        <v>2</v>
      </c>
      <c r="F4159" s="35">
        <v>37.200000000000003</v>
      </c>
      <c r="G4159" s="10">
        <v>113005</v>
      </c>
      <c r="H4159" s="30" t="str">
        <f ca="1">IFERROR(__xludf.DUMMYFUNCTION("LOWER(REGEXREPLACE(B4159&amp;"" ""&amp;C4159,""[^а-яa-z0-9 ]"","" ""))")," теллаж для казана       180 70   ержавеющая сталь   азмер  1800x700x1530мм ")</f>
        <v xml:space="preserve"> теллаж для казана       180 70   ержавеющая сталь   азмер  1800x700x1530мм </v>
      </c>
    </row>
    <row r="4160" spans="1:8" ht="38.25" x14ac:dyDescent="0.2">
      <c r="A4160" s="31" t="s">
        <v>10109</v>
      </c>
      <c r="B4160" s="27" t="s">
        <v>10110</v>
      </c>
      <c r="C4160" s="27"/>
      <c r="D4160" s="33" t="s">
        <v>14</v>
      </c>
      <c r="E4160" s="34">
        <v>2</v>
      </c>
      <c r="F4160" s="34">
        <v>29</v>
      </c>
      <c r="G4160" s="10">
        <v>52214</v>
      </c>
      <c r="H4160" s="30" t="str">
        <f ca="1">IFERROR(__xludf.DUMMYFUNCTION("LOWER(REGEXREPLACE(B4160&amp;"" ""&amp;C4160,""[^а-яa-z0-9 ]"","" ""))")," теллаж производственный       8 4  4 полки из нержавеющей стали  стойки из оцинкованной стали   азмер 800х400х1800мм ")</f>
        <v xml:space="preserve"> теллаж производственный       8 4  4 полки из нержавеющей стали  стойки из оцинкованной стали   азмер 800х400х1800мм </v>
      </c>
    </row>
    <row r="4161" spans="1:8" ht="38.25" x14ac:dyDescent="0.2">
      <c r="A4161" s="31" t="s">
        <v>10111</v>
      </c>
      <c r="B4161" s="27" t="s">
        <v>10112</v>
      </c>
      <c r="C4161" s="27"/>
      <c r="D4161" s="33" t="s">
        <v>14</v>
      </c>
      <c r="E4161" s="34">
        <v>2</v>
      </c>
      <c r="F4161" s="34">
        <v>35</v>
      </c>
      <c r="G4161" s="10">
        <v>58419</v>
      </c>
      <c r="H4161" s="30" t="str">
        <f ca="1">IFERROR(__xludf.DUMMYFUNCTION("LOWER(REGEXREPLACE(B4161&amp;"" ""&amp;C4161,""[^а-яa-z0-9 ]"","" ""))")," теллаж производственный       10 4  4 полки из нержавеющей стали  стойки из оцинкованной стали   азмер 1000х400х1800мм ")</f>
        <v xml:space="preserve"> теллаж производственный       10 4  4 полки из нержавеющей стали  стойки из оцинкованной стали   азмер 1000х400х1800мм </v>
      </c>
    </row>
    <row r="4162" spans="1:8" ht="38.25" x14ac:dyDescent="0.2">
      <c r="A4162" s="31" t="s">
        <v>10113</v>
      </c>
      <c r="B4162" s="27" t="s">
        <v>10114</v>
      </c>
      <c r="C4162" s="27"/>
      <c r="D4162" s="33" t="s">
        <v>14</v>
      </c>
      <c r="E4162" s="34">
        <v>2</v>
      </c>
      <c r="F4162" s="34">
        <v>36</v>
      </c>
      <c r="G4162" s="10">
        <v>65488</v>
      </c>
      <c r="H4162" s="30" t="str">
        <f ca="1">IFERROR(__xludf.DUMMYFUNCTION("LOWER(REGEXREPLACE(B4162&amp;"" ""&amp;C4162,""[^а-яa-z0-9 ]"","" ""))")," теллаж производственный       12 4  4 полки из нержавеющей стали  стойки из оцинкованной стали   азмер 1200х400х1800мм ")</f>
        <v xml:space="preserve"> теллаж производственный       12 4  4 полки из нержавеющей стали  стойки из оцинкованной стали   азмер 1200х400х1800мм </v>
      </c>
    </row>
    <row r="4163" spans="1:8" ht="38.25" x14ac:dyDescent="0.2">
      <c r="A4163" s="31" t="s">
        <v>10115</v>
      </c>
      <c r="B4163" s="27" t="s">
        <v>10116</v>
      </c>
      <c r="C4163" s="27"/>
      <c r="D4163" s="33" t="s">
        <v>14</v>
      </c>
      <c r="E4163" s="34">
        <v>2</v>
      </c>
      <c r="F4163" s="34">
        <v>37</v>
      </c>
      <c r="G4163" s="10">
        <v>75206</v>
      </c>
      <c r="H4163" s="30" t="str">
        <f ca="1">IFERROR(__xludf.DUMMYFUNCTION("LOWER(REGEXREPLACE(B4163&amp;"" ""&amp;C4163,""[^а-яa-z0-9 ]"","" ""))")," теллаж производственный       15 4  4 полки из нержавеющей стали  стойки из оцинкованной стали   азмер 1500х400х1800мм ")</f>
        <v xml:space="preserve"> теллаж производственный       15 4  4 полки из нержавеющей стали  стойки из оцинкованной стали   азмер 1500х400х1800мм </v>
      </c>
    </row>
    <row r="4164" spans="1:8" ht="38.25" x14ac:dyDescent="0.2">
      <c r="A4164" s="31" t="s">
        <v>10117</v>
      </c>
      <c r="B4164" s="27" t="s">
        <v>10118</v>
      </c>
      <c r="C4164" s="27"/>
      <c r="D4164" s="33" t="s">
        <v>14</v>
      </c>
      <c r="E4164" s="34">
        <v>2</v>
      </c>
      <c r="F4164" s="34">
        <v>38</v>
      </c>
      <c r="G4164" s="10">
        <v>84041</v>
      </c>
      <c r="H4164" s="30" t="str">
        <f ca="1">IFERROR(__xludf.DUMMYFUNCTION("LOWER(REGEXREPLACE(B4164&amp;"" ""&amp;C4164,""[^а-яa-z0-9 ]"","" ""))")," теллаж производственный       18 4  4 полки из нержавеющей стали  стойки из оцинкованной стали   азмер 1800х400х1800мм ")</f>
        <v xml:space="preserve"> теллаж производственный       18 4  4 полки из нержавеющей стали  стойки из оцинкованной стали   азмер 1800х400х1800мм </v>
      </c>
    </row>
    <row r="4165" spans="1:8" ht="38.25" x14ac:dyDescent="0.2">
      <c r="A4165" s="31" t="s">
        <v>10119</v>
      </c>
      <c r="B4165" s="27" t="s">
        <v>10120</v>
      </c>
      <c r="C4165" s="27"/>
      <c r="D4165" s="33" t="s">
        <v>14</v>
      </c>
      <c r="E4165" s="34">
        <v>2</v>
      </c>
      <c r="F4165" s="34">
        <v>30</v>
      </c>
      <c r="G4165" s="10">
        <v>55751</v>
      </c>
      <c r="H4165" s="30" t="str">
        <f ca="1">IFERROR(__xludf.DUMMYFUNCTION("LOWER(REGEXREPLACE(B4165&amp;"" ""&amp;C4165,""[^а-яa-z0-9 ]"","" ""))")," теллаж производственный       8 5  4 полки из нержавеющей стали  стойки из оцинкованной стали   азмер 800х500х1800мм ")</f>
        <v xml:space="preserve"> теллаж производственный       8 5  4 полки из нержавеющей стали  стойки из оцинкованной стали   азмер 800х500х1800мм </v>
      </c>
    </row>
    <row r="4166" spans="1:8" ht="38.25" x14ac:dyDescent="0.2">
      <c r="A4166" s="31" t="s">
        <v>10121</v>
      </c>
      <c r="B4166" s="27" t="s">
        <v>10122</v>
      </c>
      <c r="C4166" s="27"/>
      <c r="D4166" s="33" t="s">
        <v>14</v>
      </c>
      <c r="E4166" s="34">
        <v>2</v>
      </c>
      <c r="F4166" s="34">
        <v>35</v>
      </c>
      <c r="G4166" s="10">
        <v>63718</v>
      </c>
      <c r="H4166" s="30" t="str">
        <f ca="1">IFERROR(__xludf.DUMMYFUNCTION("LOWER(REGEXREPLACE(B4166&amp;"" ""&amp;C4166,""[^а-яa-z0-9 ]"","" ""))")," теллаж производственный       10 5  4 полки из нержавеющей стали  стойки из оцинкованной стали   азмер 1000х500х1800мм ")</f>
        <v xml:space="preserve"> теллаж производственный       10 5  4 полки из нержавеющей стали  стойки из оцинкованной стали   азмер 1000х500х1800мм </v>
      </c>
    </row>
    <row r="4167" spans="1:8" ht="38.25" x14ac:dyDescent="0.2">
      <c r="A4167" s="31" t="s">
        <v>10123</v>
      </c>
      <c r="B4167" s="27" t="s">
        <v>10124</v>
      </c>
      <c r="C4167" s="27"/>
      <c r="D4167" s="33" t="s">
        <v>14</v>
      </c>
      <c r="E4167" s="34">
        <v>2</v>
      </c>
      <c r="F4167" s="34">
        <v>36</v>
      </c>
      <c r="G4167" s="10">
        <v>71670</v>
      </c>
      <c r="H4167" s="30" t="str">
        <f ca="1">IFERROR(__xludf.DUMMYFUNCTION("LOWER(REGEXREPLACE(B4167&amp;"" ""&amp;C4167,""[^а-яa-z0-9 ]"","" ""))")," теллаж производственный       12 5  4 полки из нержавеющей стали  стойки из оцинкованной стали   азмер 1200х500х1800мм ")</f>
        <v xml:space="preserve"> теллаж производственный       12 5  4 полки из нержавеющей стали  стойки из оцинкованной стали   азмер 1200х500х1800мм </v>
      </c>
    </row>
    <row r="4168" spans="1:8" ht="38.25" x14ac:dyDescent="0.2">
      <c r="A4168" s="31" t="s">
        <v>10125</v>
      </c>
      <c r="B4168" s="27" t="s">
        <v>10126</v>
      </c>
      <c r="C4168" s="27"/>
      <c r="D4168" s="33" t="s">
        <v>14</v>
      </c>
      <c r="E4168" s="34">
        <v>2</v>
      </c>
      <c r="F4168" s="34">
        <v>37</v>
      </c>
      <c r="G4168" s="10">
        <v>82271</v>
      </c>
      <c r="H4168" s="30" t="str">
        <f ca="1">IFERROR(__xludf.DUMMYFUNCTION("LOWER(REGEXREPLACE(B4168&amp;"" ""&amp;C4168,""[^а-яa-z0-9 ]"","" ""))")," теллаж производственный       15 5  4 полки из нержавеющей стали  стойки из оцинкованной стали   азмер 1500х500х1800мм ")</f>
        <v xml:space="preserve"> теллаж производственный       15 5  4 полки из нержавеющей стали  стойки из оцинкованной стали   азмер 1500х500х1800мм </v>
      </c>
    </row>
    <row r="4169" spans="1:8" ht="38.25" x14ac:dyDescent="0.2">
      <c r="A4169" s="31" t="s">
        <v>10127</v>
      </c>
      <c r="B4169" s="27" t="s">
        <v>10128</v>
      </c>
      <c r="C4169" s="27"/>
      <c r="D4169" s="33" t="s">
        <v>14</v>
      </c>
      <c r="E4169" s="34">
        <v>2</v>
      </c>
      <c r="F4169" s="34">
        <v>38</v>
      </c>
      <c r="G4169" s="10">
        <v>92872</v>
      </c>
      <c r="H4169" s="30" t="str">
        <f ca="1">IFERROR(__xludf.DUMMYFUNCTION("LOWER(REGEXREPLACE(B4169&amp;"" ""&amp;C4169,""[^а-яa-z0-9 ]"","" ""))")," теллаж производственный       18 5  4 полки из нержавеющей стали  стойки из оцинкованной стали   азмер 1800х500х1800мм ")</f>
        <v xml:space="preserve"> теллаж производственный       18 5  4 полки из нержавеющей стали  стойки из оцинкованной стали   азмер 1800х500х1800мм </v>
      </c>
    </row>
    <row r="4170" spans="1:8" ht="89.25" x14ac:dyDescent="0.2">
      <c r="A4170" s="31" t="s">
        <v>10129</v>
      </c>
      <c r="B4170" s="8" t="s">
        <v>10130</v>
      </c>
      <c r="C4170" s="27" t="s">
        <v>10131</v>
      </c>
      <c r="D4170" s="33" t="s">
        <v>14</v>
      </c>
      <c r="E4170" s="34">
        <v>2</v>
      </c>
      <c r="F4170" s="34">
        <v>21</v>
      </c>
      <c r="G4170" s="10">
        <v>167741</v>
      </c>
      <c r="H4170" s="30" t="str">
        <f ca="1">IFERROR(__xludf.DUMMYFUNCTION("LOWER(REGEXREPLACE(B4170&amp;"" ""&amp;C4170,""[^а-яa-z0-9 ]"","" ""))")," теллаж производственный        7 5 18 4  размеры 700х500х1800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цельн"&amp;"ые полки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7 5 18 4  размеры 700х500х1800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цельные полки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1" spans="1:8" ht="89.25" x14ac:dyDescent="0.2">
      <c r="A4171" s="31" t="s">
        <v>10132</v>
      </c>
      <c r="B4171" s="8" t="s">
        <v>10133</v>
      </c>
      <c r="C4171" s="27" t="s">
        <v>10134</v>
      </c>
      <c r="D4171" s="33" t="s">
        <v>14</v>
      </c>
      <c r="E4171" s="34">
        <v>2</v>
      </c>
      <c r="F4171" s="34">
        <v>22</v>
      </c>
      <c r="G4171" s="10">
        <v>191648</v>
      </c>
      <c r="H4171" s="30" t="str">
        <f ca="1">IFERROR(__xludf.DUMMYFUNCTION("LOWER(REGEXREPLACE(B4171&amp;"" ""&amp;C4171,""[^а-яa-z0-9 ]"","" ""))")," теллаж производственный        10 4 18 4  размеры 1000х400х1800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пол"&amp;"ки   олки цельные   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10 4 18 4  размеры 1000х400х1800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2" spans="1:8" ht="89.25" x14ac:dyDescent="0.2">
      <c r="A4172" s="31" t="s">
        <v>10135</v>
      </c>
      <c r="B4172" s="8" t="s">
        <v>10136</v>
      </c>
      <c r="C4172" s="27" t="s">
        <v>10137</v>
      </c>
      <c r="D4172" s="33" t="s">
        <v>14</v>
      </c>
      <c r="E4172" s="34">
        <v>2</v>
      </c>
      <c r="F4172" s="34">
        <v>25</v>
      </c>
      <c r="G4172" s="10">
        <v>211580</v>
      </c>
      <c r="H4172" s="30" t="str">
        <f ca="1">IFERROR(__xludf.DUMMYFUNCTION("LOWER(REGEXREPLACE(B4172&amp;"" ""&amp;C4172,""[^а-яa-z0-9 ]"","" ""))")," теллаж производственный        10 4 18 4  размеры 1000х500х1800мм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полк"&amp;"и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10 4 18 4  размеры 1000х500х1800мм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3" spans="1:8" ht="89.25" x14ac:dyDescent="0.2">
      <c r="A4173" s="31" t="s">
        <v>10138</v>
      </c>
      <c r="B4173" s="8" t="s">
        <v>10139</v>
      </c>
      <c r="C4173" s="27" t="s">
        <v>10140</v>
      </c>
      <c r="D4173" s="33" t="s">
        <v>14</v>
      </c>
      <c r="E4173" s="34">
        <v>2</v>
      </c>
      <c r="F4173" s="34">
        <v>31</v>
      </c>
      <c r="G4173" s="10">
        <v>235839</v>
      </c>
      <c r="H4173" s="30" t="str">
        <f ca="1">IFERROR(__xludf.DUMMYFUNCTION("LOWER(REGEXREPLACE(B4173&amp;"" ""&amp;C4173,""[^а-яa-z0-9 ]"","" ""))")," теллаж производственный        11 5 5 16 4  размеры 1150х500х1600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п"&amp;"олки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опоры"&amp;" ")</f>
        <v xml:space="preserve"> теллаж производственный        11 5 5 16 4  размеры 1150х500х1600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4" spans="1:8" ht="89.25" x14ac:dyDescent="0.2">
      <c r="A4174" s="31" t="s">
        <v>10141</v>
      </c>
      <c r="B4174" s="8" t="s">
        <v>10142</v>
      </c>
      <c r="C4174" s="27" t="s">
        <v>10140</v>
      </c>
      <c r="D4174" s="33" t="s">
        <v>14</v>
      </c>
      <c r="E4174" s="34">
        <v>2</v>
      </c>
      <c r="F4174" s="34">
        <v>29</v>
      </c>
      <c r="G4174" s="10">
        <v>220892</v>
      </c>
      <c r="H4174" s="30" t="str">
        <f ca="1">IFERROR(__xludf.DUMMYFUNCTION("LOWER(REGEXREPLACE(B4174&amp;"" ""&amp;C4174,""[^а-яa-z0-9 ]"","" ""))")," теллаж производственный        12 4 18 4  размеры 1200х400х1800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пол"&amp;"ки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12 4 18 4  размеры 1200х400х1800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5" spans="1:8" ht="89.25" x14ac:dyDescent="0.2">
      <c r="A4175" s="31" t="s">
        <v>10143</v>
      </c>
      <c r="B4175" s="8" t="s">
        <v>10144</v>
      </c>
      <c r="C4175" s="27" t="s">
        <v>10140</v>
      </c>
      <c r="D4175" s="33" t="s">
        <v>14</v>
      </c>
      <c r="E4175" s="34">
        <v>2</v>
      </c>
      <c r="F4175" s="34">
        <v>34</v>
      </c>
      <c r="G4175" s="10">
        <v>284654</v>
      </c>
      <c r="H4175" s="30" t="str">
        <f ca="1">IFERROR(__xludf.DUMMYFUNCTION("LOWER(REGEXREPLACE(B4175&amp;"" ""&amp;C4175,""[^а-яa-z0-9 ]"","" ""))")," теллаж производственный        15 5 18 4  размеры 1500х500х1800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пол"&amp;"ки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15 5 18 4  размеры 1500х500х1800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6" spans="1:8" ht="89.25" x14ac:dyDescent="0.2">
      <c r="A4176" s="31" t="s">
        <v>10145</v>
      </c>
      <c r="B4176" s="8" t="s">
        <v>10146</v>
      </c>
      <c r="C4176" s="27" t="s">
        <v>10147</v>
      </c>
      <c r="D4176" s="33" t="s">
        <v>14</v>
      </c>
      <c r="E4176" s="34">
        <v>2</v>
      </c>
      <c r="F4176" s="34">
        <v>25</v>
      </c>
      <c r="G4176" s="10">
        <v>221871</v>
      </c>
      <c r="H4176" s="30" t="str">
        <f ca="1">IFERROR(__xludf.DUMMYFUNCTION("LOWER(REGEXREPLACE(B4176&amp;"" ""&amp;C4176,""[^а-яa-z0-9 ]"","" ""))")," теллаж производственный        9 5 18 4  размеры 900х500х1800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ол"&amp;"ки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9 5 18 4  размеры 900х500х1800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7" spans="1:8" ht="89.25" x14ac:dyDescent="0.2">
      <c r="A4177" s="31" t="s">
        <v>10148</v>
      </c>
      <c r="B4177" s="8" t="s">
        <v>10149</v>
      </c>
      <c r="C4177" s="27" t="s">
        <v>10147</v>
      </c>
      <c r="D4177" s="33" t="s">
        <v>14</v>
      </c>
      <c r="E4177" s="34">
        <v>2</v>
      </c>
      <c r="F4177" s="34">
        <v>26</v>
      </c>
      <c r="G4177" s="10">
        <v>216564</v>
      </c>
      <c r="H4177" s="30" t="str">
        <f ca="1">IFERROR(__xludf.DUMMYFUNCTION("LOWER(REGEXREPLACE(B4177&amp;"" ""&amp;C4177,""[^а-яa-z0-9 ]"","" ""))")," теллаж производственный        10 4 18 4  размеры 1000х400х1800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"&amp;"олки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10 4 18 4  размеры 1000х400х1800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8" spans="1:8" ht="89.25" x14ac:dyDescent="0.2">
      <c r="A4178" s="31" t="s">
        <v>10150</v>
      </c>
      <c r="B4178" s="8" t="s">
        <v>10151</v>
      </c>
      <c r="C4178" s="27" t="s">
        <v>10147</v>
      </c>
      <c r="D4178" s="33" t="s">
        <v>14</v>
      </c>
      <c r="E4178" s="34">
        <v>2</v>
      </c>
      <c r="F4178" s="34">
        <v>29</v>
      </c>
      <c r="G4178" s="10">
        <v>236495</v>
      </c>
      <c r="H4178" s="30" t="str">
        <f ca="1">IFERROR(__xludf.DUMMYFUNCTION("LOWER(REGEXREPLACE(B4178&amp;"" ""&amp;C4178,""[^а-яa-z0-9 ]"","" ""))")," теллаж производственный        10 5 18 4  размеры 1000х500х1800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"&amp;"олки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10 5 18 4  размеры 1000х500х1800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79" spans="1:8" ht="89.25" x14ac:dyDescent="0.2">
      <c r="A4179" s="31" t="s">
        <v>10152</v>
      </c>
      <c r="B4179" s="8" t="s">
        <v>10153</v>
      </c>
      <c r="C4179" s="27" t="s">
        <v>10147</v>
      </c>
      <c r="D4179" s="33" t="s">
        <v>14</v>
      </c>
      <c r="E4179" s="34">
        <v>2</v>
      </c>
      <c r="F4179" s="34">
        <v>32</v>
      </c>
      <c r="G4179" s="10">
        <v>245803</v>
      </c>
      <c r="H4179" s="30" t="str">
        <f ca="1">IFERROR(__xludf.DUMMYFUNCTION("LOWER(REGEXREPLACE(B4179&amp;"" ""&amp;C4179,""[^а-яa-z0-9 ]"","" ""))")," теллаж производственный        12 4 18 4  размеры 1200х400х1800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"&amp;"олки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12 4 18 4  размеры 1200х400х1800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0" spans="1:8" ht="89.25" x14ac:dyDescent="0.2">
      <c r="A4180" s="31" t="s">
        <v>10154</v>
      </c>
      <c r="B4180" s="8" t="s">
        <v>10155</v>
      </c>
      <c r="C4180" s="27" t="s">
        <v>10156</v>
      </c>
      <c r="D4180" s="33" t="s">
        <v>14</v>
      </c>
      <c r="E4180" s="34">
        <v>2</v>
      </c>
      <c r="F4180" s="34">
        <v>33</v>
      </c>
      <c r="G4180" s="10">
        <v>240828</v>
      </c>
      <c r="H4180" s="30" t="str">
        <f ca="1">IFERROR(__xludf.DUMMYFUNCTION("LOWER(REGEXREPLACE(B4180&amp;"" ""&amp;C4180,""[^а-яa-z0-9 ]"","" ""))")," теллаж производственный        12 5 18 4  размеры 1200х500х1800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12 5 18 4  размеры 1200х500х1800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1" spans="1:8" ht="89.25" x14ac:dyDescent="0.2">
      <c r="A4181" s="31" t="s">
        <v>10157</v>
      </c>
      <c r="B4181" s="8" t="s">
        <v>10158</v>
      </c>
      <c r="C4181" s="27" t="s">
        <v>10156</v>
      </c>
      <c r="D4181" s="33" t="s">
        <v>14</v>
      </c>
      <c r="E4181" s="34">
        <v>2</v>
      </c>
      <c r="F4181" s="34">
        <v>32</v>
      </c>
      <c r="G4181" s="10">
        <v>260411</v>
      </c>
      <c r="H4181" s="30" t="str">
        <f ca="1">IFERROR(__xludf.DUMMYFUNCTION("LOWER(REGEXREPLACE(B4181&amp;"" ""&amp;C4181,""[^а-яa-z0-9 ]"","" ""))")," теллаж производственный         13 4 18 4  размеры 1300х400х1800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"&amp;"полки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13 4 18 4  размеры 1300х400х1800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2" spans="1:8" ht="89.25" x14ac:dyDescent="0.2">
      <c r="A4182" s="31" t="s">
        <v>10159</v>
      </c>
      <c r="B4182" s="8" t="s">
        <v>10160</v>
      </c>
      <c r="C4182" s="27" t="s">
        <v>10156</v>
      </c>
      <c r="D4182" s="33" t="s">
        <v>14</v>
      </c>
      <c r="E4182" s="34">
        <v>2</v>
      </c>
      <c r="F4182" s="34">
        <v>38</v>
      </c>
      <c r="G4182" s="10">
        <v>309570</v>
      </c>
      <c r="H4182" s="30" t="str">
        <f ca="1">IFERROR(__xludf.DUMMYFUNCTION("LOWER(REGEXREPLACE(B4182&amp;"" ""&amp;C4182,""[^а-яa-z0-9 ]"","" ""))")," теллаж производственный        15 5 18 4  размеры 1500х500х1800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15 5 18 4  размеры 1500х500х1800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3" spans="1:8" ht="89.25" x14ac:dyDescent="0.2">
      <c r="A4183" s="31" t="s">
        <v>10161</v>
      </c>
      <c r="B4183" s="8" t="s">
        <v>10162</v>
      </c>
      <c r="C4183" s="27" t="s">
        <v>10156</v>
      </c>
      <c r="D4183" s="33" t="s">
        <v>14</v>
      </c>
      <c r="E4183" s="34">
        <v>2</v>
      </c>
      <c r="F4183" s="34">
        <v>38</v>
      </c>
      <c r="G4183" s="10">
        <v>318865</v>
      </c>
      <c r="H4183" s="30" t="str">
        <f ca="1">IFERROR(__xludf.DUMMYFUNCTION("LOWER(REGEXREPLACE(B4183&amp;"" ""&amp;C4183,""[^а-яa-z0-9 ]"","" ""))")," теллаж производственный        17 4 18 4  размеры 1700х400х1800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17 4 18 4  размеры 1700х400х1800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4" spans="1:8" ht="89.25" x14ac:dyDescent="0.2">
      <c r="A4184" s="31" t="s">
        <v>10163</v>
      </c>
      <c r="B4184" s="8" t="s">
        <v>10164</v>
      </c>
      <c r="C4184" s="27" t="s">
        <v>10156</v>
      </c>
      <c r="D4184" s="33" t="s">
        <v>14</v>
      </c>
      <c r="E4184" s="34">
        <v>2</v>
      </c>
      <c r="F4184" s="34">
        <v>45</v>
      </c>
      <c r="G4184" s="10">
        <v>362717</v>
      </c>
      <c r="H4184" s="30" t="str">
        <f ca="1">IFERROR(__xludf.DUMMYFUNCTION("LOWER(REGEXREPLACE(B4184&amp;"" ""&amp;C4184,""[^а-яa-z0-9 ]"","" ""))")," теллаж производственный        20 4 18 4  размеры 2000х400х1800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п"&amp;"олки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f>
        <v xml:space="preserve"> теллаж производственный        20 4 18 4  размеры 2000х400х1800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v>
      </c>
    </row>
    <row r="4185" spans="1:8" ht="89.25" x14ac:dyDescent="0.2">
      <c r="A4185" s="31" t="s">
        <v>10165</v>
      </c>
      <c r="B4185" s="8" t="s">
        <v>10166</v>
      </c>
      <c r="C4185" s="27" t="s">
        <v>10167</v>
      </c>
      <c r="D4185" s="33" t="s">
        <v>14</v>
      </c>
      <c r="E4185" s="34">
        <v>2</v>
      </c>
      <c r="F4185" s="34">
        <v>26</v>
      </c>
      <c r="G4185" s="10">
        <v>186685</v>
      </c>
      <c r="H4185" s="30" t="str">
        <f ca="1">IFERROR(__xludf.DUMMYFUNCTION("LOWER(REGEXREPLACE(B4185&amp;"" ""&amp;C4185,""[^а-яa-z0-9 ]"","" ""))")," теллаж производственный         10 5 18 4  размеры 1000х500х1800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олк"&amp;"и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"&amp;" аг регулировки высоты полок 100 мм ")</f>
        <v xml:space="preserve"> теллаж производственный         10 5 18 4  размеры 1000х500х1800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олки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6" spans="1:8" ht="89.25" x14ac:dyDescent="0.2">
      <c r="A4186" s="31" t="s">
        <v>10168</v>
      </c>
      <c r="B4186" s="8" t="s">
        <v>10169</v>
      </c>
      <c r="C4186" s="27" t="s">
        <v>10170</v>
      </c>
      <c r="D4186" s="33" t="s">
        <v>14</v>
      </c>
      <c r="E4186" s="34">
        <v>2</v>
      </c>
      <c r="F4186" s="34">
        <v>30</v>
      </c>
      <c r="G4186" s="10">
        <v>215916</v>
      </c>
      <c r="H4186" s="30" t="str">
        <f ca="1">IFERROR(__xludf.DUMMYFUNCTION("LOWER(REGEXREPLACE(B4186&amp;"" ""&amp;C4186,""[^а-яa-z0-9 ]"","" ""))")," теллаж производственный         12 5 18 4  размеры 1200х500х1800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стойки"&amp;"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вы"&amp;"соты полок 100 мм ")</f>
        <v xml:space="preserve"> теллаж производственный         12 5 18 4  размеры 1200х500х1800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7" spans="1:8" ht="89.25" x14ac:dyDescent="0.2">
      <c r="A4187" s="31" t="s">
        <v>10171</v>
      </c>
      <c r="B4187" s="8" t="s">
        <v>10172</v>
      </c>
      <c r="C4187" s="27" t="s">
        <v>10170</v>
      </c>
      <c r="D4187" s="33" t="s">
        <v>14</v>
      </c>
      <c r="E4187" s="34">
        <v>2</v>
      </c>
      <c r="F4187" s="34">
        <v>27</v>
      </c>
      <c r="G4187" s="10">
        <v>215904</v>
      </c>
      <c r="H4187" s="30" t="str">
        <f ca="1">IFERROR(__xludf.DUMMYFUNCTION("LOWER(REGEXREPLACE(B4187&amp;"" ""&amp;C4187,""[^а-яa-z0-9 ]"","" ""))")," теллаж производственный         12 5 16 4  размеры 1200х500х1600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оцинк"&amp;"ованная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пол"&amp;"ок 100 мм ")</f>
        <v xml:space="preserve"> теллаж производственный         12 5 16 4  размеры 1200х500х1600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8" spans="1:8" ht="89.25" x14ac:dyDescent="0.2">
      <c r="A4188" s="31" t="s">
        <v>10173</v>
      </c>
      <c r="B4188" s="8" t="s">
        <v>10174</v>
      </c>
      <c r="C4188" s="27" t="s">
        <v>10170</v>
      </c>
      <c r="D4188" s="33" t="s">
        <v>14</v>
      </c>
      <c r="E4188" s="34">
        <v>2</v>
      </c>
      <c r="F4188" s="34">
        <v>31</v>
      </c>
      <c r="G4188" s="10">
        <v>232520</v>
      </c>
      <c r="H4188" s="30" t="str">
        <f ca="1">IFERROR(__xludf.DUMMYFUNCTION("LOWER(REGEXREPLACE(B4188&amp;"" ""&amp;C4188,""[^а-яa-z0-9 ]"","" ""))")," теллаж производственный         12 5 16 5  размеры 1200х600х1600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оцинк"&amp;"ованная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пол"&amp;"ок 100 мм ")</f>
        <v xml:space="preserve"> теллаж производственный         12 5 16 5  размеры 1200х600х1600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89" spans="1:8" ht="89.25" x14ac:dyDescent="0.2">
      <c r="A4189" s="31" t="s">
        <v>10175</v>
      </c>
      <c r="B4189" s="8" t="s">
        <v>10176</v>
      </c>
      <c r="C4189" s="27" t="s">
        <v>10177</v>
      </c>
      <c r="D4189" s="33" t="s">
        <v>14</v>
      </c>
      <c r="E4189" s="34">
        <v>2</v>
      </c>
      <c r="F4189" s="34">
        <v>30</v>
      </c>
      <c r="G4189" s="10">
        <v>302233</v>
      </c>
      <c r="H4189" s="30" t="str">
        <f ca="1">IFERROR(__xludf.DUMMYFUNCTION("LOWER(REGEXREPLACE(B4189&amp;"" ""&amp;C4189,""[^а-яa-z0-9 ]"","" ""))")," теллаж производственный         14 5 16 5  размеры 1200х500х1800 мм  5 сплошных полок  стойки   оцинкованная сталь 1 5 мм  полки   нержавеющая сталь 0 8 мм   аксимальная равномерно распределенная нагрузка на полку до 80 кг 5 сплошных полок  стойки   оцин"&amp;"кованная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по"&amp;"лок 100 мм ")</f>
        <v xml:space="preserve"> теллаж производственный         14 5 16 5  размеры 1200х500х1800 мм  5 сплошных полок  стойки   оцинкованная сталь 1 5 мм  полки   нержавеющая сталь 0 8 мм   аксимальная равномерно распределенная нагрузка на полку до 80 кг 5 сплошных полок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0" spans="1:8" ht="89.25" x14ac:dyDescent="0.2">
      <c r="A4190" s="31" t="s">
        <v>10178</v>
      </c>
      <c r="B4190" s="8" t="s">
        <v>10179</v>
      </c>
      <c r="C4190" s="27" t="s">
        <v>10180</v>
      </c>
      <c r="D4190" s="33" t="s">
        <v>14</v>
      </c>
      <c r="E4190" s="34">
        <v>2</v>
      </c>
      <c r="F4190" s="34">
        <v>33</v>
      </c>
      <c r="G4190" s="10">
        <v>256431</v>
      </c>
      <c r="H4190" s="30" t="str">
        <f ca="1">IFERROR(__xludf.DUMMYFUNCTION("LOWER(REGEXREPLACE(B4190&amp;"" ""&amp;C4190,""[^а-яa-z0-9 ]"","" ""))")," теллаж производственный         15 5 16 4  размеры 1500х500х1600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сплошны"&amp;"е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регу"&amp;"лировки высоты полок 100 мм ")</f>
        <v xml:space="preserve"> теллаж производственный         15 5 16 4  размеры 1500х500х1600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сплошные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1" spans="1:8" ht="89.25" x14ac:dyDescent="0.2">
      <c r="A4191" s="31" t="s">
        <v>10181</v>
      </c>
      <c r="B4191" s="8" t="s">
        <v>10182</v>
      </c>
      <c r="C4191" s="27" t="s">
        <v>10183</v>
      </c>
      <c r="D4191" s="33" t="s">
        <v>14</v>
      </c>
      <c r="E4191" s="34">
        <v>2</v>
      </c>
      <c r="F4191" s="34">
        <v>34</v>
      </c>
      <c r="G4191" s="10">
        <v>259755</v>
      </c>
      <c r="H4191" s="30" t="str">
        <f ca="1">IFERROR(__xludf.DUMMYFUNCTION("LOWER(REGEXREPLACE(B4191&amp;"" ""&amp;C4191,""[^а-яa-z0-9 ]"","" ""))")," теллаж производственный         15 5 18 4  размеры 1500х500х1800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цельные"&amp;"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регул"&amp;"ировки высоты полок 100 мм ")</f>
        <v xml:space="preserve"> теллаж производственный         15 5 18 4  размеры 1500х500х1800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2" spans="1:8" ht="89.25" x14ac:dyDescent="0.2">
      <c r="A4192" s="31" t="s">
        <v>10184</v>
      </c>
      <c r="B4192" s="8" t="s">
        <v>10185</v>
      </c>
      <c r="C4192" s="27" t="s">
        <v>10186</v>
      </c>
      <c r="D4192" s="33" t="s">
        <v>14</v>
      </c>
      <c r="E4192" s="34">
        <v>2</v>
      </c>
      <c r="F4192" s="34">
        <v>29</v>
      </c>
      <c r="G4192" s="10">
        <v>222552</v>
      </c>
      <c r="H4192" s="30" t="str">
        <f ca="1">IFERROR(__xludf.DUMMYFUNCTION("LOWER(REGEXREPLACE(B4192&amp;"" ""&amp;C4192,""[^а-яa-z0-9 ]"","" ""))")," теллаж производственный         12 5 18 4  размеры 1200х500х1800 мм  4 перфорированный полки  стойки   оцинкованная сталь 1 5 мм  полки   нержавеющая сталь 0 8 мм   аксимальная равномерно распределенная нагрузка на полку до 80 кг 4 перфорированный полки "&amp;"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регули"&amp;"ровки высоты полок 100 мм ")</f>
        <v xml:space="preserve"> теллаж производственный         12 5 18 4  размеры 1200х500х1800 мм  4 перфорированный полки  стойки   оцинкованная сталь 1 5 мм  полки   нержавеющая сталь 0 8 мм   аксимальная равномерно распределенная нагрузка на полку до 80 кг 4 перфорированный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v>
      </c>
    </row>
    <row r="4193" spans="1:8" ht="12.75" x14ac:dyDescent="0.2">
      <c r="A4193" s="31" t="s">
        <v>10187</v>
      </c>
      <c r="B4193" s="27" t="s">
        <v>10188</v>
      </c>
      <c r="C4193" s="27"/>
      <c r="D4193" s="33" t="s">
        <v>14</v>
      </c>
      <c r="E4193" s="9"/>
      <c r="F4193" s="32"/>
      <c r="G4193" s="10"/>
      <c r="H4193" s="30" t="str">
        <f ca="1">IFERROR(__xludf.DUMMYFUNCTION("LOWER(REGEXREPLACE(B4193&amp;"" ""&amp;C4193,""[^а-яa-z0-9 ]"","" ""))")," теллаж для тарелок ")</f>
        <v xml:space="preserve"> теллаж для тарелок </v>
      </c>
    </row>
    <row r="4194" spans="1:8" ht="25.5" x14ac:dyDescent="0.2">
      <c r="A4194" s="31" t="s">
        <v>10189</v>
      </c>
      <c r="B4194" s="27" t="s">
        <v>10190</v>
      </c>
      <c r="C4194" s="27"/>
      <c r="D4194" s="33" t="s">
        <v>14</v>
      </c>
      <c r="E4194" s="9"/>
      <c r="F4194" s="34">
        <v>33</v>
      </c>
      <c r="G4194" s="10">
        <v>414451</v>
      </c>
      <c r="H4194" s="30" t="str">
        <f ca="1">IFERROR(__xludf.DUMMYFUNCTION("LOWER(REGEXREPLACE(B4194&amp;"" ""&amp;C4194,""[^а-яa-z0-9 ]"","" ""))")," теллаж для тарелок       1200 02         1 1200   1200х300х1670  ")</f>
        <v xml:space="preserve"> теллаж для тарелок       1200 02         1 1200   1200х300х1670  </v>
      </c>
    </row>
    <row r="4195" spans="1:8" ht="51" x14ac:dyDescent="0.2">
      <c r="A4195" s="31" t="s">
        <v>10191</v>
      </c>
      <c r="B4195" s="8" t="s">
        <v>10192</v>
      </c>
      <c r="C4195" s="27"/>
      <c r="D4195" s="33" t="s">
        <v>14</v>
      </c>
      <c r="E4195" s="9"/>
      <c r="F4195" s="34">
        <v>32</v>
      </c>
      <c r="G4195" s="10">
        <v>647979</v>
      </c>
      <c r="H4195" s="30" t="str">
        <f ca="1">IFERROR(__xludf.DUMMYFUNCTION("LOWER(REGEXREPLACE(B4195&amp;"" ""&amp;C4195,""[^а-яa-z0-9 ]"","" ""))")," теллаж для тарелок  на 192 тарелки  1200х400х1805  разборный  из нержавеющей стали  ножки труба 40 40  4  полки    4  1200 400    ")</f>
        <v xml:space="preserve"> теллаж для тарелок  на 192 тарелки  1200х400х1805  разборный  из нержавеющей стали  ножки труба 40 40  4  полки    4  1200 400    </v>
      </c>
    </row>
    <row r="4196" spans="1:8" ht="51" x14ac:dyDescent="0.2">
      <c r="A4196" s="31" t="s">
        <v>10193</v>
      </c>
      <c r="B4196" s="8" t="s">
        <v>10194</v>
      </c>
      <c r="C4196" s="27" t="s">
        <v>10195</v>
      </c>
      <c r="D4196" s="33" t="s">
        <v>14</v>
      </c>
      <c r="E4196" s="34">
        <v>2</v>
      </c>
      <c r="F4196" s="34">
        <v>45</v>
      </c>
      <c r="G4196" s="10">
        <v>334545</v>
      </c>
      <c r="H4196" s="30" t="str">
        <f ca="1">IFERROR(__xludf.DUMMYFUNCTION("LOWER(REGEXREPLACE(B4196&amp;"" ""&amp;C4196,""[^а-яa-z0-9 ]"","" ""))")," теллаж для сушки посуды  нержавеющая сталь  размер 1000х500х1500мм  теллаж для хранения кухонного инвентаря   тойки сделаны из оцинкованной стали  толщиной 2 мм   ерфорированные полки из нержавеющей стали  толщиной 0 8 мм   азмер стеллажа  1000х500х1500м"&amp;"м ")</f>
        <v xml:space="preserve"> теллаж для сушки посуды  нержавеющая сталь  размер 1000х500х1500мм  теллаж для хранения кухонного инвентаря   тойки сделаны из оцинкованной стали  толщиной 2 мм   ерфорированные полки из нержавеющей стали  толщиной 0 8 мм   азмер стеллажа  1000х500х1500мм </v>
      </c>
    </row>
    <row r="4197" spans="1:8" ht="63.75" x14ac:dyDescent="0.2">
      <c r="A4197" s="31" t="s">
        <v>10196</v>
      </c>
      <c r="B4197" s="8" t="s">
        <v>10197</v>
      </c>
      <c r="C4197" s="27"/>
      <c r="D4197" s="33" t="s">
        <v>14</v>
      </c>
      <c r="E4197" s="34">
        <v>2</v>
      </c>
      <c r="F4197" s="34">
        <v>11</v>
      </c>
      <c r="G4197" s="10">
        <v>210858</v>
      </c>
      <c r="H4197" s="30" t="str">
        <f ca="1">IFERROR(__xludf.DUMMYFUNCTION("LOWER(REGEXREPLACE(B4197&amp;"" ""&amp;C4197,""[^а-яa-z0-9 ]"","" ""))")," теллаж металлический для посуды из нержавеющей стали     1 05  размеры 600х300х1800 мм  5 полок  1 поддон  2 решетчатые полки  3 сплошные полки   олщина стойки и полок   0 8 мм ")</f>
        <v xml:space="preserve"> теллаж металлический для посуды из нержавеющей стали     1 05  размеры 600х300х1800 мм  5 полок  1 поддон  2 решетчатые полки  3 сплошные полки   олщина стойки и полок   0 8 мм </v>
      </c>
    </row>
    <row r="4198" spans="1:8" ht="63.75" x14ac:dyDescent="0.2">
      <c r="A4198" s="31" t="s">
        <v>10198</v>
      </c>
      <c r="B4198" s="27" t="s">
        <v>10199</v>
      </c>
      <c r="C4198" s="27"/>
      <c r="D4198" s="33" t="s">
        <v>14</v>
      </c>
      <c r="E4198" s="34">
        <v>2</v>
      </c>
      <c r="F4198" s="34">
        <v>17</v>
      </c>
      <c r="G4198" s="10">
        <v>264001</v>
      </c>
      <c r="H4198" s="30" t="str">
        <f ca="1">IFERROR(__xludf.DUMMYFUNCTION("LOWER(REGEXREPLACE(B4198&amp;"" ""&amp;C4198,""[^а-яa-z0-9 ]"","" ""))")," теллаж металлический для посуды из нержавеющей стали     1 04  размеры 1200х300х1800 мм  5 полок  1 поддон  2 решетчатые полки  3 сплошные полки   олщина стойки и полок   0 8 мм ")</f>
        <v xml:space="preserve"> теллаж металлический для посуды из нержавеющей стали     1 04  размеры 1200х300х1800 мм  5 полок  1 поддон  2 решетчатые полки  3 сплошные полки   олщина стойки и полок   0 8 мм </v>
      </c>
    </row>
    <row r="4199" spans="1:8" ht="63.75" x14ac:dyDescent="0.2">
      <c r="A4199" s="31" t="s">
        <v>10200</v>
      </c>
      <c r="B4199" s="27" t="s">
        <v>10201</v>
      </c>
      <c r="C4199" s="27"/>
      <c r="D4199" s="33" t="s">
        <v>14</v>
      </c>
      <c r="E4199" s="34">
        <v>2</v>
      </c>
      <c r="F4199" s="34">
        <v>24</v>
      </c>
      <c r="G4199" s="10">
        <v>224191</v>
      </c>
      <c r="H4199" s="30" t="str">
        <f ca="1">IFERROR(__xludf.DUMMYFUNCTION("LOWER(REGEXREPLACE(B4199&amp;"" ""&amp;C4199,""[^а-яa-z0-9 ]"","" ""))")," теллаж металлический для посуды из нержавеющей стали     1 12 4 15 5  размеры 1200х400х1550 мм  4 полки  1 поддон  2 решетчатые полки  2  полки с перфорацией   олщина стойки и полок   0 8 мм ")</f>
        <v xml:space="preserve"> теллаж металлический для посуды из нержавеющей стали     1 12 4 15 5  размеры 1200х400х1550 мм  4 полки  1 поддон  2 решетчатые полки  2  полки с перфорацией   олщина стойки и полок   0 8 мм </v>
      </c>
    </row>
    <row r="4200" spans="1:8" ht="63.75" x14ac:dyDescent="0.2">
      <c r="A4200" s="31" t="s">
        <v>10202</v>
      </c>
      <c r="B4200" s="27" t="s">
        <v>10203</v>
      </c>
      <c r="C4200" s="27"/>
      <c r="D4200" s="33" t="s">
        <v>14</v>
      </c>
      <c r="E4200" s="34">
        <v>2</v>
      </c>
      <c r="F4200" s="34">
        <v>18</v>
      </c>
      <c r="G4200" s="10">
        <v>240766</v>
      </c>
      <c r="H4200" s="30" t="str">
        <f ca="1">IFERROR(__xludf.DUMMYFUNCTION("LOWER(REGEXREPLACE(B4200&amp;"" ""&amp;C4200,""[^а-яa-z0-9 ]"","" ""))")," теллаж металлический для посуды из нержавеющей стали     1 02  размеры 1200х400х1800 мм  4 полки   1 поддон  2 решетчатые полки  2 полки с перфорацией   олщина стойки и полок   0 8 мм ")</f>
        <v xml:space="preserve"> теллаж металлический для посуды из нержавеющей стали     1 02  размеры 1200х400х1800 мм  4 полки   1 поддон  2 решетчатые полки  2 полки с перфорацией   олщина стойки и полок   0 8 мм </v>
      </c>
    </row>
    <row r="4201" spans="1:8" ht="63.75" x14ac:dyDescent="0.2">
      <c r="A4201" s="31" t="s">
        <v>10204</v>
      </c>
      <c r="B4201" s="27" t="s">
        <v>10205</v>
      </c>
      <c r="C4201" s="27"/>
      <c r="D4201" s="33" t="s">
        <v>14</v>
      </c>
      <c r="E4201" s="34">
        <v>2</v>
      </c>
      <c r="F4201" s="34">
        <v>30</v>
      </c>
      <c r="G4201" s="10">
        <v>240815</v>
      </c>
      <c r="H4201" s="30" t="str">
        <f ca="1">IFERROR(__xludf.DUMMYFUNCTION("LOWER(REGEXREPLACE(B4201&amp;"" ""&amp;C4201,""[^а-яa-z0-9 ]"","" ""))")," теллаж металлический для посуды из нержавеющей стали     1 2 12 4 18  размеры 1200х400х1800 мм  4 полки  1 поддон  2 решетчатые полки  2 полки с перфорацией   олщина стойки и полок   0 8 мм ")</f>
        <v xml:space="preserve"> теллаж металлический для посуды из нержавеющей стали     1 2 12 4 18  размеры 1200х400х1800 мм  4 полки  1 поддон  2 решетчатые полки  2 полки с перфорацией   олщина стойки и полок   0 8 мм </v>
      </c>
    </row>
    <row r="4202" spans="1:8" ht="63.75" x14ac:dyDescent="0.2">
      <c r="A4202" s="31" t="s">
        <v>10206</v>
      </c>
      <c r="B4202" s="27" t="s">
        <v>10207</v>
      </c>
      <c r="C4202" s="27"/>
      <c r="D4202" s="33" t="s">
        <v>14</v>
      </c>
      <c r="E4202" s="34">
        <v>2</v>
      </c>
      <c r="F4202" s="34">
        <v>16</v>
      </c>
      <c r="G4202" s="10">
        <v>255697</v>
      </c>
      <c r="H4202" s="30" t="str">
        <f ca="1">IFERROR(__xludf.DUMMYFUNCTION("LOWER(REGEXREPLACE(B4202&amp;"" ""&amp;C4202,""[^а-яa-z0-9 ]"","" ""))")," теллаж металлический для посуды из нержавеющей стали     1 03  размеры 1200х450х1700 мм  4 полки  1 поддон  4 решетчатые полки   олщина стойки и полок   0 8 мм ")</f>
        <v xml:space="preserve"> теллаж металлический для посуды из нержавеющей стали     1 03  размеры 1200х450х1700 мм  4 полки  1 поддон  4 решетчатые полки   олщина стойки и полок   0 8 мм </v>
      </c>
    </row>
    <row r="4203" spans="1:8" ht="51" x14ac:dyDescent="0.2">
      <c r="A4203" s="31" t="s">
        <v>10208</v>
      </c>
      <c r="B4203" s="8" t="s">
        <v>10209</v>
      </c>
      <c r="C4203" s="27"/>
      <c r="D4203" s="33" t="s">
        <v>14</v>
      </c>
      <c r="E4203" s="34">
        <v>2</v>
      </c>
      <c r="F4203" s="34">
        <v>21</v>
      </c>
      <c r="G4203" s="10">
        <v>313816</v>
      </c>
      <c r="H4203" s="30" t="str">
        <f ca="1">IFERROR(__xludf.DUMMYFUNCTION("LOWER(REGEXREPLACE(B4203&amp;"" ""&amp;C4203,""[^а-яa-z0-9 ]"","" ""))")," теллаж металлический для посуды из нержавеющей стали     1 06  5 полок  1 поддон  2 решетчатые полки  3 сплошные полки   олщина стойки и полок   0 8 мм ")</f>
        <v xml:space="preserve"> теллаж металлический для посуды из нержавеющей стали     1 06  5 полок  1 поддон  2 решетчатые полки  3 сплошные полки   олщина стойки и полок   0 8 мм </v>
      </c>
    </row>
    <row r="4204" spans="1:8" ht="63.75" x14ac:dyDescent="0.2">
      <c r="A4204" s="31" t="s">
        <v>10210</v>
      </c>
      <c r="B4204" s="27" t="s">
        <v>10211</v>
      </c>
      <c r="C4204" s="27"/>
      <c r="D4204" s="33" t="s">
        <v>14</v>
      </c>
      <c r="E4204" s="34">
        <v>2</v>
      </c>
      <c r="F4204" s="34">
        <v>25</v>
      </c>
      <c r="G4204" s="10">
        <v>300553</v>
      </c>
      <c r="H4204" s="30" t="str">
        <f ca="1">IFERROR(__xludf.DUMMYFUNCTION("LOWER(REGEXREPLACE(B4204&amp;"" ""&amp;C4204,""[^а-яa-z0-9 ]"","" ""))")," теллаж металлический для посуды из нержавеющей стали     1 1  размеры 1200х600х1600  4 полки  1  поддон  2 решетчатые полки  2 полки с перфорацией   олщина стойки и полок   0 8 мм ")</f>
        <v xml:space="preserve"> теллаж металлический для посуды из нержавеющей стали     1 1  размеры 1200х600х1600  4 полки  1  поддон  2 решетчатые полки  2 полки с перфорацией   олщина стойки и полок   0 8 мм </v>
      </c>
    </row>
    <row r="4205" spans="1:8" ht="63.75" x14ac:dyDescent="0.2">
      <c r="A4205" s="31" t="s">
        <v>10212</v>
      </c>
      <c r="B4205" s="27" t="s">
        <v>10213</v>
      </c>
      <c r="C4205" s="27"/>
      <c r="D4205" s="33" t="s">
        <v>14</v>
      </c>
      <c r="E4205" s="34">
        <v>2</v>
      </c>
      <c r="F4205" s="34">
        <v>30</v>
      </c>
      <c r="G4205" s="10">
        <v>283974</v>
      </c>
      <c r="H4205" s="30" t="str">
        <f ca="1">IFERROR(__xludf.DUMMYFUNCTION("LOWER(REGEXREPLACE(B4205&amp;"" ""&amp;C4205,""[^а-яa-z0-9 ]"","" ""))")," теллаж металлический для посуды из нержавеющей стали     1 01 15 4 18  размеры 1500х400х1800 мм  4 полки  1 поддон  2 решетчатые полки  2 полки с перфорацией   олщина стойки и полок   0 8 мм ")</f>
        <v xml:space="preserve"> теллаж металлический для посуды из нержавеющей стали     1 01 15 4 18  размеры 1500х400х1800 мм  4 полки  1 поддон  2 решетчатые полки  2 полки с перфорацией   олщина стойки и полок   0 8 мм </v>
      </c>
    </row>
    <row r="4206" spans="1:8" ht="25.5" x14ac:dyDescent="0.2">
      <c r="A4206" s="31" t="s">
        <v>10214</v>
      </c>
      <c r="B4206" s="27" t="s">
        <v>10215</v>
      </c>
      <c r="C4206" s="27"/>
      <c r="D4206" s="33" t="s">
        <v>14</v>
      </c>
      <c r="E4206" s="9"/>
      <c r="F4206" s="34">
        <v>27</v>
      </c>
      <c r="G4206" s="10">
        <v>225275</v>
      </c>
      <c r="H4206" s="30" t="str">
        <f ca="1">IFERROR(__xludf.DUMMYFUNCTION("LOWER(REGEXREPLACE(B4206&amp;"" ""&amp;C4206,""[^а-яa-z0-9 ]"","" ""))")," тол производственный       18 7    1800х700х850  ")</f>
        <v xml:space="preserve"> тол производственный       18 7    1800х700х850  </v>
      </c>
    </row>
    <row r="4207" spans="1:8" ht="25.5" x14ac:dyDescent="0.2">
      <c r="A4207" s="31" t="s">
        <v>10216</v>
      </c>
      <c r="B4207" s="27" t="s">
        <v>10217</v>
      </c>
      <c r="C4207" s="27"/>
      <c r="D4207" s="33" t="s">
        <v>14</v>
      </c>
      <c r="E4207" s="9"/>
      <c r="F4207" s="34">
        <v>27</v>
      </c>
      <c r="G4207" s="10">
        <v>96214</v>
      </c>
      <c r="H4207" s="30" t="str">
        <f ca="1">IFERROR(__xludf.DUMMYFUNCTION("LOWER(REGEXREPLACE(B4207&amp;"" ""&amp;C4207,""[^а-яa-z0-9 ]"","" ""))")," тол производственный       17 7    1700х700х850  ")</f>
        <v xml:space="preserve"> тол производственный       17 7    1700х700х850  </v>
      </c>
    </row>
    <row r="4208" spans="1:8" ht="25.5" x14ac:dyDescent="0.2">
      <c r="A4208" s="31" t="s">
        <v>10218</v>
      </c>
      <c r="B4208" s="27" t="s">
        <v>10219</v>
      </c>
      <c r="C4208" s="27"/>
      <c r="D4208" s="33" t="s">
        <v>14</v>
      </c>
      <c r="E4208" s="9"/>
      <c r="F4208" s="35">
        <v>37.6</v>
      </c>
      <c r="G4208" s="10">
        <v>193681</v>
      </c>
      <c r="H4208" s="30" t="str">
        <f ca="1">IFERROR(__xludf.DUMMYFUNCTION("LOWER(REGEXREPLACE(B4208&amp;"" ""&amp;C4208,""[^а-яa-z0-9 ]"","" ""))")," тол производственный       17 6    1700х600х850  ")</f>
        <v xml:space="preserve"> тол производственный       17 6    1700х600х850  </v>
      </c>
    </row>
    <row r="4209" spans="1:8" ht="38.25" x14ac:dyDescent="0.2">
      <c r="A4209" s="31" t="s">
        <v>10220</v>
      </c>
      <c r="B4209" s="27" t="s">
        <v>10221</v>
      </c>
      <c r="C4209" s="27" t="s">
        <v>10222</v>
      </c>
      <c r="D4209" s="33" t="s">
        <v>14</v>
      </c>
      <c r="E4209" s="9"/>
      <c r="F4209" s="35">
        <v>27.5</v>
      </c>
      <c r="G4209" s="10">
        <v>195055</v>
      </c>
      <c r="H4209" s="30" t="str">
        <f ca="1">IFERROR(__xludf.DUMMYFUNCTION("LOWER(REGEXREPLACE(B4209&amp;"" ""&amp;C4209,""[^а-яa-z0-9 ]"","" ""))")," тол производственный пристенный с бортом   азмеры не менее 1500х700х850мм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f>
        <v xml:space="preserve"> тол производственный пристенный с бортом   азмеры не менее 1500х700х850мм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v>
      </c>
    </row>
    <row r="4210" spans="1:8" ht="12.75" x14ac:dyDescent="0.2">
      <c r="A4210" s="31" t="s">
        <v>10223</v>
      </c>
      <c r="B4210" s="27" t="s">
        <v>10224</v>
      </c>
      <c r="C4210" s="27"/>
      <c r="D4210" s="33" t="s">
        <v>14</v>
      </c>
      <c r="E4210" s="9"/>
      <c r="F4210" s="35">
        <v>22.1</v>
      </c>
      <c r="G4210" s="10">
        <v>145055</v>
      </c>
      <c r="H4210" s="30" t="str">
        <f ca="1">IFERROR(__xludf.DUMMYFUNCTION("LOWER(REGEXREPLACE(B4210&amp;"" ""&amp;C4210,""[^а-яa-z0-9 ]"","" ""))")," тол производственный      12 6  1200х600х850  ")</f>
        <v xml:space="preserve"> тол производственный      12 6  1200х600х850  </v>
      </c>
    </row>
    <row r="4211" spans="1:8" ht="38.25" x14ac:dyDescent="0.2">
      <c r="A4211" s="31" t="s">
        <v>10225</v>
      </c>
      <c r="B4211" s="27" t="s">
        <v>10226</v>
      </c>
      <c r="C4211" s="27" t="s">
        <v>10222</v>
      </c>
      <c r="D4211" s="33" t="s">
        <v>14</v>
      </c>
      <c r="E4211" s="9"/>
      <c r="F4211" s="36">
        <v>28.11</v>
      </c>
      <c r="G4211" s="10">
        <v>74232</v>
      </c>
      <c r="H4211" s="30" t="str">
        <f ca="1">IFERROR(__xludf.DUMMYFUNCTION("LOWER(REGEXREPLACE(B4211&amp;"" ""&amp;C4211,""[^а-яa-z0-9 ]"","" ""))")," тол производственный пристенный с бортом   азмеры не менее 1200х700х850мм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f>
        <v xml:space="preserve"> тол производственный пристенный с бортом   азмеры не менее 1200х700х850мм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v>
      </c>
    </row>
    <row r="4212" spans="1:8" ht="25.5" x14ac:dyDescent="0.2">
      <c r="A4212" s="31" t="s">
        <v>10227</v>
      </c>
      <c r="B4212" s="27" t="s">
        <v>10228</v>
      </c>
      <c r="C4212" s="27"/>
      <c r="D4212" s="33" t="s">
        <v>14</v>
      </c>
      <c r="E4212" s="9"/>
      <c r="F4212" s="35">
        <v>26.1</v>
      </c>
      <c r="G4212" s="10">
        <v>145055</v>
      </c>
      <c r="H4212" s="30" t="str">
        <f ca="1">IFERROR(__xludf.DUMMYFUNCTION("LOWER(REGEXREPLACE(B4212&amp;"" ""&amp;C4212,""[^а-яa-z0-9 ]"","" ""))")," тол производственный       12 6    1200х600х850  ")</f>
        <v xml:space="preserve"> тол производственный       12 6    1200х600х850  </v>
      </c>
    </row>
    <row r="4213" spans="1:8" ht="25.5" x14ac:dyDescent="0.2">
      <c r="A4213" s="31" t="s">
        <v>10229</v>
      </c>
      <c r="B4213" s="27" t="s">
        <v>10230</v>
      </c>
      <c r="C4213" s="27"/>
      <c r="D4213" s="33" t="s">
        <v>14</v>
      </c>
      <c r="E4213" s="9"/>
      <c r="F4213" s="35">
        <v>22.4</v>
      </c>
      <c r="G4213" s="10">
        <v>131868</v>
      </c>
      <c r="H4213" s="30" t="str">
        <f ca="1">IFERROR(__xludf.DUMMYFUNCTION("LOWER(REGEXREPLACE(B4213&amp;"" ""&amp;C4213,""[^а-яa-z0-9 ]"","" ""))")," тол производственный       10 6    1000х600х850  ")</f>
        <v xml:space="preserve"> тол производственный       10 6    1000х600х850  </v>
      </c>
    </row>
    <row r="4214" spans="1:8" ht="25.5" x14ac:dyDescent="0.2">
      <c r="A4214" s="31" t="s">
        <v>10231</v>
      </c>
      <c r="B4214" s="27" t="s">
        <v>10232</v>
      </c>
      <c r="C4214" s="27"/>
      <c r="D4214" s="33" t="s">
        <v>14</v>
      </c>
      <c r="E4214" s="9"/>
      <c r="F4214" s="34">
        <v>18</v>
      </c>
      <c r="G4214" s="10">
        <v>214286</v>
      </c>
      <c r="H4214" s="30" t="str">
        <f ca="1">IFERROR(__xludf.DUMMYFUNCTION("LOWER(REGEXREPLACE(B4214&amp;"" ""&amp;C4214,""[^а-яa-z0-9 ]"","" ""))")," тол раздаточный      6 2  704х635 мм  для чистой посуды  для туннельных машин     ")</f>
        <v xml:space="preserve"> тол раздаточный      6 2  704х635 мм  для чистой посуды  для туннельных машин     </v>
      </c>
    </row>
    <row r="4215" spans="1:8" ht="12.75" x14ac:dyDescent="0.2">
      <c r="A4215" s="31" t="s">
        <v>10233</v>
      </c>
      <c r="B4215" s="27" t="s">
        <v>10234</v>
      </c>
      <c r="C4215" s="27"/>
      <c r="D4215" s="33" t="s">
        <v>14</v>
      </c>
      <c r="E4215" s="9"/>
      <c r="F4215" s="32"/>
      <c r="G4215" s="10"/>
      <c r="H4215" s="30" t="str">
        <f ca="1">IFERROR(__xludf.DUMMYFUNCTION("LOWER(REGEXREPLACE(B4215&amp;"" ""&amp;C4215,""[^а-яa-z0-9 ]"","" ""))")," тол для сбора отходов ")</f>
        <v xml:space="preserve"> тол для сбора отходов </v>
      </c>
    </row>
    <row r="4216" spans="1:8" ht="25.5" x14ac:dyDescent="0.2">
      <c r="A4216" s="31" t="s">
        <v>10235</v>
      </c>
      <c r="B4216" s="8" t="s">
        <v>10236</v>
      </c>
      <c r="C4216" s="27"/>
      <c r="D4216" s="33" t="s">
        <v>14</v>
      </c>
      <c r="E4216" s="9"/>
      <c r="F4216" s="35">
        <v>12.6</v>
      </c>
      <c r="G4216" s="10">
        <v>103292</v>
      </c>
      <c r="H4216" s="30" t="str">
        <f ca="1">IFERROR(__xludf.DUMMYFUNCTION("LOWER(REGEXREPLACE(B4216&amp;"" ""&amp;C4216,""[^а-яa-z0-9 ]"","" ""))")," тол для сбора отходов        6 6  600х600х850  ")</f>
        <v xml:space="preserve"> тол для сбора отходов        6 6  600х600х850  </v>
      </c>
    </row>
    <row r="4217" spans="1:8" ht="25.5" x14ac:dyDescent="0.2">
      <c r="A4217" s="31" t="s">
        <v>10237</v>
      </c>
      <c r="B4217" s="8" t="s">
        <v>10238</v>
      </c>
      <c r="C4217" s="27"/>
      <c r="D4217" s="33" t="s">
        <v>14</v>
      </c>
      <c r="E4217" s="9"/>
      <c r="F4217" s="34">
        <v>14</v>
      </c>
      <c r="G4217" s="10">
        <v>139216</v>
      </c>
      <c r="H4217" s="30" t="str">
        <f ca="1">IFERROR(__xludf.DUMMYFUNCTION("LOWER(REGEXREPLACE(B4217&amp;"" ""&amp;C4217,""[^а-яa-z0-9 ]"","" ""))")," тол для сбора отходов из нержавеющей стали 600х700х850 мм     600 700      ")</f>
        <v xml:space="preserve"> тол для сбора отходов из нержавеющей стали 600х700х850 мм     600 700      </v>
      </c>
    </row>
    <row r="4218" spans="1:8" ht="63.75" x14ac:dyDescent="0.2">
      <c r="A4218" s="31" t="s">
        <v>10239</v>
      </c>
      <c r="B4218" s="8" t="s">
        <v>10240</v>
      </c>
      <c r="C4218" s="27" t="s">
        <v>10241</v>
      </c>
      <c r="D4218" s="33" t="s">
        <v>14</v>
      </c>
      <c r="E4218" s="34">
        <v>2</v>
      </c>
      <c r="F4218" s="34">
        <v>16</v>
      </c>
      <c r="G4218" s="10">
        <v>124562</v>
      </c>
      <c r="H4218" s="30" t="str">
        <f ca="1">IFERROR(__xludf.DUMMYFUNCTION("LOWER(REGEXREPLACE(B4218&amp;"" ""&amp;C4218,""[^а-яa-z0-9 ]"","" ""))")," тол для сбора отходов      6 7    размеры 600х700х850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отх"&amp;"одов 200 мм  отступ для коммуникаций 100 мм  ножки труба 40х40 мм нерж сталь  нижняя обвязка с 3 сторон нерж сталь  4 регулируемые по высоте пластиковые опоры")</f>
        <v xml:space="preserve"> тол для сбора отходов      6 7    размеры 600х700х850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v>
      </c>
    </row>
    <row r="4219" spans="1:8" ht="63.75" x14ac:dyDescent="0.2">
      <c r="A4219" s="31" t="s">
        <v>10242</v>
      </c>
      <c r="B4219" s="27" t="s">
        <v>10243</v>
      </c>
      <c r="C4219" s="27" t="s">
        <v>10241</v>
      </c>
      <c r="D4219" s="33" t="s">
        <v>14</v>
      </c>
      <c r="E4219" s="34">
        <v>2</v>
      </c>
      <c r="F4219" s="34">
        <v>18</v>
      </c>
      <c r="G4219" s="10">
        <v>146149</v>
      </c>
      <c r="H4219" s="30" t="str">
        <f ca="1">IFERROR(__xludf.DUMMYFUNCTION("LOWER(REGEXREPLACE(B4219&amp;"" ""&amp;C4219,""[^а-яa-z0-9 ]"","" ""))")," тол для сбора отходов      8 7    размеры 800х700х850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отх"&amp;"одов 200 мм  отступ для коммуникаций 100 мм  ножки труба 40х40 мм нерж сталь  нижняя обвязка с 3 сторон нерж сталь  4 регулируемые по высоте пластиковые опоры")</f>
        <v xml:space="preserve"> тол для сбора отходов      8 7    размеры 800х700х850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v>
      </c>
    </row>
    <row r="4220" spans="1:8" ht="63.75" x14ac:dyDescent="0.2">
      <c r="A4220" s="31" t="s">
        <v>10244</v>
      </c>
      <c r="B4220" s="8" t="s">
        <v>10245</v>
      </c>
      <c r="C4220" s="27" t="s">
        <v>10241</v>
      </c>
      <c r="D4220" s="33" t="s">
        <v>14</v>
      </c>
      <c r="E4220" s="34">
        <v>2</v>
      </c>
      <c r="F4220" s="34">
        <v>24</v>
      </c>
      <c r="G4220" s="10">
        <v>192652</v>
      </c>
      <c r="H4220" s="30" t="str">
        <f ca="1">IFERROR(__xludf.DUMMYFUNCTION("LOWER(REGEXREPLACE(B4220&amp;"" ""&amp;C4220,""[^а-яa-z0-9 ]"","" ""))")," тол для сбора отходов      11 7    размеры 1100х700х850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о"&amp;"тходов 200 мм  отступ для коммуникаций 100 мм  ножки труба 40х40 мм нерж сталь  нижняя обвязка с 3 сторон нерж сталь  4 регулируемые по высоте пластиковые опоры")</f>
        <v xml:space="preserve"> тол для сбора отходов      11 7    размеры 1100х700х850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v>
      </c>
    </row>
    <row r="4221" spans="1:8" ht="63.75" x14ac:dyDescent="0.2">
      <c r="A4221" s="31" t="s">
        <v>10246</v>
      </c>
      <c r="B4221" s="27" t="s">
        <v>10247</v>
      </c>
      <c r="C4221" s="27" t="s">
        <v>10248</v>
      </c>
      <c r="D4221" s="33" t="s">
        <v>14</v>
      </c>
      <c r="E4221" s="34">
        <v>2</v>
      </c>
      <c r="F4221" s="34">
        <v>28</v>
      </c>
      <c r="G4221" s="10">
        <v>217568</v>
      </c>
      <c r="H4221" s="30" t="str">
        <f ca="1">IFERROR(__xludf.DUMMYFUNCTION("LOWER(REGEXREPLACE(B4221&amp;"" ""&amp;C4221,""[^а-яa-z0-9 ]"","" ""))")," тол для сбора отходов      14 7    размеры 1400х700х850 мм  столешница нержавеющая сталь 0 8 мм  усиленная листом     16 мм  отверстие для отходов 200 мм  тверстие для отходов 200 мм  с бортом 45 мм  столешница нержавеющая сталь  усиленная листом     16 "&amp;"мм  толщина столешницы 0 8 мм  отступ для коммуникаций 100 мм  ножки труба 40х40 мм нерж сталь  нижняя обвязка с 3 сторон нерж сталь  4 регулируемые по высоте пластиковые опоры")</f>
        <v xml:space="preserve"> тол для сбора отходов      14 7    размеры 1400х700х850 мм  столешница нержавеющая сталь 0 8 мм  усиленная листом     16 мм  отверстие для отходов 200 мм  тверстие для отходов 200 мм  с бортом 45 мм  столешница нержавеющая сталь  усиленная листом     16 мм  толщина столешницы 0 8 мм  отступ для коммуникаций 100 мм  ножки труба 40х40 мм нерж сталь  нижняя обвязка с 3 сторон нерж сталь  4 регулируемые по высоте пластиковые опоры</v>
      </c>
    </row>
    <row r="4222" spans="1:8" ht="89.25" x14ac:dyDescent="0.2">
      <c r="A4222" s="31" t="s">
        <v>10249</v>
      </c>
      <c r="B4222" s="8" t="s">
        <v>10250</v>
      </c>
      <c r="C4222" s="27" t="s">
        <v>10251</v>
      </c>
      <c r="D4222" s="33" t="s">
        <v>14</v>
      </c>
      <c r="E4222" s="34">
        <v>2</v>
      </c>
      <c r="F4222" s="34">
        <v>17</v>
      </c>
      <c r="G4222" s="10">
        <v>107966</v>
      </c>
      <c r="H4222" s="30" t="str">
        <f ca="1">IFERROR(__xludf.DUMMYFUNCTION("LOWER(REGEXREPLACE(B4222&amp;"" ""&amp;C4222,""[^а-яa-z0-9 ]"","" ""))")," тол для сбора отходов      6 7     размеры 600х700х850 мм  столешница нержавеющая сталь 0 8 мм  усиленная листом     16 мм  отверстие для отходов 220 мм  тверстие для сбора отходов диаметром 220 мм  с бортом 45 мм   бвязка с 3 х сторон  столешница   нерж"&amp;"авеющая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4 регул"&amp;"ируемые по высоте пластиковые опоры   тступ для коммуникаций 50 мм ")</f>
        <v xml:space="preserve"> тол для сбора отходов      6 7     размеры 600х700х850 мм  столешница нержавеющая сталь 0 8 мм  усиленная листом     16 мм  отверстие для отходов 220 мм  тверстие для сбора отходов диаметром 220 мм  с бортом 45 мм   бвязка с 3 х сторон  столешница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4 регулируемые по высоте пластиковые опоры   тступ для коммуникаций 50 мм </v>
      </c>
    </row>
    <row r="4223" spans="1:8" ht="38.25" x14ac:dyDescent="0.2">
      <c r="A4223" s="31" t="s">
        <v>10252</v>
      </c>
      <c r="B4223" s="27" t="s">
        <v>10253</v>
      </c>
      <c r="C4223" s="27" t="s">
        <v>10254</v>
      </c>
      <c r="D4223" s="33" t="s">
        <v>14</v>
      </c>
      <c r="E4223" s="9"/>
      <c r="F4223" s="35">
        <v>22.7</v>
      </c>
      <c r="G4223" s="10">
        <v>182843</v>
      </c>
      <c r="H4223" s="30" t="str">
        <f ca="1">IFERROR(__xludf.DUMMYFUNCTION("LOWER(REGEXREPLACE(B4223&amp;"" ""&amp;C4223,""[^а-яa-z0-9 ]"","" ""))")," тол для овощей  размеры не менее 1200х800х870мм  толешница выполнена из нержавеющей стали и укреплена с внутренней стороны        каркас из оцинкованной стали толщиной 1 2 мм   анна в передней части и отверстие для сбора отходов ")</f>
        <v xml:space="preserve"> тол для овощей  размеры не менее 1200х800х870мм  толешница выполнена из нержавеющей стали и укреплена с внутренней стороны        каркас из оцинкованной стали толщиной 1 2 мм   анна в передней части и отверстие для сбора отходов </v>
      </c>
    </row>
    <row r="4224" spans="1:8" ht="38.25" x14ac:dyDescent="0.2">
      <c r="A4224" s="31" t="s">
        <v>10255</v>
      </c>
      <c r="B4224" s="27" t="s">
        <v>10256</v>
      </c>
      <c r="C4224" s="27" t="s">
        <v>10257</v>
      </c>
      <c r="D4224" s="33" t="s">
        <v>14</v>
      </c>
      <c r="E4224" s="9"/>
      <c r="F4224" s="34">
        <v>16</v>
      </c>
      <c r="G4224" s="10">
        <v>72386</v>
      </c>
      <c r="H4224" s="30" t="str">
        <f ca="1">IFERROR(__xludf.DUMMYFUNCTION("LOWER(REGEXREPLACE(B4224&amp;"" ""&amp;C4224,""[^а-яa-z0-9 ]"","" ""))")," одставка межплитная  размеры не менее 400x850x860мм  онструкция разборная  столешница выполнена из нержавеющей стали  ножки и основание покрыты порошковой краской   егулируемые по высоте ножки с резиновыми вставками ")</f>
        <v xml:space="preserve"> одставка межплитная  размеры не менее 400x850x860мм  онструкция разборная  столешница выполнена из нержавеющей стали  ножки и основание покрыты порошковой краской   егулируемые по высоте ножки с резиновыми вставками </v>
      </c>
    </row>
    <row r="4225" spans="1:8" ht="12.75" x14ac:dyDescent="0.2">
      <c r="A4225" s="31" t="s">
        <v>10258</v>
      </c>
      <c r="B4225" s="27" t="s">
        <v>10259</v>
      </c>
      <c r="C4225" s="27"/>
      <c r="D4225" s="33" t="s">
        <v>14</v>
      </c>
      <c r="E4225" s="9"/>
      <c r="F4225" s="32"/>
      <c r="G4225" s="10"/>
      <c r="H4225" s="30" t="str">
        <f ca="1">IFERROR(__xludf.DUMMYFUNCTION("LOWER(REGEXREPLACE(B4225&amp;"" ""&amp;C4225,""[^а-яa-z0-9 ]"","" ""))")," одставка ")</f>
        <v xml:space="preserve"> одставка </v>
      </c>
    </row>
    <row r="4226" spans="1:8" ht="25.5" x14ac:dyDescent="0.2">
      <c r="A4226" s="31" t="s">
        <v>10260</v>
      </c>
      <c r="B4226" s="27" t="s">
        <v>10261</v>
      </c>
      <c r="C4226" s="27"/>
      <c r="D4226" s="33" t="s">
        <v>14</v>
      </c>
      <c r="E4226" s="9"/>
      <c r="F4226" s="34">
        <v>27</v>
      </c>
      <c r="G4226" s="10">
        <v>164786</v>
      </c>
      <c r="H4226" s="30" t="str">
        <f ca="1">IFERROR(__xludf.DUMMYFUNCTION("LOWER(REGEXREPLACE(B4226&amp;"" ""&amp;C4226,""[^а-яa-z0-9 ]"","" ""))")," одставка под пароконвектомат    10   10 уровней    1 1  вся нерж   ")</f>
        <v xml:space="preserve"> одставка под пароконвектомат    10   10 уровней    1 1  вся нерж   </v>
      </c>
    </row>
    <row r="4227" spans="1:8" ht="25.5" x14ac:dyDescent="0.2">
      <c r="A4227" s="31" t="s">
        <v>10262</v>
      </c>
      <c r="B4227" s="27" t="s">
        <v>10263</v>
      </c>
      <c r="C4227" s="27"/>
      <c r="D4227" s="33" t="s">
        <v>14</v>
      </c>
      <c r="E4227" s="9"/>
      <c r="F4227" s="34">
        <v>16</v>
      </c>
      <c r="G4227" s="10">
        <v>204011</v>
      </c>
      <c r="H4227" s="30" t="str">
        <f ca="1">IFERROR(__xludf.DUMMYFUNCTION("LOWER(REGEXREPLACE(B4227&amp;"" ""&amp;C4227,""[^а-яa-z0-9 ]"","" ""))")," одставка под пароконвектомат из нержавеющей стали 730х730х650 мм     1 ")</f>
        <v xml:space="preserve"> одставка под пароконвектомат из нержавеющей стали 730х730х650 мм     1 </v>
      </c>
    </row>
    <row r="4228" spans="1:8" ht="25.5" x14ac:dyDescent="0.2">
      <c r="A4228" s="31" t="s">
        <v>10264</v>
      </c>
      <c r="B4228" s="27" t="s">
        <v>10265</v>
      </c>
      <c r="C4228" s="27"/>
      <c r="D4228" s="33" t="s">
        <v>14</v>
      </c>
      <c r="E4228" s="9"/>
      <c r="F4228" s="34">
        <v>10</v>
      </c>
      <c r="G4228" s="10">
        <v>203993</v>
      </c>
      <c r="H4228" s="30" t="str">
        <f ca="1">IFERROR(__xludf.DUMMYFUNCTION("LOWER(REGEXREPLACE(B4228&amp;"" ""&amp;C4228,""[^а-яa-z0-9 ]"","" ""))")," одставка под хлеборезку из нержавеющей стали 700х800х650 мм     1 ")</f>
        <v xml:space="preserve"> одставка под хлеборезку из нержавеющей стали 700х800х650 мм     1 </v>
      </c>
    </row>
    <row r="4229" spans="1:8" ht="38.25" x14ac:dyDescent="0.2">
      <c r="A4229" s="31" t="s">
        <v>10266</v>
      </c>
      <c r="B4229" s="27" t="s">
        <v>10267</v>
      </c>
      <c r="C4229" s="27"/>
      <c r="D4229" s="33" t="s">
        <v>14</v>
      </c>
      <c r="E4229" s="9"/>
      <c r="F4229" s="34">
        <v>7</v>
      </c>
      <c r="G4229" s="10">
        <v>167991</v>
      </c>
      <c r="H4229" s="30" t="str">
        <f ca="1">IFERROR(__xludf.DUMMYFUNCTION("LOWER(REGEXREPLACE(B4229&amp;"" ""&amp;C4229,""[^а-яa-z0-9 ]"","" ""))")," одставка межплитная разборная из нержавеющей стали 400х900х850 мм      400 900     ")</f>
        <v xml:space="preserve"> одставка межплитная разборная из нержавеющей стали 400х900х850 мм      400 900     </v>
      </c>
    </row>
    <row r="4230" spans="1:8" ht="25.5" x14ac:dyDescent="0.2">
      <c r="A4230" s="31" t="s">
        <v>10268</v>
      </c>
      <c r="B4230" s="27" t="s">
        <v>10269</v>
      </c>
      <c r="C4230" s="27" t="s">
        <v>10269</v>
      </c>
      <c r="D4230" s="33" t="s">
        <v>14</v>
      </c>
      <c r="E4230" s="9"/>
      <c r="F4230" s="34">
        <v>15</v>
      </c>
      <c r="G4230" s="10">
        <v>100826</v>
      </c>
      <c r="H4230" s="30" t="str">
        <f ca="1">IFERROR(__xludf.DUMMYFUNCTION("LOWER(REGEXREPLACE(B4230&amp;"" ""&amp;C4230,""[^а-яa-z0-9 ]"","" ""))")," одставка под кипятильник  размеры не менее 450х350х600 мм  нержавеющая сталь  одставка под кипятильник  размеры не менее 450х350х600 мм  нержавеющая сталь")</f>
        <v xml:space="preserve"> одставка под кипятильник  размеры не менее 450х350х600 мм  нержавеющая сталь  одставка под кипятильник  размеры не менее 450х350х600 мм  нержавеющая сталь</v>
      </c>
    </row>
    <row r="4231" spans="1:8" ht="38.25" x14ac:dyDescent="0.2">
      <c r="A4231" s="31" t="s">
        <v>10270</v>
      </c>
      <c r="B4231" s="27" t="s">
        <v>10271</v>
      </c>
      <c r="C4231" s="27"/>
      <c r="D4231" s="33" t="s">
        <v>14</v>
      </c>
      <c r="E4231" s="34">
        <v>2</v>
      </c>
      <c r="F4231" s="34">
        <v>18</v>
      </c>
      <c r="G4231" s="10">
        <v>72483</v>
      </c>
      <c r="H4231" s="30" t="str">
        <f ca="1">IFERROR(__xludf.DUMMYFUNCTION("LOWER(REGEXREPLACE(B4231&amp;"" ""&amp;C4231,""[^а-яa-z0-9 ]"","" ""))")," одставка      6 1 для фронтальных посудомоечных машин     500   азмер 600х600мм  нерж  сталь ")</f>
        <v xml:space="preserve"> одставка      6 1 для фронтальных посудомоечных машин     500   азмер 600х600мм  нерж  сталь </v>
      </c>
    </row>
    <row r="4232" spans="1:8" ht="63.75" x14ac:dyDescent="0.2">
      <c r="A4232" s="31" t="s">
        <v>10272</v>
      </c>
      <c r="B4232" s="8" t="s">
        <v>10273</v>
      </c>
      <c r="C4232" s="27" t="s">
        <v>10274</v>
      </c>
      <c r="D4232" s="33" t="s">
        <v>14</v>
      </c>
      <c r="E4232" s="34">
        <v>2</v>
      </c>
      <c r="F4232" s="34">
        <v>11</v>
      </c>
      <c r="G4232" s="10">
        <v>75296</v>
      </c>
      <c r="H4232" s="30" t="str">
        <f ca="1">IFERROR(__xludf.DUMMYFUNCTION("LOWER(REGEXREPLACE(B4232&amp;"" ""&amp;C4232,""[^а-яa-z0-9 ]"","" ""))")," ставка межплитная разборная     4 6 8 5    размеры 400х600х850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толщин"&amp;"а 0 8 мм   силенная ребром жесткости  4 регулируемые по высоте пластиковые опоры  полка и каркас н с труба 40х40 мм")</f>
        <v xml:space="preserve"> ставка межплитная разборная     4 6 8 5    размеры 400х600х850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толщина 0 8 мм   силенная ребром жесткости  4 регулируемые по высоте пластиковые опоры  полка и каркас н с труба 40х40 мм</v>
      </c>
    </row>
    <row r="4233" spans="1:8" ht="63.75" x14ac:dyDescent="0.2">
      <c r="A4233" s="31" t="s">
        <v>10275</v>
      </c>
      <c r="B4233" s="8" t="s">
        <v>10276</v>
      </c>
      <c r="C4233" s="27" t="s">
        <v>10277</v>
      </c>
      <c r="D4233" s="33" t="s">
        <v>14</v>
      </c>
      <c r="E4233" s="34">
        <v>2</v>
      </c>
      <c r="F4233" s="34">
        <v>16</v>
      </c>
      <c r="G4233" s="10">
        <v>79743</v>
      </c>
      <c r="H4233" s="30" t="str">
        <f ca="1">IFERROR(__xludf.DUMMYFUNCTION("LOWER(REGEXREPLACE(B4233&amp;"" ""&amp;C4233,""[^а-яa-z0-9 ]"","" ""))")," ставка межплитная разборная     4 9 8 5    размеры 400х900х850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толщин"&amp;"а 0 8 мм   силенная ребром жесткости  4 регулируемые по высоте пластиковые опоры   полка и каркас н с труба 40х40 мм")</f>
        <v xml:space="preserve"> ставка межплитная разборная     4 9 8 5    размеры 400х900х850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толщина 0 8 мм   силенная ребром жесткости  4 регулируемые по высоте пластиковые опоры   полка и каркас н с труба 40х40 мм</v>
      </c>
    </row>
    <row r="4234" spans="1:8" ht="63.75" x14ac:dyDescent="0.2">
      <c r="A4234" s="31" t="s">
        <v>10278</v>
      </c>
      <c r="B4234" s="8" t="s">
        <v>10279</v>
      </c>
      <c r="C4234" s="27" t="s">
        <v>10280</v>
      </c>
      <c r="D4234" s="33" t="s">
        <v>14</v>
      </c>
      <c r="E4234" s="34">
        <v>2</v>
      </c>
      <c r="F4234" s="34">
        <v>16</v>
      </c>
      <c r="G4234" s="10">
        <v>79743</v>
      </c>
      <c r="H4234" s="30" t="str">
        <f ca="1">IFERROR(__xludf.DUMMYFUNCTION("LOWER(REGEXREPLACE(B4234&amp;"" ""&amp;C4234,""[^а-яa-z0-9 ]"","" ""))")," ставка межплитная разборная    4 9 8 5    размеры 400х900х850 мм  без борта  столешница нержавеющая сталь  усиленная листом     16 мм  толщина столешницы 0 8 мм  ирина столешницы 40 мм  отступ для коммуникаций 100 мм  решетчатая нижняя полка толщина 0 8 "&amp;"мм   силенная ребром жесткости  4 регулируемые по высоте пластиковые опоры  полка и каркас н с труба 40х40 мм")</f>
        <v xml:space="preserve"> ставка межплитная разборная    4 9 8 5    размеры 400х900х850 мм  без борта  столешница нержавеющая сталь  усиленная листом     16 мм  толщина столешницы 0 8 мм  ирина столешницы 40 мм  отступ для коммуникаций 100 мм  решетчатая нижняя полка толщина 0 8 мм   силенная ребром жесткости  4 регулируемые по высоте пластиковые опоры  полка и каркас н с труба 40х40 мм</v>
      </c>
    </row>
    <row r="4235" spans="1:8" ht="38.25" x14ac:dyDescent="0.2">
      <c r="A4235" s="31" t="s">
        <v>10281</v>
      </c>
      <c r="B4235" s="27" t="s">
        <v>10282</v>
      </c>
      <c r="C4235" s="27" t="s">
        <v>10283</v>
      </c>
      <c r="D4235" s="33" t="s">
        <v>14</v>
      </c>
      <c r="E4235" s="34">
        <v>2</v>
      </c>
      <c r="F4235" s="34">
        <v>9</v>
      </c>
      <c r="G4235" s="10">
        <v>58135</v>
      </c>
      <c r="H4235" s="30" t="str">
        <f ca="1">IFERROR(__xludf.DUMMYFUNCTION("LOWER(REGEXREPLACE(B4235&amp;"" ""&amp;C4235,""[^а-яa-z0-9 ]"","" ""))")," одставка под проточный кипятильник    3 5 3 5 6    размеры 350х350х850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опоры"&amp;" ")</f>
        <v xml:space="preserve"> одставка под проточный кипятильник    3 5 3 5 6    размеры 350х350х850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 </v>
      </c>
    </row>
    <row r="4236" spans="1:8" ht="38.25" x14ac:dyDescent="0.2">
      <c r="A4236" s="31" t="s">
        <v>10284</v>
      </c>
      <c r="B4236" s="27" t="s">
        <v>10285</v>
      </c>
      <c r="C4236" s="27" t="s">
        <v>10283</v>
      </c>
      <c r="D4236" s="33" t="s">
        <v>14</v>
      </c>
      <c r="E4236" s="34">
        <v>2</v>
      </c>
      <c r="F4236" s="34">
        <v>8</v>
      </c>
      <c r="G4236" s="10">
        <v>74730</v>
      </c>
      <c r="H4236" s="30" t="str">
        <f ca="1">IFERROR(__xludf.DUMMYFUNCTION("LOWER(REGEXREPLACE(B4236&amp;"" ""&amp;C4236,""[^а-яa-z0-9 ]"","" ""))")," одставка под проточный кипятильник    4 5 3 5 6    размеры 450х350х600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опоры"&amp;" ")</f>
        <v xml:space="preserve"> одставка под проточный кипятильник    4 5 3 5 6    размеры 450х350х600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 </v>
      </c>
    </row>
    <row r="4237" spans="1:8" ht="38.25" x14ac:dyDescent="0.2">
      <c r="A4237" s="31" t="s">
        <v>10286</v>
      </c>
      <c r="B4237" s="27" t="s">
        <v>10287</v>
      </c>
      <c r="C4237" s="27" t="s">
        <v>10288</v>
      </c>
      <c r="D4237" s="33" t="s">
        <v>14</v>
      </c>
      <c r="E4237" s="34">
        <v>2</v>
      </c>
      <c r="F4237" s="34">
        <v>15</v>
      </c>
      <c r="G4237" s="10">
        <v>195935</v>
      </c>
      <c r="H4237" s="30" t="str">
        <f ca="1">IFERROR(__xludf.DUMMYFUNCTION("LOWER(REGEXREPLACE(B4237&amp;"" ""&amp;C4237,""[^а-яa-z0-9 ]"","" ""))")," одставка под хлеборезку    7 8 6 5    размеры 700х800х650 мм  нержавеющая сталь  толешница из нержавеющей стали с подложкой      каркас  ножки труба 40х25 мм нерж сталь    образная обвязка из нержавеющей стали  4 регулируемые по высоте опоры ")</f>
        <v xml:space="preserve"> одставка под хлеборезку    7 8 6 5    размеры 700х800х650 мм  нержавеющая сталь  толешница из нержавеющей стали с подложкой      каркас  ножки труба 40х25 мм нерж сталь    образная обвязка из нержавеющей стали  4 регулируемые по высоте опоры </v>
      </c>
    </row>
    <row r="4238" spans="1:8" ht="38.25" x14ac:dyDescent="0.2">
      <c r="A4238" s="31" t="s">
        <v>10289</v>
      </c>
      <c r="B4238" s="27" t="s">
        <v>10290</v>
      </c>
      <c r="C4238" s="27"/>
      <c r="D4238" s="33" t="s">
        <v>14</v>
      </c>
      <c r="E4238" s="34">
        <v>2</v>
      </c>
      <c r="F4238" s="34">
        <v>19</v>
      </c>
      <c r="G4238" s="10">
        <v>211555</v>
      </c>
      <c r="H4238" s="30" t="str">
        <f ca="1">IFERROR(__xludf.DUMMYFUNCTION("LOWER(REGEXREPLACE(B4238&amp;"" ""&amp;C4238,""[^а-яa-z0-9 ]"","" ""))")," одставка под пароконвектомат    1 00  размеры 840х700х650 мм   ожки регулируемые по высоте ")</f>
        <v xml:space="preserve"> одставка под пароконвектомат    1 00  размеры 840х700х650 мм   ожки регулируемые по высоте </v>
      </c>
    </row>
    <row r="4239" spans="1:8" ht="25.5" x14ac:dyDescent="0.2">
      <c r="A4239" s="31" t="s">
        <v>10291</v>
      </c>
      <c r="B4239" s="27" t="s">
        <v>10292</v>
      </c>
      <c r="C4239" s="27"/>
      <c r="D4239" s="33" t="s">
        <v>14</v>
      </c>
      <c r="E4239" s="9"/>
      <c r="F4239" s="34">
        <v>24</v>
      </c>
      <c r="G4239" s="10">
        <v>101000</v>
      </c>
      <c r="H4239" s="30" t="str">
        <f ca="1">IFERROR(__xludf.DUMMYFUNCTION("LOWER(REGEXREPLACE(B4239&amp;"" ""&amp;C4239,""[^а-яa-z0-9 ]"","" ""))")," одтоварник кухонный    6 2  1000x600x300 мм  каркас окрашенный ")</f>
        <v xml:space="preserve"> одтоварник кухонный    6 2  1000x600x300 мм  каркас окрашенный </v>
      </c>
    </row>
    <row r="4240" spans="1:8" ht="25.5" x14ac:dyDescent="0.2">
      <c r="A4240" s="31" t="s">
        <v>10293</v>
      </c>
      <c r="B4240" s="27" t="s">
        <v>10294</v>
      </c>
      <c r="C4240" s="27"/>
      <c r="D4240" s="33" t="s">
        <v>14</v>
      </c>
      <c r="E4240" s="9"/>
      <c r="F4240" s="35">
        <v>5.4</v>
      </c>
      <c r="G4240" s="10">
        <v>40522</v>
      </c>
      <c r="H4240" s="30" t="str">
        <f ca="1">IFERROR(__xludf.DUMMYFUNCTION("LOWER(REGEXREPLACE(B4240&amp;"" ""&amp;C4240,""[^а-яa-z0-9 ]"","" ""))")," олка настенная из нержавеющей стали      15 3  1500х300х220  ")</f>
        <v xml:space="preserve"> олка настенная из нержавеющей стали      15 3  1500х300х220  </v>
      </c>
    </row>
    <row r="4241" spans="1:8" ht="12.75" x14ac:dyDescent="0.2">
      <c r="A4241" s="31" t="s">
        <v>10295</v>
      </c>
      <c r="B4241" s="27" t="s">
        <v>10296</v>
      </c>
      <c r="C4241" s="27"/>
      <c r="D4241" s="33" t="s">
        <v>14</v>
      </c>
      <c r="E4241" s="9"/>
      <c r="F4241" s="32"/>
      <c r="G4241" s="10"/>
      <c r="H4241" s="30" t="str">
        <f ca="1">IFERROR(__xludf.DUMMYFUNCTION("LOWER(REGEXREPLACE(B4241&amp;"" ""&amp;C4241,""[^а-яa-z0-9 ]"","" ""))")," олка ")</f>
        <v xml:space="preserve"> олка </v>
      </c>
    </row>
    <row r="4242" spans="1:8" ht="25.5" x14ac:dyDescent="0.2">
      <c r="A4242" s="31" t="s">
        <v>10297</v>
      </c>
      <c r="B4242" s="27" t="s">
        <v>10298</v>
      </c>
      <c r="C4242" s="27"/>
      <c r="D4242" s="33" t="s">
        <v>14</v>
      </c>
      <c r="E4242" s="9"/>
      <c r="F4242" s="35">
        <v>4.5</v>
      </c>
      <c r="G4242" s="10">
        <v>33588</v>
      </c>
      <c r="H4242" s="30" t="str">
        <f ca="1">IFERROR(__xludf.DUMMYFUNCTION("LOWER(REGEXREPLACE(B4242&amp;"" ""&amp;C4242,""[^а-яa-z0-9 ]"","" ""))")," олка настенная из нержавеющей стали      12 3  1200х300х220  ")</f>
        <v xml:space="preserve"> олка настенная из нержавеющей стали      12 3  1200х300х220  </v>
      </c>
    </row>
    <row r="4243" spans="1:8" ht="25.5" x14ac:dyDescent="0.2">
      <c r="A4243" s="31" t="s">
        <v>10299</v>
      </c>
      <c r="B4243" s="27" t="s">
        <v>10300</v>
      </c>
      <c r="C4243" s="27"/>
      <c r="D4243" s="33" t="s">
        <v>14</v>
      </c>
      <c r="E4243" s="9"/>
      <c r="F4243" s="34">
        <v>7</v>
      </c>
      <c r="G4243" s="10">
        <v>74407</v>
      </c>
      <c r="H4243" s="30" t="str">
        <f ca="1">IFERROR(__xludf.DUMMYFUNCTION("LOWER(REGEXREPLACE(B4243&amp;"" ""&amp;C4243,""[^а-яa-z0-9 ]"","" ""))")," олка настенная из нержавеющей стали 1500х300х300 мм 1 ярус     1 1500 300 ")</f>
        <v xml:space="preserve"> олка настенная из нержавеющей стали 1500х300х300 мм 1 ярус     1 1500 300 </v>
      </c>
    </row>
    <row r="4244" spans="1:8" ht="25.5" x14ac:dyDescent="0.2">
      <c r="A4244" s="31" t="s">
        <v>10301</v>
      </c>
      <c r="B4244" s="27" t="s">
        <v>10302</v>
      </c>
      <c r="C4244" s="27" t="s">
        <v>10303</v>
      </c>
      <c r="D4244" s="33" t="s">
        <v>14</v>
      </c>
      <c r="E4244" s="9"/>
      <c r="F4244" s="34">
        <v>5</v>
      </c>
      <c r="G4244" s="10">
        <v>62404</v>
      </c>
      <c r="H4244" s="30" t="str">
        <f ca="1">IFERROR(__xludf.DUMMYFUNCTION("LOWER(REGEXREPLACE(B4244&amp;"" ""&amp;C4244,""[^а-яa-z0-9 ]"","" ""))")," олка настенная из нержавеющей стали  размеры не менее 1200х300х300 мм  олка настенная из нержавеющей стали  размеры не менее 1200х300х300 мм  1 ярус")</f>
        <v xml:space="preserve"> олка настенная из нержавеющей стали  размеры не менее 1200х300х300 мм  олка настенная из нержавеющей стали  размеры не менее 1200х300х300 мм  1 ярус</v>
      </c>
    </row>
    <row r="4245" spans="1:8" ht="38.25" x14ac:dyDescent="0.2">
      <c r="A4245" s="31" t="s">
        <v>10304</v>
      </c>
      <c r="B4245" s="27" t="s">
        <v>10305</v>
      </c>
      <c r="C4245" s="27"/>
      <c r="D4245" s="33" t="s">
        <v>14</v>
      </c>
      <c r="E4245" s="34">
        <v>2</v>
      </c>
      <c r="F4245" s="35">
        <v>5.7</v>
      </c>
      <c r="G4245" s="10">
        <v>77703</v>
      </c>
      <c r="H4245" s="30" t="str">
        <f ca="1">IFERROR(__xludf.DUMMYFUNCTION("LOWER(REGEXREPLACE(B4245&amp;"" ""&amp;C4245,""[^а-яa-z0-9 ]"","" ""))")," олка настенная 1800х300х300мм из нержавеющей стали 0 8 мм  1 ярус  усиленны ребром жесткости     1 1800 300 ")</f>
        <v xml:space="preserve"> олка настенная 1800х300х300мм из нержавеющей стали 0 8 мм  1 ярус  усиленны ребром жесткости     1 1800 300 </v>
      </c>
    </row>
    <row r="4246" spans="1:8" ht="51" x14ac:dyDescent="0.2">
      <c r="A4246" s="31" t="s">
        <v>10306</v>
      </c>
      <c r="B4246" s="27" t="s">
        <v>10307</v>
      </c>
      <c r="C4246" s="27"/>
      <c r="D4246" s="33" t="s">
        <v>14</v>
      </c>
      <c r="E4246" s="34">
        <v>2</v>
      </c>
      <c r="F4246" s="34">
        <v>5</v>
      </c>
      <c r="G4246" s="10">
        <v>35709</v>
      </c>
      <c r="H4246" s="30" t="str">
        <f ca="1">IFERROR(__xludf.DUMMYFUNCTION("LOWER(REGEXREPLACE(B4246&amp;"" ""&amp;C4246,""[^а-яa-z0-9 ]"","" ""))")," олка настенная    10 3 4  размеры 1000х300х400 мм  1 ярус  полностью из нержавеющей стали 0 8 мм  усиленны ребром жесткости ")</f>
        <v xml:space="preserve"> олка настенная    10 3 4  размеры 1000х300х400 мм  1 ярус  полностью из нержавеющей стали 0 8 мм  усиленны ребром жесткости </v>
      </c>
    </row>
    <row r="4247" spans="1:8" ht="51" x14ac:dyDescent="0.2">
      <c r="A4247" s="31" t="s">
        <v>10308</v>
      </c>
      <c r="B4247" s="27" t="s">
        <v>10309</v>
      </c>
      <c r="C4247" s="27"/>
      <c r="D4247" s="33" t="s">
        <v>14</v>
      </c>
      <c r="E4247" s="34">
        <v>2</v>
      </c>
      <c r="F4247" s="34">
        <v>5</v>
      </c>
      <c r="G4247" s="10">
        <v>39859</v>
      </c>
      <c r="H4247" s="30" t="str">
        <f ca="1">IFERROR(__xludf.DUMMYFUNCTION("LOWER(REGEXREPLACE(B4247&amp;"" ""&amp;C4247,""[^а-яa-z0-9 ]"","" ""))")," олка настенная    11 3 3  размеры 1100х300х300 мм  1 ярус  полностью из нержавеющей стали 0 8 мм  усиленны ребром жесткости ")</f>
        <v xml:space="preserve"> олка настенная    11 3 3  размеры 1100х300х300 мм  1 ярус  полностью из нержавеющей стали 0 8 мм  усиленны ребром жесткости </v>
      </c>
    </row>
    <row r="4248" spans="1:8" ht="51" x14ac:dyDescent="0.2">
      <c r="A4248" s="31" t="s">
        <v>10310</v>
      </c>
      <c r="B4248" s="27" t="s">
        <v>10311</v>
      </c>
      <c r="C4248" s="27"/>
      <c r="D4248" s="33" t="s">
        <v>14</v>
      </c>
      <c r="E4248" s="34">
        <v>2</v>
      </c>
      <c r="F4248" s="34">
        <v>5</v>
      </c>
      <c r="G4248" s="10">
        <v>44009</v>
      </c>
      <c r="H4248" s="30" t="str">
        <f ca="1">IFERROR(__xludf.DUMMYFUNCTION("LOWER(REGEXREPLACE(B4248&amp;"" ""&amp;C4248,""[^а-яa-z0-9 ]"","" ""))")," олка настенная    12 3 3  размеры 1200х300х300 мм  1 ярус  полностью из нержавеющей стали 0 8 мм  усиленны ребром жесткости ")</f>
        <v xml:space="preserve"> олка настенная    12 3 3  размеры 1200х300х300 мм  1 ярус  полностью из нержавеющей стали 0 8 мм  усиленны ребром жесткости </v>
      </c>
    </row>
    <row r="4249" spans="1:8" ht="51" x14ac:dyDescent="0.2">
      <c r="A4249" s="31" t="s">
        <v>10312</v>
      </c>
      <c r="B4249" s="27" t="s">
        <v>10313</v>
      </c>
      <c r="C4249" s="27"/>
      <c r="D4249" s="33" t="s">
        <v>14</v>
      </c>
      <c r="E4249" s="34">
        <v>2</v>
      </c>
      <c r="F4249" s="34">
        <v>3</v>
      </c>
      <c r="G4249" s="10">
        <v>48151</v>
      </c>
      <c r="H4249" s="30" t="str">
        <f ca="1">IFERROR(__xludf.DUMMYFUNCTION("LOWER(REGEXREPLACE(B4249&amp;"" ""&amp;C4249,""[^а-яa-z0-9 ]"","" ""))")," олка настенная    13 3 3  размеры 1300х300х300 мм  1 ярус  полностью из нержавеющей стали 0 8 мм  усиленны ребром жесткости ")</f>
        <v xml:space="preserve"> олка настенная    13 3 3  размеры 1300х300х300 мм  1 ярус  полностью из нержавеющей стали 0 8 мм  усиленны ребром жесткости </v>
      </c>
    </row>
    <row r="4250" spans="1:8" ht="51" x14ac:dyDescent="0.2">
      <c r="A4250" s="31" t="s">
        <v>10314</v>
      </c>
      <c r="B4250" s="27" t="s">
        <v>10315</v>
      </c>
      <c r="C4250" s="27"/>
      <c r="D4250" s="33" t="s">
        <v>14</v>
      </c>
      <c r="E4250" s="34">
        <v>2</v>
      </c>
      <c r="F4250" s="34">
        <v>6</v>
      </c>
      <c r="G4250" s="10">
        <v>52313</v>
      </c>
      <c r="H4250" s="30" t="str">
        <f ca="1">IFERROR(__xludf.DUMMYFUNCTION("LOWER(REGEXREPLACE(B4250&amp;"" ""&amp;C4250,""[^а-яa-z0-9 ]"","" ""))")," олка настенная    15 3 3  размеры 1500х300х300 мм  1 ярус  полностью из нержавеющей стали 0 8 мм  усиленны ребром жесткости ")</f>
        <v xml:space="preserve"> олка настенная    15 3 3  размеры 1500х300х300 мм  1 ярус  полностью из нержавеющей стали 0 8 мм  усиленны ребром жесткости </v>
      </c>
    </row>
    <row r="4251" spans="1:8" ht="51" x14ac:dyDescent="0.2">
      <c r="A4251" s="31" t="s">
        <v>10316</v>
      </c>
      <c r="B4251" s="27" t="s">
        <v>10317</v>
      </c>
      <c r="C4251" s="27"/>
      <c r="D4251" s="33" t="s">
        <v>14</v>
      </c>
      <c r="E4251" s="34">
        <v>2</v>
      </c>
      <c r="F4251" s="34">
        <v>12</v>
      </c>
      <c r="G4251" s="10">
        <v>148780</v>
      </c>
      <c r="H4251" s="30" t="str">
        <f ca="1">IFERROR(__xludf.DUMMYFUNCTION("LOWER(REGEXREPLACE(B4251&amp;"" ""&amp;C4251,""[^а-яa-z0-9 ]"","" ""))")," олка настольная     2 12 3 6    размеры 1200х300х600 мм  2 яруса  полки из нержавеющей стали 0 8 мм  каркас из нержавеющей трубы 25х25 мм ")</f>
        <v xml:space="preserve"> олка настольная     2 12 3 6    размеры 1200х300х600 мм  2 яруса  полки из нержавеющей стали 0 8 мм  каркас из нержавеющей трубы 25х25 мм </v>
      </c>
    </row>
    <row r="4252" spans="1:8" ht="51" x14ac:dyDescent="0.2">
      <c r="A4252" s="31" t="s">
        <v>10318</v>
      </c>
      <c r="B4252" s="27" t="s">
        <v>10319</v>
      </c>
      <c r="C4252" s="27"/>
      <c r="D4252" s="33" t="s">
        <v>14</v>
      </c>
      <c r="E4252" s="34">
        <v>2</v>
      </c>
      <c r="F4252" s="34">
        <v>15</v>
      </c>
      <c r="G4252" s="10">
        <v>181660</v>
      </c>
      <c r="H4252" s="30" t="str">
        <f ca="1">IFERROR(__xludf.DUMMYFUNCTION("LOWER(REGEXREPLACE(B4252&amp;"" ""&amp;C4252,""[^а-яa-z0-9 ]"","" ""))")," олка настольная     2 15 3 6    размеры 1500х300х600 мм  2 яруса  полки из нержавеющей стали 0 8 мм  каркас из нержавеющей трубы 25х25 мм ")</f>
        <v xml:space="preserve"> олка настольная     2 15 3 6    размеры 1500х300х600 мм  2 яруса  полки из нержавеющей стали 0 8 мм  каркас из нержавеющей трубы 25х25 мм </v>
      </c>
    </row>
    <row r="4253" spans="1:8" ht="38.25" x14ac:dyDescent="0.2">
      <c r="A4253" s="31" t="s">
        <v>10320</v>
      </c>
      <c r="B4253" s="27" t="s">
        <v>10321</v>
      </c>
      <c r="C4253" s="27" t="s">
        <v>10322</v>
      </c>
      <c r="D4253" s="33" t="s">
        <v>14</v>
      </c>
      <c r="E4253" s="9"/>
      <c r="F4253" s="36">
        <v>13.14</v>
      </c>
      <c r="G4253" s="10">
        <v>199176</v>
      </c>
      <c r="H4253" s="30" t="str">
        <f ca="1">IFERROR(__xludf.DUMMYFUNCTION("LOWER(REGEXREPLACE(B4253&amp;"" ""&amp;C4253,""[^а-яa-z0-9 ]"","" ""))")," ележка сервировочная  размеры не менее 800х500х930мм  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 ")</f>
        <v xml:space="preserve"> ележка сервировочная  размеры не менее 800х500х930мм  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 </v>
      </c>
    </row>
    <row r="4254" spans="1:8" ht="25.5" x14ac:dyDescent="0.2">
      <c r="A4254" s="31" t="s">
        <v>10323</v>
      </c>
      <c r="B4254" s="27" t="s">
        <v>10324</v>
      </c>
      <c r="C4254" s="27"/>
      <c r="D4254" s="33" t="s">
        <v>14</v>
      </c>
      <c r="E4254" s="9"/>
      <c r="F4254" s="34">
        <v>20</v>
      </c>
      <c r="G4254" s="10">
        <v>167231</v>
      </c>
      <c r="H4254" s="30" t="str">
        <f ca="1">IFERROR(__xludf.DUMMYFUNCTION("LOWER(REGEXREPLACE(B4254&amp;"" ""&amp;C4254,""[^а-яa-z0-9 ]"","" ""))")," ележка шпилька для гастроемкостей     14 1 1  565х395х1519  ")</f>
        <v xml:space="preserve"> ележка шпилька для гастроемкостей     14 1 1  565х395х1519  </v>
      </c>
    </row>
    <row r="4255" spans="1:8" ht="12.75" x14ac:dyDescent="0.2">
      <c r="A4255" s="31" t="s">
        <v>10325</v>
      </c>
      <c r="B4255" s="27" t="s">
        <v>10326</v>
      </c>
      <c r="C4255" s="27"/>
      <c r="D4255" s="33" t="s">
        <v>14</v>
      </c>
      <c r="E4255" s="9"/>
      <c r="F4255" s="32"/>
      <c r="G4255" s="10"/>
      <c r="H4255" s="30" t="str">
        <f ca="1">IFERROR(__xludf.DUMMYFUNCTION("LOWER(REGEXREPLACE(B4255&amp;"" ""&amp;C4255,""[^а-яa-z0-9 ]"","" ""))")," ележка шпилька для противней ")</f>
        <v xml:space="preserve"> ележка шпилька для противней </v>
      </c>
    </row>
    <row r="4256" spans="1:8" ht="25.5" x14ac:dyDescent="0.2">
      <c r="A4256" s="31" t="s">
        <v>10327</v>
      </c>
      <c r="B4256" s="27" t="s">
        <v>10328</v>
      </c>
      <c r="C4256" s="27"/>
      <c r="D4256" s="33" t="s">
        <v>14</v>
      </c>
      <c r="E4256" s="9"/>
      <c r="F4256" s="34">
        <v>15</v>
      </c>
      <c r="G4256" s="10">
        <v>254518</v>
      </c>
      <c r="H4256" s="30" t="str">
        <f ca="1">IFERROR(__xludf.DUMMYFUNCTION("LOWER(REGEXREPLACE(B4256&amp;"" ""&amp;C4256,""[^а-яa-z0-9 ]"","" ""))")," ележка шпилька для противней  600х400     15  450х625х1750  ")</f>
        <v xml:space="preserve"> ележка шпилька для противней  600х400     15  450х625х1750  </v>
      </c>
    </row>
    <row r="4257" spans="1:8" ht="38.25" x14ac:dyDescent="0.2">
      <c r="A4257" s="31" t="s">
        <v>10329</v>
      </c>
      <c r="B4257" s="27" t="s">
        <v>10330</v>
      </c>
      <c r="C4257" s="27"/>
      <c r="D4257" s="33" t="s">
        <v>14</v>
      </c>
      <c r="E4257" s="9"/>
      <c r="F4257" s="34">
        <v>19</v>
      </c>
      <c r="G4257" s="10">
        <v>300003</v>
      </c>
      <c r="H4257" s="30" t="str">
        <f ca="1">IFERROR(__xludf.DUMMYFUNCTION("LOWER(REGEXREPLACE(B4257&amp;"" ""&amp;C4257,""[^а-яa-z0-9 ]"","" ""))")," ележка шпилька для противней 15 уровней  670х410х1800 мм  из нержавеющей стали    15 64 ")</f>
        <v xml:space="preserve"> ележка шпилька для противней 15 уровней  670х410х1800 мм  из нержавеющей стали    15 64 </v>
      </c>
    </row>
    <row r="4258" spans="1:8" ht="12.75" x14ac:dyDescent="0.2">
      <c r="A4258" s="31" t="s">
        <v>10331</v>
      </c>
      <c r="B4258" s="27" t="s">
        <v>9918</v>
      </c>
      <c r="C4258" s="27"/>
      <c r="D4258" s="33" t="s">
        <v>14</v>
      </c>
      <c r="E4258" s="9"/>
      <c r="F4258" s="32"/>
      <c r="G4258" s="10"/>
      <c r="H4258" s="30" t="str">
        <f ca="1">IFERROR(__xludf.DUMMYFUNCTION("LOWER(REGEXREPLACE(B4258&amp;"" ""&amp;C4258,""[^а-яa-z0-9 ]"","" ""))")," ележка грузовая ")</f>
        <v xml:space="preserve"> ележка грузовая </v>
      </c>
    </row>
    <row r="4259" spans="1:8" ht="12.75" x14ac:dyDescent="0.2">
      <c r="A4259" s="31" t="s">
        <v>10332</v>
      </c>
      <c r="B4259" s="27" t="s">
        <v>10333</v>
      </c>
      <c r="C4259" s="27"/>
      <c r="D4259" s="33" t="s">
        <v>14</v>
      </c>
      <c r="E4259" s="9"/>
      <c r="F4259" s="34">
        <v>36</v>
      </c>
      <c r="G4259" s="10">
        <v>191294</v>
      </c>
      <c r="H4259" s="30" t="str">
        <f ca="1">IFERROR(__xludf.DUMMYFUNCTION("LOWER(REGEXREPLACE(B4259&amp;"" ""&amp;C4259,""[^а-яa-z0-9 ]"","" ""))")," ележка грузовая    6 1  1000х600 мм   вся нерж  ")</f>
        <v xml:space="preserve"> ележка грузовая    6 1  1000х600 мм   вся нерж  </v>
      </c>
    </row>
    <row r="4260" spans="1:8" ht="25.5" x14ac:dyDescent="0.2">
      <c r="A4260" s="31" t="s">
        <v>10334</v>
      </c>
      <c r="B4260" s="27" t="s">
        <v>10335</v>
      </c>
      <c r="C4260" s="27"/>
      <c r="D4260" s="33" t="s">
        <v>14</v>
      </c>
      <c r="E4260" s="9"/>
      <c r="F4260" s="34">
        <v>32</v>
      </c>
      <c r="G4260" s="10">
        <v>225654</v>
      </c>
      <c r="H4260" s="30" t="str">
        <f ca="1">IFERROR(__xludf.DUMMYFUNCTION("LOWER(REGEXREPLACE(B4260&amp;"" ""&amp;C4260,""[^а-яa-z0-9 ]"","" ""))")," ележка грузовая из нержавеющей стали 800х600х850 мм     800 600 ")</f>
        <v xml:space="preserve"> ележка грузовая из нержавеющей стали 800х600х850 мм     800 600 </v>
      </c>
    </row>
    <row r="4261" spans="1:8" ht="51" x14ac:dyDescent="0.2">
      <c r="A4261" s="31" t="s">
        <v>10336</v>
      </c>
      <c r="B4261" s="27" t="s">
        <v>10337</v>
      </c>
      <c r="C4261" s="27"/>
      <c r="D4261" s="33" t="s">
        <v>14</v>
      </c>
      <c r="E4261" s="34">
        <v>2</v>
      </c>
      <c r="F4261" s="34">
        <v>13</v>
      </c>
      <c r="G4261" s="10">
        <v>175178</v>
      </c>
      <c r="H4261" s="30" t="str">
        <f ca="1">IFERROR(__xludf.DUMMYFUNCTION("LOWER(REGEXREPLACE(B4261&amp;"" ""&amp;C4261,""[^а-яa-z0-9 ]"","" ""))")," ележка грузовая     8 6 8 5  размеры 800х600х850 мм  полностью из нержавеющей стали  4 самоориентирующихся колеса  2 из них с тормозом ")</f>
        <v xml:space="preserve"> ележка грузовая     8 6 8 5  размеры 800х600х850 мм  полностью из нержавеющей стали  4 самоориентирующихся колеса  2 из них с тормозом </v>
      </c>
    </row>
    <row r="4262" spans="1:8" ht="51" x14ac:dyDescent="0.2">
      <c r="A4262" s="31" t="s">
        <v>10338</v>
      </c>
      <c r="B4262" s="27" t="s">
        <v>10339</v>
      </c>
      <c r="C4262" s="27"/>
      <c r="D4262" s="33" t="s">
        <v>14</v>
      </c>
      <c r="E4262" s="34">
        <v>2</v>
      </c>
      <c r="F4262" s="34">
        <v>16</v>
      </c>
      <c r="G4262" s="10">
        <v>207559</v>
      </c>
      <c r="H4262" s="30" t="str">
        <f ca="1">IFERROR(__xludf.DUMMYFUNCTION("LOWER(REGEXREPLACE(B4262&amp;"" ""&amp;C4262,""[^а-яa-z0-9 ]"","" ""))")," ележка грузовая     10 6 8 5  размеры 1000х600х850 мм  полностью из нержавеющей стали  4 самоориентирующихся колеса  2 из них с тормозом ")</f>
        <v xml:space="preserve"> ележка грузовая     10 6 8 5  размеры 1000х600х850 мм  полностью из нержавеющей стали  4 самоориентирующихся колеса  2 из них с тормозом </v>
      </c>
    </row>
    <row r="4263" spans="1:8" ht="51" x14ac:dyDescent="0.2">
      <c r="A4263" s="31" t="s">
        <v>10340</v>
      </c>
      <c r="B4263" s="27" t="s">
        <v>10341</v>
      </c>
      <c r="C4263" s="27"/>
      <c r="D4263" s="33" t="s">
        <v>14</v>
      </c>
      <c r="E4263" s="34">
        <v>2</v>
      </c>
      <c r="F4263" s="34">
        <v>17</v>
      </c>
      <c r="G4263" s="10">
        <v>230138</v>
      </c>
      <c r="H4263" s="30" t="str">
        <f ca="1">IFERROR(__xludf.DUMMYFUNCTION("LOWER(REGEXREPLACE(B4263&amp;"" ""&amp;C4263,""[^а-яa-z0-9 ]"","" ""))")," ележка грузовая     12 6 6 9 35  размеры 1260х600х935 мм  полностью из нержавеющей стали  4 самоориентирующихся колеса  2 из них с тормозом ")</f>
        <v xml:space="preserve"> ележка грузовая     12 6 6 9 35  размеры 1260х600х935 мм  полностью из нержавеющей стали  4 самоориентирующихся колеса  2 из них с тормозом </v>
      </c>
    </row>
    <row r="4264" spans="1:8" ht="12.75" x14ac:dyDescent="0.2">
      <c r="A4264" s="31" t="s">
        <v>10342</v>
      </c>
      <c r="B4264" s="27" t="s">
        <v>10343</v>
      </c>
      <c r="C4264" s="27"/>
      <c r="D4264" s="33" t="s">
        <v>14</v>
      </c>
      <c r="E4264" s="9"/>
      <c r="F4264" s="35">
        <v>21.6</v>
      </c>
      <c r="G4264" s="10">
        <v>192321</v>
      </c>
      <c r="H4264" s="30" t="str">
        <f ca="1">IFERROR(__xludf.DUMMYFUNCTION("LOWER(REGEXREPLACE(B4264&amp;"" ""&amp;C4264,""[^а-яa-z0-9 ]"","" ""))")," пилька      1 12 350 600 02  415х600х1575  ")</f>
        <v xml:space="preserve"> пилька      1 12 350 600 02  415х600х1575  </v>
      </c>
    </row>
    <row r="4265" spans="1:8" ht="12.75" x14ac:dyDescent="0.2">
      <c r="A4265" s="31" t="s">
        <v>10344</v>
      </c>
      <c r="B4265" s="27" t="s">
        <v>10345</v>
      </c>
      <c r="C4265" s="27"/>
      <c r="D4265" s="33" t="s">
        <v>14</v>
      </c>
      <c r="E4265" s="9"/>
      <c r="F4265" s="34">
        <v>45</v>
      </c>
      <c r="G4265" s="10">
        <v>379464</v>
      </c>
      <c r="H4265" s="30" t="str">
        <f ca="1">IFERROR(__xludf.DUMMYFUNCTION("LOWER(REGEXREPLACE(B4265&amp;"" ""&amp;C4265,""[^а-яa-z0-9 ]"","" ""))")," анна 3 х секц      6 3 5     500х500x300  ")</f>
        <v xml:space="preserve"> анна 3 х секц      6 3 5     500х500x300  </v>
      </c>
    </row>
    <row r="4266" spans="1:8" ht="25.5" x14ac:dyDescent="0.2">
      <c r="A4266" s="31" t="s">
        <v>10346</v>
      </c>
      <c r="B4266" s="27" t="s">
        <v>10347</v>
      </c>
      <c r="C4266" s="27"/>
      <c r="D4266" s="33" t="s">
        <v>14</v>
      </c>
      <c r="E4266" s="9"/>
      <c r="F4266" s="35">
        <v>26.4</v>
      </c>
      <c r="G4266" s="10">
        <v>227589</v>
      </c>
      <c r="H4266" s="30" t="str">
        <f ca="1">IFERROR(__xludf.DUMMYFUNCTION("LOWER(REGEXREPLACE(B4266&amp;"" ""&amp;C4266,""[^а-яa-z0-9 ]"","" ""))")," онт вытяжной пристенный     900 1800  1800х900х450  ")</f>
        <v xml:space="preserve"> онт вытяжной пристенный     900 1800  1800х900х450  </v>
      </c>
    </row>
    <row r="4267" spans="1:8" ht="12.75" x14ac:dyDescent="0.2">
      <c r="A4267" s="31" t="s">
        <v>10348</v>
      </c>
      <c r="B4267" s="27" t="s">
        <v>10349</v>
      </c>
      <c r="C4267" s="27"/>
      <c r="D4267" s="33" t="s">
        <v>14</v>
      </c>
      <c r="E4267" s="9"/>
      <c r="F4267" s="32"/>
      <c r="G4267" s="10"/>
      <c r="H4267" s="30" t="str">
        <f ca="1">IFERROR(__xludf.DUMMYFUNCTION("LOWER(REGEXREPLACE(B4267&amp;"" ""&amp;C4267,""[^а-яa-z0-9 ]"","" ""))")," каф для хлеба ")</f>
        <v xml:space="preserve"> каф для хлеба </v>
      </c>
    </row>
    <row r="4268" spans="1:8" ht="25.5" x14ac:dyDescent="0.2">
      <c r="A4268" s="31" t="s">
        <v>10350</v>
      </c>
      <c r="B4268" s="8" t="s">
        <v>10351</v>
      </c>
      <c r="C4268" s="27"/>
      <c r="D4268" s="33" t="s">
        <v>14</v>
      </c>
      <c r="E4268" s="9"/>
      <c r="F4268" s="34">
        <v>49</v>
      </c>
      <c r="G4268" s="10">
        <v>519751</v>
      </c>
      <c r="H4268" s="30" t="str">
        <f ca="1">IFERROR(__xludf.DUMMYFUNCTION("LOWER(REGEXREPLACE(B4268&amp;"" ""&amp;C4268,""[^а-яa-z0-9 ]"","" ""))")," каф для хлеба    810 480 1800  810х480х1800  ")</f>
        <v xml:space="preserve"> каф для хлеба    810 480 1800  810х480х1800  </v>
      </c>
    </row>
    <row r="4269" spans="1:8" ht="38.25" x14ac:dyDescent="0.2">
      <c r="A4269" s="31" t="s">
        <v>10352</v>
      </c>
      <c r="B4269" s="27" t="s">
        <v>10353</v>
      </c>
      <c r="C4269" s="27"/>
      <c r="D4269" s="33" t="s">
        <v>14</v>
      </c>
      <c r="E4269" s="9"/>
      <c r="F4269" s="34">
        <v>73</v>
      </c>
      <c r="G4269" s="10">
        <v>688892</v>
      </c>
      <c r="H4269" s="30" t="str">
        <f ca="1">IFERROR(__xludf.DUMMYFUNCTION("LOWER(REGEXREPLACE(B4269&amp;"" ""&amp;C4269,""[^а-яa-z0-9 ]"","" ""))")," каф для хлеба из нержавеющей стали 800х500х1800 мм  две распашные двери  5 полок     ")</f>
        <v xml:space="preserve"> каф для хлеба из нержавеющей стали 800х500х1800 мм  две распашные двери  5 полок     </v>
      </c>
    </row>
    <row r="4270" spans="1:8" ht="114.75" x14ac:dyDescent="0.2">
      <c r="A4270" s="31" t="s">
        <v>10354</v>
      </c>
      <c r="B4270" s="8" t="s">
        <v>10355</v>
      </c>
      <c r="C4270" s="27" t="s">
        <v>10356</v>
      </c>
      <c r="D4270" s="33" t="s">
        <v>14</v>
      </c>
      <c r="E4270" s="9"/>
      <c r="F4270" s="34">
        <v>90</v>
      </c>
      <c r="G4270" s="10">
        <v>404952</v>
      </c>
      <c r="H4270" s="30" t="str">
        <f ca="1">IFERROR(__xludf.DUMMYFUNCTION("LOWER(REGEXREPLACE(B4270&amp;"" ""&amp;C4270,""[^а-яa-z0-9 ]"","" ""))")," каф металлический многофункциональный типа  ed ell двухстворчатый для хлеба  нержавеющая сталь  0 8 мм  размеры 800х600х1720 мм  6 деревянных лотков  ригельный замок  борно разборной конструкции из листовой стали      430  0 8 мм  матовой   снащен ригель"&amp;"ным замком и магнитными защелками   нутри расположены 6  шесть  деревянных лотков типа  14  для хранения хлеба    крепление конструкции за счет зацепов и крепежа   варные швы выполнены современным методом лазерной и контактной сварки  точной  незаметной  "&amp;"с высокими показателями качества  прочности и долговечности   кафы имеют 4 регулируемые ножки позволяющие регулировать высоту  шкафа и  компенсировать неровности поверхности пола ")</f>
        <v xml:space="preserve"> каф металлический многофункциональный типа  ed ell двухстворчатый для хлеба  нержавеющая сталь  0 8 мм  размеры 800х600х1720 мм  6 деревянных лотков  ригельный замок  борно разборной конструкции из листовой стали      430  0 8 мм  матовой   снащен ригельным замком и магнитными защелками   нутри расположены 6  шесть  деревянных лотков типа  14  для хранения хлеба    крепление конструкции за счет зацепов и крепежа   варные швы выполнены современным методом лазерной и контактной сварки  точной  незаметной  с высокими показателями качества  прочности и долговечности   кафы имеют 4 регулируемые ножки позволяющие регулировать высоту  шкафа и  компенсировать неровности поверхности пола </v>
      </c>
    </row>
    <row r="4271" spans="1:8" ht="38.25" x14ac:dyDescent="0.2">
      <c r="A4271" s="31" t="s">
        <v>10357</v>
      </c>
      <c r="B4271" s="27" t="s">
        <v>10358</v>
      </c>
      <c r="C4271" s="27"/>
      <c r="D4271" s="33" t="s">
        <v>14</v>
      </c>
      <c r="E4271" s="34">
        <v>2</v>
      </c>
      <c r="F4271" s="34">
        <v>60</v>
      </c>
      <c r="G4271" s="10">
        <v>523129</v>
      </c>
      <c r="H4271" s="30" t="str">
        <f ca="1">IFERROR(__xludf.DUMMYFUNCTION("LOWER(REGEXREPLACE(B4271&amp;"" ""&amp;C4271,""[^а-яa-z0-9 ]"","" ""))")," каф для хлеба    8 5 18  размеры 800х500х1800 мм  2  две  распашные двери  5  пять  полок   ержавеющая сталь ")</f>
        <v xml:space="preserve"> каф для хлеба    8 5 18  размеры 800х500х1800 мм  2  две  распашные двери  5  пять  полок   ержавеющая сталь </v>
      </c>
    </row>
    <row r="4272" spans="1:8" ht="76.5" x14ac:dyDescent="0.2">
      <c r="A4272" s="31" t="s">
        <v>10359</v>
      </c>
      <c r="B4272" s="27" t="s">
        <v>10360</v>
      </c>
      <c r="C4272" s="27" t="s">
        <v>10361</v>
      </c>
      <c r="D4272" s="33" t="s">
        <v>14</v>
      </c>
      <c r="E4272" s="34">
        <v>2</v>
      </c>
      <c r="F4272" s="34">
        <v>90</v>
      </c>
      <c r="G4272" s="10">
        <v>722446</v>
      </c>
      <c r="H4272" s="30" t="str">
        <f ca="1">IFERROR(__xludf.DUMMYFUNCTION("LOWER(REGEXREPLACE(B4272&amp;"" ""&amp;C4272,""[^а-яa-z0-9 ]"","" ""))")," каф односекционный  двустворчатый сборно разборной конструкции       1  размеры 800х600х1720 мм  внутри расположены 6  шесть  деревянных лотков типа  14  для хранения хлеба   габариты лотков 740х450х90 мм  борно разборная конструкция из нержавеющей листо"&amp;"вой стали      430 матовый толщиной 0 8 мм    креплением конструкции за счет зацепов и крепежа   снащен ригельным замком  и магнитными защелками   кафы имеют 4 регулируемые опоры ")</f>
        <v xml:space="preserve"> каф односекционный  двустворчатый сборно разборной конструкции       1  размеры 800х600х1720 мм  внутри расположены 6  шесть  деревянных лотков типа  14  для хранения хлеба   габариты лотков 740х450х90 мм  борно разборная конструкция из нержавеющей листовой стали      430 матовый толщиной 0 8 мм    креплением конструкции за счет зацепов и крепежа   снащен ригельным замком  и магнитными защелками   кафы имеют 4 регулируемые опоры </v>
      </c>
    </row>
    <row r="4273" spans="1:8" ht="12.75" x14ac:dyDescent="0.2">
      <c r="A4273" s="31" t="s">
        <v>10362</v>
      </c>
      <c r="B4273" s="27" t="s">
        <v>10363</v>
      </c>
      <c r="C4273" s="27"/>
      <c r="D4273" s="33" t="s">
        <v>14</v>
      </c>
      <c r="E4273" s="9"/>
      <c r="F4273" s="32"/>
      <c r="G4273" s="10"/>
      <c r="H4273" s="30" t="str">
        <f ca="1">IFERROR(__xludf.DUMMYFUNCTION("LOWER(REGEXREPLACE(B4273&amp;"" ""&amp;C4273,""[^а-яa-z0-9 ]"","" ""))")," укомойник ")</f>
        <v xml:space="preserve"> укомойник </v>
      </c>
    </row>
    <row r="4274" spans="1:8" ht="12.75" x14ac:dyDescent="0.2">
      <c r="A4274" s="31" t="s">
        <v>10364</v>
      </c>
      <c r="B4274" s="27" t="s">
        <v>10365</v>
      </c>
      <c r="C4274" s="27"/>
      <c r="D4274" s="33" t="s">
        <v>14</v>
      </c>
      <c r="E4274" s="9"/>
      <c r="F4274" s="34">
        <v>6</v>
      </c>
      <c r="G4274" s="10">
        <v>227845</v>
      </c>
      <c r="H4274" s="30" t="str">
        <f ca="1">IFERROR(__xludf.DUMMYFUNCTION("LOWER(REGEXREPLACE(B4274&amp;"" ""&amp;C4274,""[^а-яa-z0-9 ]"","" ""))")," укомойник  ryspi      1  400х300х250  ")</f>
        <v xml:space="preserve"> укомойник  ryspi      1  400х300х250  </v>
      </c>
    </row>
    <row r="4275" spans="1:8" ht="25.5" x14ac:dyDescent="0.2">
      <c r="A4275" s="31" t="s">
        <v>10366</v>
      </c>
      <c r="B4275" s="27" t="s">
        <v>10367</v>
      </c>
      <c r="C4275" s="27"/>
      <c r="D4275" s="33" t="s">
        <v>14</v>
      </c>
      <c r="E4275" s="9"/>
      <c r="F4275" s="35">
        <v>4.2</v>
      </c>
      <c r="G4275" s="10">
        <v>153585</v>
      </c>
      <c r="H4275" s="30" t="str">
        <f ca="1">IFERROR(__xludf.DUMMYFUNCTION("LOWER(REGEXREPLACE(B4275&amp;"" ""&amp;C4275,""[^а-яa-z0-9 ]"","" ""))")," укомойник из нержавеющей стали 400х400х150 мм  со смесителем и сифоном     ")</f>
        <v xml:space="preserve"> укомойник из нержавеющей стали 400х400х150 мм  со смесителем и сифоном     </v>
      </c>
    </row>
    <row r="4276" spans="1:8" ht="25.5" x14ac:dyDescent="0.2">
      <c r="A4276" s="31" t="s">
        <v>10368</v>
      </c>
      <c r="B4276" s="27" t="s">
        <v>10369</v>
      </c>
      <c r="C4276" s="27"/>
      <c r="D4276" s="33" t="s">
        <v>14</v>
      </c>
      <c r="E4276" s="9"/>
      <c r="F4276" s="35">
        <v>35.799999999999997</v>
      </c>
      <c r="G4276" s="10">
        <v>289518</v>
      </c>
      <c r="H4276" s="30" t="str">
        <f ca="1">IFERROR(__xludf.DUMMYFUNCTION("LOWER(REGEXREPLACE(B4276&amp;"" ""&amp;C4276,""[^а-яa-z0-9 ]"","" ""))")," онт вытяжной пристенный              hef     15 12  1500х1200х350  ")</f>
        <v xml:space="preserve"> онт вытяжной пристенный              hef     15 12  1500х1200х350  </v>
      </c>
    </row>
    <row r="4277" spans="1:8" ht="12.75" x14ac:dyDescent="0.2">
      <c r="A4277" s="31" t="s">
        <v>10370</v>
      </c>
      <c r="B4277" s="27" t="s">
        <v>10371</v>
      </c>
      <c r="C4277" s="27"/>
      <c r="D4277" s="33" t="s">
        <v>14</v>
      </c>
      <c r="E4277" s="9"/>
      <c r="F4277" s="32"/>
      <c r="G4277" s="10"/>
      <c r="H4277" s="30" t="str">
        <f ca="1">IFERROR(__xludf.DUMMYFUNCTION("LOWER(REGEXREPLACE(B4277&amp;"" ""&amp;C4277,""[^а-яa-z0-9 ]"","" ""))")," онт вытяжной пристенный ")</f>
        <v xml:space="preserve"> онт вытяжной пристенный </v>
      </c>
    </row>
    <row r="4278" spans="1:8" ht="25.5" x14ac:dyDescent="0.2">
      <c r="A4278" s="31" t="s">
        <v>10372</v>
      </c>
      <c r="B4278" s="27" t="s">
        <v>10373</v>
      </c>
      <c r="C4278" s="27"/>
      <c r="D4278" s="33" t="s">
        <v>14</v>
      </c>
      <c r="E4278" s="34">
        <v>2</v>
      </c>
      <c r="F4278" s="35">
        <v>45.5</v>
      </c>
      <c r="G4278" s="10">
        <v>367409</v>
      </c>
      <c r="H4278" s="30" t="str">
        <f ca="1">IFERROR(__xludf.DUMMYFUNCTION("LOWER(REGEXREPLACE(B4278&amp;"" ""&amp;C4278,""[^а-яa-z0-9 ]"","" ""))")," онт вытяжной пристенный              hef     20 12  2000х1200х350  ")</f>
        <v xml:space="preserve"> онт вытяжной пристенный              hef     20 12  2000х1200х350  </v>
      </c>
    </row>
    <row r="4279" spans="1:8" ht="63.75" x14ac:dyDescent="0.2">
      <c r="A4279" s="31" t="s">
        <v>10374</v>
      </c>
      <c r="B4279" s="8" t="s">
        <v>10375</v>
      </c>
      <c r="C4279" s="27"/>
      <c r="D4279" s="33" t="s">
        <v>14</v>
      </c>
      <c r="E4279" s="34">
        <v>2</v>
      </c>
      <c r="F4279" s="34">
        <v>61</v>
      </c>
      <c r="G4279" s="10">
        <v>441701</v>
      </c>
      <c r="H4279" s="30" t="str">
        <f ca="1">IFERROR(__xludf.DUMMYFUNCTION("LOWER(REGEXREPLACE(B4279&amp;"" ""&amp;C4279,""[^а-яa-z0-9 ]"","" ""))")," онт вытяжной пристенный из жаропрочной нержавеющей стали 1300х900х350 мм   с жироуловителями  краном для слива конденсата  крепежными элементами      900 1300 ")</f>
        <v xml:space="preserve"> онт вытяжной пристенный из жаропрочной нержавеющей стали 1300х900х350 мм   с жироуловителями  краном для слива конденсата  крепежными элементами      900 1300 </v>
      </c>
    </row>
    <row r="4280" spans="1:8" ht="63.75" x14ac:dyDescent="0.2">
      <c r="A4280" s="31" t="s">
        <v>10376</v>
      </c>
      <c r="B4280" s="8" t="s">
        <v>10377</v>
      </c>
      <c r="C4280" s="27"/>
      <c r="D4280" s="33" t="s">
        <v>14</v>
      </c>
      <c r="E4280" s="34">
        <v>2</v>
      </c>
      <c r="F4280" s="34">
        <v>74</v>
      </c>
      <c r="G4280" s="10">
        <v>532923</v>
      </c>
      <c r="H4280" s="30" t="str">
        <f ca="1">IFERROR(__xludf.DUMMYFUNCTION("LOWER(REGEXREPLACE(B4280&amp;"" ""&amp;C4280,""[^а-яa-z0-9 ]"","" ""))")," онт вытяжной пристенный из жаропрочной нержавеющей стали 1800х900х350 мм  с жироуловителями  краном для слива конденсата  крепежными элементами      900 1800 ")</f>
        <v xml:space="preserve"> онт вытяжной пристенный из жаропрочной нержавеющей стали 1800х900х350 мм  с жироуловителями  краном для слива конденсата  крепежными элементами      900 1800 </v>
      </c>
    </row>
    <row r="4281" spans="1:8" ht="63.75" x14ac:dyDescent="0.2">
      <c r="A4281" s="31" t="s">
        <v>10378</v>
      </c>
      <c r="B4281" s="8" t="s">
        <v>10379</v>
      </c>
      <c r="C4281" s="27"/>
      <c r="D4281" s="33" t="s">
        <v>14</v>
      </c>
      <c r="E4281" s="34">
        <v>2</v>
      </c>
      <c r="F4281" s="34">
        <v>92</v>
      </c>
      <c r="G4281" s="10">
        <v>876115</v>
      </c>
      <c r="H4281" s="30" t="str">
        <f ca="1">IFERROR(__xludf.DUMMYFUNCTION("LOWER(REGEXREPLACE(B4281&amp;"" ""&amp;C4281,""[^а-яa-z0-9 ]"","" ""))")," онт вытяжной пристенный из жаропрочной нержавеющей стали 2200х1300х350 мм   с жироуловителями  краном для слива конденсата  крепежными элементами      1300 2200 ")</f>
        <v xml:space="preserve"> онт вытяжной пристенный из жаропрочной нержавеющей стали 2200х1300х350 мм   с жироуловителями  краном для слива конденсата  крепежными элементами      1300 2200 </v>
      </c>
    </row>
    <row r="4282" spans="1:8" ht="63.75" x14ac:dyDescent="0.2">
      <c r="A4282" s="31" t="s">
        <v>10380</v>
      </c>
      <c r="B4282" s="8" t="s">
        <v>10381</v>
      </c>
      <c r="C4282" s="27"/>
      <c r="D4282" s="33" t="s">
        <v>14</v>
      </c>
      <c r="E4282" s="34">
        <v>2</v>
      </c>
      <c r="F4282" s="34">
        <v>98</v>
      </c>
      <c r="G4282" s="10">
        <v>1000910</v>
      </c>
      <c r="H4282" s="30" t="str">
        <f ca="1">IFERROR(__xludf.DUMMYFUNCTION("LOWER(REGEXREPLACE(B4282&amp;"" ""&amp;C4282,""[^а-яa-z0-9 ]"","" ""))")," онт вытяжной пристенный из жаропрочной нержавеющей стали 2700х1100х350 мм  с жироуловителями  краном для слива конденсата  крепежными элементами      1100 2700 ")</f>
        <v xml:space="preserve"> онт вытяжной пристенный из жаропрочной нержавеющей стали 2700х1100х350 мм  с жироуловителями  краном для слива конденсата  крепежными элементами      1100 2700 </v>
      </c>
    </row>
    <row r="4283" spans="1:8" ht="63.75" x14ac:dyDescent="0.2">
      <c r="A4283" s="31" t="s">
        <v>10382</v>
      </c>
      <c r="B4283" s="8" t="s">
        <v>10383</v>
      </c>
      <c r="C4283" s="27"/>
      <c r="D4283" s="33" t="s">
        <v>14</v>
      </c>
      <c r="E4283" s="34">
        <v>2</v>
      </c>
      <c r="F4283" s="34">
        <v>98</v>
      </c>
      <c r="G4283" s="10">
        <v>1185677</v>
      </c>
      <c r="H4283" s="30" t="str">
        <f ca="1">IFERROR(__xludf.DUMMYFUNCTION("LOWER(REGEXREPLACE(B4283&amp;"" ""&amp;C4283,""[^а-яa-z0-9 ]"","" ""))")," онт вытяжной пристенный из жаропрочной нержавеющей стали 3200х1300х350 мм  с жироуловителями  краном для слива конденсата  крепежными элементами      1300 3200 ")</f>
        <v xml:space="preserve"> онт вытяжной пристенный из жаропрочной нержавеющей стали 3200х1300х350 мм  с жироуловителями  краном для слива конденсата  крепежными элементами      1300 3200 </v>
      </c>
    </row>
    <row r="4284" spans="1:8" ht="63.75" x14ac:dyDescent="0.2">
      <c r="A4284" s="31" t="s">
        <v>10384</v>
      </c>
      <c r="B4284" s="8" t="s">
        <v>10385</v>
      </c>
      <c r="C4284" s="27"/>
      <c r="D4284" s="33" t="s">
        <v>68</v>
      </c>
      <c r="E4284" s="34">
        <v>2</v>
      </c>
      <c r="F4284" s="34">
        <v>36</v>
      </c>
      <c r="G4284" s="10">
        <v>593215</v>
      </c>
      <c r="H4284" s="30" t="str">
        <f ca="1">IFERROR(__xludf.DUMMYFUNCTION("LOWER(REGEXREPLACE(B4284&amp;"" ""&amp;C4284,""[^а-яa-z0-9 ]"","" ""))")," онт вытяжной пристенный кубический 1500х1200х400мм  приточно вытяжной  полностью из нержавеющей стали 0 8 мм  жироуловители в комплекте       1500 1200 ")</f>
        <v xml:space="preserve"> онт вытяжной пристенный кубический 1500х1200х400мм  приточно вытяжной  полностью из нержавеющей стали 0 8 мм  жироуловители в комплекте       1500 1200 </v>
      </c>
    </row>
    <row r="4285" spans="1:8" ht="63.75" x14ac:dyDescent="0.2">
      <c r="A4285" s="31" t="s">
        <v>10386</v>
      </c>
      <c r="B4285" s="8" t="s">
        <v>10387</v>
      </c>
      <c r="C4285" s="27"/>
      <c r="D4285" s="33" t="s">
        <v>68</v>
      </c>
      <c r="E4285" s="34">
        <v>2</v>
      </c>
      <c r="F4285" s="34">
        <v>46</v>
      </c>
      <c r="G4285" s="10">
        <v>806418</v>
      </c>
      <c r="H4285" s="30" t="str">
        <f ca="1">IFERROR(__xludf.DUMMYFUNCTION("LOWER(REGEXREPLACE(B4285&amp;"" ""&amp;C4285,""[^а-яa-z0-9 ]"","" ""))")," онт вытяжной пристенный кубический 2000х1200х400мм  приточно вытяжной  полностью из нержавеющей стали 0 8 мм  жироуловители в комплекте       2000 1200 ")</f>
        <v xml:space="preserve"> онт вытяжной пристенный кубический 2000х1200х400мм  приточно вытяжной  полностью из нержавеющей стали 0 8 мм  жироуловители в комплекте       2000 1200 </v>
      </c>
    </row>
    <row r="4286" spans="1:8" ht="51" x14ac:dyDescent="0.2">
      <c r="A4286" s="31" t="s">
        <v>10388</v>
      </c>
      <c r="B4286" s="27" t="s">
        <v>10389</v>
      </c>
      <c r="C4286" s="27"/>
      <c r="D4286" s="33" t="s">
        <v>68</v>
      </c>
      <c r="E4286" s="34">
        <v>2</v>
      </c>
      <c r="F4286" s="34">
        <v>29</v>
      </c>
      <c r="G4286" s="10">
        <v>352093</v>
      </c>
      <c r="H4286" s="30" t="str">
        <f ca="1">IFERROR(__xludf.DUMMYFUNCTION("LOWER(REGEXREPLACE(B4286&amp;"" ""&amp;C4286,""[^а-яa-z0-9 ]"","" ""))")," онт вытяжной пристенный конусный 1000х1000х350мм  полностью из нержавеющей стали 0 8 мм  жироуловители в комплекте      1000 1000 ")</f>
        <v xml:space="preserve"> онт вытяжной пристенный конусный 1000х1000х350мм  полностью из нержавеющей стали 0 8 мм  жироуловители в комплекте      1000 1000 </v>
      </c>
    </row>
    <row r="4287" spans="1:8" ht="51" x14ac:dyDescent="0.2">
      <c r="A4287" s="31" t="s">
        <v>10390</v>
      </c>
      <c r="B4287" s="27" t="s">
        <v>10391</v>
      </c>
      <c r="C4287" s="27"/>
      <c r="D4287" s="33" t="s">
        <v>68</v>
      </c>
      <c r="E4287" s="34">
        <v>2</v>
      </c>
      <c r="F4287" s="34">
        <v>31</v>
      </c>
      <c r="G4287" s="10">
        <v>373999</v>
      </c>
      <c r="H4287" s="30" t="str">
        <f ca="1">IFERROR(__xludf.DUMMYFUNCTION("LOWER(REGEXREPLACE(B4287&amp;"" ""&amp;C4287,""[^а-яa-z0-9 ]"","" ""))")," онт вытяжной пристенный конусный 1100х1100х350мм  полностью из нержавеющей стали 0 8 мм  жироуловители в комплекте      1100 1100 ")</f>
        <v xml:space="preserve"> онт вытяжной пристенный конусный 1100х1100х350мм  полностью из нержавеющей стали 0 8 мм  жироуловители в комплекте      1100 1100 </v>
      </c>
    </row>
    <row r="4288" spans="1:8" ht="76.5" x14ac:dyDescent="0.2">
      <c r="A4288" s="31" t="s">
        <v>10392</v>
      </c>
      <c r="B4288" s="27" t="s">
        <v>10393</v>
      </c>
      <c r="C4288" s="27" t="s">
        <v>10394</v>
      </c>
      <c r="D4288" s="33" t="s">
        <v>68</v>
      </c>
      <c r="E4288" s="34">
        <v>2</v>
      </c>
      <c r="F4288" s="34">
        <v>14</v>
      </c>
      <c r="G4288" s="10">
        <v>224150</v>
      </c>
      <c r="H4288" s="30" t="str">
        <f ca="1">IFERROR(__xludf.DUMMYFUNCTION("LOWER(REGEXREPLACE(B4288&amp;"" ""&amp;C4288,""[^а-яa-z0-9 ]"","" ""))")," онт вытяжной пристенный     7 7 3 5 1   размеры 700х700х350 мм  жаропрочная нержавеющая сталь 0 8 мм  жироуловители  кран для слива  вытяжное отверстие  крепежные крюки и цепи для подвеса в комплекте 1 фланец 160 300 мм  изготовлен из жаропрочной нержаве"&amp;"ющей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7 7 3 5 1   размеры 700х700х350 мм  жаропрочная нержавеющая сталь 0 8 мм  жироуловители  кран для слива  вытяжное отверстие  крепежные крюки и цепи для подвеса в комплекте 1 фланец 160 300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89" spans="1:8" ht="76.5" x14ac:dyDescent="0.2">
      <c r="A4289" s="31" t="s">
        <v>10395</v>
      </c>
      <c r="B4289" s="8" t="s">
        <v>10396</v>
      </c>
      <c r="C4289" s="27" t="s">
        <v>10397</v>
      </c>
      <c r="D4289" s="33" t="s">
        <v>68</v>
      </c>
      <c r="E4289" s="34">
        <v>2</v>
      </c>
      <c r="F4289" s="34">
        <v>16</v>
      </c>
      <c r="G4289" s="10">
        <v>247398</v>
      </c>
      <c r="H4289" s="30" t="str">
        <f ca="1">IFERROR(__xludf.DUMMYFUNCTION("LOWER(REGEXREPLACE(B4289&amp;"" ""&amp;C4289,""[^а-яa-z0-9 ]"","" ""))")," онт вытяжной пристенный     8 8 3 5 1 250  размеры 800х800х350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нержавею"&amp;"щей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8 8 3 5 1 250  размеры 800х800х350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0" spans="1:8" ht="76.5" x14ac:dyDescent="0.2">
      <c r="A4290" s="31" t="s">
        <v>10398</v>
      </c>
      <c r="B4290" s="8" t="s">
        <v>10399</v>
      </c>
      <c r="C4290" s="27" t="s">
        <v>10400</v>
      </c>
      <c r="D4290" s="33" t="s">
        <v>68</v>
      </c>
      <c r="E4290" s="34">
        <v>2</v>
      </c>
      <c r="F4290" s="34">
        <v>25</v>
      </c>
      <c r="G4290" s="10">
        <v>273994</v>
      </c>
      <c r="H4290" s="30" t="str">
        <f ca="1">IFERROR(__xludf.DUMMYFUNCTION("LOWER(REGEXREPLACE(B4290&amp;"" ""&amp;C4290,""[^а-яa-z0-9 ]"","" ""))")," онт вытяжной пристенный     11 10 3 5 1 300  размеры 1100х1000х350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11 10 3 5 1 300  размеры 1100х1000х350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1" spans="1:8" ht="76.5" x14ac:dyDescent="0.2">
      <c r="A4291" s="31" t="s">
        <v>10401</v>
      </c>
      <c r="B4291" s="8" t="s">
        <v>10402</v>
      </c>
      <c r="C4291" s="27" t="s">
        <v>10403</v>
      </c>
      <c r="D4291" s="33" t="s">
        <v>68</v>
      </c>
      <c r="E4291" s="34">
        <v>2</v>
      </c>
      <c r="F4291" s="34">
        <v>26</v>
      </c>
      <c r="G4291" s="10">
        <v>307197</v>
      </c>
      <c r="H4291" s="30" t="str">
        <f ca="1">IFERROR(__xludf.DUMMYFUNCTION("LOWER(REGEXREPLACE(B4291&amp;"" ""&amp;C4291,""[^а-яa-z0-9 ]"","" ""))")," онт вытяжной пристенный     11 11 3 5 1   размеры 1100х1100х350 мм  жаропрочная нержавеющая сталь 0 8 мм  жироуловители  кран для слива  вытяжное отверстие  крепежные крюки и цепи для подвеса в комплекте 1 фланец 160 300 400мм  изготовлен из жаропрочной "&amp;"нержавеющей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11 11 3 5 1   размеры 1100х1100х350 мм  жаропрочная нержавеющая сталь 0 8 мм  жироуловители  кран для слива  вытяжное отверстие  крепежные крюки и цепи для подвеса в комплекте 1 фланец 160 300 400мм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2" spans="1:8" ht="76.5" x14ac:dyDescent="0.2">
      <c r="A4292" s="31" t="s">
        <v>10404</v>
      </c>
      <c r="B4292" s="8" t="s">
        <v>10405</v>
      </c>
      <c r="C4292" s="27" t="s">
        <v>10406</v>
      </c>
      <c r="D4292" s="33" t="s">
        <v>68</v>
      </c>
      <c r="E4292" s="34">
        <v>2</v>
      </c>
      <c r="F4292" s="34">
        <v>25</v>
      </c>
      <c r="G4292" s="10">
        <v>232495</v>
      </c>
      <c r="H4292" s="30" t="str">
        <f ca="1">IFERROR(__xludf.DUMMYFUNCTION("LOWER(REGEXREPLACE(B4292&amp;"" ""&amp;C4292,""[^а-яa-z0-9 ]"","" ""))")," онт вытяжной пристенный     12 7 3 5 1 300  размеры 1200х700х350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нержав"&amp;"еющей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12 7 3 5 1 300  размеры 1200х700х350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3" spans="1:8" ht="76.5" x14ac:dyDescent="0.2">
      <c r="A4293" s="31" t="s">
        <v>10407</v>
      </c>
      <c r="B4293" s="8" t="s">
        <v>10408</v>
      </c>
      <c r="C4293" s="27" t="s">
        <v>10409</v>
      </c>
      <c r="D4293" s="33" t="s">
        <v>68</v>
      </c>
      <c r="E4293" s="34">
        <v>2</v>
      </c>
      <c r="F4293" s="34">
        <v>28</v>
      </c>
      <c r="G4293" s="10">
        <v>290605</v>
      </c>
      <c r="H4293" s="30" t="str">
        <f ca="1">IFERROR(__xludf.DUMMYFUNCTION("LOWER(REGEXREPLACE(B4293&amp;"" ""&amp;C4293,""[^а-яa-z0-9 ]"","" ""))")," онт вытяжной пристенный     13 9 3 5 1 300  размеры 1200х900х350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не"&amp;"ржавеющей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13 9 3 5 1 300  размеры 1200х900х350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4" spans="1:8" ht="76.5" x14ac:dyDescent="0.2">
      <c r="A4294" s="31" t="s">
        <v>10410</v>
      </c>
      <c r="B4294" s="8" t="s">
        <v>10411</v>
      </c>
      <c r="C4294" s="27" t="s">
        <v>10412</v>
      </c>
      <c r="D4294" s="33" t="s">
        <v>68</v>
      </c>
      <c r="E4294" s="34">
        <v>2</v>
      </c>
      <c r="F4294" s="34">
        <v>28</v>
      </c>
      <c r="G4294" s="10">
        <v>290605</v>
      </c>
      <c r="H4294" s="30" t="str">
        <f ca="1">IFERROR(__xludf.DUMMYFUNCTION("LOWER(REGEXREPLACE(B4294&amp;"" ""&amp;C4294,""[^а-яa-z0-9 ]"","" ""))")," онт вытяжной пристенный     13 9 3 5 2 300  размеры 1300х900х350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не"&amp;"ржавеющей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f>
        <v xml:space="preserve"> онт вытяжной пристенный     13 9 3 5 2 300  размеры 1300х900х350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v>
      </c>
    </row>
    <row r="4295" spans="1:8" ht="76.5" x14ac:dyDescent="0.2">
      <c r="A4295" s="31" t="s">
        <v>10413</v>
      </c>
      <c r="B4295" s="8" t="s">
        <v>10414</v>
      </c>
      <c r="C4295" s="27" t="s">
        <v>10400</v>
      </c>
      <c r="D4295" s="33" t="s">
        <v>68</v>
      </c>
      <c r="E4295" s="34">
        <v>2</v>
      </c>
      <c r="F4295" s="34">
        <v>32</v>
      </c>
      <c r="G4295" s="10">
        <v>366149</v>
      </c>
      <c r="H4295" s="30" t="str">
        <f ca="1">IFERROR(__xludf.DUMMYFUNCTION("LOWER(REGEXREPLACE(B4295&amp;"" ""&amp;C4295,""[^а-яa-z0-9 ]"","" ""))")," онт вытяжной пристенный     13 12 3 5 1 300  размеры 1300х1200х350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13 12 3 5 1 300  размеры 1300х1200х350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296" spans="1:8" ht="76.5" x14ac:dyDescent="0.2">
      <c r="A4296" s="31" t="s">
        <v>10415</v>
      </c>
      <c r="B4296" s="8" t="s">
        <v>10416</v>
      </c>
      <c r="C4296" s="27" t="s">
        <v>10417</v>
      </c>
      <c r="D4296" s="33" t="s">
        <v>68</v>
      </c>
      <c r="E4296" s="34">
        <v>2</v>
      </c>
      <c r="F4296" s="34">
        <v>32</v>
      </c>
      <c r="G4296" s="10">
        <v>366149</v>
      </c>
      <c r="H4296" s="30" t="str">
        <f ca="1">IFERROR(__xludf.DUMMYFUNCTION("LOWER(REGEXREPLACE(B4296&amp;"" ""&amp;C4296,""[^а-яa-z0-9 ]"","" ""))")," онт вытяжной пристенный     13 12 3 5 2 160  размеры 1300х1200х350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160 мм  изготовлен из жаропрочной "&amp;"нержавеющей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f>
        <v xml:space="preserve"> онт вытяжной пристенный     13 12 3 5 2 160  размеры 1300х1200х350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160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v>
      </c>
    </row>
    <row r="4297" spans="1:8" ht="76.5" x14ac:dyDescent="0.2">
      <c r="A4297" s="31" t="s">
        <v>10418</v>
      </c>
      <c r="B4297" s="8" t="s">
        <v>10419</v>
      </c>
      <c r="C4297" s="27" t="s">
        <v>10420</v>
      </c>
      <c r="D4297" s="33" t="s">
        <v>68</v>
      </c>
      <c r="E4297" s="34">
        <v>2</v>
      </c>
      <c r="F4297" s="34">
        <v>28</v>
      </c>
      <c r="G4297" s="10">
        <v>314177</v>
      </c>
      <c r="H4297" s="30" t="str">
        <f ca="1">IFERROR(__xludf.DUMMYFUNCTION("LOWER(REGEXREPLACE(B4297&amp;"" ""&amp;C4297,""[^а-яa-z0-9 ]"","" ""))")," онт вытяжной пристенный     14 9 3 5 1   размеры 1400х900х350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нержа"&amp;"веющей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 ")</f>
        <v xml:space="preserve"> онт вытяжной пристенный     14 9 3 5 1   размеры 1400х900х350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 </v>
      </c>
    </row>
    <row r="4298" spans="1:8" ht="76.5" x14ac:dyDescent="0.2">
      <c r="A4298" s="31" t="s">
        <v>10421</v>
      </c>
      <c r="B4298" s="8" t="s">
        <v>10422</v>
      </c>
      <c r="C4298" s="27" t="s">
        <v>10412</v>
      </c>
      <c r="D4298" s="33" t="s">
        <v>68</v>
      </c>
      <c r="E4298" s="34">
        <v>2</v>
      </c>
      <c r="F4298" s="34">
        <v>28</v>
      </c>
      <c r="G4298" s="10">
        <v>314177</v>
      </c>
      <c r="H4298" s="30" t="str">
        <f ca="1">IFERROR(__xludf.DUMMYFUNCTION("LOWER(REGEXREPLACE(B4298&amp;"" ""&amp;C4298,""[^а-яa-z0-9 ]"","" ""))")," онт вытяжной пристенный     14 9 3 5 2 300  размеры 1400х900х350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не"&amp;"ржавеющей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f>
        <v xml:space="preserve"> онт вытяжной пристенный     14 9 3 5 2 300  размеры 1400х900х350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v>
      </c>
    </row>
    <row r="4299" spans="1:8" ht="76.5" x14ac:dyDescent="0.2">
      <c r="A4299" s="31" t="s">
        <v>10423</v>
      </c>
      <c r="B4299" s="8" t="s">
        <v>10424</v>
      </c>
      <c r="C4299" s="27" t="s">
        <v>10400</v>
      </c>
      <c r="D4299" s="33" t="s">
        <v>68</v>
      </c>
      <c r="E4299" s="34">
        <v>2</v>
      </c>
      <c r="F4299" s="34">
        <v>29</v>
      </c>
      <c r="G4299" s="10">
        <v>280235</v>
      </c>
      <c r="H4299" s="30" t="str">
        <f ca="1">IFERROR(__xludf.DUMMYFUNCTION("LOWER(REGEXREPLACE(B4299&amp;"" ""&amp;C4299,""[^а-яa-z0-9 ]"","" ""))")," онт вытяжной пристенный     15 7 5 3 5 1 300  размеры 1500х750х350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15 7 5 3 5 1 300  размеры 1500х750х350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0" spans="1:8" ht="76.5" x14ac:dyDescent="0.2">
      <c r="A4300" s="31" t="s">
        <v>10425</v>
      </c>
      <c r="B4300" s="8" t="s">
        <v>10426</v>
      </c>
      <c r="C4300" s="27" t="s">
        <v>10409</v>
      </c>
      <c r="D4300" s="33" t="s">
        <v>68</v>
      </c>
      <c r="E4300" s="34">
        <v>2</v>
      </c>
      <c r="F4300" s="34">
        <v>32</v>
      </c>
      <c r="G4300" s="10">
        <v>390219</v>
      </c>
      <c r="H4300" s="30" t="str">
        <f ca="1">IFERROR(__xludf.DUMMYFUNCTION("LOWER(REGEXREPLACE(B4300&amp;"" ""&amp;C4300,""[^а-яa-z0-9 ]"","" ""))")," онт вытяжной пристенный     15 11 3 5 1   размеры 1500х1100х350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нер"&amp;"жавеющей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15 11 3 5 1   размеры 1500х1100х350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1" spans="1:8" ht="76.5" x14ac:dyDescent="0.2">
      <c r="A4301" s="31" t="s">
        <v>10427</v>
      </c>
      <c r="B4301" s="8" t="s">
        <v>10428</v>
      </c>
      <c r="C4301" s="27" t="s">
        <v>10429</v>
      </c>
      <c r="D4301" s="33" t="s">
        <v>68</v>
      </c>
      <c r="E4301" s="34">
        <v>2</v>
      </c>
      <c r="F4301" s="34">
        <v>32</v>
      </c>
      <c r="G4301" s="10">
        <v>390219</v>
      </c>
      <c r="H4301" s="30" t="str">
        <f ca="1">IFERROR(__xludf.DUMMYFUNCTION("LOWER(REGEXREPLACE(B4301&amp;"" ""&amp;C4301,""[^а-яa-z0-9 ]"","" ""))")," онт вытяжной пристенный     15 11 3 5 2 300  размеры 1500х1100х350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15 11 3 5 2 300  размеры 1500х1100х350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2" spans="1:8" ht="76.5" x14ac:dyDescent="0.2">
      <c r="A4302" s="31" t="s">
        <v>10430</v>
      </c>
      <c r="B4302" s="8" t="s">
        <v>10431</v>
      </c>
      <c r="C4302" s="27" t="s">
        <v>10400</v>
      </c>
      <c r="D4302" s="33" t="s">
        <v>68</v>
      </c>
      <c r="E4302" s="34">
        <v>2</v>
      </c>
      <c r="F4302" s="34">
        <v>30</v>
      </c>
      <c r="G4302" s="10">
        <v>381911</v>
      </c>
      <c r="H4302" s="30" t="str">
        <f ca="1">IFERROR(__xludf.DUMMYFUNCTION("LOWER(REGEXREPLACE(B4302&amp;"" ""&amp;C4302,""[^а-яa-z0-9 ]"","" ""))")," онт вытяжной пристенный     15 12 3 5 1 300  размеры 1500х1200х350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15 12 3 5 1 300  размеры 1500х1200х350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3" spans="1:8" ht="76.5" x14ac:dyDescent="0.2">
      <c r="A4303" s="31" t="s">
        <v>10432</v>
      </c>
      <c r="B4303" s="8" t="s">
        <v>10433</v>
      </c>
      <c r="C4303" s="27" t="s">
        <v>10434</v>
      </c>
      <c r="D4303" s="33" t="s">
        <v>68</v>
      </c>
      <c r="E4303" s="34">
        <v>2</v>
      </c>
      <c r="F4303" s="34">
        <v>37</v>
      </c>
      <c r="G4303" s="10">
        <v>406839</v>
      </c>
      <c r="H4303" s="30" t="str">
        <f ca="1">IFERROR(__xludf.DUMMYFUNCTION("LOWER(REGEXREPLACE(B4303&amp;"" ""&amp;C4303,""[^а-яa-z0-9 ]"","" ""))")," онт вытяжной пристенный     18 9 3 5 2   размеры 1800х900х350 мм  жаропрочная нержавеющая сталь 0 8 мм  жироуловители  кран для слива  вытяжное отверстие  крепежные крюки и цепи для подвеса в комплекте 2 фланца 160 300 мм  изготовлен из жаропрочной нержа"&amp;"веющей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18 9 3 5 2   размеры 1800х900х350 мм  жаропрочная нержавеющая сталь 0 8 мм  жироуловители  кран для слива  вытяжное отверстие  крепежные крюки и цепи для подвеса в комплекте 2 фланца 160 300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4" spans="1:8" ht="76.5" x14ac:dyDescent="0.2">
      <c r="A4304" s="31" t="s">
        <v>10435</v>
      </c>
      <c r="B4304" s="8" t="s">
        <v>10436</v>
      </c>
      <c r="C4304" s="27" t="s">
        <v>10397</v>
      </c>
      <c r="D4304" s="33" t="s">
        <v>68</v>
      </c>
      <c r="E4304" s="34">
        <v>2</v>
      </c>
      <c r="F4304" s="34">
        <v>37</v>
      </c>
      <c r="G4304" s="10">
        <v>406839</v>
      </c>
      <c r="H4304" s="30" t="str">
        <f ca="1">IFERROR(__xludf.DUMMYFUNCTION("LOWER(REGEXREPLACE(B4304&amp;"" ""&amp;C4304,""[^а-яa-z0-9 ]"","" ""))")," онт вытяжной пристенный     18 9 3 5 1 250  размеры 1800х900х350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нержав"&amp;"еющей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18 9 3 5 1 250  размеры 1800х900х350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05" spans="1:8" ht="76.5" x14ac:dyDescent="0.2">
      <c r="A4305" s="31" t="s">
        <v>10437</v>
      </c>
      <c r="B4305" s="8" t="s">
        <v>10438</v>
      </c>
      <c r="C4305" s="27" t="s">
        <v>10439</v>
      </c>
      <c r="D4305" s="33" t="s">
        <v>68</v>
      </c>
      <c r="E4305" s="34">
        <v>2</v>
      </c>
      <c r="F4305" s="34">
        <v>36</v>
      </c>
      <c r="G4305" s="10">
        <v>343756</v>
      </c>
      <c r="H4305" s="30" t="str">
        <f ca="1">IFERROR(__xludf.DUMMYFUNCTION("LOWER(REGEXREPLACE(B4305&amp;"" ""&amp;C4305,""[^а-яa-z0-9 ]"","" ""))")," онт вытяжной пристенный     20 7 5 3 5 2 300  размеры 2000х750х350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"&amp;"нержавеющей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f>
        <v xml:space="preserve"> онт вытяжной пристенный     20 7 5 3 5 2 300  размеры 2000х750х350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v>
      </c>
    </row>
    <row r="4306" spans="1:8" ht="76.5" x14ac:dyDescent="0.2">
      <c r="A4306" s="31" t="s">
        <v>10440</v>
      </c>
      <c r="B4306" s="8" t="s">
        <v>10441</v>
      </c>
      <c r="C4306" s="27" t="s">
        <v>10442</v>
      </c>
      <c r="D4306" s="33" t="s">
        <v>68</v>
      </c>
      <c r="E4306" s="34">
        <v>2</v>
      </c>
      <c r="F4306" s="34">
        <v>43</v>
      </c>
      <c r="G4306" s="10">
        <v>423463</v>
      </c>
      <c r="H4306" s="30" t="str">
        <f ca="1">IFERROR(__xludf.DUMMYFUNCTION("LOWER(REGEXREPLACE(B4306&amp;"" ""&amp;C4306,""[^а-яa-z0-9 ]"","" ""))")," онт вытяжной пристенный     20 9 4 5 2 300  размеры 2000х900х450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нержа"&amp;"веющей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f>
        <v xml:space="preserve"> онт вытяжной пристенный     20 9 4 5 2 300  размеры 2000х900х450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v>
      </c>
    </row>
    <row r="4307" spans="1:8" ht="76.5" x14ac:dyDescent="0.2">
      <c r="A4307" s="31" t="s">
        <v>10443</v>
      </c>
      <c r="B4307" s="8" t="s">
        <v>10444</v>
      </c>
      <c r="C4307" s="27" t="s">
        <v>10439</v>
      </c>
      <c r="D4307" s="33" t="s">
        <v>68</v>
      </c>
      <c r="E4307" s="34">
        <v>2</v>
      </c>
      <c r="F4307" s="34">
        <v>45</v>
      </c>
      <c r="G4307" s="10">
        <v>468455</v>
      </c>
      <c r="H4307" s="30" t="str">
        <f ca="1">IFERROR(__xludf.DUMMYFUNCTION("LOWER(REGEXREPLACE(B4307&amp;"" ""&amp;C4307,""[^а-яa-z0-9 ]"","" ""))")," онт вытяжной пристенный     20 12 3 5 2 300  размеры 2000х1200х350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"&amp;"нержавеющей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f>
        <v xml:space="preserve"> онт вытяжной пристенный     20 12 3 5 2 300  размеры 2000х1200х350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v>
      </c>
    </row>
    <row r="4308" spans="1:8" ht="76.5" x14ac:dyDescent="0.2">
      <c r="A4308" s="31" t="s">
        <v>10445</v>
      </c>
      <c r="B4308" s="8" t="s">
        <v>10446</v>
      </c>
      <c r="C4308" s="27" t="s">
        <v>10439</v>
      </c>
      <c r="D4308" s="33" t="s">
        <v>68</v>
      </c>
      <c r="E4308" s="34">
        <v>2</v>
      </c>
      <c r="F4308" s="34">
        <v>50</v>
      </c>
      <c r="G4308" s="10">
        <v>523088</v>
      </c>
      <c r="H4308" s="30" t="str">
        <f ca="1">IFERROR(__xludf.DUMMYFUNCTION("LOWER(REGEXREPLACE(B4308&amp;"" ""&amp;C4308,""[^а-яa-z0-9 ]"","" ""))")," онт вытяжной пристенный     22 13 3 5 2 300  размеры 2200х1300х350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"&amp;"нержавеющей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f>
        <v xml:space="preserve"> онт вытяжной пристенный     22 13 3 5 2 300  размеры 2200х1300х350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v>
      </c>
    </row>
    <row r="4309" spans="1:8" ht="76.5" x14ac:dyDescent="0.2">
      <c r="A4309" s="31" t="s">
        <v>10447</v>
      </c>
      <c r="B4309" s="8" t="s">
        <v>10448</v>
      </c>
      <c r="C4309" s="27" t="s">
        <v>10449</v>
      </c>
      <c r="D4309" s="33" t="s">
        <v>68</v>
      </c>
      <c r="E4309" s="34">
        <v>2</v>
      </c>
      <c r="F4309" s="34">
        <v>50</v>
      </c>
      <c r="G4309" s="10">
        <v>523088</v>
      </c>
      <c r="H4309" s="30" t="str">
        <f ca="1">IFERROR(__xludf.DUMMYFUNCTION("LOWER(REGEXREPLACE(B4309&amp;"" ""&amp;C4309,""[^а-яa-z0-9 ]"","" ""))")," онт вытяжной пристенный     22 13 3 5 1 400  размеры 2200х1300х350 мм  жаропрочная нержавеющая сталь 0 8 мм  жироуловители  кран для слива  вытяжное отверстие  крепежные крюки и цепи для подвеса в комплекте 2 фланца 400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22 13 3 5 1 400  размеры 2200х1300х350 мм  жаропрочная нержавеющая сталь 0 8 мм  жироуловители  кран для слива  вытяжное отверстие  крепежные крюки и цепи для подвеса в комплекте 2 фланца 400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10" spans="1:8" ht="76.5" x14ac:dyDescent="0.2">
      <c r="A4310" s="31" t="s">
        <v>10450</v>
      </c>
      <c r="B4310" s="8" t="s">
        <v>10451</v>
      </c>
      <c r="C4310" s="27" t="s">
        <v>10452</v>
      </c>
      <c r="D4310" s="33" t="s">
        <v>68</v>
      </c>
      <c r="E4310" s="34">
        <v>2</v>
      </c>
      <c r="F4310" s="34">
        <v>49</v>
      </c>
      <c r="G4310" s="10">
        <v>506485</v>
      </c>
      <c r="H4310" s="30" t="str">
        <f ca="1">IFERROR(__xludf.DUMMYFUNCTION("LOWER(REGEXREPLACE(B4310&amp;"" ""&amp;C4310,""[^а-яa-z0-9 ]"","" ""))")," онт вытяжной пристенный     23 10 3 5 2 300  размеры 2300х1000х350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нерж"&amp;"авеющей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23 10 3 5 2 300  размеры 2300х1000х350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11" spans="1:8" ht="76.5" x14ac:dyDescent="0.2">
      <c r="A4311" s="31" t="s">
        <v>10453</v>
      </c>
      <c r="B4311" s="8" t="s">
        <v>10454</v>
      </c>
      <c r="C4311" s="27" t="s">
        <v>10455</v>
      </c>
      <c r="D4311" s="33" t="s">
        <v>68</v>
      </c>
      <c r="E4311" s="34">
        <v>2</v>
      </c>
      <c r="F4311" s="34">
        <v>58</v>
      </c>
      <c r="G4311" s="10">
        <v>681646</v>
      </c>
      <c r="H4311" s="30" t="str">
        <f ca="1">IFERROR(__xludf.DUMMYFUNCTION("LOWER(REGEXREPLACE(B4311&amp;"" ""&amp;C4311,""[^а-яa-z0-9 ]"","" ""))")," онт вытяжной пристенный     27 11 3 5 2 300  размеры 2700х1100х350 мм  жаропрочная нержавеющая сталь 0 8 мм  жироуловители  кран для слива  вытяжное отверстие  крепежные крюки и цепи для подвеса 2 фланца 300 мм  изготовлен из жаропрочной нержавеющей стал"&amp;"и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f>
        <v xml:space="preserve"> онт вытяжной пристенный     27 11 3 5 2 300  размеры 2700х1100х350 мм  жаропрочная нержавеющая сталь 0 8 мм  жироуловители  кран для слива  вытяжное отверстие  крепежные крюки и цепи для подвеса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v>
      </c>
    </row>
    <row r="4312" spans="1:8" ht="25.5" x14ac:dyDescent="0.2">
      <c r="A4312" s="31" t="s">
        <v>10456</v>
      </c>
      <c r="B4312" s="27" t="s">
        <v>10457</v>
      </c>
      <c r="C4312" s="27"/>
      <c r="D4312" s="33" t="s">
        <v>14</v>
      </c>
      <c r="E4312" s="34">
        <v>2</v>
      </c>
      <c r="F4312" s="32"/>
      <c r="G4312" s="10"/>
      <c r="H4312" s="30" t="str">
        <f ca="1">IFERROR(__xludf.DUMMYFUNCTION("LOWER(REGEXREPLACE(B4312&amp;"" ""&amp;C4312,""[^а-яa-z0-9 ]"","" ""))")," онт вытяжной островной из жаропрочной нержавеющей стали ")</f>
        <v xml:space="preserve"> онт вытяжной островной из жаропрочной нержавеющей стали </v>
      </c>
    </row>
    <row r="4313" spans="1:8" ht="25.5" x14ac:dyDescent="0.2">
      <c r="A4313" s="31" t="s">
        <v>10458</v>
      </c>
      <c r="B4313" s="27" t="s">
        <v>10459</v>
      </c>
      <c r="C4313" s="27"/>
      <c r="D4313" s="33" t="s">
        <v>14</v>
      </c>
      <c r="E4313" s="34">
        <v>2</v>
      </c>
      <c r="F4313" s="35">
        <v>86.4</v>
      </c>
      <c r="G4313" s="10">
        <v>492668</v>
      </c>
      <c r="H4313" s="30" t="str">
        <f ca="1">IFERROR(__xludf.DUMMYFUNCTION("LOWER(REGEXREPLACE(B4313&amp;"" ""&amp;C4313,""[^а-яa-z0-9 ]"","" ""))")," онт вытяжной островной из жаропрочной нержавеющей стали 1600х2200х350       ")</f>
        <v xml:space="preserve"> онт вытяжной островной из жаропрочной нержавеющей стали 1600х2200х350       </v>
      </c>
    </row>
    <row r="4314" spans="1:8" ht="51" x14ac:dyDescent="0.2">
      <c r="A4314" s="31" t="s">
        <v>10460</v>
      </c>
      <c r="B4314" s="27" t="s">
        <v>10461</v>
      </c>
      <c r="C4314" s="27"/>
      <c r="D4314" s="33" t="s">
        <v>14</v>
      </c>
      <c r="E4314" s="34">
        <v>2</v>
      </c>
      <c r="F4314" s="34">
        <v>289</v>
      </c>
      <c r="G4314" s="10">
        <v>2158065</v>
      </c>
      <c r="H4314" s="30" t="str">
        <f ca="1">IFERROR(__xludf.DUMMYFUNCTION("LOWER(REGEXREPLACE(B4314&amp;"" ""&amp;C4314,""[^а-яa-z0-9 ]"","" ""))")," онт вытяжной островной из жаропрочной нержавеющей стали 6000х2000х350 мм  с жироуловителями  краном для слива конденсата  крепежными элементами      2000 6000 ")</f>
        <v xml:space="preserve"> онт вытяжной островной из жаропрочной нержавеющей стали 6000х2000х350 мм  с жироуловителями  краном для слива конденсата  крепежными элементами      2000 6000 </v>
      </c>
    </row>
    <row r="4315" spans="1:8" ht="63.75" x14ac:dyDescent="0.2">
      <c r="A4315" s="31" t="s">
        <v>10462</v>
      </c>
      <c r="B4315" s="27" t="s">
        <v>10463</v>
      </c>
      <c r="C4315" s="27"/>
      <c r="D4315" s="33" t="s">
        <v>14</v>
      </c>
      <c r="E4315" s="34">
        <v>2</v>
      </c>
      <c r="F4315" s="34">
        <v>69</v>
      </c>
      <c r="G4315" s="10">
        <v>816820</v>
      </c>
      <c r="H4315" s="30" t="str">
        <f ca="1">IFERROR(__xludf.DUMMYFUNCTION("LOWER(REGEXREPLACE(B4315&amp;"" ""&amp;C4315,""[^а-яa-z0-9 ]"","" ""))")," онт приточно вытяжной островной из жаропрочной нержавеющей стали 1300х1600х350 мм  с жироуловителями  краном для слива конденсата  с крепежными элементами      1600 1300 ")</f>
        <v xml:space="preserve"> онт приточно вытяжной островной из жаропрочной нержавеющей стали 1300х1600х350 мм  с жироуловителями  краном для слива конденсата  с крепежными элементами      1600 1300 </v>
      </c>
    </row>
    <row r="4316" spans="1:8" ht="51" x14ac:dyDescent="0.2">
      <c r="A4316" s="31" t="s">
        <v>10464</v>
      </c>
      <c r="B4316" s="27" t="s">
        <v>10465</v>
      </c>
      <c r="C4316" s="27" t="s">
        <v>10465</v>
      </c>
      <c r="D4316" s="33" t="s">
        <v>68</v>
      </c>
      <c r="E4316" s="34">
        <v>2</v>
      </c>
      <c r="F4316" s="34">
        <v>73</v>
      </c>
      <c r="G4316" s="10">
        <v>1599753</v>
      </c>
      <c r="H4316" s="30" t="str">
        <f ca="1">IFERROR(__xludf.DUMMYFUNCTION("LOWER(REGEXREPLACE(B4316&amp;"" ""&amp;C4316,""[^а-яa-z0-9 ]"","" ""))")," онт приточно вытяжной островной из жаропрочной нержавеющей стали 1500х2300х350 мм  с жироуловителями  краном для слива конденсата  крепежными элементами  онт приточно вытяжной островной из жаропрочной нержавеющей стали 1500х2300х350 мм  с жироуловителями"&amp;"  краном для слива конденсата  крепежными элементами")</f>
        <v xml:space="preserve"> онт приточно вытяжной островной из жаропрочной нержавеющей стали 1500х2300х350 мм  с жироуловителями  краном для слива конденсата  крепежными элементами  онт приточно вытяжной островной из жаропрочной нержавеющей стали 1500х2300х350 мм  с жироуловителями  краном для слива конденсата  крепежными элементами</v>
      </c>
    </row>
    <row r="4317" spans="1:8" ht="63.75" x14ac:dyDescent="0.2">
      <c r="A4317" s="31" t="s">
        <v>10466</v>
      </c>
      <c r="B4317" s="27" t="s">
        <v>10467</v>
      </c>
      <c r="C4317" s="27"/>
      <c r="D4317" s="33" t="s">
        <v>14</v>
      </c>
      <c r="E4317" s="34">
        <v>2</v>
      </c>
      <c r="F4317" s="34">
        <v>289</v>
      </c>
      <c r="G4317" s="10">
        <v>2241225</v>
      </c>
      <c r="H4317" s="30" t="str">
        <f ca="1">IFERROR(__xludf.DUMMYFUNCTION("LOWER(REGEXREPLACE(B4317&amp;"" ""&amp;C4317,""[^а-яa-z0-9 ]"","" ""))")," онт приточно вытяжной островной из жаропрочной нержавеющей стали 6000х2000х350 мм  с жироуловителями  краном для слива конденсата  с крепежными элементами      2000 6000 ")</f>
        <v xml:space="preserve"> онт приточно вытяжной островной из жаропрочной нержавеющей стали 6000х2000х350 мм  с жироуловителями  краном для слива конденсата  с крепежными элементами      2000 6000 </v>
      </c>
    </row>
    <row r="4318" spans="1:8" ht="63.75" x14ac:dyDescent="0.2">
      <c r="A4318" s="31" t="s">
        <v>10468</v>
      </c>
      <c r="B4318" s="8" t="s">
        <v>10469</v>
      </c>
      <c r="C4318" s="27"/>
      <c r="D4318" s="33" t="s">
        <v>68</v>
      </c>
      <c r="E4318" s="34">
        <v>2</v>
      </c>
      <c r="F4318" s="34">
        <v>59</v>
      </c>
      <c r="G4318" s="10">
        <v>1770024</v>
      </c>
      <c r="H4318" s="30" t="str">
        <f ca="1">IFERROR(__xludf.DUMMYFUNCTION("LOWER(REGEXREPLACE(B4318&amp;"" ""&amp;C4318,""[^а-яa-z0-9 ]"","" ""))")," онт вытяжной островной кубический 2500х2200х400мм  приточно вытяжной  полностью из нержавеющей стали 0 8 мм  жироуловители в комплекте       2500 2200 ")</f>
        <v xml:space="preserve"> онт вытяжной островной кубический 2500х2200х400мм  приточно вытяжной  полностью из нержавеющей стали 0 8 мм  жироуловители в комплекте       2500 2200 </v>
      </c>
    </row>
    <row r="4319" spans="1:8" ht="63.75" x14ac:dyDescent="0.2">
      <c r="A4319" s="31" t="s">
        <v>10470</v>
      </c>
      <c r="B4319" s="8" t="s">
        <v>10471</v>
      </c>
      <c r="C4319" s="27"/>
      <c r="D4319" s="33" t="s">
        <v>68</v>
      </c>
      <c r="E4319" s="34">
        <v>2</v>
      </c>
      <c r="F4319" s="34">
        <v>89</v>
      </c>
      <c r="G4319" s="10">
        <v>724101</v>
      </c>
      <c r="H4319" s="30" t="str">
        <f ca="1">IFERROR(__xludf.DUMMYFUNCTION("LOWER(REGEXREPLACE(B4319&amp;"" ""&amp;C4319,""[^а-яa-z0-9 ]"","" ""))")," онт приточно вытяжной островной      18 5 22 3 5 2 300  размеры 1850х2200х350 мм  2 фланца 300 мм  жаропрочная нержавеющая сталь с жироуловителями  краном для слива конденсата  крепежными элементами ")</f>
        <v xml:space="preserve"> онт приточно вытяжной островной      18 5 22 3 5 2 300  размеры 1850х2200х350 мм  2 фланца 300 мм  жаропрочная нержавеющая сталь с жироуловителями  краном для слива конденсата  крепежными элементами </v>
      </c>
    </row>
    <row r="4320" spans="1:8" ht="76.5" x14ac:dyDescent="0.2">
      <c r="A4320" s="31" t="s">
        <v>10472</v>
      </c>
      <c r="B4320" s="8" t="s">
        <v>10473</v>
      </c>
      <c r="C4320" s="27"/>
      <c r="D4320" s="33" t="s">
        <v>68</v>
      </c>
      <c r="E4320" s="34">
        <v>2</v>
      </c>
      <c r="F4320" s="34">
        <v>74</v>
      </c>
      <c r="G4320" s="10">
        <v>710760</v>
      </c>
      <c r="H4320" s="30" t="str">
        <f ca="1">IFERROR(__xludf.DUMMYFUNCTION("LOWER(REGEXREPLACE(B4320&amp;"" ""&amp;C4320,""[^а-яa-z0-9 ]"","" ""))")," онт приточно вытяжной островной      16 22 3 5 2 300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 ")</f>
        <v xml:space="preserve"> онт приточно вытяжной островной      16 22 3 5 2 300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 </v>
      </c>
    </row>
    <row r="4321" spans="1:8" ht="76.5" x14ac:dyDescent="0.2">
      <c r="A4321" s="31" t="s">
        <v>10474</v>
      </c>
      <c r="B4321" s="8" t="s">
        <v>10475</v>
      </c>
      <c r="C4321" s="27"/>
      <c r="D4321" s="33" t="s">
        <v>68</v>
      </c>
      <c r="E4321" s="34">
        <v>2</v>
      </c>
      <c r="F4321" s="34">
        <v>140</v>
      </c>
      <c r="G4321" s="10">
        <v>1627321</v>
      </c>
      <c r="H4321" s="30" t="str">
        <f ca="1">IFERROR(__xludf.DUMMYFUNCTION("LOWER(REGEXREPLACE(B4321&amp;"" ""&amp;C4321,""[^а-яa-z0-9 ]"","" ""))")," онт вытяжной островной     32 22 3 5 4 300  размеры 3200х2200х350 мм  4 фланца 300 мм  жаропрочная нержавеющая сталь  с краном для слива конденсата  крепежными элементами  4 патрубками ")</f>
        <v xml:space="preserve"> онт вытяжной островной     32 22 3 5 4 300  размеры 3200х2200х350 мм  4 фланца 300 мм  жаропрочная нержавеющая сталь  с краном для слива конденсата  крепежными элементами  4 патрубками </v>
      </c>
    </row>
    <row r="4322" spans="1:8" ht="89.25" x14ac:dyDescent="0.2">
      <c r="A4322" s="31" t="s">
        <v>10476</v>
      </c>
      <c r="B4322" s="8" t="s">
        <v>10477</v>
      </c>
      <c r="C4322" s="27"/>
      <c r="D4322" s="33" t="s">
        <v>68</v>
      </c>
      <c r="E4322" s="34">
        <v>2</v>
      </c>
      <c r="F4322" s="34">
        <v>250</v>
      </c>
      <c r="G4322" s="10">
        <v>2348189</v>
      </c>
      <c r="H4322" s="30" t="str">
        <f ca="1">IFERROR(__xludf.DUMMYFUNCTION("LOWER(REGEXREPLACE(B4322&amp;"" ""&amp;C4322,""[^а-яa-z0-9 ]"","" ""))")," онт приточно вытяжной островной      60 20 3 5 6 300  размеры 6000х2000х350 мм  6 фланцев вытяжных 300мм   12 фланцев приточных 100 мм  жаропрочная нержавеющая сталь с жироуловителями  краном для слива конденсата  крепежными элементами  6 патрубками ")</f>
        <v xml:space="preserve"> онт приточно вытяжной островной      60 20 3 5 6 300  размеры 6000х2000х350 мм  6 фланцев вытяжных 300мм   12 фланцев приточных 100 мм  жаропрочная нержавеющая сталь с жироуловителями  краном для слива конденсата  крепежными элементами  6 патрубками </v>
      </c>
    </row>
    <row r="4323" spans="1:8" ht="76.5" x14ac:dyDescent="0.2">
      <c r="A4323" s="31" t="s">
        <v>10478</v>
      </c>
      <c r="B4323" s="8" t="s">
        <v>10479</v>
      </c>
      <c r="C4323" s="27"/>
      <c r="D4323" s="33" t="s">
        <v>68</v>
      </c>
      <c r="E4323" s="34">
        <v>2</v>
      </c>
      <c r="F4323" s="34">
        <v>230</v>
      </c>
      <c r="G4323" s="10">
        <v>2038250</v>
      </c>
      <c r="H4323" s="30" t="str">
        <f ca="1">IFERROR(__xludf.DUMMYFUNCTION("LOWER(REGEXREPLACE(B4323&amp;"" ""&amp;C4323,""[^а-яa-z0-9 ]"","" ""))")," онт вытяжной островной     60 20 3 5 3 400  размеры 6000х2000х350 мм  3 фланца 400мм  жаропрочная нержавеющая сталь с жироуловителями  краном для слива конденсата  крепежными элементами  3 патрубками ")</f>
        <v xml:space="preserve"> онт вытяжной островной     60 20 3 5 3 400  размеры 6000х2000х350 мм  3 фланца 400мм  жаропрочная нержавеющая сталь с жироуловителями  краном для слива конденсата  крепежными элементами  3 патрубками </v>
      </c>
    </row>
    <row r="4324" spans="1:8" ht="25.5" x14ac:dyDescent="0.2">
      <c r="A4324" s="31" t="s">
        <v>10480</v>
      </c>
      <c r="B4324" s="27" t="s">
        <v>10481</v>
      </c>
      <c r="C4324" s="27"/>
      <c r="D4324" s="33" t="s">
        <v>14</v>
      </c>
      <c r="E4324" s="9"/>
      <c r="F4324" s="32"/>
      <c r="G4324" s="10">
        <v>507143</v>
      </c>
      <c r="H4324" s="30" t="str">
        <f ca="1">IFERROR(__xludf.DUMMYFUNCTION("LOWER(REGEXREPLACE(B4324&amp;"" ""&amp;C4324,""[^а-яa-z0-9 ]"","" ""))")," онт вентиляционный пристенный     1300 2200    1300х2200х400  ")</f>
        <v xml:space="preserve"> онт вентиляционный пристенный     1300 2200    1300х2200х400  </v>
      </c>
    </row>
    <row r="4325" spans="1:8" ht="12.75" x14ac:dyDescent="0.2">
      <c r="A4325" s="31" t="s">
        <v>10482</v>
      </c>
      <c r="B4325" s="27" t="s">
        <v>10483</v>
      </c>
      <c r="C4325" s="27"/>
      <c r="D4325" s="33" t="s">
        <v>14</v>
      </c>
      <c r="E4325" s="9"/>
      <c r="F4325" s="34">
        <v>78</v>
      </c>
      <c r="G4325" s="10">
        <v>380655</v>
      </c>
      <c r="H4325" s="30" t="str">
        <f ca="1">IFERROR(__xludf.DUMMYFUNCTION("LOWER(REGEXREPLACE(B4325&amp;"" ""&amp;C4325,""[^а-яa-z0-9 ]"","" ""))")," онт вентиляционный     900 2   ")</f>
        <v xml:space="preserve"> онт вентиляционный     900 2   </v>
      </c>
    </row>
    <row r="4326" spans="1:8" ht="12.75" x14ac:dyDescent="0.2">
      <c r="A4326" s="31" t="s">
        <v>10484</v>
      </c>
      <c r="B4326" s="27" t="s">
        <v>10485</v>
      </c>
      <c r="C4326" s="27"/>
      <c r="D4326" s="33" t="s">
        <v>14</v>
      </c>
      <c r="E4326" s="9"/>
      <c r="F4326" s="34">
        <v>12</v>
      </c>
      <c r="G4326" s="10">
        <v>76786</v>
      </c>
      <c r="H4326" s="30" t="str">
        <f ca="1">IFERROR(__xludf.DUMMYFUNCTION("LOWER(REGEXREPLACE(B4326&amp;"" ""&amp;C4326,""[^а-яa-z0-9 ]"","" ""))")," анна моечная       1 500  600х600х850  ")</f>
        <v xml:space="preserve"> анна моечная       1 500  600х600х850  </v>
      </c>
    </row>
    <row r="4327" spans="1:8" ht="12.75" x14ac:dyDescent="0.2">
      <c r="A4327" s="31" t="s">
        <v>10486</v>
      </c>
      <c r="B4327" s="27" t="s">
        <v>10487</v>
      </c>
      <c r="C4327" s="27"/>
      <c r="D4327" s="33" t="s">
        <v>14</v>
      </c>
      <c r="E4327" s="9"/>
      <c r="F4327" s="35">
        <v>19.5</v>
      </c>
      <c r="G4327" s="10">
        <v>132500</v>
      </c>
      <c r="H4327" s="30" t="str">
        <f ca="1">IFERROR(__xludf.DUMMYFUNCTION("LOWER(REGEXREPLACE(B4327&amp;"" ""&amp;C4327,""[^а-яa-z0-9 ]"","" ""))")," анна моечная       2 500  1200х600х850  ")</f>
        <v xml:space="preserve"> анна моечная       2 500  1200х600х850  </v>
      </c>
    </row>
    <row r="4328" spans="1:8" ht="12.75" x14ac:dyDescent="0.2">
      <c r="A4328" s="31" t="s">
        <v>10488</v>
      </c>
      <c r="B4328" s="27" t="s">
        <v>10489</v>
      </c>
      <c r="C4328" s="27"/>
      <c r="D4328" s="33" t="s">
        <v>14</v>
      </c>
      <c r="E4328" s="9"/>
      <c r="F4328" s="34">
        <v>36</v>
      </c>
      <c r="G4328" s="10">
        <v>167500</v>
      </c>
      <c r="H4328" s="30" t="str">
        <f ca="1">IFERROR(__xludf.DUMMYFUNCTION("LOWER(REGEXREPLACE(B4328&amp;"" ""&amp;C4328,""[^а-яa-z0-9 ]"","" ""))")," анна моечная       2 600  1400х700х850  ")</f>
        <v xml:space="preserve"> анна моечная       2 600  1400х700х850  </v>
      </c>
    </row>
    <row r="4329" spans="1:8" ht="12.75" x14ac:dyDescent="0.2">
      <c r="A4329" s="31" t="s">
        <v>10490</v>
      </c>
      <c r="B4329" s="27" t="s">
        <v>10491</v>
      </c>
      <c r="C4329" s="27"/>
      <c r="D4329" s="33" t="s">
        <v>14</v>
      </c>
      <c r="E4329" s="9"/>
      <c r="F4329" s="32"/>
      <c r="G4329" s="10">
        <v>225259</v>
      </c>
      <c r="H4329" s="30" t="str">
        <f ca="1">IFERROR(__xludf.DUMMYFUNCTION("LOWER(REGEXREPLACE(B4329&amp;"" ""&amp;C4329,""[^а-яa-z0-9 ]"","" ""))")," анна моечная       3 500  1800х600х850  ")</f>
        <v xml:space="preserve"> анна моечная       3 500  1800х600х850  </v>
      </c>
    </row>
    <row r="4330" spans="1:8" ht="12.75" x14ac:dyDescent="0.2">
      <c r="A4330" s="31" t="s">
        <v>10492</v>
      </c>
      <c r="B4330" s="27" t="s">
        <v>10493</v>
      </c>
      <c r="C4330" s="27"/>
      <c r="D4330" s="33" t="s">
        <v>14</v>
      </c>
      <c r="E4330" s="9"/>
      <c r="F4330" s="35">
        <v>18.600000000000001</v>
      </c>
      <c r="G4330" s="10">
        <v>239375</v>
      </c>
      <c r="H4330" s="30" t="str">
        <f ca="1">IFERROR(__xludf.DUMMYFUNCTION("LOWER(REGEXREPLACE(B4330&amp;"" ""&amp;C4330,""[^а-яa-z0-9 ]"","" ""))")," анна моечная      2 1 500    700х700х850  ")</f>
        <v xml:space="preserve"> анна моечная      2 1 500    700х700х850  </v>
      </c>
    </row>
    <row r="4331" spans="1:8" ht="25.5" x14ac:dyDescent="0.2">
      <c r="A4331" s="31" t="s">
        <v>10494</v>
      </c>
      <c r="B4331" s="27" t="s">
        <v>10495</v>
      </c>
      <c r="C4331" s="27"/>
      <c r="D4331" s="33" t="s">
        <v>14</v>
      </c>
      <c r="E4331" s="9"/>
      <c r="F4331" s="34">
        <v>25</v>
      </c>
      <c r="G4331" s="10">
        <v>291209</v>
      </c>
      <c r="H4331" s="30" t="str">
        <f ca="1">IFERROR(__xludf.DUMMYFUNCTION("LOWER(REGEXREPLACE(B4331&amp;"" ""&amp;C4331,""[^а-яa-z0-9 ]"","" ""))")," анна котломоечная       1 500 1100  1200х600х850  ")</f>
        <v xml:space="preserve"> анна котломоечная       1 500 1100  1200х600х850  </v>
      </c>
    </row>
    <row r="4332" spans="1:8" ht="12.75" x14ac:dyDescent="0.2">
      <c r="A4332" s="31" t="s">
        <v>10496</v>
      </c>
      <c r="B4332" s="27" t="s">
        <v>10497</v>
      </c>
      <c r="C4332" s="27"/>
      <c r="D4332" s="33" t="s">
        <v>14</v>
      </c>
      <c r="E4332" s="9"/>
      <c r="F4332" s="32"/>
      <c r="G4332" s="10"/>
      <c r="H4332" s="30" t="str">
        <f ca="1">IFERROR(__xludf.DUMMYFUNCTION("LOWER(REGEXREPLACE(B4332&amp;"" ""&amp;C4332,""[^а-яa-z0-9 ]"","" ""))")," олода разрубочная ")</f>
        <v xml:space="preserve"> олода разрубочная </v>
      </c>
    </row>
    <row r="4333" spans="1:8" ht="25.5" x14ac:dyDescent="0.2">
      <c r="A4333" s="31" t="s">
        <v>10498</v>
      </c>
      <c r="B4333" s="8" t="s">
        <v>10499</v>
      </c>
      <c r="C4333" s="27" t="s">
        <v>10500</v>
      </c>
      <c r="D4333" s="33" t="s">
        <v>14</v>
      </c>
      <c r="E4333" s="9"/>
      <c r="F4333" s="34">
        <v>16</v>
      </c>
      <c r="G4333" s="10">
        <v>278145</v>
      </c>
      <c r="H4333" s="30" t="str">
        <f ca="1">IFERROR(__xludf.DUMMYFUNCTION("LOWER(REGEXREPLACE(B4333&amp;"" ""&amp;C4333,""[^а-яa-z0-9 ]"","" ""))")," олода разрубочная  размеры не менее 500х500х150мм  атериал столешницы дерево полипропилен   аркас выполнен из оцинкованной стали ")</f>
        <v xml:space="preserve"> олода разрубочная  размеры не менее 500х500х150мм  атериал столешницы дерево полипропилен   аркас выполнен из оцинкованной стали </v>
      </c>
    </row>
    <row r="4334" spans="1:8" ht="38.25" x14ac:dyDescent="0.2">
      <c r="A4334" s="31" t="s">
        <v>10501</v>
      </c>
      <c r="B4334" s="27" t="s">
        <v>10502</v>
      </c>
      <c r="C4334" s="27"/>
      <c r="D4334" s="33" t="s">
        <v>14</v>
      </c>
      <c r="E4334" s="9"/>
      <c r="F4334" s="34">
        <v>23</v>
      </c>
      <c r="G4334" s="10">
        <v>451188</v>
      </c>
      <c r="H4334" s="30" t="str">
        <f ca="1">IFERROR(__xludf.DUMMYFUNCTION("LOWER(REGEXREPLACE(B4334&amp;"" ""&amp;C4334,""[^а-яa-z0-9 ]"","" ""))")," олода разрубочная 500х500х700 мм рубочная поверхность полипропилен 500х500х80 мм     500 ")</f>
        <v xml:space="preserve"> олода разрубочная 500х500х700 мм рубочная поверхность полипропилен 500х500х80 мм     500 </v>
      </c>
    </row>
    <row r="4335" spans="1:8" ht="51" x14ac:dyDescent="0.2">
      <c r="A4335" s="31" t="s">
        <v>10503</v>
      </c>
      <c r="B4335" s="27" t="s">
        <v>10504</v>
      </c>
      <c r="C4335" s="27"/>
      <c r="D4335" s="33" t="s">
        <v>14</v>
      </c>
      <c r="E4335" s="34">
        <v>2</v>
      </c>
      <c r="F4335" s="34">
        <v>25</v>
      </c>
      <c r="G4335" s="10">
        <v>285613</v>
      </c>
      <c r="H4335" s="30" t="str">
        <f ca="1">IFERROR(__xludf.DUMMYFUNCTION("LOWER(REGEXREPLACE(B4335&amp;"" ""&amp;C4335,""[^а-яa-z0-9 ]"","" ""))")," олода для рубки мяса     5 5    размеры 500х500х850 мм  каркас из трубы нержавеющей стали 40х40 мм  колода из полипропилена толщиной не менее 40 мм ")</f>
        <v xml:space="preserve"> олода для рубки мяса     5 5    размеры 500х500х850 мм  каркас из трубы нержавеющей стали 40х40 мм  колода из полипропилена толщиной не менее 40 мм </v>
      </c>
    </row>
    <row r="4336" spans="1:8" ht="51" x14ac:dyDescent="0.2">
      <c r="A4336" s="31" t="s">
        <v>10505</v>
      </c>
      <c r="B4336" s="27" t="s">
        <v>10506</v>
      </c>
      <c r="C4336" s="27"/>
      <c r="D4336" s="33" t="s">
        <v>14</v>
      </c>
      <c r="E4336" s="34">
        <v>2</v>
      </c>
      <c r="F4336" s="34">
        <v>35</v>
      </c>
      <c r="G4336" s="10">
        <v>390231</v>
      </c>
      <c r="H4336" s="30" t="str">
        <f ca="1">IFERROR(__xludf.DUMMYFUNCTION("LOWER(REGEXREPLACE(B4336&amp;"" ""&amp;C4336,""[^а-яa-z0-9 ]"","" ""))")," олода для рубки мяса     7 5    размеры 700х500х850 мм  каркас из трубы нержавеющей стали 40х40 мм  колода из полипропилена толщиной не менее 40 мм  ")</f>
        <v xml:space="preserve"> олода для рубки мяса     7 5    размеры 700х500х850 мм  каркас из трубы нержавеющей стали 40х40 мм  колода из полипропилена толщиной не менее 40 мм  </v>
      </c>
    </row>
    <row r="4337" spans="1:8" ht="51" x14ac:dyDescent="0.2">
      <c r="A4337" s="31" t="s">
        <v>10507</v>
      </c>
      <c r="B4337" s="27" t="s">
        <v>10508</v>
      </c>
      <c r="C4337" s="27" t="s">
        <v>10509</v>
      </c>
      <c r="D4337" s="33" t="s">
        <v>14</v>
      </c>
      <c r="E4337" s="34">
        <v>2</v>
      </c>
      <c r="F4337" s="34">
        <v>32</v>
      </c>
      <c r="G4337" s="10">
        <v>406818</v>
      </c>
      <c r="H4337" s="30" t="str">
        <f ca="1">IFERROR(__xludf.DUMMYFUNCTION("LOWER(REGEXREPLACE(B4337&amp;"" ""&amp;C4337,""[^а-яa-z0-9 ]"","" ""))")," ешало для мясных туш    12 5 8 18    размеры 1250х800х1800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стали"&amp;"      430   рючки   пруток  диаметром 10 мм нержавеющая сталь 12 18 10 ")</f>
        <v xml:space="preserve"> ешало для мясных туш    12 5 8 18    размеры 1250х800х1800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430   рючки   пруток  диаметром 10 мм нержавеющая сталь 12 18 10 </v>
      </c>
    </row>
    <row r="4338" spans="1:8" ht="51" x14ac:dyDescent="0.2">
      <c r="A4338" s="31" t="s">
        <v>10510</v>
      </c>
      <c r="B4338" s="27" t="s">
        <v>10511</v>
      </c>
      <c r="C4338" s="27" t="s">
        <v>10509</v>
      </c>
      <c r="D4338" s="33" t="s">
        <v>14</v>
      </c>
      <c r="E4338" s="34">
        <v>2</v>
      </c>
      <c r="F4338" s="34">
        <v>35</v>
      </c>
      <c r="G4338" s="10">
        <v>473228</v>
      </c>
      <c r="H4338" s="30" t="str">
        <f ca="1">IFERROR(__xludf.DUMMYFUNCTION("LOWER(REGEXREPLACE(B4338&amp;"" ""&amp;C4338,""[^а-яa-z0-9 ]"","" ""))")," ешало для мясных туш    15 8 18    размеры 1500х800х1800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"&amp;"    430   рючки   пруток  диаметром 10 мм нержавеющая сталь 12 18 10 ")</f>
        <v xml:space="preserve"> ешало для мясных туш    15 8 18    размеры 1500х800х1800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430   рючки   пруток  диаметром 10 мм нержавеющая сталь 12 18 10 </v>
      </c>
    </row>
    <row r="4339" spans="1:8" ht="25.5" x14ac:dyDescent="0.2">
      <c r="A4339" s="31" t="s">
        <v>10512</v>
      </c>
      <c r="B4339" s="8" t="s">
        <v>10513</v>
      </c>
      <c r="C4339" s="27"/>
      <c r="D4339" s="33" t="s">
        <v>14</v>
      </c>
      <c r="E4339" s="9"/>
      <c r="F4339" s="35">
        <v>11.4</v>
      </c>
      <c r="G4339" s="10">
        <v>199176</v>
      </c>
      <c r="H4339" s="30" t="str">
        <f ca="1">IFERROR(__xludf.DUMMYFUNCTION("LOWER(REGEXREPLACE(B4339&amp;"" ""&amp;C4339,""[^а-яa-z0-9 ]"","" ""))")," ележка сервировочная  теси      2 800 500 850 02     2  2 полки  800х500х850  ")</f>
        <v xml:space="preserve"> ележка сервировочная  теси      2 800 500 850 02     2  2 полки  800х500х850  </v>
      </c>
    </row>
    <row r="4340" spans="1:8" ht="12.75" x14ac:dyDescent="0.2">
      <c r="A4340" s="31" t="s">
        <v>10514</v>
      </c>
      <c r="B4340" s="27" t="s">
        <v>10515</v>
      </c>
      <c r="C4340" s="27"/>
      <c r="D4340" s="33" t="s">
        <v>14</v>
      </c>
      <c r="E4340" s="9"/>
      <c r="F4340" s="32"/>
      <c r="G4340" s="10"/>
      <c r="H4340" s="30" t="str">
        <f ca="1">IFERROR(__xludf.DUMMYFUNCTION("LOWER(REGEXREPLACE(B4340&amp;"" ""&amp;C4340,""[^а-яa-z0-9 ]"","" ""))")," ележка шпилька для подносов ")</f>
        <v xml:space="preserve"> ележка шпилька для подносов </v>
      </c>
    </row>
    <row r="4341" spans="1:8" ht="25.5" x14ac:dyDescent="0.2">
      <c r="A4341" s="31" t="s">
        <v>10516</v>
      </c>
      <c r="B4341" s="27" t="s">
        <v>10517</v>
      </c>
      <c r="C4341" s="27"/>
      <c r="D4341" s="33" t="s">
        <v>14</v>
      </c>
      <c r="E4341" s="9"/>
      <c r="F4341" s="34">
        <v>13</v>
      </c>
      <c r="G4341" s="10">
        <v>267836</v>
      </c>
      <c r="H4341" s="30" t="str">
        <f ca="1">IFERROR(__xludf.DUMMYFUNCTION("LOWER(REGEXREPLACE(B4341&amp;"" ""&amp;C4341,""[^а-яa-z0-9 ]"","" ""))")," ележка шпилька для подносов  12 уровней 520х420х1800 ")</f>
        <v xml:space="preserve"> ележка шпилька для подносов  12 уровней 520х420х1800 </v>
      </c>
    </row>
    <row r="4342" spans="1:8" ht="25.5" x14ac:dyDescent="0.2">
      <c r="A4342" s="31" t="s">
        <v>10518</v>
      </c>
      <c r="B4342" s="27" t="s">
        <v>10519</v>
      </c>
      <c r="C4342" s="27"/>
      <c r="D4342" s="33" t="s">
        <v>14</v>
      </c>
      <c r="E4342" s="9"/>
      <c r="F4342" s="34">
        <v>18</v>
      </c>
      <c r="G4342" s="10">
        <v>300000</v>
      </c>
      <c r="H4342" s="30" t="str">
        <f ca="1">IFERROR(__xludf.DUMMYFUNCTION("LOWER(REGEXREPLACE(B4342&amp;"" ""&amp;C4342,""[^а-яa-z0-9 ]"","" ""))")," ележка шпилька для подносов 15 уровней  420х520х1800  из нержавеющей стали     15 ")</f>
        <v xml:space="preserve"> ележка шпилька для подносов 15 уровней  420х520х1800  из нержавеющей стали     15 </v>
      </c>
    </row>
    <row r="4343" spans="1:8" ht="63.75" x14ac:dyDescent="0.2">
      <c r="A4343" s="31" t="s">
        <v>10520</v>
      </c>
      <c r="B4343" s="27" t="s">
        <v>10521</v>
      </c>
      <c r="C4343" s="27"/>
      <c r="D4343" s="33" t="s">
        <v>14</v>
      </c>
      <c r="E4343" s="34">
        <v>2</v>
      </c>
      <c r="F4343" s="34">
        <v>20</v>
      </c>
      <c r="G4343" s="10">
        <v>285593</v>
      </c>
      <c r="H4343" s="30" t="str">
        <f ca="1">IFERROR(__xludf.DUMMYFUNCTION("LOWER(REGEXREPLACE(B4343&amp;"" ""&amp;C4343,""[^а-яa-z0-9 ]"","" ""))")," ележка шпилька для подносов     1 00  размеры 360х470х1740 мм  вместимость до 20 подносов  прочная конструкция из нержавеющей стали  четыре поворотных колеса  два из них с блокираторами  4 ручки ")</f>
        <v xml:space="preserve"> ележка шпилька для подносов     1 00  размеры 360х470х1740 мм  вместимость до 20 подносов  прочная конструкция из нержавеющей стали  четыре поворотных колеса  два из них с блокираторами  4 ручки </v>
      </c>
    </row>
    <row r="4344" spans="1:8" ht="63.75" x14ac:dyDescent="0.2">
      <c r="A4344" s="31" t="s">
        <v>10522</v>
      </c>
      <c r="B4344" s="27" t="s">
        <v>10523</v>
      </c>
      <c r="C4344" s="27"/>
      <c r="D4344" s="33" t="s">
        <v>14</v>
      </c>
      <c r="E4344" s="34">
        <v>2</v>
      </c>
      <c r="F4344" s="34">
        <v>36</v>
      </c>
      <c r="G4344" s="10">
        <v>473232</v>
      </c>
      <c r="H4344" s="30" t="str">
        <f ca="1">IFERROR(__xludf.DUMMYFUNCTION("LOWER(REGEXREPLACE(B4344&amp;"" ""&amp;C4344,""[^а-яa-z0-9 ]"","" ""))")," ележка шпилька для подносов     2 00  размеры 1000х600х1500 мм  вместимость до 40 подносов  прочная конструкция из нержавеющей стали  четыре поворотных колеса  два из них с блокираторами  4 ручки ")</f>
        <v xml:space="preserve"> ележка шпилька для подносов     2 00  размеры 1000х600х1500 мм  вместимость до 40 подносов  прочная конструкция из нержавеющей стали  четыре поворотных колеса  два из них с блокираторами  4 ручки </v>
      </c>
    </row>
    <row r="4345" spans="1:8" ht="12.75" x14ac:dyDescent="0.2">
      <c r="A4345" s="31" t="s">
        <v>10524</v>
      </c>
      <c r="B4345" s="27" t="s">
        <v>10525</v>
      </c>
      <c r="C4345" s="27"/>
      <c r="D4345" s="33" t="s">
        <v>14</v>
      </c>
      <c r="E4345" s="9"/>
      <c r="F4345" s="32"/>
      <c r="G4345" s="10"/>
      <c r="H4345" s="30" t="str">
        <f ca="1">IFERROR(__xludf.DUMMYFUNCTION("LOWER(REGEXREPLACE(B4345&amp;"" ""&amp;C4345,""[^а-яa-z0-9 ]"","" ""))")," ележка шпилька для гастроемкостей ")</f>
        <v xml:space="preserve"> ележка шпилька для гастроемкостей </v>
      </c>
    </row>
    <row r="4346" spans="1:8" ht="25.5" x14ac:dyDescent="0.2">
      <c r="A4346" s="31" t="s">
        <v>10526</v>
      </c>
      <c r="B4346" s="27" t="s">
        <v>10527</v>
      </c>
      <c r="C4346" s="27"/>
      <c r="D4346" s="33" t="s">
        <v>14</v>
      </c>
      <c r="E4346" s="9"/>
      <c r="F4346" s="34">
        <v>13</v>
      </c>
      <c r="G4346" s="10">
        <v>258510</v>
      </c>
      <c r="H4346" s="30" t="str">
        <f ca="1">IFERROR(__xludf.DUMMYFUNCTION("LOWER(REGEXREPLACE(B4346&amp;"" ""&amp;C4346,""[^а-яa-z0-9 ]"","" ""))")," ележка шпилька для гастроемкостей     1 1 2 1     12  575х680х1750  ")</f>
        <v xml:space="preserve"> ележка шпилька для гастроемкостей     1 1 2 1     12  575х680х1750  </v>
      </c>
    </row>
    <row r="4347" spans="1:8" ht="38.25" x14ac:dyDescent="0.2">
      <c r="A4347" s="31" t="s">
        <v>10528</v>
      </c>
      <c r="B4347" s="27" t="s">
        <v>10529</v>
      </c>
      <c r="C4347" s="27"/>
      <c r="D4347" s="33" t="s">
        <v>14</v>
      </c>
      <c r="E4347" s="9"/>
      <c r="F4347" s="34">
        <v>18</v>
      </c>
      <c r="G4347" s="10">
        <v>259207</v>
      </c>
      <c r="H4347" s="30" t="str">
        <f ca="1">IFERROR(__xludf.DUMMYFUNCTION("LOWER(REGEXREPLACE(B4347&amp;"" ""&amp;C4347,""[^а-яa-z0-9 ]"","" ""))")," ележка шпилька для гастроемкостей 15 уровней  1500х560х385мм  из нержавеющей стали    15 1 1 ")</f>
        <v xml:space="preserve"> ележка шпилька для гастроемкостей 15 уровней  1500х560х385мм  из нержавеющей стали    15 1 1 </v>
      </c>
    </row>
    <row r="4348" spans="1:8" ht="38.25" x14ac:dyDescent="0.2">
      <c r="A4348" s="31" t="s">
        <v>10530</v>
      </c>
      <c r="B4348" s="27" t="s">
        <v>10531</v>
      </c>
      <c r="C4348" s="27"/>
      <c r="D4348" s="33" t="s">
        <v>14</v>
      </c>
      <c r="E4348" s="9"/>
      <c r="F4348" s="34">
        <v>18</v>
      </c>
      <c r="G4348" s="10">
        <v>300000</v>
      </c>
      <c r="H4348" s="30" t="str">
        <f ca="1">IFERROR(__xludf.DUMMYFUNCTION("LOWER(REGEXREPLACE(B4348&amp;"" ""&amp;C4348,""[^а-яa-z0-9 ]"","" ""))")," ележка шпилька для посудомоечных кассет 15 уровней  520х520х1800 мм  из нержавеющей стали     15 ")</f>
        <v xml:space="preserve"> ележка шпилька для посудомоечных кассет 15 уровней  520х520х1800 мм  из нержавеющей стали     15 </v>
      </c>
    </row>
    <row r="4349" spans="1:8" ht="12.75" x14ac:dyDescent="0.2">
      <c r="A4349" s="31" t="s">
        <v>10532</v>
      </c>
      <c r="B4349" s="27" t="s">
        <v>10533</v>
      </c>
      <c r="C4349" s="27"/>
      <c r="D4349" s="33" t="s">
        <v>14</v>
      </c>
      <c r="E4349" s="9"/>
      <c r="F4349" s="35">
        <v>12.6</v>
      </c>
      <c r="G4349" s="10">
        <v>354396</v>
      </c>
      <c r="H4349" s="30" t="str">
        <f ca="1">IFERROR(__xludf.DUMMYFUNCTION("LOWER(REGEXREPLACE(B4349&amp;"" ""&amp;C4349,""[^а-яa-z0-9 ]"","" ""))")," анна моечная      2 1 400    600х600х850  ")</f>
        <v xml:space="preserve"> анна моечная      2 1 400    600х600х850  </v>
      </c>
    </row>
    <row r="4350" spans="1:8" ht="12.75" x14ac:dyDescent="0.2">
      <c r="A4350" s="31" t="s">
        <v>10534</v>
      </c>
      <c r="B4350" s="27" t="s">
        <v>10535</v>
      </c>
      <c r="C4350" s="27"/>
      <c r="D4350" s="33" t="s">
        <v>14</v>
      </c>
      <c r="E4350" s="9"/>
      <c r="F4350" s="34">
        <v>15</v>
      </c>
      <c r="G4350" s="10">
        <v>551648</v>
      </c>
      <c r="H4350" s="30" t="str">
        <f ca="1">IFERROR(__xludf.DUMMYFUNCTION("LOWER(REGEXREPLACE(B4350&amp;"" ""&amp;C4350,""[^а-яa-z0-9 ]"","" ""))")," анна моечная      2 2 400    1200х600х850  ")</f>
        <v xml:space="preserve"> анна моечная      2 2 400    1200х600х850  </v>
      </c>
    </row>
    <row r="4351" spans="1:8" ht="12.75" x14ac:dyDescent="0.2">
      <c r="A4351" s="31" t="s">
        <v>10536</v>
      </c>
      <c r="B4351" s="27" t="s">
        <v>10537</v>
      </c>
      <c r="C4351" s="27"/>
      <c r="D4351" s="33" t="s">
        <v>14</v>
      </c>
      <c r="E4351" s="9"/>
      <c r="F4351" s="35">
        <v>56.3</v>
      </c>
      <c r="G4351" s="10">
        <v>821429</v>
      </c>
      <c r="H4351" s="30" t="str">
        <f ca="1">IFERROR(__xludf.DUMMYFUNCTION("LOWER(REGEXREPLACE(B4351&amp;"" ""&amp;C4351,""[^а-яa-z0-9 ]"","" ""))")," анна моечная      2 3 400    1700х600х850  ")</f>
        <v xml:space="preserve"> анна моечная      2 3 400    1700х600х850  </v>
      </c>
    </row>
    <row r="4352" spans="1:8" ht="12.75" x14ac:dyDescent="0.2">
      <c r="A4352" s="31" t="s">
        <v>10538</v>
      </c>
      <c r="B4352" s="27" t="s">
        <v>10539</v>
      </c>
      <c r="C4352" s="27"/>
      <c r="D4352" s="33" t="s">
        <v>14</v>
      </c>
      <c r="E4352" s="9"/>
      <c r="F4352" s="36">
        <v>19.350000000000001</v>
      </c>
      <c r="G4352" s="10">
        <v>637363</v>
      </c>
      <c r="H4352" s="30" t="str">
        <f ca="1">IFERROR(__xludf.DUMMYFUNCTION("LOWER(REGEXREPLACE(B4352&amp;"" ""&amp;C4352,""[^а-яa-z0-9 ]"","" ""))")," анна моечная      2 2 500    1200х700х850  ")</f>
        <v xml:space="preserve"> анна моечная      2 2 500    1200х700х850  </v>
      </c>
    </row>
    <row r="4353" spans="1:8" ht="12.75" x14ac:dyDescent="0.2">
      <c r="A4353" s="31" t="s">
        <v>10540</v>
      </c>
      <c r="B4353" s="27" t="s">
        <v>10541</v>
      </c>
      <c r="C4353" s="27"/>
      <c r="D4353" s="33" t="s">
        <v>14</v>
      </c>
      <c r="E4353" s="9"/>
      <c r="F4353" s="32"/>
      <c r="G4353" s="10"/>
      <c r="H4353" s="30" t="str">
        <f ca="1">IFERROR(__xludf.DUMMYFUNCTION("LOWER(REGEXREPLACE(B4353&amp;"" ""&amp;C4353,""[^а-яa-z0-9 ]"","" ""))")," анна моечная ")</f>
        <v xml:space="preserve"> анна моечная </v>
      </c>
    </row>
    <row r="4354" spans="1:8" ht="12.75" x14ac:dyDescent="0.2">
      <c r="A4354" s="31" t="s">
        <v>10542</v>
      </c>
      <c r="B4354" s="27" t="s">
        <v>10543</v>
      </c>
      <c r="C4354" s="27"/>
      <c r="D4354" s="33" t="s">
        <v>14</v>
      </c>
      <c r="E4354" s="9"/>
      <c r="F4354" s="36">
        <v>19.350000000000001</v>
      </c>
      <c r="G4354" s="10">
        <v>372042</v>
      </c>
      <c r="H4354" s="30" t="str">
        <f ca="1">IFERROR(__xludf.DUMMYFUNCTION("LOWER(REGEXREPLACE(B4354&amp;"" ""&amp;C4354,""[^а-яa-z0-9 ]"","" ""))")," анна моечная      2 2 500    1100х700х850  ")</f>
        <v xml:space="preserve"> анна моечная      2 2 500    1100х700х850  </v>
      </c>
    </row>
    <row r="4355" spans="1:8" ht="38.25" x14ac:dyDescent="0.2">
      <c r="A4355" s="31" t="s">
        <v>10544</v>
      </c>
      <c r="B4355" s="27" t="s">
        <v>10545</v>
      </c>
      <c r="C4355" s="27"/>
      <c r="D4355" s="33" t="s">
        <v>14</v>
      </c>
      <c r="E4355" s="9"/>
      <c r="F4355" s="34">
        <v>12</v>
      </c>
      <c r="G4355" s="10">
        <v>266388</v>
      </c>
      <c r="H4355" s="30" t="str">
        <f ca="1">IFERROR(__xludf.DUMMYFUNCTION("LOWER(REGEXREPLACE(B4355&amp;"" ""&amp;C4355,""[^а-яa-z0-9 ]"","" ""))")," анна моечная разборная из нержавеющей стали 600х600х850 мм 1 емкость цельнотянутая разм 400х400х250 мм      1 600 600 ")</f>
        <v xml:space="preserve"> анна моечная разборная из нержавеющей стали 600х600х850 мм 1 емкость цельнотянутая разм 400х400х250 мм      1 600 600 </v>
      </c>
    </row>
    <row r="4356" spans="1:8" ht="38.25" x14ac:dyDescent="0.2">
      <c r="A4356" s="31" t="s">
        <v>10546</v>
      </c>
      <c r="B4356" s="27" t="s">
        <v>10547</v>
      </c>
      <c r="C4356" s="27"/>
      <c r="D4356" s="33" t="s">
        <v>14</v>
      </c>
      <c r="E4356" s="9"/>
      <c r="F4356" s="34">
        <v>12</v>
      </c>
      <c r="G4356" s="10">
        <v>275986</v>
      </c>
      <c r="H4356" s="30" t="str">
        <f ca="1">IFERROR(__xludf.DUMMYFUNCTION("LOWER(REGEXREPLACE(B4356&amp;"" ""&amp;C4356,""[^а-яa-z0-9 ]"","" ""))")," анна моечная разборная из нержавеющей стали 600х700х850 мм 1 емкость цельнотянутая разм 500х500х300 мм      1 600 700 ")</f>
        <v xml:space="preserve"> анна моечная разборная из нержавеющей стали 600х700х850 мм 1 емкость цельнотянутая разм 500х500х300 мм      1 600 700 </v>
      </c>
    </row>
    <row r="4357" spans="1:8" ht="38.25" x14ac:dyDescent="0.2">
      <c r="A4357" s="31" t="s">
        <v>10548</v>
      </c>
      <c r="B4357" s="27" t="s">
        <v>10549</v>
      </c>
      <c r="C4357" s="27"/>
      <c r="D4357" s="33" t="s">
        <v>14</v>
      </c>
      <c r="E4357" s="9"/>
      <c r="F4357" s="34">
        <v>32</v>
      </c>
      <c r="G4357" s="10">
        <v>523201</v>
      </c>
      <c r="H4357" s="30" t="str">
        <f ca="1">IFERROR(__xludf.DUMMYFUNCTION("LOWER(REGEXREPLACE(B4357&amp;"" ""&amp;C4357,""[^а-яa-z0-9 ]"","" ""))")," анна моечная разборная из нержавеющей стали 1200х700х850 мм  2 емкости цельнотянутые разм 500х500х300 мм      2 1200 700 ")</f>
        <v xml:space="preserve"> анна моечная разборная из нержавеющей стали 1200х700х850 мм  2 емкости цельнотянутые разм 500х500х300 мм      2 1200 700 </v>
      </c>
    </row>
    <row r="4358" spans="1:8" ht="38.25" x14ac:dyDescent="0.2">
      <c r="A4358" s="31" t="s">
        <v>10550</v>
      </c>
      <c r="B4358" s="27" t="s">
        <v>10551</v>
      </c>
      <c r="C4358" s="27"/>
      <c r="D4358" s="33" t="s">
        <v>14</v>
      </c>
      <c r="E4358" s="9"/>
      <c r="F4358" s="34">
        <v>39</v>
      </c>
      <c r="G4358" s="10">
        <v>727186</v>
      </c>
      <c r="H4358" s="30" t="str">
        <f ca="1">IFERROR(__xludf.DUMMYFUNCTION("LOWER(REGEXREPLACE(B4358&amp;"" ""&amp;C4358,""[^а-яa-z0-9 ]"","" ""))")," анна моечная разборная из нержавеющей стали 1600х600х850 мм  3 емкости цельнотянутые разм 400х400х250 мм      3 1600 600 ")</f>
        <v xml:space="preserve"> анна моечная разборная из нержавеющей стали 1600х600х850 мм  3 емкости цельнотянутые разм 400х400х250 мм      3 1600 600 </v>
      </c>
    </row>
    <row r="4359" spans="1:8" ht="38.25" x14ac:dyDescent="0.2">
      <c r="A4359" s="31" t="s">
        <v>10552</v>
      </c>
      <c r="B4359" s="27" t="s">
        <v>10553</v>
      </c>
      <c r="C4359" s="27"/>
      <c r="D4359" s="33" t="s">
        <v>14</v>
      </c>
      <c r="E4359" s="9"/>
      <c r="F4359" s="34">
        <v>41</v>
      </c>
      <c r="G4359" s="10">
        <v>981546</v>
      </c>
      <c r="H4359" s="30" t="str">
        <f ca="1">IFERROR(__xludf.DUMMYFUNCTION("LOWER(REGEXREPLACE(B4359&amp;"" ""&amp;C4359,""[^а-яa-z0-9 ]"","" ""))")," анна моечная разборная из нержавеющей стали 1800х700х850 мм  3 емкости цельнотянутые разм 500х500х300 мм      3 1800 700 ")</f>
        <v xml:space="preserve"> анна моечная разборная из нержавеющей стали 1800х700х850 мм  3 емкости цельнотянутые разм 500х500х300 мм      3 1800 700 </v>
      </c>
    </row>
    <row r="4360" spans="1:8" ht="89.25" x14ac:dyDescent="0.2">
      <c r="A4360" s="31" t="s">
        <v>10554</v>
      </c>
      <c r="B4360" s="8" t="s">
        <v>10555</v>
      </c>
      <c r="C4360" s="27"/>
      <c r="D4360" s="33" t="s">
        <v>14</v>
      </c>
      <c r="E4360" s="34">
        <v>2</v>
      </c>
      <c r="F4360" s="34">
        <v>29</v>
      </c>
      <c r="G4360" s="10">
        <v>426374</v>
      </c>
      <c r="H4360" s="30" t="str">
        <f ca="1">IFERROR(__xludf.DUMMYFUNCTION("LOWER(REGEXREPLACE(B4360&amp;"" ""&amp;C4360,""[^а-яa-z0-9 ]"","" ""))")," 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пласт"&amp;"иковые опоры      2 1200 600 ")</f>
        <v xml:space="preserve"> 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2 1200 600 </v>
      </c>
    </row>
    <row r="4361" spans="1:8" ht="76.5" x14ac:dyDescent="0.2">
      <c r="A4361" s="31" t="s">
        <v>10556</v>
      </c>
      <c r="B4361" s="27" t="s">
        <v>10557</v>
      </c>
      <c r="C4361" s="27"/>
      <c r="D4361" s="33" t="s">
        <v>14</v>
      </c>
      <c r="E4361" s="34">
        <v>2</v>
      </c>
      <c r="F4361" s="34">
        <v>18</v>
      </c>
      <c r="G4361" s="10">
        <v>127409</v>
      </c>
      <c r="H4361" s="30" t="str">
        <f ca="1">IFERROR(__xludf.DUMMYFUNCTION("LOWER(REGEXREPLACE(B4361&amp;"" ""&amp;C4361,""[^а-яa-z0-9 ]"","" ""))")," анна моечная 500х500х830мм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1 500 500    ")</f>
        <v xml:space="preserve"> анна моечная 500х500х830мм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1 500 500    </v>
      </c>
    </row>
    <row r="4362" spans="1:8" ht="76.5" x14ac:dyDescent="0.2">
      <c r="A4362" s="31" t="s">
        <v>10558</v>
      </c>
      <c r="B4362" s="27" t="s">
        <v>10559</v>
      </c>
      <c r="C4362" s="27"/>
      <c r="D4362" s="33" t="s">
        <v>14</v>
      </c>
      <c r="E4362" s="34">
        <v>2</v>
      </c>
      <c r="F4362" s="34">
        <v>29</v>
      </c>
      <c r="G4362" s="10">
        <v>207938</v>
      </c>
      <c r="H4362" s="30" t="str">
        <f ca="1">IFERROR(__xludf.DUMMYFUNCTION("LOWER(REGEXREPLACE(B4362&amp;"" ""&amp;C4362,""[^а-яa-z0-9 ]"","" ""))")," 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1000 500    ")</f>
        <v xml:space="preserve"> 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1000 500    </v>
      </c>
    </row>
    <row r="4363" spans="1:8" ht="76.5" x14ac:dyDescent="0.2">
      <c r="A4363" s="31" t="s">
        <v>10560</v>
      </c>
      <c r="B4363" s="27" t="s">
        <v>10561</v>
      </c>
      <c r="C4363" s="27"/>
      <c r="D4363" s="33" t="s">
        <v>14</v>
      </c>
      <c r="E4363" s="34">
        <v>2</v>
      </c>
      <c r="F4363" s="34">
        <v>46</v>
      </c>
      <c r="G4363" s="10">
        <v>340019</v>
      </c>
      <c r="H4363" s="30" t="str">
        <f ca="1">IFERROR(__xludf.DUMMYFUNCTION("LOWER(REGEXREPLACE(B4363&amp;"" ""&amp;C4363,""[^а-яa-z0-9 ]"","" ""))")," 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1500 500    ")</f>
        <v xml:space="preserve"> 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1500 500    </v>
      </c>
    </row>
    <row r="4364" spans="1:8" ht="76.5" x14ac:dyDescent="0.2">
      <c r="A4364" s="31" t="s">
        <v>10562</v>
      </c>
      <c r="B4364" s="8" t="s">
        <v>10563</v>
      </c>
      <c r="C4364" s="27"/>
      <c r="D4364" s="33" t="s">
        <v>14</v>
      </c>
      <c r="E4364" s="34">
        <v>2</v>
      </c>
      <c r="F4364" s="34">
        <v>18</v>
      </c>
      <c r="G4364" s="10">
        <v>161267</v>
      </c>
      <c r="H4364" s="30" t="str">
        <f ca="1">IFERROR(__xludf.DUMMYFUNCTION("LOWER(REGEXREPLACE(B4364&amp;"" ""&amp;C4364,""[^а-яa-z0-9 ]"","" ""))")," 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1 600 600    ")</f>
        <v xml:space="preserve"> 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1 600 600    </v>
      </c>
    </row>
    <row r="4365" spans="1:8" ht="76.5" x14ac:dyDescent="0.2">
      <c r="A4365" s="31" t="s">
        <v>10564</v>
      </c>
      <c r="B4365" s="27" t="s">
        <v>10565</v>
      </c>
      <c r="C4365" s="27"/>
      <c r="D4365" s="33" t="s">
        <v>14</v>
      </c>
      <c r="E4365" s="34">
        <v>2</v>
      </c>
      <c r="F4365" s="34">
        <v>29</v>
      </c>
      <c r="G4365" s="10">
        <v>269629</v>
      </c>
      <c r="H4365" s="30" t="str">
        <f ca="1">IFERROR(__xludf.DUMMYFUNCTION("LOWER(REGEXREPLACE(B4365&amp;"" ""&amp;C4365,""[^а-яa-z0-9 ]"","" ""))")," 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1200 600    ")</f>
        <v xml:space="preserve"> 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1200 600    </v>
      </c>
    </row>
    <row r="4366" spans="1:8" ht="76.5" x14ac:dyDescent="0.2">
      <c r="A4366" s="31" t="s">
        <v>10566</v>
      </c>
      <c r="B4366" s="27" t="s">
        <v>10567</v>
      </c>
      <c r="C4366" s="27"/>
      <c r="D4366" s="33" t="s">
        <v>14</v>
      </c>
      <c r="E4366" s="34">
        <v>2</v>
      </c>
      <c r="F4366" s="34">
        <v>48</v>
      </c>
      <c r="G4366" s="10">
        <v>390297</v>
      </c>
      <c r="H4366" s="30" t="str">
        <f ca="1">IFERROR(__xludf.DUMMYFUNCTION("LOWER(REGEXREPLACE(B4366&amp;"" ""&amp;C4366,""[^а-яa-z0-9 ]"","" ""))")," 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1600 600    ")</f>
        <v xml:space="preserve"> 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1600 600    </v>
      </c>
    </row>
    <row r="4367" spans="1:8" ht="76.5" x14ac:dyDescent="0.2">
      <c r="A4367" s="31" t="s">
        <v>10568</v>
      </c>
      <c r="B4367" s="27" t="s">
        <v>10569</v>
      </c>
      <c r="C4367" s="27"/>
      <c r="D4367" s="33" t="s">
        <v>14</v>
      </c>
      <c r="E4367" s="34">
        <v>2</v>
      </c>
      <c r="F4367" s="34">
        <v>51</v>
      </c>
      <c r="G4367" s="10">
        <v>413600</v>
      </c>
      <c r="H4367" s="30" t="str">
        <f ca="1">IFERROR(__xludf.DUMMYFUNCTION("LOWER(REGEXREPLACE(B4367&amp;"" ""&amp;C4367,""[^а-яa-z0-9 ]"","" ""))")," 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600    ")</f>
        <v xml:space="preserve"> 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600    </v>
      </c>
    </row>
    <row r="4368" spans="1:8" ht="76.5" x14ac:dyDescent="0.2">
      <c r="A4368" s="31" t="s">
        <v>10570</v>
      </c>
      <c r="B4368" s="27" t="s">
        <v>10571</v>
      </c>
      <c r="C4368" s="27"/>
      <c r="D4368" s="33" t="s">
        <v>14</v>
      </c>
      <c r="E4368" s="34">
        <v>2</v>
      </c>
      <c r="F4368" s="34">
        <v>23</v>
      </c>
      <c r="G4368" s="10">
        <v>162590</v>
      </c>
      <c r="H4368" s="30" t="str">
        <f ca="1">IFERROR(__xludf.DUMMYFUNCTION("LOWER(REGEXREPLACE(B4368&amp;"" ""&amp;C4368,""[^а-яa-z0-9 ]"","" ""))")," 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1 700 700    ")</f>
        <v xml:space="preserve"> 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1 700 700    </v>
      </c>
    </row>
    <row r="4369" spans="1:8" ht="76.5" x14ac:dyDescent="0.2">
      <c r="A4369" s="31" t="s">
        <v>10572</v>
      </c>
      <c r="B4369" s="27" t="s">
        <v>10573</v>
      </c>
      <c r="C4369" s="27"/>
      <c r="D4369" s="33" t="s">
        <v>14</v>
      </c>
      <c r="E4369" s="34">
        <v>2</v>
      </c>
      <c r="F4369" s="34">
        <v>33</v>
      </c>
      <c r="G4369" s="10">
        <v>284572</v>
      </c>
      <c r="H4369" s="30" t="str">
        <f ca="1">IFERROR(__xludf.DUMMYFUNCTION("LOWER(REGEXREPLACE(B4369&amp;"" ""&amp;C4369,""[^а-яa-z0-9 ]"","" ""))")," 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1400 700    ")</f>
        <v xml:space="preserve"> 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1400 700    </v>
      </c>
    </row>
    <row r="4370" spans="1:8" ht="76.5" x14ac:dyDescent="0.2">
      <c r="A4370" s="31" t="s">
        <v>10574</v>
      </c>
      <c r="B4370" s="27" t="s">
        <v>10575</v>
      </c>
      <c r="C4370" s="27"/>
      <c r="D4370" s="33" t="s">
        <v>14</v>
      </c>
      <c r="E4370" s="34">
        <v>2</v>
      </c>
      <c r="F4370" s="34">
        <v>56</v>
      </c>
      <c r="G4370" s="10">
        <v>371713</v>
      </c>
      <c r="H4370" s="30" t="str">
        <f ca="1">IFERROR(__xludf.DUMMYFUNCTION("LOWER(REGEXREPLACE(B4370&amp;"" ""&amp;C4370,""[^а-яa-z0-9 ]"","" ""))")," 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700    ")</f>
        <v xml:space="preserve"> 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700    </v>
      </c>
    </row>
    <row r="4371" spans="1:8" ht="25.5" x14ac:dyDescent="0.2">
      <c r="A4371" s="31" t="s">
        <v>10576</v>
      </c>
      <c r="B4371" s="27" t="s">
        <v>10577</v>
      </c>
      <c r="C4371" s="27"/>
      <c r="D4371" s="33" t="s">
        <v>14</v>
      </c>
      <c r="E4371" s="34">
        <v>2</v>
      </c>
      <c r="F4371" s="36">
        <v>23.33</v>
      </c>
      <c r="G4371" s="10">
        <v>175126</v>
      </c>
      <c r="H4371" s="30" t="str">
        <f ca="1">IFERROR(__xludf.DUMMYFUNCTION("LOWER(REGEXREPLACE(B4371&amp;"" ""&amp;C4371,""[^а-яa-z0-9 ]"","" ""))")," тол с двумя мойками       120 60   ержавеющая сталь   азмер  1200x600x850мм ")</f>
        <v xml:space="preserve"> тол с двумя мойками       120 60   ержавеющая сталь   азмер  1200x600x850мм </v>
      </c>
    </row>
    <row r="4372" spans="1:8" ht="25.5" x14ac:dyDescent="0.2">
      <c r="A4372" s="31" t="s">
        <v>10578</v>
      </c>
      <c r="B4372" s="27" t="s">
        <v>10579</v>
      </c>
      <c r="C4372" s="27"/>
      <c r="D4372" s="33" t="s">
        <v>14</v>
      </c>
      <c r="E4372" s="34">
        <v>2</v>
      </c>
      <c r="F4372" s="36">
        <v>25.49</v>
      </c>
      <c r="G4372" s="10">
        <v>181217</v>
      </c>
      <c r="H4372" s="30" t="str">
        <f ca="1">IFERROR(__xludf.DUMMYFUNCTION("LOWER(REGEXREPLACE(B4372&amp;"" ""&amp;C4372,""[^а-яa-z0-9 ]"","" ""))")," тол с двумя мойками       140 60   ержавеющая сталь   азмер  1400x600x850мм ")</f>
        <v xml:space="preserve"> тол с двумя мойками       140 60   ержавеющая сталь   азмер  1400x600x850мм </v>
      </c>
    </row>
    <row r="4373" spans="1:8" ht="25.5" x14ac:dyDescent="0.2">
      <c r="A4373" s="31" t="s">
        <v>10580</v>
      </c>
      <c r="B4373" s="27" t="s">
        <v>10581</v>
      </c>
      <c r="C4373" s="27"/>
      <c r="D4373" s="33" t="s">
        <v>14</v>
      </c>
      <c r="E4373" s="34">
        <v>2</v>
      </c>
      <c r="F4373" s="36">
        <v>27.65</v>
      </c>
      <c r="G4373" s="10">
        <v>186632</v>
      </c>
      <c r="H4373" s="30" t="str">
        <f ca="1">IFERROR(__xludf.DUMMYFUNCTION("LOWER(REGEXREPLACE(B4373&amp;"" ""&amp;C4373,""[^а-яa-z0-9 ]"","" ""))")," тол с двумя мойками       160 60   ержавеющая сталь   азмер  1600x600x850мм ")</f>
        <v xml:space="preserve"> тол с двумя мойками       160 60   ержавеющая сталь   азмер  1600x600x850мм </v>
      </c>
    </row>
    <row r="4374" spans="1:8" ht="25.5" x14ac:dyDescent="0.2">
      <c r="A4374" s="31" t="s">
        <v>10582</v>
      </c>
      <c r="B4374" s="27" t="s">
        <v>10583</v>
      </c>
      <c r="C4374" s="27"/>
      <c r="D4374" s="33" t="s">
        <v>14</v>
      </c>
      <c r="E4374" s="34">
        <v>2</v>
      </c>
      <c r="F4374" s="36">
        <v>29.81</v>
      </c>
      <c r="G4374" s="10">
        <v>192723</v>
      </c>
      <c r="H4374" s="30" t="str">
        <f ca="1">IFERROR(__xludf.DUMMYFUNCTION("LOWER(REGEXREPLACE(B4374&amp;"" ""&amp;C4374,""[^а-яa-z0-9 ]"","" ""))")," тол с двумя мойками       180 60   ержавеющая сталь   азмер  1800x600x850мм ")</f>
        <v xml:space="preserve"> тол с двумя мойками       180 60   ержавеющая сталь   азмер  1800x600x850мм </v>
      </c>
    </row>
    <row r="4375" spans="1:8" ht="25.5" x14ac:dyDescent="0.2">
      <c r="A4375" s="31" t="s">
        <v>10584</v>
      </c>
      <c r="B4375" s="27" t="s">
        <v>10585</v>
      </c>
      <c r="C4375" s="27"/>
      <c r="D4375" s="33" t="s">
        <v>14</v>
      </c>
      <c r="E4375" s="34">
        <v>2</v>
      </c>
      <c r="F4375" s="36">
        <v>25.13</v>
      </c>
      <c r="G4375" s="10">
        <v>180540</v>
      </c>
      <c r="H4375" s="30" t="str">
        <f ca="1">IFERROR(__xludf.DUMMYFUNCTION("LOWER(REGEXREPLACE(B4375&amp;"" ""&amp;C4375,""[^а-яa-z0-9 ]"","" ""))")," тол с двумя мойками       120 70   ержавеющая сталь   азмер  1200x700x850мм ")</f>
        <v xml:space="preserve"> тол с двумя мойками       120 70   ержавеющая сталь   азмер  1200x700x850мм </v>
      </c>
    </row>
    <row r="4376" spans="1:8" ht="25.5" x14ac:dyDescent="0.2">
      <c r="A4376" s="31" t="s">
        <v>10586</v>
      </c>
      <c r="B4376" s="27" t="s">
        <v>10587</v>
      </c>
      <c r="C4376" s="27"/>
      <c r="D4376" s="33" t="s">
        <v>14</v>
      </c>
      <c r="E4376" s="34">
        <v>2</v>
      </c>
      <c r="F4376" s="36">
        <v>27.44</v>
      </c>
      <c r="G4376" s="10">
        <v>186631</v>
      </c>
      <c r="H4376" s="30" t="str">
        <f ca="1">IFERROR(__xludf.DUMMYFUNCTION("LOWER(REGEXREPLACE(B4376&amp;"" ""&amp;C4376,""[^а-яa-z0-9 ]"","" ""))")," тол с двумя мойками       140 70   ержавеющая сталь   азмер  1400x700x850мм ")</f>
        <v xml:space="preserve"> тол с двумя мойками       140 70   ержавеющая сталь   азмер  1400x700x850мм </v>
      </c>
    </row>
    <row r="4377" spans="1:8" ht="25.5" x14ac:dyDescent="0.2">
      <c r="A4377" s="31" t="s">
        <v>10588</v>
      </c>
      <c r="B4377" s="27" t="s">
        <v>10589</v>
      </c>
      <c r="C4377" s="27"/>
      <c r="D4377" s="33" t="s">
        <v>14</v>
      </c>
      <c r="E4377" s="34">
        <v>2</v>
      </c>
      <c r="F4377" s="36">
        <v>29.75</v>
      </c>
      <c r="G4377" s="10">
        <v>191709</v>
      </c>
      <c r="H4377" s="30" t="str">
        <f ca="1">IFERROR(__xludf.DUMMYFUNCTION("LOWER(REGEXREPLACE(B4377&amp;"" ""&amp;C4377,""[^а-яa-z0-9 ]"","" ""))")," тол с двумя мойками       160 70   ержавеющая сталь   азмер  1600x700x850мм ")</f>
        <v xml:space="preserve"> тол с двумя мойками       160 70   ержавеющая сталь   азмер  1600x700x850мм </v>
      </c>
    </row>
    <row r="4378" spans="1:8" ht="25.5" x14ac:dyDescent="0.2">
      <c r="A4378" s="31" t="s">
        <v>10590</v>
      </c>
      <c r="B4378" s="27" t="s">
        <v>10591</v>
      </c>
      <c r="C4378" s="27"/>
      <c r="D4378" s="33" t="s">
        <v>14</v>
      </c>
      <c r="E4378" s="34">
        <v>2</v>
      </c>
      <c r="F4378" s="36">
        <v>32.06</v>
      </c>
      <c r="G4378" s="10">
        <v>197124</v>
      </c>
      <c r="H4378" s="30" t="str">
        <f ca="1">IFERROR(__xludf.DUMMYFUNCTION("LOWER(REGEXREPLACE(B4378&amp;"" ""&amp;C4378,""[^а-яa-z0-9 ]"","" ""))")," тол с двумя мойками       180 70   ержавеющая сталь   азмер  1800x700x850мм ")</f>
        <v xml:space="preserve"> тол с двумя мойками       180 70   ержавеющая сталь   азмер  1800x700x850мм </v>
      </c>
    </row>
    <row r="4379" spans="1:8" ht="38.25" x14ac:dyDescent="0.2">
      <c r="A4379" s="31" t="s">
        <v>10592</v>
      </c>
      <c r="B4379" s="27" t="s">
        <v>10593</v>
      </c>
      <c r="C4379" s="27"/>
      <c r="D4379" s="33" t="s">
        <v>14</v>
      </c>
      <c r="E4379" s="34">
        <v>2</v>
      </c>
      <c r="F4379" s="34">
        <v>28</v>
      </c>
      <c r="G4379" s="10">
        <v>39847</v>
      </c>
      <c r="H4379" s="30" t="str">
        <f ca="1">IFERROR(__xludf.DUMMYFUNCTION("LOWER(REGEXREPLACE(B4379&amp;"" ""&amp;C4379,""[^а-яa-z0-9 ]"","" ""))")," анна моечная односекционная     1   ойка сварная из нержавеющей стали  каркас из оцинкованной стали   азмер 630х630х850мм ")</f>
        <v xml:space="preserve"> анна моечная односекционная     1   ойка сварная из нержавеющей стали  каркас из оцинкованной стали   азмер 630х630х850мм </v>
      </c>
    </row>
    <row r="4380" spans="1:8" ht="38.25" x14ac:dyDescent="0.2">
      <c r="A4380" s="31" t="s">
        <v>10594</v>
      </c>
      <c r="B4380" s="27" t="s">
        <v>10595</v>
      </c>
      <c r="C4380" s="27"/>
      <c r="D4380" s="33" t="s">
        <v>14</v>
      </c>
      <c r="E4380" s="34">
        <v>2</v>
      </c>
      <c r="F4380" s="34">
        <v>33</v>
      </c>
      <c r="G4380" s="10">
        <v>66359</v>
      </c>
      <c r="H4380" s="30" t="str">
        <f ca="1">IFERROR(__xludf.DUMMYFUNCTION("LOWER(REGEXREPLACE(B4380&amp;"" ""&amp;C4380,""[^а-яa-z0-9 ]"","" ""))")," анна моечная двухсекционная     2   ойка сварная из нержавеющей стали  каркас из оцинкованной стали   азмер 1200х600х850мм ")</f>
        <v xml:space="preserve"> анна моечная двухсекционная     2   ойка сварная из нержавеющей стали  каркас из оцинкованной стали   азмер 1200х600х850мм </v>
      </c>
    </row>
    <row r="4381" spans="1:8" ht="38.25" x14ac:dyDescent="0.2">
      <c r="A4381" s="31" t="s">
        <v>10596</v>
      </c>
      <c r="B4381" s="27" t="s">
        <v>10597</v>
      </c>
      <c r="C4381" s="27"/>
      <c r="D4381" s="33" t="s">
        <v>14</v>
      </c>
      <c r="E4381" s="34">
        <v>2</v>
      </c>
      <c r="F4381" s="34">
        <v>40</v>
      </c>
      <c r="G4381" s="10">
        <v>107892</v>
      </c>
      <c r="H4381" s="30" t="str">
        <f ca="1">IFERROR(__xludf.DUMMYFUNCTION("LOWER(REGEXREPLACE(B4381&amp;"" ""&amp;C4381,""[^а-яa-z0-9 ]"","" ""))")," анна моечная тр хсекционная     3   ойка сварная из нержавеющей стали  каркас из оцинкованной стали   азмер 1800х600х850мм ")</f>
        <v xml:space="preserve"> анна моечная тр хсекционная     3   ойка сварная из нержавеющей стали  каркас из оцинкованной стали   азмер 1800х600х850мм </v>
      </c>
    </row>
    <row r="4382" spans="1:8" ht="63.75" x14ac:dyDescent="0.2">
      <c r="A4382" s="31" t="s">
        <v>10598</v>
      </c>
      <c r="B4382" s="8" t="s">
        <v>10599</v>
      </c>
      <c r="C4382" s="27"/>
      <c r="D4382" s="33" t="s">
        <v>14</v>
      </c>
      <c r="E4382" s="34">
        <v>2</v>
      </c>
      <c r="F4382" s="34">
        <v>15</v>
      </c>
      <c r="G4382" s="10">
        <v>174522</v>
      </c>
      <c r="H4382" s="30" t="str">
        <f ca="1">IFERROR(__xludf.DUMMYFUNCTION("LOWER(REGEXREPLACE(B4382&amp;"" ""&amp;C4382,""[^а-яa-z0-9 ]"","" ""))")," анна моечная цельно сварная     1 4 4 2 5  размеры 600х600х850 мм   аркас выполнен из уголка нержавеющей стали 40x40 мм  раковина из нержавеющей стали 400х400х250 мм ")</f>
        <v xml:space="preserve"> анна моечная цельно сварная     1 4 4 2 5  размеры 600х600х850 мм   аркас выполнен из уголка нержавеющей стали 40x40 мм  раковина из нержавеющей стали 400х400х250 мм </v>
      </c>
    </row>
    <row r="4383" spans="1:8" ht="63.75" x14ac:dyDescent="0.2">
      <c r="A4383" s="31" t="s">
        <v>10600</v>
      </c>
      <c r="B4383" s="8" t="s">
        <v>10601</v>
      </c>
      <c r="C4383" s="27"/>
      <c r="D4383" s="33" t="s">
        <v>14</v>
      </c>
      <c r="E4383" s="34">
        <v>2</v>
      </c>
      <c r="F4383" s="34">
        <v>20</v>
      </c>
      <c r="G4383" s="10">
        <v>275301</v>
      </c>
      <c r="H4383" s="30" t="str">
        <f ca="1">IFERROR(__xludf.DUMMYFUNCTION("LOWER(REGEXREPLACE(B4383&amp;"" ""&amp;C4383,""[^а-яa-z0-9 ]"","" ""))")," анна моечная цельно сварная     2 5 5 3  размеры 1200х600х850 мм   аркас выполнен из уголка нержавеющей стали 40x40 мм  раковина из нержавеющей стали 500х500х300 мм ")</f>
        <v xml:space="preserve"> анна моечная цельно сварная     2 5 5 3  размеры 1200х600х850 мм   аркас выполнен из уголка нержавеющей стали 40x40 мм  раковина из нержавеющей стали 500х500х300 мм </v>
      </c>
    </row>
    <row r="4384" spans="1:8" ht="63.75" x14ac:dyDescent="0.2">
      <c r="A4384" s="31" t="s">
        <v>10602</v>
      </c>
      <c r="B4384" s="8" t="s">
        <v>10603</v>
      </c>
      <c r="C4384" s="27"/>
      <c r="D4384" s="33" t="s">
        <v>14</v>
      </c>
      <c r="E4384" s="34">
        <v>2</v>
      </c>
      <c r="F4384" s="34">
        <v>18</v>
      </c>
      <c r="G4384" s="10">
        <v>275293</v>
      </c>
      <c r="H4384" s="30" t="str">
        <f ca="1">IFERROR(__xludf.DUMMYFUNCTION("LOWER(REGEXREPLACE(B4384&amp;"" ""&amp;C4384,""[^а-яa-z0-9 ]"","" ""))")," анна моечная цельно сварная     2 4 4 2 5  размеры 1200х600х850   250  мм   аркас выполнен из уголка нержавеющей стали 40x40 мм  раковина из нержавеющей стали 400х400х250 мм ")</f>
        <v xml:space="preserve"> анна моечная цельно сварная     2 4 4 2 5  размеры 1200х600х850   250  мм   аркас выполнен из уголка нержавеющей стали 40x40 мм  раковина из нержавеющей стали 400х400х250 мм </v>
      </c>
    </row>
    <row r="4385" spans="1:8" ht="12.75" x14ac:dyDescent="0.2">
      <c r="A4385" s="31" t="s">
        <v>10604</v>
      </c>
      <c r="B4385" s="27" t="s">
        <v>10605</v>
      </c>
      <c r="C4385" s="27"/>
      <c r="D4385" s="33" t="s">
        <v>14</v>
      </c>
      <c r="E4385" s="9"/>
      <c r="F4385" s="32"/>
      <c r="G4385" s="10"/>
      <c r="H4385" s="30" t="str">
        <f ca="1">IFERROR(__xludf.DUMMYFUNCTION("LOWER(REGEXREPLACE(B4385&amp;"" ""&amp;C4385,""[^а-яa-z0-9 ]"","" ""))")," анна котломоечная ")</f>
        <v xml:space="preserve"> анна котломоечная </v>
      </c>
    </row>
    <row r="4386" spans="1:8" ht="25.5" x14ac:dyDescent="0.2">
      <c r="A4386" s="31" t="s">
        <v>10606</v>
      </c>
      <c r="B4386" s="27" t="s">
        <v>10607</v>
      </c>
      <c r="C4386" s="27"/>
      <c r="D4386" s="33" t="s">
        <v>14</v>
      </c>
      <c r="E4386" s="9"/>
      <c r="F4386" s="34">
        <v>29</v>
      </c>
      <c r="G4386" s="10">
        <v>282538</v>
      </c>
      <c r="H4386" s="30" t="str">
        <f ca="1">IFERROR(__xludf.DUMMYFUNCTION("LOWER(REGEXREPLACE(B4386&amp;"" ""&amp;C4386,""[^а-яa-z0-9 ]"","" ""))")," анна котломоечная       1 600 800  1200х700х850  ")</f>
        <v xml:space="preserve"> анна котломоечная       1 600 800  1200х700х850  </v>
      </c>
    </row>
    <row r="4387" spans="1:8" ht="38.25" x14ac:dyDescent="0.2">
      <c r="A4387" s="31" t="s">
        <v>10608</v>
      </c>
      <c r="B4387" s="8" t="s">
        <v>10609</v>
      </c>
      <c r="C4387" s="27"/>
      <c r="D4387" s="33" t="s">
        <v>14</v>
      </c>
      <c r="E4387" s="9"/>
      <c r="F4387" s="34">
        <v>29</v>
      </c>
      <c r="G4387" s="10">
        <v>480000</v>
      </c>
      <c r="H4387" s="30" t="str">
        <f ca="1">IFERROR(__xludf.DUMMYFUNCTION("LOWER(REGEXREPLACE(B4387&amp;"" ""&amp;C4387,""[^а-яa-z0-9 ]"","" ""))")," анна котломоечная из нержавеющей стали 1200х700х850 мм  1 емкость сварная     1 1200 700    ")</f>
        <v xml:space="preserve"> анна котломоечная из нержавеющей стали 1200х700х850 мм  1 емкость сварная     1 1200 700    </v>
      </c>
    </row>
    <row r="4388" spans="1:8" ht="76.5" x14ac:dyDescent="0.2">
      <c r="A4388" s="31" t="s">
        <v>10610</v>
      </c>
      <c r="B4388" s="27" t="s">
        <v>10611</v>
      </c>
      <c r="C4388" s="27"/>
      <c r="D4388" s="33" t="s">
        <v>14</v>
      </c>
      <c r="E4388" s="34">
        <v>2</v>
      </c>
      <c r="F4388" s="34">
        <v>29</v>
      </c>
      <c r="G4388" s="10">
        <v>433928</v>
      </c>
      <c r="H4388" s="30" t="str">
        <f ca="1">IFERROR(__xludf.DUMMYFUNCTION("LOWER(REGEXREPLACE(B4388&amp;"" ""&amp;C4388,""[^а-яa-z0-9 ]"","" ""))")," 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1 800 800    ")</f>
        <v xml:space="preserve"> 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1 800 800    </v>
      </c>
    </row>
    <row r="4389" spans="1:8" ht="76.5" x14ac:dyDescent="0.2">
      <c r="A4389" s="31" t="s">
        <v>10612</v>
      </c>
      <c r="B4389" s="8" t="s">
        <v>10613</v>
      </c>
      <c r="C4389" s="27"/>
      <c r="D4389" s="33" t="s">
        <v>14</v>
      </c>
      <c r="E4389" s="34">
        <v>2</v>
      </c>
      <c r="F4389" s="34">
        <v>56</v>
      </c>
      <c r="G4389" s="10">
        <v>452648</v>
      </c>
      <c r="H4389" s="30" t="str">
        <f ca="1">IFERROR(__xludf.DUMMYFUNCTION("LOWER(REGEXREPLACE(B4389&amp;"" ""&amp;C4389,""[^а-яa-z0-9 ]"","" ""))")," 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1200 800    ")</f>
        <v xml:space="preserve"> 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1200 800    </v>
      </c>
    </row>
    <row r="4390" spans="1:8" ht="76.5" x14ac:dyDescent="0.2">
      <c r="A4390" s="31" t="s">
        <v>10614</v>
      </c>
      <c r="B4390" s="8" t="s">
        <v>10615</v>
      </c>
      <c r="C4390" s="27"/>
      <c r="D4390" s="33" t="s">
        <v>14</v>
      </c>
      <c r="E4390" s="34">
        <v>2</v>
      </c>
      <c r="F4390" s="34">
        <v>59</v>
      </c>
      <c r="G4390" s="10">
        <v>479189</v>
      </c>
      <c r="H4390" s="30" t="str">
        <f ca="1">IFERROR(__xludf.DUMMYFUNCTION("LOWER(REGEXREPLACE(B4390&amp;"" ""&amp;C4390,""[^а-яa-z0-9 ]"","" ""))")," 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1400 800    ")</f>
        <v xml:space="preserve"> 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1400 800    </v>
      </c>
    </row>
    <row r="4391" spans="1:8" ht="38.25" x14ac:dyDescent="0.2">
      <c r="A4391" s="31" t="s">
        <v>10616</v>
      </c>
      <c r="B4391" s="8" t="s">
        <v>10617</v>
      </c>
      <c r="C4391" s="27"/>
      <c r="D4391" s="33" t="s">
        <v>14</v>
      </c>
      <c r="E4391" s="34">
        <v>2</v>
      </c>
      <c r="F4391" s="36">
        <v>15.51</v>
      </c>
      <c r="G4391" s="10">
        <v>52098</v>
      </c>
      <c r="H4391" s="30" t="str">
        <f ca="1">IFERROR(__xludf.DUMMYFUNCTION("LOWER(REGEXREPLACE(B4391&amp;"" ""&amp;C4391,""[^а-яa-z0-9 ]"","" ""))")," тол подачи для мытья казана       80 80   ержавеющая сталь   азмер  800x800x630мм ")</f>
        <v xml:space="preserve"> тол подачи для мытья казана       80 80   ержавеющая сталь   азмер  800x800x630мм </v>
      </c>
    </row>
    <row r="4392" spans="1:8" ht="38.25" x14ac:dyDescent="0.2">
      <c r="A4392" s="31" t="s">
        <v>10618</v>
      </c>
      <c r="B4392" s="8" t="s">
        <v>10619</v>
      </c>
      <c r="C4392" s="27"/>
      <c r="D4392" s="33" t="s">
        <v>14</v>
      </c>
      <c r="E4392" s="34">
        <v>2</v>
      </c>
      <c r="F4392" s="36">
        <v>17.93</v>
      </c>
      <c r="G4392" s="10">
        <v>58865</v>
      </c>
      <c r="H4392" s="30" t="str">
        <f ca="1">IFERROR(__xludf.DUMMYFUNCTION("LOWER(REGEXREPLACE(B4392&amp;"" ""&amp;C4392,""[^а-яa-z0-9 ]"","" ""))")," тол подачи для мытья казана       100 80   ержавеющая сталь   азмер  1000x800x630мм ")</f>
        <v xml:space="preserve"> тол подачи для мытья казана       100 80   ержавеющая сталь   азмер  1000x800x630мм </v>
      </c>
    </row>
    <row r="4393" spans="1:8" ht="38.25" x14ac:dyDescent="0.2">
      <c r="A4393" s="31" t="s">
        <v>10620</v>
      </c>
      <c r="B4393" s="8" t="s">
        <v>10621</v>
      </c>
      <c r="C4393" s="27"/>
      <c r="D4393" s="33" t="s">
        <v>14</v>
      </c>
      <c r="E4393" s="34">
        <v>2</v>
      </c>
      <c r="F4393" s="36">
        <v>20.34</v>
      </c>
      <c r="G4393" s="10">
        <v>65295</v>
      </c>
      <c r="H4393" s="30" t="str">
        <f ca="1">IFERROR(__xludf.DUMMYFUNCTION("LOWER(REGEXREPLACE(B4393&amp;"" ""&amp;C4393,""[^а-яa-z0-9 ]"","" ""))")," тол подачи для мытья казана       120 80   ержавеющая сталь   азмер  1200x800x630мм ")</f>
        <v xml:space="preserve"> тол подачи для мытья казана       120 80   ержавеющая сталь   азмер  1200x800x630мм </v>
      </c>
    </row>
    <row r="4394" spans="1:8" ht="38.25" x14ac:dyDescent="0.2">
      <c r="A4394" s="31" t="s">
        <v>10622</v>
      </c>
      <c r="B4394" s="8" t="s">
        <v>10623</v>
      </c>
      <c r="C4394" s="27"/>
      <c r="D4394" s="33" t="s">
        <v>14</v>
      </c>
      <c r="E4394" s="34">
        <v>2</v>
      </c>
      <c r="F4394" s="36">
        <v>22.74</v>
      </c>
      <c r="G4394" s="10">
        <v>73076</v>
      </c>
      <c r="H4394" s="30" t="str">
        <f ca="1">IFERROR(__xludf.DUMMYFUNCTION("LOWER(REGEXREPLACE(B4394&amp;"" ""&amp;C4394,""[^а-яa-z0-9 ]"","" ""))")," тол подачи для мытья казана       140 80   ержавеющая сталь   азмер  1400x800x630мм ")</f>
        <v xml:space="preserve"> тол подачи для мытья казана       140 80   ержавеющая сталь   азмер  1400x800x630мм </v>
      </c>
    </row>
    <row r="4395" spans="1:8" ht="38.25" x14ac:dyDescent="0.2">
      <c r="A4395" s="31" t="s">
        <v>10624</v>
      </c>
      <c r="B4395" s="8" t="s">
        <v>10625</v>
      </c>
      <c r="C4395" s="27"/>
      <c r="D4395" s="33" t="s">
        <v>14</v>
      </c>
      <c r="E4395" s="34">
        <v>2</v>
      </c>
      <c r="F4395" s="36">
        <v>27.56</v>
      </c>
      <c r="G4395" s="10">
        <v>79853</v>
      </c>
      <c r="H4395" s="30" t="str">
        <f ca="1">IFERROR(__xludf.DUMMYFUNCTION("LOWER(REGEXREPLACE(B4395&amp;"" ""&amp;C4395,""[^а-яa-z0-9 ]"","" ""))")," тол подачи для мытья казана       180 80   ержавеющая сталь   азмер  1800x800x630мм ")</f>
        <v xml:space="preserve"> тол подачи для мытья казана       180 80   ержавеющая сталь   азмер  1800x800x630мм </v>
      </c>
    </row>
    <row r="4396" spans="1:8" ht="51" x14ac:dyDescent="0.2">
      <c r="A4396" s="31" t="s">
        <v>10626</v>
      </c>
      <c r="B4396" s="27" t="s">
        <v>10627</v>
      </c>
      <c r="C4396" s="27"/>
      <c r="D4396" s="33" t="s">
        <v>14</v>
      </c>
      <c r="E4396" s="34">
        <v>2</v>
      </c>
      <c r="F4396" s="34">
        <v>25</v>
      </c>
      <c r="G4396" s="10">
        <v>224195</v>
      </c>
      <c r="H4396" s="30" t="str">
        <f ca="1">IFERROR(__xludf.DUMMYFUNCTION("LOWER(REGEXREPLACE(B4396&amp;"" ""&amp;C4396,""[^а-яa-z0-9 ]"","" ""))")," анна моечная цельно сварная для котлов     1 8 7 5  размеры 800х700х890 мм   аркас выполнен из уголка нержавеющей стали 40x40 мм  раковина из нержавеющей стали 600х600х500 мм ")</f>
        <v xml:space="preserve"> анна моечная цельно сварная для котлов     1 8 7 5  размеры 800х700х890 мм   аркас выполнен из уголка нержавеющей стали 40x40 мм  раковина из нержавеющей стали 600х600х500 мм </v>
      </c>
    </row>
    <row r="4397" spans="1:8" ht="51" x14ac:dyDescent="0.2">
      <c r="A4397" s="31" t="s">
        <v>10628</v>
      </c>
      <c r="B4397" s="27" t="s">
        <v>10629</v>
      </c>
      <c r="C4397" s="27"/>
      <c r="D4397" s="33" t="s">
        <v>14</v>
      </c>
      <c r="E4397" s="34">
        <v>2</v>
      </c>
      <c r="F4397" s="34">
        <v>23</v>
      </c>
      <c r="G4397" s="10">
        <v>258050</v>
      </c>
      <c r="H4397" s="30" t="str">
        <f ca="1">IFERROR(__xludf.DUMMYFUNCTION("LOWER(REGEXREPLACE(B4397&amp;"" ""&amp;C4397,""[^а-яa-z0-9 ]"","" ""))")," анна моечная цельно сварная для котлов     1 6 6 4  размеры 800х700х850 мм   аркас выполнен из уголка нержавеющей стали 40x40 мм  раковина из нержавеющей стали 600х600х400 мм ")</f>
        <v xml:space="preserve"> анна моечная цельно сварная для котлов     1 6 6 4  размеры 800х700х850 мм   аркас выполнен из уголка нержавеющей стали 40x40 мм  раковина из нержавеющей стали 600х600х400 мм </v>
      </c>
    </row>
    <row r="4398" spans="1:8" ht="25.5" x14ac:dyDescent="0.2">
      <c r="A4398" s="31" t="s">
        <v>10630</v>
      </c>
      <c r="B4398" s="27" t="s">
        <v>10631</v>
      </c>
      <c r="C4398" s="27"/>
      <c r="D4398" s="33" t="s">
        <v>14</v>
      </c>
      <c r="E4398" s="9"/>
      <c r="F4398" s="35">
        <v>27.9</v>
      </c>
      <c r="G4398" s="10">
        <v>296704</v>
      </c>
      <c r="H4398" s="30" t="str">
        <f ca="1">IFERROR(__xludf.DUMMYFUNCTION("LOWER(REGEXREPLACE(B4398&amp;"" ""&amp;C4398,""[^а-яa-z0-9 ]"","" ""))")," онт вентиляционный пристенный           7 18 4 5  1800х700х450  ")</f>
        <v xml:space="preserve"> онт вентиляционный пристенный           7 18 4 5  1800х700х450  </v>
      </c>
    </row>
    <row r="4399" spans="1:8" ht="12.75" x14ac:dyDescent="0.2">
      <c r="A4399" s="31" t="s">
        <v>10632</v>
      </c>
      <c r="B4399" s="27" t="s">
        <v>10633</v>
      </c>
      <c r="C4399" s="27"/>
      <c r="D4399" s="33" t="s">
        <v>14</v>
      </c>
      <c r="E4399" s="9"/>
      <c r="F4399" s="32"/>
      <c r="G4399" s="10">
        <v>546704</v>
      </c>
      <c r="H4399" s="30" t="str">
        <f ca="1">IFERROR(__xludf.DUMMYFUNCTION("LOWER(REGEXREPLACE(B4399&amp;"" ""&amp;C4399,""[^а-яa-z0-9 ]"","" ""))")," онт вентиляционный пристенный 2000х900х450 ")</f>
        <v xml:space="preserve"> онт вентиляционный пристенный 2000х900х450 </v>
      </c>
    </row>
    <row r="4400" spans="1:8" ht="12.75" x14ac:dyDescent="0.2">
      <c r="A4400" s="31" t="s">
        <v>10634</v>
      </c>
      <c r="B4400" s="27" t="s">
        <v>10635</v>
      </c>
      <c r="C4400" s="27"/>
      <c r="D4400" s="33" t="s">
        <v>14</v>
      </c>
      <c r="E4400" s="9"/>
      <c r="F4400" s="32"/>
      <c r="G4400" s="10">
        <v>428571</v>
      </c>
      <c r="H4400" s="30" t="str">
        <f ca="1">IFERROR(__xludf.DUMMYFUNCTION("LOWER(REGEXREPLACE(B4400&amp;"" ""&amp;C4400,""[^а-яa-z0-9 ]"","" ""))")," онт вентиляционный     900 1300   ")</f>
        <v xml:space="preserve"> онт вентиляционный     900 1300   </v>
      </c>
    </row>
    <row r="4401" spans="1:8" ht="25.5" x14ac:dyDescent="0.2">
      <c r="A4401" s="31" t="s">
        <v>10636</v>
      </c>
      <c r="B4401" s="27" t="s">
        <v>10637</v>
      </c>
      <c r="C4401" s="27"/>
      <c r="D4401" s="33" t="s">
        <v>14</v>
      </c>
      <c r="E4401" s="9"/>
      <c r="F4401" s="32"/>
      <c r="G4401" s="10">
        <v>516484</v>
      </c>
      <c r="H4401" s="30" t="str">
        <f ca="1">IFERROR(__xludf.DUMMYFUNCTION("LOWER(REGEXREPLACE(B4401&amp;"" ""&amp;C4401,""[^а-яa-z0-9 ]"","" ""))")," онт вентиляционный пристенный     1300 1200   ")</f>
        <v xml:space="preserve"> онт вентиляционный пристенный     1300 1200   </v>
      </c>
    </row>
    <row r="4402" spans="1:8" ht="12.75" x14ac:dyDescent="0.2">
      <c r="A4402" s="31" t="s">
        <v>10638</v>
      </c>
      <c r="B4402" s="27" t="s">
        <v>10639</v>
      </c>
      <c r="C4402" s="27"/>
      <c r="D4402" s="33" t="s">
        <v>14</v>
      </c>
      <c r="E4402" s="9"/>
      <c r="F4402" s="34">
        <v>71</v>
      </c>
      <c r="G4402" s="10">
        <v>1071429</v>
      </c>
      <c r="H4402" s="30" t="str">
        <f ca="1">IFERROR(__xludf.DUMMYFUNCTION("LOWER(REGEXREPLACE(B4402&amp;"" ""&amp;C4402,""[^а-яa-z0-9 ]"","" ""))")," плит система среднетемпературная    222   ")</f>
        <v xml:space="preserve"> плит система среднетемпературная    222   </v>
      </c>
    </row>
    <row r="4403" spans="1:8" ht="12.75" x14ac:dyDescent="0.2">
      <c r="A4403" s="31" t="s">
        <v>10640</v>
      </c>
      <c r="B4403" s="27" t="s">
        <v>10641</v>
      </c>
      <c r="C4403" s="27"/>
      <c r="D4403" s="33" t="s">
        <v>14</v>
      </c>
      <c r="E4403" s="9"/>
      <c r="F4403" s="34">
        <v>64</v>
      </c>
      <c r="G4403" s="10">
        <v>859478</v>
      </c>
      <c r="H4403" s="30" t="str">
        <f ca="1">IFERROR(__xludf.DUMMYFUNCTION("LOWER(REGEXREPLACE(B4403&amp;"" ""&amp;C4403,""[^а-яa-z0-9 ]"","" ""))")," оноблок потолочный    109    ")</f>
        <v xml:space="preserve"> оноблок потолочный    109    </v>
      </c>
    </row>
    <row r="4404" spans="1:8" ht="25.5" x14ac:dyDescent="0.2">
      <c r="A4404" s="31" t="s">
        <v>10642</v>
      </c>
      <c r="B4404" s="27" t="s">
        <v>10643</v>
      </c>
      <c r="C4404" s="27"/>
      <c r="D4404" s="33" t="s">
        <v>14</v>
      </c>
      <c r="E4404" s="9"/>
      <c r="F4404" s="35">
        <v>33.299999999999997</v>
      </c>
      <c r="G4404" s="10">
        <v>195055</v>
      </c>
      <c r="H4404" s="30" t="str">
        <f ca="1">IFERROR(__xludf.DUMMYFUNCTION("LOWER(REGEXREPLACE(B4404&amp;"" ""&amp;C4404,""[^а-яa-z0-9 ]"","" ""))")," тол производственный       15 7  1500х700х850  ")</f>
        <v xml:space="preserve"> тол производственный       15 7  1500х700х850  </v>
      </c>
    </row>
    <row r="4405" spans="1:8" ht="12.75" x14ac:dyDescent="0.2">
      <c r="A4405" s="31" t="s">
        <v>10644</v>
      </c>
      <c r="B4405" s="27" t="s">
        <v>10645</v>
      </c>
      <c r="C4405" s="27"/>
      <c r="D4405" s="33" t="s">
        <v>14</v>
      </c>
      <c r="E4405" s="9"/>
      <c r="F4405" s="32"/>
      <c r="G4405" s="10">
        <v>189011</v>
      </c>
      <c r="H4405" s="30" t="str">
        <f ca="1">IFERROR(__xludf.DUMMYFUNCTION("LOWER(REGEXREPLACE(B4405&amp;"" ""&amp;C4405,""[^а-яa-z0-9 ]"","" ""))")," тол производственный      17 6  1700х600х850  ")</f>
        <v xml:space="preserve"> тол производственный      17 6  1700х600х850  </v>
      </c>
    </row>
    <row r="4406" spans="1:8" ht="25.5" x14ac:dyDescent="0.2">
      <c r="A4406" s="31" t="s">
        <v>10646</v>
      </c>
      <c r="B4406" s="27" t="s">
        <v>10647</v>
      </c>
      <c r="C4406" s="27"/>
      <c r="D4406" s="33" t="s">
        <v>14</v>
      </c>
      <c r="E4406" s="9"/>
      <c r="F4406" s="32"/>
      <c r="G4406" s="10">
        <v>193681</v>
      </c>
      <c r="H4406" s="30" t="str">
        <f ca="1">IFERROR(__xludf.DUMMYFUNCTION("LOWER(REGEXREPLACE(B4406&amp;"" ""&amp;C4406,""[^а-яa-z0-9 ]"","" ""))")," тол производственный       17 6  1700х600х850  ")</f>
        <v xml:space="preserve"> тол производственный       17 6  1700х600х850  </v>
      </c>
    </row>
    <row r="4407" spans="1:8" ht="25.5" x14ac:dyDescent="0.2">
      <c r="A4407" s="31" t="s">
        <v>10648</v>
      </c>
      <c r="B4407" s="27" t="s">
        <v>10649</v>
      </c>
      <c r="C4407" s="27"/>
      <c r="D4407" s="33" t="s">
        <v>14</v>
      </c>
      <c r="E4407" s="9"/>
      <c r="F4407" s="32"/>
      <c r="G4407" s="10">
        <v>223901</v>
      </c>
      <c r="H4407" s="30" t="str">
        <f ca="1">IFERROR(__xludf.DUMMYFUNCTION("LOWER(REGEXREPLACE(B4407&amp;"" ""&amp;C4407,""[^а-яa-z0-9 ]"","" ""))")," тол производственный       17 7  1700х700х850  ")</f>
        <v xml:space="preserve"> тол производственный       17 7  1700х700х850  </v>
      </c>
    </row>
    <row r="4408" spans="1:8" ht="25.5" x14ac:dyDescent="0.2">
      <c r="A4408" s="31" t="s">
        <v>10650</v>
      </c>
      <c r="B4408" s="27" t="s">
        <v>10651</v>
      </c>
      <c r="C4408" s="27"/>
      <c r="D4408" s="33" t="s">
        <v>14</v>
      </c>
      <c r="E4408" s="9"/>
      <c r="F4408" s="35">
        <v>36.5</v>
      </c>
      <c r="G4408" s="10">
        <v>225275</v>
      </c>
      <c r="H4408" s="30" t="str">
        <f ca="1">IFERROR(__xludf.DUMMYFUNCTION("LOWER(REGEXREPLACE(B4408&amp;"" ""&amp;C4408,""[^а-яa-z0-9 ]"","" ""))")," тол производственный       18 7  1800х700х850  ")</f>
        <v xml:space="preserve"> тол производственный       18 7  1800х700х850  </v>
      </c>
    </row>
    <row r="4409" spans="1:8" ht="12.75" x14ac:dyDescent="0.2">
      <c r="A4409" s="31" t="s">
        <v>10652</v>
      </c>
      <c r="B4409" s="27" t="s">
        <v>10653</v>
      </c>
      <c r="C4409" s="27"/>
      <c r="D4409" s="33" t="s">
        <v>14</v>
      </c>
      <c r="E4409" s="9"/>
      <c r="F4409" s="32"/>
      <c r="G4409" s="10"/>
      <c r="H4409" s="30" t="str">
        <f ca="1">IFERROR(__xludf.DUMMYFUNCTION("LOWER(REGEXREPLACE(B4409&amp;"" ""&amp;C4409,""[^а-яa-z0-9 ]"","" ""))")," тол производственный ")</f>
        <v xml:space="preserve"> тол производственный </v>
      </c>
    </row>
    <row r="4410" spans="1:8" ht="25.5" x14ac:dyDescent="0.2">
      <c r="A4410" s="31" t="s">
        <v>10654</v>
      </c>
      <c r="B4410" s="8" t="s">
        <v>10655</v>
      </c>
      <c r="C4410" s="27"/>
      <c r="D4410" s="33" t="s">
        <v>14</v>
      </c>
      <c r="E4410" s="9"/>
      <c r="F4410" s="35">
        <v>22.3</v>
      </c>
      <c r="G4410" s="10">
        <v>127968</v>
      </c>
      <c r="H4410" s="30" t="str">
        <f ca="1">IFERROR(__xludf.DUMMYFUNCTION("LOWER(REGEXREPLACE(B4410&amp;"" ""&amp;C4410,""[^а-яa-z0-9 ]"","" ""))")," тол производственный       10 6  1000х600х850  ")</f>
        <v xml:space="preserve"> тол производственный       10 6  1000х600х850  </v>
      </c>
    </row>
    <row r="4411" spans="1:8" ht="51" x14ac:dyDescent="0.2">
      <c r="A4411" s="31" t="s">
        <v>10656</v>
      </c>
      <c r="B4411" s="8" t="s">
        <v>10657</v>
      </c>
      <c r="C4411" s="27"/>
      <c r="D4411" s="33" t="s">
        <v>14</v>
      </c>
      <c r="E4411" s="9"/>
      <c r="F4411" s="34">
        <v>28</v>
      </c>
      <c r="G4411" s="10">
        <v>208845</v>
      </c>
      <c r="H4411" s="30" t="str">
        <f ca="1">IFERROR(__xludf.DUMMYFUNCTION("LOWER(REGEXREPLACE(B4411&amp;"" ""&amp;C4411,""[^а-яa-z0-9 ]"","" ""))")," тол производственный из нержавеющей стали 1000х600х850 мм  ножки труба 40х40  с  регулируемыми по высоте опорами    1000 600     ")</f>
        <v xml:space="preserve"> тол производственный из нержавеющей стали 1000х600х850 мм  ножки труба 40х40  с  регулируемыми по высоте опорами    1000 600     </v>
      </c>
    </row>
    <row r="4412" spans="1:8" ht="51" x14ac:dyDescent="0.2">
      <c r="A4412" s="31" t="s">
        <v>10658</v>
      </c>
      <c r="B4412" s="27" t="s">
        <v>10659</v>
      </c>
      <c r="C4412" s="27"/>
      <c r="D4412" s="33" t="s">
        <v>14</v>
      </c>
      <c r="E4412" s="9"/>
      <c r="F4412" s="34">
        <v>34</v>
      </c>
      <c r="G4412" s="10">
        <v>259254</v>
      </c>
      <c r="H4412" s="30" t="str">
        <f ca="1">IFERROR(__xludf.DUMMYFUNCTION("LOWER(REGEXREPLACE(B4412&amp;"" ""&amp;C4412,""[^а-яa-z0-9 ]"","" ""))")," тол производственный из нержавеющей стали 1200х700х850 мм  c подложкой     16мм  ножки труба 40х40  с  регулируемыми по высоте опорами    1200 700     ")</f>
        <v xml:space="preserve"> тол производственный из нержавеющей стали 1200х700х850 мм  c подложкой     16мм  ножки труба 40х40  с  регулируемыми по высоте опорами    1200 700     </v>
      </c>
    </row>
    <row r="4413" spans="1:8" ht="51" x14ac:dyDescent="0.2">
      <c r="A4413" s="31" t="s">
        <v>10660</v>
      </c>
      <c r="B4413" s="27" t="s">
        <v>10661</v>
      </c>
      <c r="C4413" s="27"/>
      <c r="D4413" s="33" t="s">
        <v>14</v>
      </c>
      <c r="E4413" s="9"/>
      <c r="F4413" s="34">
        <v>41</v>
      </c>
      <c r="G4413" s="10">
        <v>285670</v>
      </c>
      <c r="H4413" s="30" t="str">
        <f ca="1">IFERROR(__xludf.DUMMYFUNCTION("LOWER(REGEXREPLACE(B4413&amp;"" ""&amp;C4413,""[^а-яa-z0-9 ]"","" ""))")," тол производственный из нержавеющей стали 1600х600х850 мм  c подложкой     16мм  ножки труба 40х40 с  регулируемыми по высоте опорами    1600 600     ")</f>
        <v xml:space="preserve"> тол производственный из нержавеющей стали 1600х600х850 мм  c подложкой     16мм  ножки труба 40х40 с  регулируемыми по высоте опорами    1600 600     </v>
      </c>
    </row>
    <row r="4414" spans="1:8" ht="51" x14ac:dyDescent="0.2">
      <c r="A4414" s="31" t="s">
        <v>10662</v>
      </c>
      <c r="B4414" s="27" t="s">
        <v>10663</v>
      </c>
      <c r="C4414" s="27"/>
      <c r="D4414" s="33" t="s">
        <v>14</v>
      </c>
      <c r="E4414" s="9"/>
      <c r="F4414" s="34">
        <v>41</v>
      </c>
      <c r="G4414" s="10">
        <v>297668</v>
      </c>
      <c r="H4414" s="30" t="str">
        <f ca="1">IFERROR(__xludf.DUMMYFUNCTION("LOWER(REGEXREPLACE(B4414&amp;"" ""&amp;C4414,""[^а-яa-z0-9 ]"","" ""))")," тол производственный из нержавеющей стали 1700х600х850 мм  c подложкой     16мм  ножки труба 40х40 с  регулируемыми по высоте опорами    1700 600     ")</f>
        <v xml:space="preserve"> тол производственный из нержавеющей стали 1700х600х850 мм  c подложкой     16мм  ножки труба 40х40 с  регулируемыми по высоте опорами    1700 600     </v>
      </c>
    </row>
    <row r="4415" spans="1:8" ht="51" x14ac:dyDescent="0.2">
      <c r="A4415" s="31" t="s">
        <v>10664</v>
      </c>
      <c r="B4415" s="27" t="s">
        <v>10665</v>
      </c>
      <c r="C4415" s="27"/>
      <c r="D4415" s="33" t="s">
        <v>14</v>
      </c>
      <c r="E4415" s="9"/>
      <c r="F4415" s="34">
        <v>41</v>
      </c>
      <c r="G4415" s="10">
        <v>302467</v>
      </c>
      <c r="H4415" s="30" t="str">
        <f ca="1">IFERROR(__xludf.DUMMYFUNCTION("LOWER(REGEXREPLACE(B4415&amp;"" ""&amp;C4415,""[^а-яa-z0-9 ]"","" ""))")," тол производственный из нержавеющей стали 1500х700х850 мм  c подложкой     16мм  ножки труба 40х40  с  регулируемыми по высоте опорами    1500 700     ")</f>
        <v xml:space="preserve"> тол производственный из нержавеющей стали 1500х700х850 мм  c подложкой     16мм  ножки труба 40х40  с  регулируемыми по высоте опорами    1500 700     </v>
      </c>
    </row>
    <row r="4416" spans="1:8" ht="51" x14ac:dyDescent="0.2">
      <c r="A4416" s="31" t="s">
        <v>10666</v>
      </c>
      <c r="B4416" s="27" t="s">
        <v>10667</v>
      </c>
      <c r="C4416" s="27"/>
      <c r="D4416" s="33" t="s">
        <v>14</v>
      </c>
      <c r="E4416" s="9"/>
      <c r="F4416" s="34">
        <v>42</v>
      </c>
      <c r="G4416" s="10">
        <v>312068</v>
      </c>
      <c r="H4416" s="30" t="str">
        <f ca="1">IFERROR(__xludf.DUMMYFUNCTION("LOWER(REGEXREPLACE(B4416&amp;"" ""&amp;C4416,""[^а-яa-z0-9 ]"","" ""))")," тол производственный из нержавеющей стали 1800х600х850 мм  c подложкой     16мм  ножки труба 40х40  с  регулируемыми по высоте опорами    1800 600    ")</f>
        <v xml:space="preserve"> тол производственный из нержавеющей стали 1800х600х850 мм  c подложкой     16мм  ножки труба 40х40  с  регулируемыми по высоте опорами    1800 600    </v>
      </c>
    </row>
    <row r="4417" spans="1:8" ht="51" x14ac:dyDescent="0.2">
      <c r="A4417" s="31" t="s">
        <v>10668</v>
      </c>
      <c r="B4417" s="27" t="s">
        <v>10669</v>
      </c>
      <c r="C4417" s="27"/>
      <c r="D4417" s="33" t="s">
        <v>14</v>
      </c>
      <c r="E4417" s="9"/>
      <c r="F4417" s="34">
        <v>42</v>
      </c>
      <c r="G4417" s="10">
        <v>331264</v>
      </c>
      <c r="H4417" s="30" t="str">
        <f ca="1">IFERROR(__xludf.DUMMYFUNCTION("LOWER(REGEXREPLACE(B4417&amp;"" ""&amp;C4417,""[^а-яa-z0-9 ]"","" ""))")," тол производственный  из нержавеющей стали 1700х700х850 мм  c подложкой     16мм  ножки труба 40х40  с  регулируемыми по высоте опорами    1700 700    ")</f>
        <v xml:space="preserve"> тол производственный  из нержавеющей стали 1700х700х850 мм  c подложкой     16мм  ножки труба 40х40  с  регулируемыми по высоте опорами    1700 700    </v>
      </c>
    </row>
    <row r="4418" spans="1:8" ht="51" x14ac:dyDescent="0.2">
      <c r="A4418" s="31" t="s">
        <v>10670</v>
      </c>
      <c r="B4418" s="27" t="s">
        <v>10671</v>
      </c>
      <c r="C4418" s="27"/>
      <c r="D4418" s="33" t="s">
        <v>14</v>
      </c>
      <c r="E4418" s="9"/>
      <c r="F4418" s="34">
        <v>42</v>
      </c>
      <c r="G4418" s="10">
        <v>348062</v>
      </c>
      <c r="H4418" s="30" t="str">
        <f ca="1">IFERROR(__xludf.DUMMYFUNCTION("LOWER(REGEXREPLACE(B4418&amp;"" ""&amp;C4418,""[^а-яa-z0-9 ]"","" ""))")," тол производственный из нержавеющей стали 1800х700х850 мм  c подложкой     16мм  ножки труба 40х40  с  регулируемыми по высоте опорами    1800 700    ")</f>
        <v xml:space="preserve"> тол производственный из нержавеющей стали 1800х700х850 мм  c подложкой     16мм  ножки труба 40х40  с  регулируемыми по высоте опорами    1800 700    </v>
      </c>
    </row>
    <row r="4419" spans="1:8" ht="51" x14ac:dyDescent="0.2">
      <c r="A4419" s="31" t="s">
        <v>10672</v>
      </c>
      <c r="B4419" s="27" t="s">
        <v>10673</v>
      </c>
      <c r="C4419" s="27"/>
      <c r="D4419" s="33" t="s">
        <v>14</v>
      </c>
      <c r="E4419" s="9"/>
      <c r="F4419" s="34">
        <v>42</v>
      </c>
      <c r="G4419" s="10">
        <v>484837</v>
      </c>
      <c r="H4419" s="30" t="str">
        <f ca="1">IFERROR(__xludf.DUMMYFUNCTION("LOWER(REGEXREPLACE(B4419&amp;"" ""&amp;C4419,""[^а-яa-z0-9 ]"","" ""))")," тол производственный для обвалки мяса 1500х750х850 мм  столешница полипропилен толщиной 20 мм  ножки труба 40х40       1500 700 ")</f>
        <v xml:space="preserve"> тол производственный для обвалки мяса 1500х750х850 мм  столешница полипропилен толщиной 20 мм  ножки труба 40х40       1500 700 </v>
      </c>
    </row>
    <row r="4420" spans="1:8" ht="89.25" x14ac:dyDescent="0.2">
      <c r="A4420" s="31" t="s">
        <v>10674</v>
      </c>
      <c r="B4420" s="27" t="s">
        <v>10675</v>
      </c>
      <c r="C4420" s="27"/>
      <c r="D4420" s="33" t="s">
        <v>14</v>
      </c>
      <c r="E4420" s="34">
        <v>2</v>
      </c>
      <c r="F4420" s="34">
        <v>31</v>
      </c>
      <c r="G4420" s="10">
        <v>216260</v>
      </c>
      <c r="H4420" s="30" t="str">
        <f ca="1">IFERROR(__xludf.DUMMYFUNCTION("LOWER(REGEXREPLACE(B4420&amp;"" ""&amp;C4420,""[^а-яa-z0-9 ]"","" ""))")," тол производственный разборный 1200х600х850мм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пластиковые опоры    "&amp;" 1200 600      ")</f>
        <v xml:space="preserve"> тол производственный разборный 1200х600х850мм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пластиковые опоры     1200 600      </v>
      </c>
    </row>
    <row r="4421" spans="1:8" ht="89.25" x14ac:dyDescent="0.2">
      <c r="A4421" s="31" t="s">
        <v>10676</v>
      </c>
      <c r="B4421" s="27" t="s">
        <v>10677</v>
      </c>
      <c r="C4421" s="27"/>
      <c r="D4421" s="33" t="s">
        <v>14</v>
      </c>
      <c r="E4421" s="34">
        <v>2</v>
      </c>
      <c r="F4421" s="34">
        <v>34</v>
      </c>
      <c r="G4421" s="10">
        <v>251961</v>
      </c>
      <c r="H4421" s="30" t="str">
        <f ca="1">IFERROR(__xludf.DUMMYFUNCTION("LOWER(REGEXREPLACE(B4421&amp;"" ""&amp;C4421,""[^а-яa-z0-9 ]"","" ""))")," тол производственный разборный 1500х600х850мм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по высоте пластиковые"&amp;" опоры     1500 600      ")</f>
        <v xml:space="preserve"> тол производственный разборный 1500х600х850мм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по высоте пластиковые опоры     1500 600      </v>
      </c>
    </row>
    <row r="4422" spans="1:8" ht="89.25" x14ac:dyDescent="0.2">
      <c r="A4422" s="31" t="s">
        <v>10678</v>
      </c>
      <c r="B4422" s="27" t="s">
        <v>10679</v>
      </c>
      <c r="C4422" s="27"/>
      <c r="D4422" s="33" t="s">
        <v>14</v>
      </c>
      <c r="E4422" s="34">
        <v>2</v>
      </c>
      <c r="F4422" s="34">
        <v>30</v>
      </c>
      <c r="G4422" s="10">
        <v>212410</v>
      </c>
      <c r="H4422" s="30" t="str">
        <f ca="1">IFERROR(__xludf.DUMMYFUNCTION("LOWER(REGEXREPLACE(B4422&amp;"" ""&amp;C4422,""[^а-яa-z0-9 ]"","" ""))")," тол производственный разборный 1000х700х850мм  с бортом  столешница и полка из нержавеющей сталь 0 8мм  усиленная листом     16 мм  толщина столешницы 40 мм  отступ для коммуникаций 100 мм  усиленная ребром жесткости  4 регулируемые по высоте пластиковые"&amp;" опоры     1000 700      ")</f>
        <v xml:space="preserve"> тол производственный разборный 1000х700х850мм  с бортом  столешница и полка из нержавеющей сталь 0 8мм  усиленная листом     16 мм  толщина столешницы 40 мм  отступ для коммуникаций 100 мм  усиленная ребром жесткости  4 регулируемые по высоте пластиковые опоры     1000 700      </v>
      </c>
    </row>
    <row r="4423" spans="1:8" ht="63.75" x14ac:dyDescent="0.2">
      <c r="A4423" s="31" t="s">
        <v>10680</v>
      </c>
      <c r="B4423" s="27" t="s">
        <v>10681</v>
      </c>
      <c r="C4423" s="27"/>
      <c r="D4423" s="33" t="s">
        <v>14</v>
      </c>
      <c r="E4423" s="34">
        <v>2</v>
      </c>
      <c r="F4423" s="34">
        <v>25</v>
      </c>
      <c r="G4423" s="10">
        <v>112904</v>
      </c>
      <c r="H4423" s="30" t="str">
        <f ca="1">IFERROR(__xludf.DUMMYFUNCTION("LOWER(REGEXREPLACE(B4423&amp;"" ""&amp;C4423,""[^а-яa-z0-9 ]"","" ""))")," тол разделочный разборный 1000х600х800мм  с бортом  столешница из нержавеющей стали 0 8 мм  каркас из оцинкованной стали 1 2 мм  регулируемые по высоте ножки  промежуточная полка ")</f>
        <v xml:space="preserve"> тол разделочный разборный 1000х600х800мм  с бортом  столешница из нержавеющей стали 0 8 мм  каркас из оцинкованной стали 1 2 мм  регулируемые по высоте ножки  промежуточная полка </v>
      </c>
    </row>
    <row r="4424" spans="1:8" ht="38.25" x14ac:dyDescent="0.2">
      <c r="A4424" s="31" t="s">
        <v>10682</v>
      </c>
      <c r="B4424" s="8" t="s">
        <v>10683</v>
      </c>
      <c r="C4424" s="27"/>
      <c r="D4424" s="33" t="s">
        <v>14</v>
      </c>
      <c r="E4424" s="34">
        <v>2</v>
      </c>
      <c r="F4424" s="36">
        <v>13.44</v>
      </c>
      <c r="G4424" s="10">
        <v>46345</v>
      </c>
      <c r="H4424" s="30" t="str">
        <f ca="1">IFERROR(__xludf.DUMMYFUNCTION("LOWER(REGEXREPLACE(B4424&amp;"" ""&amp;C4424,""[^а-яa-z0-9 ]"","" ""))")," тол производственный рабочий      080 60   ержавеющая сталь    бортиком без полки   азмер  800x600x850мм ")</f>
        <v xml:space="preserve"> тол производственный рабочий      080 60   ержавеющая сталь    бортиком без полки   азмер  800x600x850мм </v>
      </c>
    </row>
    <row r="4425" spans="1:8" ht="38.25" x14ac:dyDescent="0.2">
      <c r="A4425" s="31" t="s">
        <v>10684</v>
      </c>
      <c r="B4425" s="8" t="s">
        <v>10685</v>
      </c>
      <c r="C4425" s="27"/>
      <c r="D4425" s="33" t="s">
        <v>14</v>
      </c>
      <c r="E4425" s="34">
        <v>2</v>
      </c>
      <c r="F4425" s="36">
        <v>15.26</v>
      </c>
      <c r="G4425" s="10">
        <v>51083</v>
      </c>
      <c r="H4425" s="30" t="str">
        <f ca="1">IFERROR(__xludf.DUMMYFUNCTION("LOWER(REGEXREPLACE(B4425&amp;"" ""&amp;C4425,""[^а-яa-z0-9 ]"","" ""))")," тол производственный рабочий      0100 60   ержавеющая сталь    бортиком без полки   азмер  1000x600x850мм ")</f>
        <v xml:space="preserve"> тол производственный рабочий      0100 60   ержавеющая сталь    бортиком без полки   азмер  1000x600x850мм </v>
      </c>
    </row>
    <row r="4426" spans="1:8" ht="38.25" x14ac:dyDescent="0.2">
      <c r="A4426" s="31" t="s">
        <v>10686</v>
      </c>
      <c r="B4426" s="8" t="s">
        <v>10687</v>
      </c>
      <c r="C4426" s="27"/>
      <c r="D4426" s="33" t="s">
        <v>14</v>
      </c>
      <c r="E4426" s="34">
        <v>2</v>
      </c>
      <c r="F4426" s="36">
        <v>17.079999999999998</v>
      </c>
      <c r="G4426" s="10">
        <v>55145</v>
      </c>
      <c r="H4426" s="30" t="str">
        <f ca="1">IFERROR(__xludf.DUMMYFUNCTION("LOWER(REGEXREPLACE(B4426&amp;"" ""&amp;C4426,""[^а-яa-z0-9 ]"","" ""))")," тол производственный рабочий      0120 60   ержавеющая сталь    бортиком без полки   азмер  1200x600x850мм ")</f>
        <v xml:space="preserve"> тол производственный рабочий      0120 60   ержавеющая сталь    бортиком без полки   азмер  1200x600x850мм </v>
      </c>
    </row>
    <row r="4427" spans="1:8" ht="38.25" x14ac:dyDescent="0.2">
      <c r="A4427" s="31" t="s">
        <v>10688</v>
      </c>
      <c r="B4427" s="8" t="s">
        <v>10689</v>
      </c>
      <c r="C4427" s="27"/>
      <c r="D4427" s="33" t="s">
        <v>14</v>
      </c>
      <c r="E4427" s="34">
        <v>2</v>
      </c>
      <c r="F4427" s="35">
        <v>18.899999999999999</v>
      </c>
      <c r="G4427" s="10">
        <v>59207</v>
      </c>
      <c r="H4427" s="30" t="str">
        <f ca="1">IFERROR(__xludf.DUMMYFUNCTION("LOWER(REGEXREPLACE(B4427&amp;"" ""&amp;C4427,""[^а-яa-z0-9 ]"","" ""))")," тол производственный рабочий      0140 60   ержавеющая сталь    бортиком без полки   азмер  1400x600x850мм ")</f>
        <v xml:space="preserve"> тол производственный рабочий      0140 60   ержавеющая сталь    бортиком без полки   азмер  1400x600x850мм </v>
      </c>
    </row>
    <row r="4428" spans="1:8" ht="38.25" x14ac:dyDescent="0.2">
      <c r="A4428" s="31" t="s">
        <v>10690</v>
      </c>
      <c r="B4428" s="8" t="s">
        <v>10691</v>
      </c>
      <c r="C4428" s="27"/>
      <c r="D4428" s="33" t="s">
        <v>14</v>
      </c>
      <c r="E4428" s="34">
        <v>2</v>
      </c>
      <c r="F4428" s="36">
        <v>20.72</v>
      </c>
      <c r="G4428" s="10">
        <v>63269</v>
      </c>
      <c r="H4428" s="30" t="str">
        <f ca="1">IFERROR(__xludf.DUMMYFUNCTION("LOWER(REGEXREPLACE(B4428&amp;"" ""&amp;C4428,""[^а-яa-z0-9 ]"","" ""))")," тол производственный рабочий      0160 60   ержавеющая сталь    бортиком без полки   азмер  1600x600x850мм ")</f>
        <v xml:space="preserve"> тол производственный рабочий      0160 60   ержавеющая сталь    бортиком без полки   азмер  1600x600x850мм </v>
      </c>
    </row>
    <row r="4429" spans="1:8" ht="38.25" x14ac:dyDescent="0.2">
      <c r="A4429" s="31" t="s">
        <v>10692</v>
      </c>
      <c r="B4429" s="8" t="s">
        <v>10693</v>
      </c>
      <c r="C4429" s="27"/>
      <c r="D4429" s="33" t="s">
        <v>14</v>
      </c>
      <c r="E4429" s="34">
        <v>2</v>
      </c>
      <c r="F4429" s="36">
        <v>22.54</v>
      </c>
      <c r="G4429" s="10">
        <v>67669</v>
      </c>
      <c r="H4429" s="30" t="str">
        <f ca="1">IFERROR(__xludf.DUMMYFUNCTION("LOWER(REGEXREPLACE(B4429&amp;"" ""&amp;C4429,""[^а-яa-z0-9 ]"","" ""))")," тол производственный рабочий      0180 60   ержавеющая сталь    бортиком без полки   азмер  1800x600x850мм ")</f>
        <v xml:space="preserve"> тол производственный рабочий      0180 60   ержавеющая сталь    бортиком без полки   азмер  1800x600x850мм </v>
      </c>
    </row>
    <row r="4430" spans="1:8" ht="38.25" x14ac:dyDescent="0.2">
      <c r="A4430" s="31" t="s">
        <v>10694</v>
      </c>
      <c r="B4430" s="8" t="s">
        <v>10695</v>
      </c>
      <c r="C4430" s="27"/>
      <c r="D4430" s="33" t="s">
        <v>14</v>
      </c>
      <c r="E4430" s="34">
        <v>2</v>
      </c>
      <c r="F4430" s="36">
        <v>12.55</v>
      </c>
      <c r="G4430" s="10">
        <v>44990</v>
      </c>
      <c r="H4430" s="30" t="str">
        <f ca="1">IFERROR(__xludf.DUMMYFUNCTION("LOWER(REGEXREPLACE(B4430&amp;"" ""&amp;C4430,""[^а-яa-z0-9 ]"","" ""))")," тол производственный рабочий      060 70   ержавеющая сталь    бортиком без полки   азмер  600x700x850мм ")</f>
        <v xml:space="preserve"> тол производственный рабочий      060 70   ержавеющая сталь    бортиком без полки   азмер  600x700x850мм </v>
      </c>
    </row>
    <row r="4431" spans="1:8" ht="38.25" x14ac:dyDescent="0.2">
      <c r="A4431" s="31" t="s">
        <v>10696</v>
      </c>
      <c r="B4431" s="8" t="s">
        <v>10697</v>
      </c>
      <c r="C4431" s="27"/>
      <c r="D4431" s="33" t="s">
        <v>14</v>
      </c>
      <c r="E4431" s="34">
        <v>2</v>
      </c>
      <c r="F4431" s="36">
        <v>13.54</v>
      </c>
      <c r="G4431" s="10">
        <v>50063</v>
      </c>
      <c r="H4431" s="30" t="str">
        <f ca="1">IFERROR(__xludf.DUMMYFUNCTION("LOWER(REGEXREPLACE(B4431&amp;"" ""&amp;C4431,""[^а-яa-z0-9 ]"","" ""))")," тол производственный рабочий      070 70   ержавеющая сталь    бортиком без полки   азмер  700x700x850мм ")</f>
        <v xml:space="preserve"> тол производственный рабочий      070 70   ержавеющая сталь    бортиком без полки   азмер  700x700x850мм </v>
      </c>
    </row>
    <row r="4432" spans="1:8" ht="38.25" x14ac:dyDescent="0.2">
      <c r="A4432" s="31" t="s">
        <v>10698</v>
      </c>
      <c r="B4432" s="8" t="s">
        <v>10699</v>
      </c>
      <c r="C4432" s="27"/>
      <c r="D4432" s="33" t="s">
        <v>14</v>
      </c>
      <c r="E4432" s="34">
        <v>2</v>
      </c>
      <c r="F4432" s="36">
        <v>14.53</v>
      </c>
      <c r="G4432" s="10">
        <v>55473</v>
      </c>
      <c r="H4432" s="30" t="str">
        <f ca="1">IFERROR(__xludf.DUMMYFUNCTION("LOWER(REGEXREPLACE(B4432&amp;"" ""&amp;C4432,""[^а-яa-z0-9 ]"","" ""))")," тол производственный рабочий      080 70   ержавеющая сталь    бортиком без полки   азмер  800x700x850мм ")</f>
        <v xml:space="preserve"> тол производственный рабочий      080 70   ержавеющая сталь    бортиком без полки   азмер  800x700x850мм </v>
      </c>
    </row>
    <row r="4433" spans="1:8" ht="38.25" x14ac:dyDescent="0.2">
      <c r="A4433" s="31" t="s">
        <v>10700</v>
      </c>
      <c r="B4433" s="8" t="s">
        <v>10701</v>
      </c>
      <c r="C4433" s="27"/>
      <c r="D4433" s="33" t="s">
        <v>14</v>
      </c>
      <c r="E4433" s="34">
        <v>2</v>
      </c>
      <c r="F4433" s="36">
        <v>16.53</v>
      </c>
      <c r="G4433" s="10">
        <v>61225</v>
      </c>
      <c r="H4433" s="30" t="str">
        <f ca="1">IFERROR(__xludf.DUMMYFUNCTION("LOWER(REGEXREPLACE(B4433&amp;"" ""&amp;C4433,""[^а-яa-z0-9 ]"","" ""))")," тол производственный рабочий      0100 70   ержавеющая сталь    бортиком без полки   азмер  1000x700x850мм ")</f>
        <v xml:space="preserve"> тол производственный рабочий      0100 70   ержавеющая сталь    бортиком без полки   азмер  1000x700x850мм </v>
      </c>
    </row>
    <row r="4434" spans="1:8" ht="38.25" x14ac:dyDescent="0.2">
      <c r="A4434" s="31" t="s">
        <v>10702</v>
      </c>
      <c r="B4434" s="8" t="s">
        <v>10703</v>
      </c>
      <c r="C4434" s="27"/>
      <c r="D4434" s="33" t="s">
        <v>14</v>
      </c>
      <c r="E4434" s="34">
        <v>2</v>
      </c>
      <c r="F4434" s="36">
        <v>18.510000000000002</v>
      </c>
      <c r="G4434" s="10">
        <v>66977</v>
      </c>
      <c r="H4434" s="30" t="str">
        <f ca="1">IFERROR(__xludf.DUMMYFUNCTION("LOWER(REGEXREPLACE(B4434&amp;"" ""&amp;C4434,""[^а-яa-z0-9 ]"","" ""))")," тол производственный рабочий      0120 70   ержавеющая сталь    бортиком без полки   азмер  1200x700x850мм ")</f>
        <v xml:space="preserve"> тол производственный рабочий      0120 70   ержавеющая сталь    бортиком без полки   азмер  1200x700x850мм </v>
      </c>
    </row>
    <row r="4435" spans="1:8" ht="38.25" x14ac:dyDescent="0.2">
      <c r="A4435" s="31" t="s">
        <v>10704</v>
      </c>
      <c r="B4435" s="8" t="s">
        <v>10705</v>
      </c>
      <c r="C4435" s="27"/>
      <c r="D4435" s="33" t="s">
        <v>14</v>
      </c>
      <c r="E4435" s="34">
        <v>2</v>
      </c>
      <c r="F4435" s="36">
        <v>20.49</v>
      </c>
      <c r="G4435" s="10">
        <v>72054</v>
      </c>
      <c r="H4435" s="30" t="str">
        <f ca="1">IFERROR(__xludf.DUMMYFUNCTION("LOWER(REGEXREPLACE(B4435&amp;"" ""&amp;C4435,""[^а-яa-z0-9 ]"","" ""))")," тол производственный рабочий      0140 70   ержавеющая сталь    бортиком без полки   азмер  1400x700x850мм ")</f>
        <v xml:space="preserve"> тол производственный рабочий      0140 70   ержавеющая сталь    бортиком без полки   азмер  1400x700x850мм </v>
      </c>
    </row>
    <row r="4436" spans="1:8" ht="38.25" x14ac:dyDescent="0.2">
      <c r="A4436" s="31" t="s">
        <v>10706</v>
      </c>
      <c r="B4436" s="8" t="s">
        <v>10707</v>
      </c>
      <c r="C4436" s="27"/>
      <c r="D4436" s="33" t="s">
        <v>14</v>
      </c>
      <c r="E4436" s="34">
        <v>2</v>
      </c>
      <c r="F4436" s="36">
        <v>22.47</v>
      </c>
      <c r="G4436" s="10">
        <v>78144</v>
      </c>
      <c r="H4436" s="30" t="str">
        <f ca="1">IFERROR(__xludf.DUMMYFUNCTION("LOWER(REGEXREPLACE(B4436&amp;"" ""&amp;C4436,""[^а-яa-z0-9 ]"","" ""))")," тол производственный рабочий      0160 70   ержавеющая сталь    бортиком без полки   азмер  1600x700x850мм ")</f>
        <v xml:space="preserve"> тол производственный рабочий      0160 70   ержавеющая сталь    бортиком без полки   азмер  1600x700x850мм </v>
      </c>
    </row>
    <row r="4437" spans="1:8" ht="38.25" x14ac:dyDescent="0.2">
      <c r="A4437" s="31" t="s">
        <v>10708</v>
      </c>
      <c r="B4437" s="8" t="s">
        <v>10709</v>
      </c>
      <c r="C4437" s="27"/>
      <c r="D4437" s="33" t="s">
        <v>14</v>
      </c>
      <c r="E4437" s="34">
        <v>2</v>
      </c>
      <c r="F4437" s="36">
        <v>24.45</v>
      </c>
      <c r="G4437" s="10">
        <v>82882</v>
      </c>
      <c r="H4437" s="30" t="str">
        <f ca="1">IFERROR(__xludf.DUMMYFUNCTION("LOWER(REGEXREPLACE(B4437&amp;"" ""&amp;C4437,""[^а-яa-z0-9 ]"","" ""))")," тол производственный рабочий      0180 70   ержавеющая сталь    бортиком без полки   азмер  1800x700x850мм ")</f>
        <v xml:space="preserve"> тол производственный рабочий      0180 70   ержавеющая сталь    бортиком без полки   азмер  1800x700x850мм </v>
      </c>
    </row>
    <row r="4438" spans="1:8" ht="38.25" x14ac:dyDescent="0.2">
      <c r="A4438" s="31" t="s">
        <v>10710</v>
      </c>
      <c r="B4438" s="8" t="s">
        <v>10711</v>
      </c>
      <c r="C4438" s="27"/>
      <c r="D4438" s="33" t="s">
        <v>14</v>
      </c>
      <c r="E4438" s="34">
        <v>2</v>
      </c>
      <c r="F4438" s="36">
        <v>17.75</v>
      </c>
      <c r="G4438" s="10">
        <v>62582</v>
      </c>
      <c r="H4438" s="30" t="str">
        <f ca="1">IFERROR(__xludf.DUMMYFUNCTION("LOWER(REGEXREPLACE(B4438&amp;"" ""&amp;C4438,""[^а-яa-z0-9 ]"","" ""))")," тол производственный рабочий      1100 60   ержавеющая сталь    одной полкой и бортиком   азмер  1000x600x850мм ")</f>
        <v xml:space="preserve"> тол производственный рабочий      1100 60   ержавеющая сталь    одной полкой и бортиком   азмер  1000x600x850мм </v>
      </c>
    </row>
    <row r="4439" spans="1:8" ht="38.25" x14ac:dyDescent="0.2">
      <c r="A4439" s="31" t="s">
        <v>10712</v>
      </c>
      <c r="B4439" s="8" t="s">
        <v>10713</v>
      </c>
      <c r="C4439" s="27"/>
      <c r="D4439" s="33" t="s">
        <v>14</v>
      </c>
      <c r="E4439" s="34">
        <v>2</v>
      </c>
      <c r="F4439" s="36">
        <v>20.22</v>
      </c>
      <c r="G4439" s="10">
        <v>66984</v>
      </c>
      <c r="H4439" s="30" t="str">
        <f ca="1">IFERROR(__xludf.DUMMYFUNCTION("LOWER(REGEXREPLACE(B4439&amp;"" ""&amp;C4439,""[^а-яa-z0-9 ]"","" ""))")," тол производственный рабочий      1120 60   ержавеющая сталь    одной полкой и бортиком   азмер  1200x600x850мм ")</f>
        <v xml:space="preserve"> тол производственный рабочий      1120 60   ержавеющая сталь    одной полкой и бортиком   азмер  1200x600x850мм </v>
      </c>
    </row>
    <row r="4440" spans="1:8" ht="51" x14ac:dyDescent="0.2">
      <c r="A4440" s="31" t="s">
        <v>10714</v>
      </c>
      <c r="B4440" s="8" t="s">
        <v>10715</v>
      </c>
      <c r="C4440" s="27"/>
      <c r="D4440" s="33" t="s">
        <v>14</v>
      </c>
      <c r="E4440" s="34">
        <v>2</v>
      </c>
      <c r="F4440" s="36">
        <v>22.69</v>
      </c>
      <c r="G4440" s="10">
        <v>70711</v>
      </c>
      <c r="H4440" s="30" t="str">
        <f ca="1">IFERROR(__xludf.DUMMYFUNCTION("LOWER(REGEXREPLACE(B4440&amp;"" ""&amp;C4440,""[^а-яa-z0-9 ]"","" ""))")," тол производственный рабочий      1140 60   ержавеющая сталь    одной полкой и бортиком   азмер 1400x600x850мм ")</f>
        <v xml:space="preserve"> тол производственный рабочий      1140 60   ержавеющая сталь    одной полкой и бортиком   азмер 1400x600x850мм </v>
      </c>
    </row>
    <row r="4441" spans="1:8" ht="38.25" x14ac:dyDescent="0.2">
      <c r="A4441" s="31" t="s">
        <v>10716</v>
      </c>
      <c r="B4441" s="8" t="s">
        <v>10717</v>
      </c>
      <c r="C4441" s="27"/>
      <c r="D4441" s="33" t="s">
        <v>14</v>
      </c>
      <c r="E4441" s="34">
        <v>2</v>
      </c>
      <c r="F4441" s="36">
        <v>25.16</v>
      </c>
      <c r="G4441" s="10">
        <v>75451</v>
      </c>
      <c r="H4441" s="30" t="str">
        <f ca="1">IFERROR(__xludf.DUMMYFUNCTION("LOWER(REGEXREPLACE(B4441&amp;"" ""&amp;C4441,""[^а-яa-z0-9 ]"","" ""))"),"  тол производственный рабочий      1160 60   ержавеющая сталь    одной полкой и бортиком   азмер  1600x600x850мм  ")</f>
        <v xml:space="preserve">  тол производственный рабочий      1160 60   ержавеющая сталь    одной полкой и бортиком   азмер  1600x600x850мм  </v>
      </c>
    </row>
    <row r="4442" spans="1:8" ht="38.25" x14ac:dyDescent="0.2">
      <c r="A4442" s="31" t="s">
        <v>10718</v>
      </c>
      <c r="B4442" s="8" t="s">
        <v>10719</v>
      </c>
      <c r="C4442" s="27"/>
      <c r="D4442" s="33" t="s">
        <v>14</v>
      </c>
      <c r="E4442" s="34">
        <v>2</v>
      </c>
      <c r="F4442" s="36">
        <v>27.63</v>
      </c>
      <c r="G4442" s="10">
        <v>79853</v>
      </c>
      <c r="H4442" s="30" t="str">
        <f ca="1">IFERROR(__xludf.DUMMYFUNCTION("LOWER(REGEXREPLACE(B4442&amp;"" ""&amp;C4442,""[^а-яa-z0-9 ]"","" ""))")," тол производственный рабочий      1180 60   ержавеющая сталь    одной полкой и бортиком   азмер  1800x600x850мм ")</f>
        <v xml:space="preserve"> тол производственный рабочий      1180 60   ержавеющая сталь    одной полкой и бортиком   азмер  1800x600x850мм </v>
      </c>
    </row>
    <row r="4443" spans="1:8" ht="38.25" x14ac:dyDescent="0.2">
      <c r="A4443" s="31" t="s">
        <v>10720</v>
      </c>
      <c r="B4443" s="8" t="s">
        <v>10721</v>
      </c>
      <c r="C4443" s="27"/>
      <c r="D4443" s="33" t="s">
        <v>14</v>
      </c>
      <c r="E4443" s="34">
        <v>2</v>
      </c>
      <c r="F4443" s="36">
        <v>19.53</v>
      </c>
      <c r="G4443" s="10">
        <v>66644</v>
      </c>
      <c r="H4443" s="30" t="str">
        <f ca="1">IFERROR(__xludf.DUMMYFUNCTION("LOWER(REGEXREPLACE(B4443&amp;"" ""&amp;C4443,""[^а-яa-z0-9 ]"","" ""))")," тол производственный рабочий      1100 70   ержавеющая сталь    одной полкой и бортиком   азмер  1000x700x850мм ")</f>
        <v xml:space="preserve"> тол производственный рабочий      1100 70   ержавеющая сталь    одной полкой и бортиком   азмер  1000x700x850мм </v>
      </c>
    </row>
    <row r="4444" spans="1:8" ht="38.25" x14ac:dyDescent="0.2">
      <c r="A4444" s="31" t="s">
        <v>10722</v>
      </c>
      <c r="B4444" s="8" t="s">
        <v>10723</v>
      </c>
      <c r="C4444" s="27"/>
      <c r="D4444" s="33" t="s">
        <v>14</v>
      </c>
      <c r="E4444" s="34">
        <v>2</v>
      </c>
      <c r="F4444" s="36">
        <v>22.26</v>
      </c>
      <c r="G4444" s="10">
        <v>70709</v>
      </c>
      <c r="H4444" s="30" t="str">
        <f ca="1">IFERROR(__xludf.DUMMYFUNCTION("LOWER(REGEXREPLACE(B4444&amp;"" ""&amp;C4444,""[^а-яa-z0-9 ]"","" ""))")," тол производственный рабочий      1120 70   ержавеющая сталь    одной полкой и бортиком   азмер  1200x700x850мм ")</f>
        <v xml:space="preserve"> тол производственный рабочий      1120 70   ержавеющая сталь    одной полкой и бортиком   азмер  1200x700x850мм </v>
      </c>
    </row>
    <row r="4445" spans="1:8" ht="38.25" x14ac:dyDescent="0.2">
      <c r="A4445" s="31" t="s">
        <v>10724</v>
      </c>
      <c r="B4445" s="8" t="s">
        <v>10725</v>
      </c>
      <c r="C4445" s="27"/>
      <c r="D4445" s="33" t="s">
        <v>14</v>
      </c>
      <c r="E4445" s="34">
        <v>2</v>
      </c>
      <c r="F4445" s="36">
        <v>24.99</v>
      </c>
      <c r="G4445" s="10">
        <v>75788</v>
      </c>
      <c r="H4445" s="30" t="str">
        <f ca="1">IFERROR(__xludf.DUMMYFUNCTION("LOWER(REGEXREPLACE(B4445&amp;"" ""&amp;C4445,""[^а-яa-z0-9 ]"","" ""))")," тол производственный рабочий      1140 70   ержавеющая сталь    одной полкой и бортиком   азмер  1400x700x850мм ")</f>
        <v xml:space="preserve"> тол производственный рабочий      1140 70   ержавеющая сталь    одной полкой и бортиком   азмер  1400x700x850мм </v>
      </c>
    </row>
    <row r="4446" spans="1:8" ht="38.25" x14ac:dyDescent="0.2">
      <c r="A4446" s="31" t="s">
        <v>10726</v>
      </c>
      <c r="B4446" s="8" t="s">
        <v>10727</v>
      </c>
      <c r="C4446" s="27"/>
      <c r="D4446" s="33" t="s">
        <v>14</v>
      </c>
      <c r="E4446" s="34">
        <v>2</v>
      </c>
      <c r="F4446" s="36">
        <v>27.72</v>
      </c>
      <c r="G4446" s="10">
        <v>81205</v>
      </c>
      <c r="H4446" s="30" t="str">
        <f ca="1">IFERROR(__xludf.DUMMYFUNCTION("LOWER(REGEXREPLACE(B4446&amp;"" ""&amp;C4446,""[^а-яa-z0-9 ]"","" ""))")," тол производственный рабочий      1160 70   ержавеющая сталь    одной полкой и бортиком   азмер  1600x700x850мм ")</f>
        <v xml:space="preserve"> тол производственный рабочий      1160 70   ержавеющая сталь    одной полкой и бортиком   азмер  1600x700x850мм </v>
      </c>
    </row>
    <row r="4447" spans="1:8" ht="38.25" x14ac:dyDescent="0.2">
      <c r="A4447" s="31" t="s">
        <v>10728</v>
      </c>
      <c r="B4447" s="8" t="s">
        <v>10729</v>
      </c>
      <c r="C4447" s="27"/>
      <c r="D4447" s="33" t="s">
        <v>14</v>
      </c>
      <c r="E4447" s="34">
        <v>2</v>
      </c>
      <c r="F4447" s="36">
        <v>30.45</v>
      </c>
      <c r="G4447" s="10">
        <v>85947</v>
      </c>
      <c r="H4447" s="30" t="str">
        <f ca="1">IFERROR(__xludf.DUMMYFUNCTION("LOWER(REGEXREPLACE(B4447&amp;"" ""&amp;C4447,""[^а-яa-z0-9 ]"","" ""))")," тол производственный рабочий      1180 70   ержавеющая сталь    одной полкой и бортиком   азмер  1800x700x850мм ")</f>
        <v xml:space="preserve"> тол производственный рабочий      1180 70   ержавеющая сталь    одной полкой и бортиком   азмер  1800x700x850мм </v>
      </c>
    </row>
    <row r="4448" spans="1:8" ht="38.25" x14ac:dyDescent="0.2">
      <c r="A4448" s="31" t="s">
        <v>10730</v>
      </c>
      <c r="B4448" s="8" t="s">
        <v>10731</v>
      </c>
      <c r="C4448" s="27"/>
      <c r="D4448" s="33" t="s">
        <v>14</v>
      </c>
      <c r="E4448" s="34">
        <v>2</v>
      </c>
      <c r="F4448" s="36">
        <v>23.19</v>
      </c>
      <c r="G4448" s="10">
        <v>75781</v>
      </c>
      <c r="H4448" s="30" t="str">
        <f ca="1">IFERROR(__xludf.DUMMYFUNCTION("LOWER(REGEXREPLACE(B4448&amp;"" ""&amp;C4448,""[^а-яa-z0-9 ]"","" ""))")," тол производственный рабочий      2100 60   ержавеющая сталь    двумя полками и бортиком   азмер  1000x600x850мм ")</f>
        <v xml:space="preserve"> тол производственный рабочий      2100 60   ержавеющая сталь    двумя полками и бортиком   азмер  1000x600x850мм </v>
      </c>
    </row>
    <row r="4449" spans="1:8" ht="38.25" x14ac:dyDescent="0.2">
      <c r="A4449" s="31" t="s">
        <v>10732</v>
      </c>
      <c r="B4449" s="8" t="s">
        <v>10733</v>
      </c>
      <c r="C4449" s="27"/>
      <c r="D4449" s="33" t="s">
        <v>14</v>
      </c>
      <c r="E4449" s="34">
        <v>2</v>
      </c>
      <c r="F4449" s="36">
        <v>26.68</v>
      </c>
      <c r="G4449" s="10">
        <v>81877</v>
      </c>
      <c r="H4449" s="30" t="str">
        <f ca="1">IFERROR(__xludf.DUMMYFUNCTION("LOWER(REGEXREPLACE(B4449&amp;"" ""&amp;C4449,""[^а-яa-z0-9 ]"","" ""))")," тол производственный рабочий      2120 60   ержавеющая сталь    двумя полками и бортиком   азмер  1200x600x850мм ")</f>
        <v xml:space="preserve"> тол производственный рабочий      2120 60   ержавеющая сталь    двумя полками и бортиком   азмер  1200x600x850мм </v>
      </c>
    </row>
    <row r="4450" spans="1:8" ht="38.25" x14ac:dyDescent="0.2">
      <c r="A4450" s="31" t="s">
        <v>10734</v>
      </c>
      <c r="B4450" s="8" t="s">
        <v>10735</v>
      </c>
      <c r="C4450" s="27"/>
      <c r="D4450" s="33" t="s">
        <v>14</v>
      </c>
      <c r="E4450" s="34">
        <v>2</v>
      </c>
      <c r="F4450" s="36">
        <v>30.17</v>
      </c>
      <c r="G4450" s="10">
        <v>88311</v>
      </c>
      <c r="H4450" s="30" t="str">
        <f ca="1">IFERROR(__xludf.DUMMYFUNCTION("LOWER(REGEXREPLACE(B4450&amp;"" ""&amp;C4450,""[^а-яa-z0-9 ]"","" ""))")," тол производственный рабочий      2140 60   ержавеющая сталь    двумя полками и бортиком   азмер  1400x600x850мм ")</f>
        <v xml:space="preserve"> тол производственный рабочий      2140 60   ержавеющая сталь    двумя полками и бортиком   азмер  1400x600x850мм </v>
      </c>
    </row>
    <row r="4451" spans="1:8" ht="38.25" x14ac:dyDescent="0.2">
      <c r="A4451" s="31" t="s">
        <v>10736</v>
      </c>
      <c r="B4451" s="8" t="s">
        <v>10737</v>
      </c>
      <c r="C4451" s="27"/>
      <c r="D4451" s="33" t="s">
        <v>14</v>
      </c>
      <c r="E4451" s="34">
        <v>2</v>
      </c>
      <c r="F4451" s="36">
        <v>33.659999999999997</v>
      </c>
      <c r="G4451" s="10">
        <v>94069</v>
      </c>
      <c r="H4451" s="30" t="str">
        <f ca="1">IFERROR(__xludf.DUMMYFUNCTION("LOWER(REGEXREPLACE(B4451&amp;"" ""&amp;C4451,""[^а-яa-z0-9 ]"","" ""))")," тол производственный рабочий      2160 60   ержавеющая сталь    двумя полками и бортиком   азмер  1600x600x850мм ")</f>
        <v xml:space="preserve"> тол производственный рабочий      2160 60   ержавеющая сталь    двумя полками и бортиком   азмер  1600x600x850мм </v>
      </c>
    </row>
    <row r="4452" spans="1:8" ht="38.25" x14ac:dyDescent="0.2">
      <c r="A4452" s="31" t="s">
        <v>10738</v>
      </c>
      <c r="B4452" s="8" t="s">
        <v>10739</v>
      </c>
      <c r="C4452" s="27"/>
      <c r="D4452" s="33" t="s">
        <v>14</v>
      </c>
      <c r="E4452" s="34">
        <v>2</v>
      </c>
      <c r="F4452" s="36">
        <v>37.15</v>
      </c>
      <c r="G4452" s="10">
        <v>99827</v>
      </c>
      <c r="H4452" s="30" t="str">
        <f ca="1">IFERROR(__xludf.DUMMYFUNCTION("LOWER(REGEXREPLACE(B4452&amp;"" ""&amp;C4452,""[^а-яa-z0-9 ]"","" ""))")," тол производственный рабочий      2180 60   ержавеющая сталь    двумя полками и бортиком   азмер  1800x600x850мм ")</f>
        <v xml:space="preserve"> тол производственный рабочий      2180 60   ержавеющая сталь    двумя полками и бортиком   азмер  1800x600x850мм </v>
      </c>
    </row>
    <row r="4453" spans="1:8" ht="38.25" x14ac:dyDescent="0.2">
      <c r="A4453" s="31" t="s">
        <v>10740</v>
      </c>
      <c r="B4453" s="8" t="s">
        <v>10741</v>
      </c>
      <c r="C4453" s="27"/>
      <c r="D4453" s="33" t="s">
        <v>14</v>
      </c>
      <c r="E4453" s="34">
        <v>2</v>
      </c>
      <c r="F4453" s="36">
        <v>25.72</v>
      </c>
      <c r="G4453" s="10">
        <v>81873</v>
      </c>
      <c r="H4453" s="30" t="str">
        <f ca="1">IFERROR(__xludf.DUMMYFUNCTION("LOWER(REGEXREPLACE(B4453&amp;"" ""&amp;C4453,""[^а-яa-z0-9 ]"","" ""))")," тол производственный рабочий      2100 70   ержавеющая сталь    двумя полками и бортиком   азмер  1000x700x850мм ")</f>
        <v xml:space="preserve"> тол производственный рабочий      2100 70   ержавеющая сталь    двумя полками и бортиком   азмер  1000x700x850мм </v>
      </c>
    </row>
    <row r="4454" spans="1:8" ht="38.25" x14ac:dyDescent="0.2">
      <c r="A4454" s="31" t="s">
        <v>10742</v>
      </c>
      <c r="B4454" s="8" t="s">
        <v>10743</v>
      </c>
      <c r="C4454" s="27"/>
      <c r="D4454" s="33" t="s">
        <v>14</v>
      </c>
      <c r="E4454" s="34">
        <v>2</v>
      </c>
      <c r="F4454" s="36">
        <v>29.62</v>
      </c>
      <c r="G4454" s="10">
        <v>88309</v>
      </c>
      <c r="H4454" s="30" t="str">
        <f ca="1">IFERROR(__xludf.DUMMYFUNCTION("LOWER(REGEXREPLACE(B4454&amp;"" ""&amp;C4454,""[^а-яa-z0-9 ]"","" ""))")," тол производственный рабочий      2120 70   ержавеющая сталь    двумя полками и бортиком   азмер  1200x700x850мм ")</f>
        <v xml:space="preserve"> тол производственный рабочий      2120 70   ержавеющая сталь    двумя полками и бортиком   азмер  1200x700x850мм </v>
      </c>
    </row>
    <row r="4455" spans="1:8" ht="38.25" x14ac:dyDescent="0.2">
      <c r="A4455" s="31" t="s">
        <v>10744</v>
      </c>
      <c r="B4455" s="8" t="s">
        <v>10745</v>
      </c>
      <c r="C4455" s="27"/>
      <c r="D4455" s="33" t="s">
        <v>14</v>
      </c>
      <c r="E4455" s="34">
        <v>2</v>
      </c>
      <c r="F4455" s="36">
        <v>33.520000000000003</v>
      </c>
      <c r="G4455" s="10">
        <v>95082</v>
      </c>
      <c r="H4455" s="30" t="str">
        <f ca="1">IFERROR(__xludf.DUMMYFUNCTION("LOWER(REGEXREPLACE(B4455&amp;"" ""&amp;C4455,""[^а-яa-z0-9 ]"","" ""))")," тол производственный рабочий      2140 70   ержавеющая сталь    двумя полками и бортиком   азмер  1400x700x850мм ")</f>
        <v xml:space="preserve"> тол производственный рабочий      2140 70   ержавеющая сталь    двумя полками и бортиком   азмер  1400x700x850мм </v>
      </c>
    </row>
    <row r="4456" spans="1:8" ht="38.25" x14ac:dyDescent="0.2">
      <c r="A4456" s="31" t="s">
        <v>10746</v>
      </c>
      <c r="B4456" s="8" t="s">
        <v>10747</v>
      </c>
      <c r="C4456" s="27"/>
      <c r="D4456" s="33" t="s">
        <v>14</v>
      </c>
      <c r="E4456" s="34">
        <v>2</v>
      </c>
      <c r="F4456" s="36">
        <v>37.42</v>
      </c>
      <c r="G4456" s="10">
        <v>101855</v>
      </c>
      <c r="H4456" s="30" t="str">
        <f ca="1">IFERROR(__xludf.DUMMYFUNCTION("LOWER(REGEXREPLACE(B4456&amp;"" ""&amp;C4456,""[^а-яa-z0-9 ]"","" ""))")," тол производственный рабочий      2160 70   ержавеющая сталь    двумя полками и бортиком   азмер  1600x700x850мм ")</f>
        <v xml:space="preserve"> тол производственный рабочий      2160 70   ержавеющая сталь    двумя полками и бортиком   азмер  1600x700x850мм </v>
      </c>
    </row>
    <row r="4457" spans="1:8" ht="38.25" x14ac:dyDescent="0.2">
      <c r="A4457" s="31" t="s">
        <v>10748</v>
      </c>
      <c r="B4457" s="8" t="s">
        <v>10749</v>
      </c>
      <c r="C4457" s="27"/>
      <c r="D4457" s="33" t="s">
        <v>14</v>
      </c>
      <c r="E4457" s="34">
        <v>2</v>
      </c>
      <c r="F4457" s="36">
        <v>41.32</v>
      </c>
      <c r="G4457" s="10">
        <v>108967</v>
      </c>
      <c r="H4457" s="30" t="str">
        <f ca="1">IFERROR(__xludf.DUMMYFUNCTION("LOWER(REGEXREPLACE(B4457&amp;"" ""&amp;C4457,""[^а-яa-z0-9 ]"","" ""))")," тол производственный рабочий      2180 70   ержавеющая сталь    двумя полками и бортиком   азмер  1800x700x850мм ")</f>
        <v xml:space="preserve"> тол производственный рабочий      2180 70   ержавеющая сталь    двумя полками и бортиком   азмер  1800x700x850мм </v>
      </c>
    </row>
    <row r="4458" spans="1:8" ht="51" x14ac:dyDescent="0.2">
      <c r="A4458" s="31" t="s">
        <v>10750</v>
      </c>
      <c r="B4458" s="27" t="s">
        <v>10751</v>
      </c>
      <c r="C4458" s="27"/>
      <c r="D4458" s="33" t="s">
        <v>14</v>
      </c>
      <c r="E4458" s="34">
        <v>2</v>
      </c>
      <c r="F4458" s="34">
        <v>28</v>
      </c>
      <c r="G4458" s="10">
        <v>30133</v>
      </c>
      <c r="H4458" s="30" t="str">
        <f ca="1">IFERROR(__xludf.DUMMYFUNCTION("LOWER(REGEXREPLACE(B4458&amp;"" ""&amp;C4458,""[^а-яa-z0-9 ]"","" ""))")," тол производственный       10 6 с бортом  столешница из нержавеющей стали с подложкой из       каркас оцинкованая сталь  полка решетчатая   азмер 1000х600х850мм ")</f>
        <v xml:space="preserve"> тол производственный       10 6 с бортом  столешница из нержавеющей стали с подложкой из       каркас оцинкованая сталь  полка решетчатая   азмер 1000х600х850мм </v>
      </c>
    </row>
    <row r="4459" spans="1:8" ht="51" x14ac:dyDescent="0.2">
      <c r="A4459" s="31" t="s">
        <v>10752</v>
      </c>
      <c r="B4459" s="27" t="s">
        <v>10753</v>
      </c>
      <c r="C4459" s="27"/>
      <c r="D4459" s="33" t="s">
        <v>14</v>
      </c>
      <c r="E4459" s="34">
        <v>2</v>
      </c>
      <c r="F4459" s="34">
        <v>31</v>
      </c>
      <c r="G4459" s="10">
        <v>34560</v>
      </c>
      <c r="H4459" s="30" t="str">
        <f ca="1">IFERROR(__xludf.DUMMYFUNCTION("LOWER(REGEXREPLACE(B4459&amp;"" ""&amp;C4459,""[^а-яa-z0-9 ]"","" ""))")," тол производственный       12 6 с бортом  столешница из нержавеющей стали с подложкой из       каркас оцинкованая сталь  полка решетчатая   азмер 1200х600х850мм ")</f>
        <v xml:space="preserve"> тол производственный       12 6 с бортом  столешница из нержавеющей стали с подложкой из       каркас оцинкованая сталь  полка решетчатая   азмер 1200х600х850мм </v>
      </c>
    </row>
    <row r="4460" spans="1:8" ht="51" x14ac:dyDescent="0.2">
      <c r="A4460" s="31" t="s">
        <v>10754</v>
      </c>
      <c r="B4460" s="27" t="s">
        <v>10755</v>
      </c>
      <c r="C4460" s="27"/>
      <c r="D4460" s="33" t="s">
        <v>14</v>
      </c>
      <c r="E4460" s="34">
        <v>2</v>
      </c>
      <c r="F4460" s="34">
        <v>35</v>
      </c>
      <c r="G4460" s="10">
        <v>39874</v>
      </c>
      <c r="H4460" s="30" t="str">
        <f ca="1">IFERROR(__xludf.DUMMYFUNCTION("LOWER(REGEXREPLACE(B4460&amp;"" ""&amp;C4460,""[^а-яa-z0-9 ]"","" ""))")," тол производственный       15 6 с бортом  столешница из нержавеющей стали с подложкой из       каркас оцинкованая сталь  полка решетчатая   азмер 1500х600х850мм ")</f>
        <v xml:space="preserve"> тол производственный       15 6 с бортом  столешница из нержавеющей стали с подложкой из       каркас оцинкованая сталь  полка решетчатая   азмер 1500х600х850мм </v>
      </c>
    </row>
    <row r="4461" spans="1:8" ht="51" x14ac:dyDescent="0.2">
      <c r="A4461" s="31" t="s">
        <v>10756</v>
      </c>
      <c r="B4461" s="27" t="s">
        <v>10757</v>
      </c>
      <c r="C4461" s="27"/>
      <c r="D4461" s="33" t="s">
        <v>14</v>
      </c>
      <c r="E4461" s="34">
        <v>2</v>
      </c>
      <c r="F4461" s="34">
        <v>38</v>
      </c>
      <c r="G4461" s="10">
        <v>45184</v>
      </c>
      <c r="H4461" s="30" t="str">
        <f ca="1">IFERROR(__xludf.DUMMYFUNCTION("LOWER(REGEXREPLACE(B4461&amp;"" ""&amp;C4461,""[^а-яa-z0-9 ]"","" ""))")," тол производственный       18 6 с бортом  столешница из нержавеющей стали с подложкой из       каркас оцинкованая сталь  полка решетчатая   азмер 1800х600х850мм ")</f>
        <v xml:space="preserve"> тол производственный       18 6 с бортом  столешница из нержавеющей стали с подложкой из       каркас оцинкованая сталь  полка решетчатая   азмер 1800х600х850мм </v>
      </c>
    </row>
    <row r="4462" spans="1:8" ht="51" x14ac:dyDescent="0.2">
      <c r="A4462" s="31" t="s">
        <v>10758</v>
      </c>
      <c r="B4462" s="27" t="s">
        <v>10759</v>
      </c>
      <c r="C4462" s="27"/>
      <c r="D4462" s="33" t="s">
        <v>14</v>
      </c>
      <c r="E4462" s="34">
        <v>2</v>
      </c>
      <c r="F4462" s="34">
        <v>28</v>
      </c>
      <c r="G4462" s="10">
        <v>29250</v>
      </c>
      <c r="H4462" s="30" t="str">
        <f ca="1">IFERROR(__xludf.DUMMYFUNCTION("LOWER(REGEXREPLACE(B4462&amp;"" ""&amp;C4462,""[^а-яa-z0-9 ]"","" ""))")," тол производственный      10 6 без борта  столешница из нержавеющей стали с подложкой из       каркас оцинкованая сталь  полка решетчатая   азмер 1000х600х850мм ")</f>
        <v xml:space="preserve"> тол производственный      10 6 без борта  столешница из нержавеющей стали с подложкой из       каркас оцинкованая сталь  полка решетчатая   азмер 1000х600х850мм </v>
      </c>
    </row>
    <row r="4463" spans="1:8" ht="51" x14ac:dyDescent="0.2">
      <c r="A4463" s="31" t="s">
        <v>10760</v>
      </c>
      <c r="B4463" s="27" t="s">
        <v>10761</v>
      </c>
      <c r="C4463" s="27"/>
      <c r="D4463" s="33" t="s">
        <v>14</v>
      </c>
      <c r="E4463" s="34">
        <v>2</v>
      </c>
      <c r="F4463" s="34">
        <v>31</v>
      </c>
      <c r="G4463" s="10">
        <v>33324</v>
      </c>
      <c r="H4463" s="30" t="str">
        <f ca="1">IFERROR(__xludf.DUMMYFUNCTION("LOWER(REGEXREPLACE(B4463&amp;"" ""&amp;C4463,""[^а-яa-z0-9 ]"","" ""))")," тол производственный      12 6 без борта  столешница из нержавеющей стали с подложкой из       каркас оцинкованая сталь  полка решетчатая   азмер 1200х600х850мм ")</f>
        <v xml:space="preserve"> тол производственный      12 6 без борта  столешница из нержавеющей стали с подложкой из       каркас оцинкованая сталь  полка решетчатая   азмер 1200х600х850мм </v>
      </c>
    </row>
    <row r="4464" spans="1:8" ht="51" x14ac:dyDescent="0.2">
      <c r="A4464" s="31" t="s">
        <v>10762</v>
      </c>
      <c r="B4464" s="27" t="s">
        <v>10763</v>
      </c>
      <c r="C4464" s="27"/>
      <c r="D4464" s="33" t="s">
        <v>14</v>
      </c>
      <c r="E4464" s="34">
        <v>2</v>
      </c>
      <c r="F4464" s="34">
        <v>35</v>
      </c>
      <c r="G4464" s="10">
        <v>38108</v>
      </c>
      <c r="H4464" s="30" t="str">
        <f ca="1">IFERROR(__xludf.DUMMYFUNCTION("LOWER(REGEXREPLACE(B4464&amp;"" ""&amp;C4464,""[^а-яa-z0-9 ]"","" ""))")," тол производственный      15 6 без борта  столешница из нержавеющей стали с подложкой из       каркас оцинкованая сталь  полка решетчатая   азмер 1500х600х850мм ")</f>
        <v xml:space="preserve"> тол производственный      15 6 без борта  столешница из нержавеющей стали с подложкой из       каркас оцинкованая сталь  полка решетчатая   азмер 1500х600х850мм </v>
      </c>
    </row>
    <row r="4465" spans="1:8" ht="51" x14ac:dyDescent="0.2">
      <c r="A4465" s="31" t="s">
        <v>10764</v>
      </c>
      <c r="B4465" s="27" t="s">
        <v>10765</v>
      </c>
      <c r="C4465" s="27"/>
      <c r="D4465" s="33" t="s">
        <v>14</v>
      </c>
      <c r="E4465" s="34">
        <v>2</v>
      </c>
      <c r="F4465" s="34">
        <v>38</v>
      </c>
      <c r="G4465" s="10">
        <v>43418</v>
      </c>
      <c r="H4465" s="30" t="str">
        <f ca="1">IFERROR(__xludf.DUMMYFUNCTION("LOWER(REGEXREPLACE(B4465&amp;"" ""&amp;C4465,""[^а-яa-z0-9 ]"","" ""))")," тол производственный      18 6 без борта  столешница из нержавеющей стали с подложкой из       каркас оцинкованая сталь  полка решетчатая   азмер 1800х600х850мм ")</f>
        <v xml:space="preserve"> тол производственный      18 6 без борта  столешница из нержавеющей стали с подложкой из       каркас оцинкованая сталь  полка решетчатая   азмер 1800х600х850мм </v>
      </c>
    </row>
    <row r="4466" spans="1:8" ht="12.75" x14ac:dyDescent="0.2">
      <c r="A4466" s="31" t="s">
        <v>10766</v>
      </c>
      <c r="B4466" s="27" t="s">
        <v>10767</v>
      </c>
      <c r="C4466" s="27"/>
      <c r="D4466" s="33" t="s">
        <v>14</v>
      </c>
      <c r="E4466" s="9"/>
      <c r="F4466" s="32"/>
      <c r="G4466" s="10"/>
      <c r="H4466" s="30" t="str">
        <f ca="1">IFERROR(__xludf.DUMMYFUNCTION("LOWER(REGEXREPLACE(B4466&amp;"" ""&amp;C4466,""[^а-яa-z0-9 ]"","" ""))")," тол специализированный кондитерский ")</f>
        <v xml:space="preserve"> тол специализированный кондитерский </v>
      </c>
    </row>
    <row r="4467" spans="1:8" ht="25.5" x14ac:dyDescent="0.2">
      <c r="A4467" s="31" t="s">
        <v>10768</v>
      </c>
      <c r="B4467" s="8" t="s">
        <v>10769</v>
      </c>
      <c r="C4467" s="27"/>
      <c r="D4467" s="33" t="s">
        <v>14</v>
      </c>
      <c r="E4467" s="9"/>
      <c r="F4467" s="34">
        <v>52</v>
      </c>
      <c r="G4467" s="10">
        <v>287935</v>
      </c>
      <c r="H4467" s="30" t="str">
        <f ca="1">IFERROR(__xludf.DUMMYFUNCTION("LOWER(REGEXREPLACE(B4467&amp;"" ""&amp;C4467,""[^а-яa-z0-9 ]"","" ""))")," тол специализированный кондитерский     15 7  1500х700х850  ")</f>
        <v xml:space="preserve"> тол специализированный кондитерский     15 7  1500х700х850  </v>
      </c>
    </row>
    <row r="4468" spans="1:8" ht="51" x14ac:dyDescent="0.2">
      <c r="A4468" s="31" t="s">
        <v>10770</v>
      </c>
      <c r="B4468" s="8" t="s">
        <v>10771</v>
      </c>
      <c r="C4468" s="27"/>
      <c r="D4468" s="33" t="s">
        <v>14</v>
      </c>
      <c r="E4468" s="9"/>
      <c r="F4468" s="34">
        <v>50</v>
      </c>
      <c r="G4468" s="10">
        <v>691224</v>
      </c>
      <c r="H4468" s="30" t="str">
        <f ca="1">IFERROR(__xludf.DUMMYFUNCTION("LOWER(REGEXREPLACE(B4468&amp;"" ""&amp;C4468,""[^а-яa-z0-9 ]"","" ""))")," тол специализированный кондитерский 1500х700х850 мм  каркас из нержавеющей стали  материал столешницы дерево      1500 700 ")</f>
        <v xml:space="preserve"> тол специализированный кондитерский 1500х700х850 мм  каркас из нержавеющей стали  материал столешницы дерево      1500 700 </v>
      </c>
    </row>
    <row r="4469" spans="1:8" ht="63.75" x14ac:dyDescent="0.2">
      <c r="A4469" s="31" t="s">
        <v>10772</v>
      </c>
      <c r="B4469" s="27" t="s">
        <v>10773</v>
      </c>
      <c r="C4469" s="27"/>
      <c r="D4469" s="33" t="s">
        <v>14</v>
      </c>
      <c r="E4469" s="34">
        <v>2</v>
      </c>
      <c r="F4469" s="34">
        <v>25</v>
      </c>
      <c r="G4469" s="10">
        <v>307857</v>
      </c>
      <c r="H4469" s="30" t="str">
        <f ca="1">IFERROR(__xludf.DUMMYFUNCTION("LOWER(REGEXREPLACE(B4469&amp;"" ""&amp;C4469,""[^а-яa-z0-9 ]"","" ""))")," тол специализированный кондитерский    15 7    размеры 1500х700х850 мм   толешница из дерева  каркас  ножки труба 40х40 мм нержавеющая сталь    образная обвязка нерж сталь  4 пластиковых регулируемых опоры ")</f>
        <v xml:space="preserve"> тол специализированный кондитерский    15 7    размеры 1500х700х850 мм   толешница из дерева  каркас  ножки труба 40х40 мм нержавеющая сталь    образная обвязка нерж сталь  4 пластиковых регулируемых опоры </v>
      </c>
    </row>
    <row r="4470" spans="1:8" ht="12.75" x14ac:dyDescent="0.2">
      <c r="A4470" s="31" t="s">
        <v>10774</v>
      </c>
      <c r="B4470" s="27" t="s">
        <v>10775</v>
      </c>
      <c r="C4470" s="27"/>
      <c r="D4470" s="33" t="s">
        <v>14</v>
      </c>
      <c r="E4470" s="9"/>
      <c r="F4470" s="32"/>
      <c r="G4470" s="10"/>
      <c r="H4470" s="30" t="str">
        <f ca="1">IFERROR(__xludf.DUMMYFUNCTION("LOWER(REGEXREPLACE(B4470&amp;"" ""&amp;C4470,""[^а-яa-z0-9 ]"","" ""))")," одтоварник ")</f>
        <v xml:space="preserve"> одтоварник </v>
      </c>
    </row>
    <row r="4471" spans="1:8" ht="12.75" x14ac:dyDescent="0.2">
      <c r="A4471" s="31" t="s">
        <v>10776</v>
      </c>
      <c r="B4471" s="27" t="s">
        <v>10777</v>
      </c>
      <c r="C4471" s="27" t="s">
        <v>10778</v>
      </c>
      <c r="D4471" s="33" t="s">
        <v>14</v>
      </c>
      <c r="E4471" s="9"/>
      <c r="F4471" s="34">
        <v>20</v>
      </c>
      <c r="G4471" s="10">
        <v>103980</v>
      </c>
      <c r="H4471" s="30" t="str">
        <f ca="1">IFERROR(__xludf.DUMMYFUNCTION("LOWER(REGEXREPLACE(B4471&amp;"" ""&amp;C4471,""[^а-яa-z0-9 ]"","" ""))")," одтоварник  размеры не менее 1200х600х300мм  атериал каркаса из нержавеющей стали ")</f>
        <v xml:space="preserve"> одтоварник  размеры не менее 1200х600х300мм  атериал каркаса из нержавеющей стали </v>
      </c>
    </row>
    <row r="4472" spans="1:8" ht="25.5" x14ac:dyDescent="0.2">
      <c r="A4472" s="31" t="s">
        <v>10779</v>
      </c>
      <c r="B4472" s="27" t="s">
        <v>10780</v>
      </c>
      <c r="C4472" s="27"/>
      <c r="D4472" s="33" t="s">
        <v>14</v>
      </c>
      <c r="E4472" s="9"/>
      <c r="F4472" s="34">
        <v>16</v>
      </c>
      <c r="G4472" s="10">
        <v>92710</v>
      </c>
      <c r="H4472" s="30" t="str">
        <f ca="1">IFERROR(__xludf.DUMMYFUNCTION("LOWER(REGEXREPLACE(B4472&amp;"" ""&amp;C4472,""[^а-яa-z0-9 ]"","" ""))")," одтоварник из нержавеющей стали 1200х600х300 мм  с лагами усиления    1 ")</f>
        <v xml:space="preserve"> одтоварник из нержавеющей стали 1200х600х300 мм  с лагами усиления    1 </v>
      </c>
    </row>
    <row r="4473" spans="1:8" ht="76.5" x14ac:dyDescent="0.2">
      <c r="A4473" s="31" t="s">
        <v>10781</v>
      </c>
      <c r="B4473" s="27" t="s">
        <v>10782</v>
      </c>
      <c r="C4473" s="27" t="s">
        <v>10783</v>
      </c>
      <c r="D4473" s="33" t="s">
        <v>14</v>
      </c>
      <c r="E4473" s="34">
        <v>2</v>
      </c>
      <c r="F4473" s="34">
        <v>15</v>
      </c>
      <c r="G4473" s="10">
        <v>99326</v>
      </c>
      <c r="H4473" s="30" t="str">
        <f ca="1">IFERROR(__xludf.DUMMYFUNCTION("LOWER(REGEXREPLACE(B4473&amp;"" ""&amp;C4473,""[^а-яa-z0-9 ]"","" ""))")," одтоварник кухонный    8 6     размеры 800х600х300 мм  столешница из нержавеющей стали 0 8 мм  максимальная равномерно распределенная нагрузка на столешницу до 150 кг  толешница нержавеющая сталь      430 толщиной 0 8 мм  усиленная     толщиной 16 мм  ра"&amp;"мка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егулируемые по высоте пластиковые опоры   тступ ног 50 мм   онструкция разбор"&amp;"ная ")</f>
        <v xml:space="preserve"> одтоварник кухонный    8 6     размеры 800х600х300 мм  столешница из нержавеющей стали 0 8 мм  максимальная равномерно распределенная нагрузка на столешницу до 150 кг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егулируемые по высоте пластиковые опоры   тступ ног 50 мм   онструкция разборная </v>
      </c>
    </row>
    <row r="4474" spans="1:8" ht="38.25" x14ac:dyDescent="0.2">
      <c r="A4474" s="31" t="s">
        <v>10784</v>
      </c>
      <c r="B4474" s="27" t="s">
        <v>10785</v>
      </c>
      <c r="C4474" s="27" t="s">
        <v>10786</v>
      </c>
      <c r="D4474" s="33" t="s">
        <v>14</v>
      </c>
      <c r="E4474" s="34">
        <v>2</v>
      </c>
      <c r="F4474" s="34">
        <v>10</v>
      </c>
      <c r="G4474" s="10">
        <v>118008</v>
      </c>
      <c r="H4474" s="30" t="str">
        <f ca="1">IFERROR(__xludf.DUMMYFUNCTION("LOWER(REGEXREPLACE(B4474&amp;"" ""&amp;C4474,""[^а-яa-z0-9 ]"","" ""))")," одтоварник    10 6    размеры 1000х600х300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f>
        <v xml:space="preserve"> одтоварник    10 6    размеры 1000х600х300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v>
      </c>
    </row>
    <row r="4475" spans="1:8" ht="38.25" x14ac:dyDescent="0.2">
      <c r="A4475" s="31" t="s">
        <v>10787</v>
      </c>
      <c r="B4475" s="27" t="s">
        <v>10788</v>
      </c>
      <c r="C4475" s="27" t="s">
        <v>10786</v>
      </c>
      <c r="D4475" s="33" t="s">
        <v>14</v>
      </c>
      <c r="E4475" s="34">
        <v>2</v>
      </c>
      <c r="F4475" s="34">
        <v>12</v>
      </c>
      <c r="G4475" s="10">
        <v>136718</v>
      </c>
      <c r="H4475" s="30" t="str">
        <f ca="1">IFERROR(__xludf.DUMMYFUNCTION("LOWER(REGEXREPLACE(B4475&amp;"" ""&amp;C4475,""[^а-яa-z0-9 ]"","" ""))")," одтоварник    12 6    размеры 1200х600х300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f>
        <v xml:space="preserve"> одтоварник    12 6    размеры 1200х600х300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v>
      </c>
    </row>
    <row r="4476" spans="1:8" ht="38.25" x14ac:dyDescent="0.2">
      <c r="A4476" s="31" t="s">
        <v>10789</v>
      </c>
      <c r="B4476" s="27" t="s">
        <v>10790</v>
      </c>
      <c r="C4476" s="27" t="s">
        <v>10791</v>
      </c>
      <c r="D4476" s="33" t="s">
        <v>14</v>
      </c>
      <c r="E4476" s="34">
        <v>2</v>
      </c>
      <c r="F4476" s="34">
        <v>11</v>
      </c>
      <c r="G4476" s="10">
        <v>136714</v>
      </c>
      <c r="H4476" s="30" t="str">
        <f ca="1">IFERROR(__xludf.DUMMYFUNCTION("LOWER(REGEXREPLACE(B4476&amp;"" ""&amp;C4476,""[^а-яa-z0-9 ]"","" ""))")," одтоварник    12 6    размеры 1200х600х300 мм  сплошная поверхность из нержавеющей стали  плошная поверхность из нержавеющей стали с лагами усиления   ожки  гнутый уголок 40х40 мм  толщиной 1 5мм нерж сталь   ластиковые регулируемые опоры ")</f>
        <v xml:space="preserve"> одтоварник    12 6    размеры 1200х600х300 мм  сплошная поверхность из нержавеющей стали  плошная поверхность из нержавеющей стали с лагами усиления   ожки  гнутый уголок 40х40 мм  толщиной 1 5мм нерж сталь   ластиковые регулируемые опоры </v>
      </c>
    </row>
    <row r="4477" spans="1:8" ht="12.75" x14ac:dyDescent="0.2">
      <c r="A4477" s="31" t="s">
        <v>10792</v>
      </c>
      <c r="B4477" s="27" t="s">
        <v>10793</v>
      </c>
      <c r="C4477" s="27"/>
      <c r="D4477" s="33" t="s">
        <v>14</v>
      </c>
      <c r="E4477" s="9"/>
      <c r="F4477" s="32"/>
      <c r="G4477" s="10"/>
      <c r="H4477" s="30" t="str">
        <f ca="1">IFERROR(__xludf.DUMMYFUNCTION("LOWER(REGEXREPLACE(B4477&amp;"" ""&amp;C4477,""[^а-яa-z0-9 ]"","" ""))")," астроемкость из нержавеющей стали ")</f>
        <v xml:space="preserve"> астроемкость из нержавеющей стали </v>
      </c>
    </row>
    <row r="4478" spans="1:8" ht="25.5" x14ac:dyDescent="0.2">
      <c r="A4478" s="31" t="s">
        <v>10794</v>
      </c>
      <c r="B4478" s="8" t="s">
        <v>10795</v>
      </c>
      <c r="C4478" s="27"/>
      <c r="D4478" s="33" t="s">
        <v>14</v>
      </c>
      <c r="E4478" s="9"/>
      <c r="F4478" s="35">
        <v>1.2</v>
      </c>
      <c r="G4478" s="10">
        <v>12349</v>
      </c>
      <c r="H4478" s="30" t="str">
        <f ca="1">IFERROR(__xludf.DUMMYFUNCTION("LOWER(REGEXREPLACE(B4478&amp;"" ""&amp;C4478,""[^а-яa-z0-9 ]"","" ""))")," астроемкость из нержавеющей стали   01 12  размеры 530х325х65 мм ")</f>
        <v xml:space="preserve"> астроемкость из нержавеющей стали   01 12  размеры 530х325х65 мм </v>
      </c>
    </row>
    <row r="4479" spans="1:8" ht="25.5" x14ac:dyDescent="0.2">
      <c r="A4479" s="31" t="s">
        <v>10796</v>
      </c>
      <c r="B4479" s="8" t="s">
        <v>10797</v>
      </c>
      <c r="C4479" s="27"/>
      <c r="D4479" s="33" t="s">
        <v>14</v>
      </c>
      <c r="E4479" s="9"/>
      <c r="F4479" s="36">
        <v>1.33</v>
      </c>
      <c r="G4479" s="10">
        <v>16066</v>
      </c>
      <c r="H4479" s="30" t="str">
        <f ca="1">IFERROR(__xludf.DUMMYFUNCTION("LOWER(REGEXREPLACE(B4479&amp;"" ""&amp;C4479,""[^а-яa-z0-9 ]"","" ""))")," астроемкость из нержавеющей стали   01 14  размеры 530х325х100 мм ")</f>
        <v xml:space="preserve"> астроемкость из нержавеющей стали   01 14  размеры 530х325х100 мм </v>
      </c>
    </row>
    <row r="4480" spans="1:8" ht="25.5" x14ac:dyDescent="0.2">
      <c r="A4480" s="31" t="s">
        <v>10798</v>
      </c>
      <c r="B4480" s="8" t="s">
        <v>10799</v>
      </c>
      <c r="C4480" s="27"/>
      <c r="D4480" s="33" t="s">
        <v>14</v>
      </c>
      <c r="E4480" s="9"/>
      <c r="F4480" s="35">
        <v>1.6</v>
      </c>
      <c r="G4480" s="10">
        <v>26193</v>
      </c>
      <c r="H4480" s="30" t="str">
        <f ca="1">IFERROR(__xludf.DUMMYFUNCTION("LOWER(REGEXREPLACE(B4480&amp;"" ""&amp;C4480,""[^а-яa-z0-9 ]"","" ""))")," астроемкость из нержавеющей стали   01 16  размеры 530х325х150 мм ")</f>
        <v xml:space="preserve"> астроемкость из нержавеющей стали   01 16  размеры 530х325х150 мм </v>
      </c>
    </row>
    <row r="4481" spans="1:8" ht="25.5" x14ac:dyDescent="0.2">
      <c r="A4481" s="31" t="s">
        <v>10800</v>
      </c>
      <c r="B4481" s="8" t="s">
        <v>10801</v>
      </c>
      <c r="C4481" s="27"/>
      <c r="D4481" s="33" t="s">
        <v>14</v>
      </c>
      <c r="E4481" s="9"/>
      <c r="F4481" s="35">
        <v>0.6</v>
      </c>
      <c r="G4481" s="10">
        <v>8507</v>
      </c>
      <c r="H4481" s="30" t="str">
        <f ca="1">IFERROR(__xludf.DUMMYFUNCTION("LOWER(REGEXREPLACE(B4481&amp;"" ""&amp;C4481,""[^а-яa-z0-9 ]"","" ""))")," астроемкость из нержавеющей стали   02 12  размеры 325х265 65 мм ")</f>
        <v xml:space="preserve"> астроемкость из нержавеющей стали   02 12  размеры 325х265 65 мм </v>
      </c>
    </row>
    <row r="4482" spans="1:8" ht="25.5" x14ac:dyDescent="0.2">
      <c r="A4482" s="31" t="s">
        <v>10802</v>
      </c>
      <c r="B4482" s="8" t="s">
        <v>10803</v>
      </c>
      <c r="C4482" s="27"/>
      <c r="D4482" s="33" t="s">
        <v>14</v>
      </c>
      <c r="E4482" s="9"/>
      <c r="F4482" s="35">
        <v>0.7</v>
      </c>
      <c r="G4482" s="10">
        <v>10328</v>
      </c>
      <c r="H4482" s="30" t="str">
        <f ca="1">IFERROR(__xludf.DUMMYFUNCTION("LOWER(REGEXREPLACE(B4482&amp;"" ""&amp;C4482,""[^а-яa-z0-9 ]"","" ""))")," астроемкость из нержавеющей стали   02 14  размеры 325х265 100 мм ")</f>
        <v xml:space="preserve"> астроемкость из нержавеющей стали   02 14  размеры 325х265 100 мм </v>
      </c>
    </row>
    <row r="4483" spans="1:8" ht="25.5" x14ac:dyDescent="0.2">
      <c r="A4483" s="31" t="s">
        <v>10804</v>
      </c>
      <c r="B4483" s="8" t="s">
        <v>10805</v>
      </c>
      <c r="C4483" s="27"/>
      <c r="D4483" s="33" t="s">
        <v>14</v>
      </c>
      <c r="E4483" s="9"/>
      <c r="F4483" s="36">
        <v>0.85</v>
      </c>
      <c r="G4483" s="10">
        <v>16813</v>
      </c>
      <c r="H4483" s="30" t="str">
        <f ca="1">IFERROR(__xludf.DUMMYFUNCTION("LOWER(REGEXREPLACE(B4483&amp;"" ""&amp;C4483,""[^а-яa-z0-9 ]"","" ""))")," астроемкость из нержавеющей стали   02 16  размеры 325х265 150 мм ")</f>
        <v xml:space="preserve"> астроемкость из нержавеющей стали   02 16  размеры 325х265 150 мм </v>
      </c>
    </row>
    <row r="4484" spans="1:8" ht="25.5" x14ac:dyDescent="0.2">
      <c r="A4484" s="31" t="s">
        <v>10806</v>
      </c>
      <c r="B4484" s="8" t="s">
        <v>10807</v>
      </c>
      <c r="C4484" s="27"/>
      <c r="D4484" s="33" t="s">
        <v>14</v>
      </c>
      <c r="E4484" s="9"/>
      <c r="F4484" s="36">
        <v>0.39</v>
      </c>
      <c r="G4484" s="10">
        <v>7159</v>
      </c>
      <c r="H4484" s="30" t="str">
        <f ca="1">IFERROR(__xludf.DUMMYFUNCTION("LOWER(REGEXREPLACE(B4484&amp;"" ""&amp;C4484,""[^а-яa-z0-9 ]"","" ""))")," астроемкость из нержавеющей стали   03 12  размеры 325х176х65 мм ")</f>
        <v xml:space="preserve"> астроемкость из нержавеющей стали   03 12  размеры 325х176х65 мм </v>
      </c>
    </row>
    <row r="4485" spans="1:8" ht="25.5" x14ac:dyDescent="0.2">
      <c r="A4485" s="31" t="s">
        <v>10808</v>
      </c>
      <c r="B4485" s="8" t="s">
        <v>10809</v>
      </c>
      <c r="C4485" s="27"/>
      <c r="D4485" s="33" t="s">
        <v>14</v>
      </c>
      <c r="E4485" s="9"/>
      <c r="F4485" s="36">
        <v>0.44</v>
      </c>
      <c r="G4485" s="10">
        <v>9354</v>
      </c>
      <c r="H4485" s="30" t="str">
        <f ca="1">IFERROR(__xludf.DUMMYFUNCTION("LOWER(REGEXREPLACE(B4485&amp;"" ""&amp;C4485,""[^а-яa-z0-9 ]"","" ""))")," астроемкость из нержавеющей стали   03 14  размеры 325х176х100 мм ")</f>
        <v xml:space="preserve"> астроемкость из нержавеющей стали   03 14  размеры 325х176х100 мм </v>
      </c>
    </row>
    <row r="4486" spans="1:8" ht="25.5" x14ac:dyDescent="0.2">
      <c r="A4486" s="31" t="s">
        <v>10810</v>
      </c>
      <c r="B4486" s="8" t="s">
        <v>10811</v>
      </c>
      <c r="C4486" s="27"/>
      <c r="D4486" s="33" t="s">
        <v>14</v>
      </c>
      <c r="E4486" s="9"/>
      <c r="F4486" s="36">
        <v>0.61</v>
      </c>
      <c r="G4486" s="10">
        <v>13769</v>
      </c>
      <c r="H4486" s="30" t="str">
        <f ca="1">IFERROR(__xludf.DUMMYFUNCTION("LOWER(REGEXREPLACE(B4486&amp;"" ""&amp;C4486,""[^а-яa-z0-9 ]"","" ""))")," астроемкость из нержавеющей стали   03 16  размеры 325х176х150 мм ")</f>
        <v xml:space="preserve"> астроемкость из нержавеющей стали   03 16  размеры 325х176х150 мм </v>
      </c>
    </row>
    <row r="4487" spans="1:8" ht="25.5" x14ac:dyDescent="0.2">
      <c r="A4487" s="31" t="s">
        <v>10812</v>
      </c>
      <c r="B4487" s="8" t="s">
        <v>10813</v>
      </c>
      <c r="C4487" s="27"/>
      <c r="D4487" s="33" t="s">
        <v>14</v>
      </c>
      <c r="E4487" s="9"/>
      <c r="F4487" s="36">
        <v>0.28999999999999998</v>
      </c>
      <c r="G4487" s="10">
        <v>6386</v>
      </c>
      <c r="H4487" s="30" t="str">
        <f ca="1">IFERROR(__xludf.DUMMYFUNCTION("LOWER(REGEXREPLACE(B4487&amp;"" ""&amp;C4487,""[^а-яa-z0-9 ]"","" ""))")," астроемкость из нержавеющей стали   04 12  размеры 265х162х65 мм ")</f>
        <v xml:space="preserve"> астроемкость из нержавеющей стали   04 12  размеры 265х162х65 мм </v>
      </c>
    </row>
    <row r="4488" spans="1:8" ht="25.5" x14ac:dyDescent="0.2">
      <c r="A4488" s="31" t="s">
        <v>10814</v>
      </c>
      <c r="B4488" s="8" t="s">
        <v>10815</v>
      </c>
      <c r="C4488" s="27"/>
      <c r="D4488" s="33" t="s">
        <v>14</v>
      </c>
      <c r="E4488" s="9"/>
      <c r="F4488" s="36">
        <v>0.33</v>
      </c>
      <c r="G4488" s="10">
        <v>7982</v>
      </c>
      <c r="H4488" s="30" t="str">
        <f ca="1">IFERROR(__xludf.DUMMYFUNCTION("LOWER(REGEXREPLACE(B4488&amp;"" ""&amp;C4488,""[^а-яa-z0-9 ]"","" ""))")," астроемкость из нержавеющей стали   04 14  размеры 265х162х100 мм ")</f>
        <v xml:space="preserve"> астроемкость из нержавеющей стали   04 14  размеры 265х162х100 мм </v>
      </c>
    </row>
    <row r="4489" spans="1:8" ht="25.5" x14ac:dyDescent="0.2">
      <c r="A4489" s="31" t="s">
        <v>10816</v>
      </c>
      <c r="B4489" s="8" t="s">
        <v>10817</v>
      </c>
      <c r="C4489" s="27"/>
      <c r="D4489" s="33" t="s">
        <v>14</v>
      </c>
      <c r="E4489" s="9"/>
      <c r="F4489" s="36">
        <v>0.46</v>
      </c>
      <c r="G4489" s="10">
        <v>11225</v>
      </c>
      <c r="H4489" s="30" t="str">
        <f ca="1">IFERROR(__xludf.DUMMYFUNCTION("LOWER(REGEXREPLACE(B4489&amp;"" ""&amp;C4489,""[^а-яa-z0-9 ]"","" ""))")," астроемкость из нержавеющей стали   04 16  размеры 265х162х150 мм ")</f>
        <v xml:space="preserve"> астроемкость из нержавеющей стали   04 16  размеры 265х162х150 мм </v>
      </c>
    </row>
    <row r="4490" spans="1:8" ht="25.5" x14ac:dyDescent="0.2">
      <c r="A4490" s="31" t="s">
        <v>10818</v>
      </c>
      <c r="B4490" s="8" t="s">
        <v>10819</v>
      </c>
      <c r="C4490" s="27"/>
      <c r="D4490" s="33" t="s">
        <v>14</v>
      </c>
      <c r="E4490" s="9"/>
      <c r="F4490" s="36">
        <v>0.19</v>
      </c>
      <c r="G4490" s="10">
        <v>5363</v>
      </c>
      <c r="H4490" s="30" t="str">
        <f ca="1">IFERROR(__xludf.DUMMYFUNCTION("LOWER(REGEXREPLACE(B4490&amp;"" ""&amp;C4490,""[^а-яa-z0-9 ]"","" ""))")," астроемкость из нержавеющей стали   06 12  размеры 176х164х65 мм ")</f>
        <v xml:space="preserve"> астроемкость из нержавеющей стали   06 12  размеры 176х164х65 мм </v>
      </c>
    </row>
    <row r="4491" spans="1:8" ht="25.5" x14ac:dyDescent="0.2">
      <c r="A4491" s="31" t="s">
        <v>10820</v>
      </c>
      <c r="B4491" s="8" t="s">
        <v>10821</v>
      </c>
      <c r="C4491" s="27"/>
      <c r="D4491" s="33" t="s">
        <v>14</v>
      </c>
      <c r="E4491" s="9"/>
      <c r="F4491" s="36">
        <v>0.28999999999999998</v>
      </c>
      <c r="G4491" s="10">
        <v>6535</v>
      </c>
      <c r="H4491" s="30" t="str">
        <f ca="1">IFERROR(__xludf.DUMMYFUNCTION("LOWER(REGEXREPLACE(B4491&amp;"" ""&amp;C4491,""[^а-яa-z0-9 ]"","" ""))")," астроемкость из нержавеющей стали   06 14  размеры 176х164х100 мм ")</f>
        <v xml:space="preserve"> астроемкость из нержавеющей стали   06 14  размеры 176х164х100 мм </v>
      </c>
    </row>
    <row r="4492" spans="1:8" ht="25.5" x14ac:dyDescent="0.2">
      <c r="A4492" s="31" t="s">
        <v>10822</v>
      </c>
      <c r="B4492" s="8" t="s">
        <v>10823</v>
      </c>
      <c r="C4492" s="27"/>
      <c r="D4492" s="33" t="s">
        <v>14</v>
      </c>
      <c r="E4492" s="9"/>
      <c r="F4492" s="36">
        <v>0.31</v>
      </c>
      <c r="G4492" s="10">
        <v>10052</v>
      </c>
      <c r="H4492" s="30" t="str">
        <f ca="1">IFERROR(__xludf.DUMMYFUNCTION("LOWER(REGEXREPLACE(B4492&amp;"" ""&amp;C4492,""[^а-яa-z0-9 ]"","" ""))")," астроемкость из нержавеющей стали   06 16  размеры 176х164х150 мм ")</f>
        <v xml:space="preserve"> астроемкость из нержавеющей стали   06 16  размеры 176х164х150 мм </v>
      </c>
    </row>
    <row r="4493" spans="1:8" ht="25.5" x14ac:dyDescent="0.2">
      <c r="A4493" s="31" t="s">
        <v>10824</v>
      </c>
      <c r="B4493" s="8" t="s">
        <v>10825</v>
      </c>
      <c r="C4493" s="27"/>
      <c r="D4493" s="33" t="s">
        <v>14</v>
      </c>
      <c r="E4493" s="9"/>
      <c r="F4493" s="32"/>
      <c r="G4493" s="10"/>
      <c r="H4493" s="30" t="str">
        <f ca="1">IFERROR(__xludf.DUMMYFUNCTION("LOWER(REGEXREPLACE(B4493&amp;"" ""&amp;C4493,""[^а-яa-z0-9 ]"","" ""))")," рышка для гастроемкостей из нержавеющей стали ")</f>
        <v xml:space="preserve"> рышка для гастроемкостей из нержавеющей стали </v>
      </c>
    </row>
    <row r="4494" spans="1:8" ht="25.5" x14ac:dyDescent="0.2">
      <c r="A4494" s="31" t="s">
        <v>10826</v>
      </c>
      <c r="B4494" s="27" t="s">
        <v>10827</v>
      </c>
      <c r="C4494" s="27"/>
      <c r="D4494" s="33" t="s">
        <v>14</v>
      </c>
      <c r="E4494" s="9"/>
      <c r="F4494" s="36">
        <v>1.17</v>
      </c>
      <c r="G4494" s="10">
        <v>9830</v>
      </c>
      <c r="H4494" s="30" t="str">
        <f ca="1">IFERROR(__xludf.DUMMYFUNCTION("LOWER(REGEXREPLACE(B4494&amp;"" ""&amp;C4494,""[^а-яa-z0-9 ]"","" ""))")," рышка для гастроемкостей из нержавеющей стали 1 1     размеры 530х325х20 мм ")</f>
        <v xml:space="preserve"> рышка для гастроемкостей из нержавеющей стали 1 1     размеры 530х325х20 мм </v>
      </c>
    </row>
    <row r="4495" spans="1:8" ht="25.5" x14ac:dyDescent="0.2">
      <c r="A4495" s="31" t="s">
        <v>10828</v>
      </c>
      <c r="B4495" s="27" t="s">
        <v>10829</v>
      </c>
      <c r="C4495" s="27"/>
      <c r="D4495" s="33" t="s">
        <v>14</v>
      </c>
      <c r="E4495" s="9"/>
      <c r="F4495" s="36">
        <v>0.57999999999999996</v>
      </c>
      <c r="G4495" s="10">
        <v>6387</v>
      </c>
      <c r="H4495" s="30" t="str">
        <f ca="1">IFERROR(__xludf.DUMMYFUNCTION("LOWER(REGEXREPLACE(B4495&amp;"" ""&amp;C4495,""[^а-яa-z0-9 ]"","" ""))")," рышка для гастроемкостей из нержавеющей стали1 2     размеры 325х265х20 мм ")</f>
        <v xml:space="preserve"> рышка для гастроемкостей из нержавеющей стали1 2     размеры 325х265х20 мм </v>
      </c>
    </row>
    <row r="4496" spans="1:8" ht="25.5" x14ac:dyDescent="0.2">
      <c r="A4496" s="31" t="s">
        <v>10830</v>
      </c>
      <c r="B4496" s="27" t="s">
        <v>10831</v>
      </c>
      <c r="C4496" s="27"/>
      <c r="D4496" s="33" t="s">
        <v>14</v>
      </c>
      <c r="E4496" s="9"/>
      <c r="F4496" s="36">
        <v>0.39</v>
      </c>
      <c r="G4496" s="10">
        <v>4863</v>
      </c>
      <c r="H4496" s="30" t="str">
        <f ca="1">IFERROR(__xludf.DUMMYFUNCTION("LOWER(REGEXREPLACE(B4496&amp;"" ""&amp;C4496,""[^а-яa-z0-9 ]"","" ""))")," рышка для гастроемкостей из нержавеющей стали 1 3     размеры 325х176х20 мм ")</f>
        <v xml:space="preserve"> рышка для гастроемкостей из нержавеющей стали 1 3     размеры 325х176х20 мм </v>
      </c>
    </row>
    <row r="4497" spans="1:8" ht="25.5" x14ac:dyDescent="0.2">
      <c r="A4497" s="31" t="s">
        <v>10832</v>
      </c>
      <c r="B4497" s="27" t="s">
        <v>10833</v>
      </c>
      <c r="C4497" s="27"/>
      <c r="D4497" s="33" t="s">
        <v>14</v>
      </c>
      <c r="E4497" s="9"/>
      <c r="F4497" s="36">
        <v>0.28999999999999998</v>
      </c>
      <c r="G4497" s="10">
        <v>3975</v>
      </c>
      <c r="H4497" s="30" t="str">
        <f ca="1">IFERROR(__xludf.DUMMYFUNCTION("LOWER(REGEXREPLACE(B4497&amp;"" ""&amp;C4497,""[^а-яa-z0-9 ]"","" ""))")," рышка для гастроемкостей из нержавеющей стали 1 4     размеры 236х162х20 мм ")</f>
        <v xml:space="preserve"> рышка для гастроемкостей из нержавеющей стали 1 4     размеры 236х162х20 мм </v>
      </c>
    </row>
    <row r="4498" spans="1:8" ht="25.5" x14ac:dyDescent="0.2">
      <c r="A4498" s="31" t="s">
        <v>10834</v>
      </c>
      <c r="B4498" s="27" t="s">
        <v>10835</v>
      </c>
      <c r="C4498" s="27"/>
      <c r="D4498" s="33" t="s">
        <v>14</v>
      </c>
      <c r="E4498" s="9"/>
      <c r="F4498" s="36">
        <v>0.17</v>
      </c>
      <c r="G4498" s="10">
        <v>2938</v>
      </c>
      <c r="H4498" s="30" t="str">
        <f ca="1">IFERROR(__xludf.DUMMYFUNCTION("LOWER(REGEXREPLACE(B4498&amp;"" ""&amp;C4498,""[^а-яa-z0-9 ]"","" ""))")," рышка для гастроемкостей из нержавеющей стали 1 6     размеры 176х164х20 мм ")</f>
        <v xml:space="preserve"> рышка для гастроемкостей из нержавеющей стали 1 6     размеры 176х164х20 мм </v>
      </c>
    </row>
    <row r="4499" spans="1:8" ht="12.75" x14ac:dyDescent="0.2">
      <c r="A4499" s="31" t="s">
        <v>10836</v>
      </c>
      <c r="B4499" s="27" t="s">
        <v>10837</v>
      </c>
      <c r="C4499" s="27"/>
      <c r="D4499" s="33" t="s">
        <v>14</v>
      </c>
      <c r="E4499" s="9"/>
      <c r="F4499" s="32"/>
      <c r="G4499" s="10"/>
      <c r="H4499" s="30" t="str">
        <f ca="1">IFERROR(__xludf.DUMMYFUNCTION("LOWER(REGEXREPLACE(B4499&amp;"" ""&amp;C4499,""[^а-яa-z0-9 ]"","" ""))")," ележка выдвижная для пароконвектоматов ")</f>
        <v xml:space="preserve"> ележка выдвижная для пароконвектоматов </v>
      </c>
    </row>
    <row r="4500" spans="1:8" ht="25.5" x14ac:dyDescent="0.2">
      <c r="A4500" s="31" t="s">
        <v>10838</v>
      </c>
      <c r="B4500" s="27" t="s">
        <v>10839</v>
      </c>
      <c r="C4500" s="27"/>
      <c r="D4500" s="33" t="s">
        <v>14</v>
      </c>
      <c r="E4500" s="9"/>
      <c r="F4500" s="34">
        <v>35</v>
      </c>
      <c r="G4500" s="10">
        <v>3402015</v>
      </c>
      <c r="H4500" s="30" t="str">
        <f ca="1">IFERROR(__xludf.DUMMYFUNCTION("LOWER(REGEXREPLACE(B4500&amp;"" ""&amp;C4500,""[^а-яa-z0-9 ]"","" ""))")," ележка выдвижная для пароконвектоматов      20   на 20 противней    1 1 ")</f>
        <v xml:space="preserve"> ележка выдвижная для пароконвектоматов      20   на 20 противней    1 1 </v>
      </c>
    </row>
    <row r="4501" spans="1:8" ht="25.5" x14ac:dyDescent="0.2">
      <c r="A4501" s="31" t="s">
        <v>10840</v>
      </c>
      <c r="B4501" s="27" t="s">
        <v>10841</v>
      </c>
      <c r="C4501" s="27"/>
      <c r="D4501" s="33" t="s">
        <v>14</v>
      </c>
      <c r="E4501" s="9"/>
      <c r="F4501" s="32"/>
      <c r="G4501" s="10"/>
      <c r="H4501" s="30" t="str">
        <f ca="1">IFERROR(__xludf.DUMMYFUNCTION("LOWER(REGEXREPLACE(B4501&amp;"" ""&amp;C4501,""[^а-яa-z0-9 ]"","" ""))")," тол производственный рабочий с ящиком  шкафом ")</f>
        <v xml:space="preserve"> тол производственный рабочий с ящиком  шкафом </v>
      </c>
    </row>
    <row r="4502" spans="1:8" ht="38.25" x14ac:dyDescent="0.2">
      <c r="A4502" s="31" t="s">
        <v>10842</v>
      </c>
      <c r="B4502" s="8" t="s">
        <v>10843</v>
      </c>
      <c r="C4502" s="27"/>
      <c r="D4502" s="33" t="s">
        <v>14</v>
      </c>
      <c r="E4502" s="34">
        <v>2</v>
      </c>
      <c r="F4502" s="35">
        <v>22.6</v>
      </c>
      <c r="G4502" s="10">
        <v>93350</v>
      </c>
      <c r="H4502" s="30" t="str">
        <f ca="1">IFERROR(__xludf.DUMMYFUNCTION("LOWER(REGEXREPLACE(B4502&amp;"" ""&amp;C4502,""[^а-яa-z0-9 ]"","" ""))")," тол производственный рабочий      3100 60   ержавеющая сталь    одним ящиком и бортиком   азмер  1000x600x850мм ")</f>
        <v xml:space="preserve"> тол производственный рабочий      3100 60   ержавеющая сталь    одним ящиком и бортиком   азмер  1000x600x850мм </v>
      </c>
    </row>
    <row r="4503" spans="1:8" ht="38.25" x14ac:dyDescent="0.2">
      <c r="A4503" s="31" t="s">
        <v>10844</v>
      </c>
      <c r="B4503" s="8" t="s">
        <v>10845</v>
      </c>
      <c r="C4503" s="27"/>
      <c r="D4503" s="33" t="s">
        <v>14</v>
      </c>
      <c r="E4503" s="34">
        <v>2</v>
      </c>
      <c r="F4503" s="36">
        <v>24.56</v>
      </c>
      <c r="G4503" s="10">
        <v>97750</v>
      </c>
      <c r="H4503" s="30" t="str">
        <f ca="1">IFERROR(__xludf.DUMMYFUNCTION("LOWER(REGEXREPLACE(B4503&amp;"" ""&amp;C4503,""[^а-яa-z0-9 ]"","" ""))")," тол производственный рабочий      3120 60   ержавеющая сталь    одним ящиком и бортиком   азмер  1200x600x850мм ")</f>
        <v xml:space="preserve"> тол производственный рабочий      3120 60   ержавеющая сталь    одним ящиком и бортиком   азмер  1200x600x850мм </v>
      </c>
    </row>
    <row r="4504" spans="1:8" ht="38.25" x14ac:dyDescent="0.2">
      <c r="A4504" s="31" t="s">
        <v>10846</v>
      </c>
      <c r="B4504" s="8" t="s">
        <v>10847</v>
      </c>
      <c r="C4504" s="27"/>
      <c r="D4504" s="33" t="s">
        <v>14</v>
      </c>
      <c r="E4504" s="34">
        <v>2</v>
      </c>
      <c r="F4504" s="36">
        <v>26.52</v>
      </c>
      <c r="G4504" s="10">
        <v>102827</v>
      </c>
      <c r="H4504" s="30" t="str">
        <f ca="1">IFERROR(__xludf.DUMMYFUNCTION("LOWER(REGEXREPLACE(B4504&amp;"" ""&amp;C4504,""[^а-яa-z0-9 ]"","" ""))")," тол производственный рабочий      3140 60   ержавеющая сталь    одним ящиком и бортиком   азмер  1400x600x850мм ")</f>
        <v xml:space="preserve"> тол производственный рабочий      3140 60   ержавеющая сталь    одним ящиком и бортиком   азмер  1400x600x850мм </v>
      </c>
    </row>
    <row r="4505" spans="1:8" ht="38.25" x14ac:dyDescent="0.2">
      <c r="A4505" s="31" t="s">
        <v>10848</v>
      </c>
      <c r="B4505" s="8" t="s">
        <v>10849</v>
      </c>
      <c r="C4505" s="27"/>
      <c r="D4505" s="33" t="s">
        <v>14</v>
      </c>
      <c r="E4505" s="34">
        <v>2</v>
      </c>
      <c r="F4505" s="36">
        <v>28.48</v>
      </c>
      <c r="G4505" s="10">
        <v>106551</v>
      </c>
      <c r="H4505" s="30" t="str">
        <f ca="1">IFERROR(__xludf.DUMMYFUNCTION("LOWER(REGEXREPLACE(B4505&amp;"" ""&amp;C4505,""[^а-яa-z0-9 ]"","" ""))")," тол производственный рабочий      3160 60   ержавеющая сталь    одним ящиком и бортиком   азмер  1600x600x850мм ")</f>
        <v xml:space="preserve"> тол производственный рабочий      3160 60   ержавеющая сталь    одним ящиком и бортиком   азмер  1600x600x850мм </v>
      </c>
    </row>
    <row r="4506" spans="1:8" ht="38.25" x14ac:dyDescent="0.2">
      <c r="A4506" s="31" t="s">
        <v>10850</v>
      </c>
      <c r="B4506" s="8" t="s">
        <v>10851</v>
      </c>
      <c r="C4506" s="27"/>
      <c r="D4506" s="33" t="s">
        <v>14</v>
      </c>
      <c r="E4506" s="34">
        <v>2</v>
      </c>
      <c r="F4506" s="36">
        <v>30.44</v>
      </c>
      <c r="G4506" s="10">
        <v>110952</v>
      </c>
      <c r="H4506" s="30" t="str">
        <f ca="1">IFERROR(__xludf.DUMMYFUNCTION("LOWER(REGEXREPLACE(B4506&amp;"" ""&amp;C4506,""[^а-яa-z0-9 ]"","" ""))")," тол производственный рабочий      3180 60   ержавеющая сталь    одним ящиком и бортиком   азмер  1800x600x850мм ")</f>
        <v xml:space="preserve"> тол производственный рабочий      3180 60   ержавеющая сталь    одним ящиком и бортиком   азмер  1800x600x850мм </v>
      </c>
    </row>
    <row r="4507" spans="1:8" ht="38.25" x14ac:dyDescent="0.2">
      <c r="A4507" s="31" t="s">
        <v>10852</v>
      </c>
      <c r="B4507" s="8" t="s">
        <v>10853</v>
      </c>
      <c r="C4507" s="27"/>
      <c r="D4507" s="33" t="s">
        <v>14</v>
      </c>
      <c r="E4507" s="34">
        <v>2</v>
      </c>
      <c r="F4507" s="34">
        <v>24</v>
      </c>
      <c r="G4507" s="10">
        <v>96397</v>
      </c>
      <c r="H4507" s="30" t="str">
        <f ca="1">IFERROR(__xludf.DUMMYFUNCTION("LOWER(REGEXREPLACE(B4507&amp;"" ""&amp;C4507,""[^а-яa-z0-9 ]"","" ""))")," тол производственный рабочий      3100 70   ержавеющая сталь    одним ящиком и бортиком   азмер  1000x700x850мм ")</f>
        <v xml:space="preserve"> тол производственный рабочий      3100 70   ержавеющая сталь    одним ящиком и бортиком   азмер  1000x700x850мм </v>
      </c>
    </row>
    <row r="4508" spans="1:8" ht="38.25" x14ac:dyDescent="0.2">
      <c r="A4508" s="31" t="s">
        <v>10854</v>
      </c>
      <c r="B4508" s="8" t="s">
        <v>10855</v>
      </c>
      <c r="C4508" s="27"/>
      <c r="D4508" s="33" t="s">
        <v>14</v>
      </c>
      <c r="E4508" s="34">
        <v>2</v>
      </c>
      <c r="F4508" s="36">
        <v>26.12</v>
      </c>
      <c r="G4508" s="10">
        <v>101811</v>
      </c>
      <c r="H4508" s="30" t="str">
        <f ca="1">IFERROR(__xludf.DUMMYFUNCTION("LOWER(REGEXREPLACE(B4508&amp;"" ""&amp;C4508,""[^а-яa-z0-9 ]"","" ""))")," тол производственный рабочий      3120 70   ержавеющая сталь    одним ящиком и бортиком   азмер  1200x700x850мм ")</f>
        <v xml:space="preserve"> тол производственный рабочий      3120 70   ержавеющая сталь    одним ящиком и бортиком   азмер  1200x700x850мм </v>
      </c>
    </row>
    <row r="4509" spans="1:8" ht="38.25" x14ac:dyDescent="0.2">
      <c r="A4509" s="31" t="s">
        <v>10856</v>
      </c>
      <c r="B4509" s="8" t="s">
        <v>10857</v>
      </c>
      <c r="C4509" s="27"/>
      <c r="D4509" s="33" t="s">
        <v>14</v>
      </c>
      <c r="E4509" s="34">
        <v>2</v>
      </c>
      <c r="F4509" s="36">
        <v>28.24</v>
      </c>
      <c r="G4509" s="10">
        <v>106550</v>
      </c>
      <c r="H4509" s="30" t="str">
        <f ca="1">IFERROR(__xludf.DUMMYFUNCTION("LOWER(REGEXREPLACE(B4509&amp;"" ""&amp;C4509,""[^а-яa-z0-9 ]"","" ""))")," тол производственный рабочий      3140 70   ержавеющая сталь    одним ящиком и бортиком   азмер  1400x700x850мм ")</f>
        <v xml:space="preserve"> тол производственный рабочий      3140 70   ержавеющая сталь    одним ящиком и бортиком   азмер  1400x700x850мм </v>
      </c>
    </row>
    <row r="4510" spans="1:8" ht="38.25" x14ac:dyDescent="0.2">
      <c r="A4510" s="31" t="s">
        <v>10858</v>
      </c>
      <c r="B4510" s="8" t="s">
        <v>10859</v>
      </c>
      <c r="C4510" s="27"/>
      <c r="D4510" s="33" t="s">
        <v>14</v>
      </c>
      <c r="E4510" s="34">
        <v>2</v>
      </c>
      <c r="F4510" s="36">
        <v>30.36</v>
      </c>
      <c r="G4510" s="10">
        <v>110951</v>
      </c>
      <c r="H4510" s="30" t="str">
        <f ca="1">IFERROR(__xludf.DUMMYFUNCTION("LOWER(REGEXREPLACE(B4510&amp;"" ""&amp;C4510,""[^а-яa-z0-9 ]"","" ""))")," тол производственный рабочий      3160 70   ержавеющая сталь    одним ящиком и бортиком   азмер  1600x700x850мм ")</f>
        <v xml:space="preserve"> тол производственный рабочий      3160 70   ержавеющая сталь    одним ящиком и бортиком   азмер  1600x700x850мм </v>
      </c>
    </row>
    <row r="4511" spans="1:8" ht="38.25" x14ac:dyDescent="0.2">
      <c r="A4511" s="31" t="s">
        <v>10860</v>
      </c>
      <c r="B4511" s="8" t="s">
        <v>10861</v>
      </c>
      <c r="C4511" s="27"/>
      <c r="D4511" s="33" t="s">
        <v>14</v>
      </c>
      <c r="E4511" s="34">
        <v>2</v>
      </c>
      <c r="F4511" s="36">
        <v>32.479999999999997</v>
      </c>
      <c r="G4511" s="10">
        <v>116366</v>
      </c>
      <c r="H4511" s="30" t="str">
        <f ca="1">IFERROR(__xludf.DUMMYFUNCTION("LOWER(REGEXREPLACE(B4511&amp;"" ""&amp;C4511,""[^а-яa-z0-9 ]"","" ""))")," тол производственный рабочий      3180 70   ержавеющая сталь    одним ящиком и бортиком   азмер  1800x700x850мм ")</f>
        <v xml:space="preserve"> тол производственный рабочий      3180 70   ержавеющая сталь    одним ящиком и бортиком   азмер  1800x700x850мм </v>
      </c>
    </row>
    <row r="4512" spans="1:8" ht="38.25" x14ac:dyDescent="0.2">
      <c r="A4512" s="31" t="s">
        <v>10862</v>
      </c>
      <c r="B4512" s="8" t="s">
        <v>10863</v>
      </c>
      <c r="C4512" s="27"/>
      <c r="D4512" s="33" t="s">
        <v>14</v>
      </c>
      <c r="E4512" s="34">
        <v>2</v>
      </c>
      <c r="F4512" s="36">
        <v>38.380000000000003</v>
      </c>
      <c r="G4512" s="10">
        <v>222154</v>
      </c>
      <c r="H4512" s="30" t="str">
        <f ca="1">IFERROR(__xludf.DUMMYFUNCTION("LOWER(REGEXREPLACE(B4512&amp;"" ""&amp;C4512,""[^а-яa-z0-9 ]"","" ""))")," тол производственный рабочий      4140 60   ержавеющая сталь    полкой  3 ящиками и бортиком   азмер  1400x600x850мм ")</f>
        <v xml:space="preserve"> тол производственный рабочий      4140 60   ержавеющая сталь    полкой  3 ящиками и бортиком   азмер  1400x600x850мм </v>
      </c>
    </row>
    <row r="4513" spans="1:8" ht="38.25" x14ac:dyDescent="0.2">
      <c r="A4513" s="31" t="s">
        <v>10864</v>
      </c>
      <c r="B4513" s="8" t="s">
        <v>10865</v>
      </c>
      <c r="C4513" s="27"/>
      <c r="D4513" s="33" t="s">
        <v>14</v>
      </c>
      <c r="E4513" s="34">
        <v>2</v>
      </c>
      <c r="F4513" s="36">
        <v>41.03</v>
      </c>
      <c r="G4513" s="10">
        <v>233653</v>
      </c>
      <c r="H4513" s="30" t="str">
        <f ca="1">IFERROR(__xludf.DUMMYFUNCTION("LOWER(REGEXREPLACE(B4513&amp;"" ""&amp;C4513,""[^а-яa-z0-9 ]"","" ""))")," тол производственный рабочий      4160 60   ержавеющая сталь    полкой  3 ящиками и бортиком   азмер  1600x600x850мм ")</f>
        <v xml:space="preserve"> тол производственный рабочий      4160 60   ержавеющая сталь    полкой  3 ящиками и бортиком   азмер  1600x600x850мм </v>
      </c>
    </row>
    <row r="4514" spans="1:8" ht="38.25" x14ac:dyDescent="0.2">
      <c r="A4514" s="31" t="s">
        <v>10866</v>
      </c>
      <c r="B4514" s="8" t="s">
        <v>10867</v>
      </c>
      <c r="C4514" s="27"/>
      <c r="D4514" s="33" t="s">
        <v>14</v>
      </c>
      <c r="E4514" s="34">
        <v>2</v>
      </c>
      <c r="F4514" s="36">
        <v>41.28</v>
      </c>
      <c r="G4514" s="10">
        <v>234330</v>
      </c>
      <c r="H4514" s="30" t="str">
        <f ca="1">IFERROR(__xludf.DUMMYFUNCTION("LOWER(REGEXREPLACE(B4514&amp;"" ""&amp;C4514,""[^а-яa-z0-9 ]"","" ""))")," тол производственный рабочий      4140 70   ержавеющая сталь    полкой  3 ящиками и бортиком   азмер  1400x700x850мм ")</f>
        <v xml:space="preserve"> тол производственный рабочий      4140 70   ержавеющая сталь    полкой  3 ящиками и бортиком   азмер  1400x700x850мм </v>
      </c>
    </row>
    <row r="4515" spans="1:8" ht="38.25" x14ac:dyDescent="0.2">
      <c r="A4515" s="31" t="s">
        <v>10868</v>
      </c>
      <c r="B4515" s="8" t="s">
        <v>10869</v>
      </c>
      <c r="C4515" s="27"/>
      <c r="D4515" s="33" t="s">
        <v>14</v>
      </c>
      <c r="E4515" s="34">
        <v>2</v>
      </c>
      <c r="F4515" s="36">
        <v>44.23</v>
      </c>
      <c r="G4515" s="10">
        <v>248533</v>
      </c>
      <c r="H4515" s="30" t="str">
        <f ca="1">IFERROR(__xludf.DUMMYFUNCTION("LOWER(REGEXREPLACE(B4515&amp;"" ""&amp;C4515,""[^а-яa-z0-9 ]"","" ""))")," тол производственный рабочий      4160 70   ержавеющая сталь    полкой  3 ящиками и бортиком   азмер  1600x700x850мм ")</f>
        <v xml:space="preserve"> тол производственный рабочий      4160 70   ержавеющая сталь    полкой  3 ящиками и бортиком   азмер  1600x700x850мм </v>
      </c>
    </row>
    <row r="4516" spans="1:8" ht="51" x14ac:dyDescent="0.2">
      <c r="A4516" s="31" t="s">
        <v>10870</v>
      </c>
      <c r="B4516" s="27" t="s">
        <v>10871</v>
      </c>
      <c r="C4516" s="27"/>
      <c r="D4516" s="33" t="s">
        <v>14</v>
      </c>
      <c r="E4516" s="34">
        <v>2</v>
      </c>
      <c r="F4516" s="36">
        <v>44.48</v>
      </c>
      <c r="G4516" s="10">
        <v>143783</v>
      </c>
      <c r="H4516" s="30" t="str">
        <f ca="1">IFERROR(__xludf.DUMMYFUNCTION("LOWER(REGEXREPLACE(B4516&amp;"" ""&amp;C4516,""[^а-яa-z0-9 ]"","" ""))")," тол производственный рабочий с раздвижным шкафом        140 60   ержавеющая сталь    шкафом из двух полок  с раздвижными дверями и бортиком   азмер  1400x600x850мм ")</f>
        <v xml:space="preserve"> тол производственный рабочий с раздвижным шкафом        140 60   ержавеющая сталь    шкафом из двух полок  с раздвижными дверями и бортиком   азмер  1400x600x850мм </v>
      </c>
    </row>
    <row r="4517" spans="1:8" ht="51" x14ac:dyDescent="0.2">
      <c r="A4517" s="31" t="s">
        <v>10872</v>
      </c>
      <c r="B4517" s="27" t="s">
        <v>10873</v>
      </c>
      <c r="C4517" s="27"/>
      <c r="D4517" s="33" t="s">
        <v>14</v>
      </c>
      <c r="E4517" s="34">
        <v>2</v>
      </c>
      <c r="F4517" s="36">
        <v>49.95</v>
      </c>
      <c r="G4517" s="10">
        <v>154955</v>
      </c>
      <c r="H4517" s="30" t="str">
        <f ca="1">IFERROR(__xludf.DUMMYFUNCTION("LOWER(REGEXREPLACE(B4517&amp;"" ""&amp;C4517,""[^а-яa-z0-9 ]"","" ""))")," тол производственный рабочий с раздвижным шкафом        160 60   ержавеющая сталь    шкафом из двух полок  с раздвижными дверями и бортиком   азмер  1600x600x850мм ")</f>
        <v xml:space="preserve"> тол производственный рабочий с раздвижным шкафом        160 60   ержавеющая сталь    шкафом из двух полок  с раздвижными дверями и бортиком   азмер  1600x600x850мм </v>
      </c>
    </row>
    <row r="4518" spans="1:8" ht="51" x14ac:dyDescent="0.2">
      <c r="A4518" s="31" t="s">
        <v>10874</v>
      </c>
      <c r="B4518" s="27" t="s">
        <v>10875</v>
      </c>
      <c r="C4518" s="27"/>
      <c r="D4518" s="33" t="s">
        <v>14</v>
      </c>
      <c r="E4518" s="34">
        <v>2</v>
      </c>
      <c r="F4518" s="36">
        <v>55.42</v>
      </c>
      <c r="G4518" s="10">
        <v>165790</v>
      </c>
      <c r="H4518" s="30" t="str">
        <f ca="1">IFERROR(__xludf.DUMMYFUNCTION("LOWER(REGEXREPLACE(B4518&amp;"" ""&amp;C4518,""[^а-яa-z0-9 ]"","" ""))")," тол производственный рабочий с раздвижным шкафом        180 60   ержавеющая сталь    шкафом из двух полок  с раздвижными дверями и бортиком   азмер  1800x600x850мм ")</f>
        <v xml:space="preserve"> тол производственный рабочий с раздвижным шкафом        180 60   ержавеющая сталь    шкафом из двух полок  с раздвижными дверями и бортиком   азмер  1800x600x850мм </v>
      </c>
    </row>
    <row r="4519" spans="1:8" ht="51" x14ac:dyDescent="0.2">
      <c r="A4519" s="31" t="s">
        <v>10876</v>
      </c>
      <c r="B4519" s="27" t="s">
        <v>10877</v>
      </c>
      <c r="C4519" s="27"/>
      <c r="D4519" s="33" t="s">
        <v>14</v>
      </c>
      <c r="E4519" s="34">
        <v>2</v>
      </c>
      <c r="F4519" s="36">
        <v>47.64</v>
      </c>
      <c r="G4519" s="10">
        <v>154271</v>
      </c>
      <c r="H4519" s="30" t="str">
        <f ca="1">IFERROR(__xludf.DUMMYFUNCTION("LOWER(REGEXREPLACE(B4519&amp;"" ""&amp;C4519,""[^а-яa-z0-9 ]"","" ""))")," тол производственный рабочий с раздвижным шкафом        140 70   ержавеющая сталь    шкафом из двух полок  с раздвижными дверями и бортиком   азмер  1400x700x850мм ")</f>
        <v xml:space="preserve"> тол производственный рабочий с раздвижным шкафом        140 70   ержавеющая сталь    шкафом из двух полок  с раздвижными дверями и бортиком   азмер  1400x700x850мм </v>
      </c>
    </row>
    <row r="4520" spans="1:8" ht="51" x14ac:dyDescent="0.2">
      <c r="A4520" s="31" t="s">
        <v>10878</v>
      </c>
      <c r="B4520" s="27" t="s">
        <v>10879</v>
      </c>
      <c r="C4520" s="27"/>
      <c r="D4520" s="33" t="s">
        <v>14</v>
      </c>
      <c r="E4520" s="34">
        <v>2</v>
      </c>
      <c r="F4520" s="36">
        <v>53.31</v>
      </c>
      <c r="G4520" s="10">
        <v>164092</v>
      </c>
      <c r="H4520" s="30" t="str">
        <f ca="1">IFERROR(__xludf.DUMMYFUNCTION("LOWER(REGEXREPLACE(B4520&amp;"" ""&amp;C4520,""[^а-яa-z0-9 ]"","" ""))")," тол производственный рабочий с раздвижным шкафом        160 70   ержавеющая сталь    шкафом из двух полок  с раздвижными дверями и бортиком   азмер  1600x700x850мм ")</f>
        <v xml:space="preserve"> тол производственный рабочий с раздвижным шкафом        160 70   ержавеющая сталь    шкафом из двух полок  с раздвижными дверями и бортиком   азмер  1600x700x850мм </v>
      </c>
    </row>
    <row r="4521" spans="1:8" ht="51" x14ac:dyDescent="0.2">
      <c r="A4521" s="31" t="s">
        <v>10880</v>
      </c>
      <c r="B4521" s="27" t="s">
        <v>10881</v>
      </c>
      <c r="C4521" s="27"/>
      <c r="D4521" s="33" t="s">
        <v>14</v>
      </c>
      <c r="E4521" s="34">
        <v>2</v>
      </c>
      <c r="F4521" s="36">
        <v>58.98</v>
      </c>
      <c r="G4521" s="10">
        <v>174589</v>
      </c>
      <c r="H4521" s="30" t="str">
        <f ca="1">IFERROR(__xludf.DUMMYFUNCTION("LOWER(REGEXREPLACE(B4521&amp;"" ""&amp;C4521,""[^а-яa-z0-9 ]"","" ""))")," тол производственный рабочий с раздвижным шкафом        180 70   ержавеющая сталь    шкафом из двух полок с раздвижными дверями и бортиком   азмер  1800x700x850мм ")</f>
        <v xml:space="preserve"> тол производственный рабочий с раздвижным шкафом        180 70   ержавеющая сталь    шкафом из двух полок с раздвижными дверями и бортиком   азмер  1800x700x850мм </v>
      </c>
    </row>
    <row r="4522" spans="1:8" ht="63.75" x14ac:dyDescent="0.2">
      <c r="A4522" s="31" t="s">
        <v>10882</v>
      </c>
      <c r="B4522" s="27" t="s">
        <v>10883</v>
      </c>
      <c r="C4522" s="27"/>
      <c r="D4522" s="33" t="s">
        <v>14</v>
      </c>
      <c r="E4522" s="34">
        <v>2</v>
      </c>
      <c r="F4522" s="34">
        <v>30</v>
      </c>
      <c r="G4522" s="10">
        <v>264054</v>
      </c>
      <c r="H4522" s="30" t="str">
        <f ca="1">IFERROR(__xludf.DUMMYFUNCTION("LOWER(REGEXREPLACE(B4522&amp;"" ""&amp;C4522,""[^а-яa-z0-9 ]"","" ""))")," тол пристенный купе      9 6  размеры 900х600х850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9 6  размеры 900х600х850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3" spans="1:8" ht="76.5" x14ac:dyDescent="0.2">
      <c r="A4523" s="31" t="s">
        <v>10884</v>
      </c>
      <c r="B4523" s="8" t="s">
        <v>10885</v>
      </c>
      <c r="C4523" s="27"/>
      <c r="D4523" s="33" t="s">
        <v>14</v>
      </c>
      <c r="E4523" s="34">
        <v>2</v>
      </c>
      <c r="F4523" s="34">
        <v>33</v>
      </c>
      <c r="G4523" s="10">
        <v>295606</v>
      </c>
      <c r="H4523" s="30" t="str">
        <f ca="1">IFERROR(__xludf.DUMMYFUNCTION("LOWER(REGEXREPLACE(B4523&amp;"" ""&amp;C4523,""[^а-яa-z0-9 ]"","" ""))")," тол пристенный купе      10 6  размеры 1000х600х850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10 6  размеры 1000х600х850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4" spans="1:8" ht="63.75" x14ac:dyDescent="0.2">
      <c r="A4524" s="31" t="s">
        <v>10886</v>
      </c>
      <c r="B4524" s="27" t="s">
        <v>10887</v>
      </c>
      <c r="C4524" s="27"/>
      <c r="D4524" s="33" t="s">
        <v>14</v>
      </c>
      <c r="E4524" s="34">
        <v>2</v>
      </c>
      <c r="F4524" s="34">
        <v>40</v>
      </c>
      <c r="G4524" s="10">
        <v>352073</v>
      </c>
      <c r="H4524" s="30" t="str">
        <f ca="1">IFERROR(__xludf.DUMMYFUNCTION("LOWER(REGEXREPLACE(B4524&amp;"" ""&amp;C4524,""[^а-яa-z0-9 ]"","" ""))")," тол пристенный купе      12 6  размеры 1200х600х850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12 6  размеры 1200х600х850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5" spans="1:8" ht="63.75" x14ac:dyDescent="0.2">
      <c r="A4525" s="31" t="s">
        <v>10888</v>
      </c>
      <c r="B4525" s="27" t="s">
        <v>10889</v>
      </c>
      <c r="C4525" s="27"/>
      <c r="D4525" s="33" t="s">
        <v>14</v>
      </c>
      <c r="E4525" s="34">
        <v>2</v>
      </c>
      <c r="F4525" s="34">
        <v>43</v>
      </c>
      <c r="G4525" s="10">
        <v>381964</v>
      </c>
      <c r="H4525" s="30" t="str">
        <f ca="1">IFERROR(__xludf.DUMMYFUNCTION("LOWER(REGEXREPLACE(B4525&amp;"" ""&amp;C4525,""[^а-яa-z0-9 ]"","" ""))")," тол пристенный купе      13 6  размеры 1300х600х850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13 6  размеры 1300х600х850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6" spans="1:8" ht="63.75" x14ac:dyDescent="0.2">
      <c r="A4526" s="31" t="s">
        <v>10890</v>
      </c>
      <c r="B4526" s="27" t="s">
        <v>10891</v>
      </c>
      <c r="C4526" s="27"/>
      <c r="D4526" s="33" t="s">
        <v>14</v>
      </c>
      <c r="E4526" s="34">
        <v>2</v>
      </c>
      <c r="F4526" s="34">
        <v>50</v>
      </c>
      <c r="G4526" s="10">
        <v>440091</v>
      </c>
      <c r="H4526" s="30" t="str">
        <f ca="1">IFERROR(__xludf.DUMMYFUNCTION("LOWER(REGEXREPLACE(B4526&amp;"" ""&amp;C4526,""[^а-яa-z0-9 ]"","" ""))")," тол пристенный купе      15 6  размеры 1500х600х850 мм  нержавеющая сталь  2 дверцы и регулируемые по высоте ножки   адний бортик 40 мм и отступ для коммуникаций 100 мм   толешница усилена листом     16 мм ")</f>
        <v xml:space="preserve"> тол пристенный купе      15 6  размеры 1500х600х850 мм  нержавеющая сталь  2 дверцы и регулируемые по высоте ножки   адний бортик 40 мм и отступ для коммуникаций 100 мм   толешница усилена листом     16 мм </v>
      </c>
    </row>
    <row r="4527" spans="1:8" ht="12.75" x14ac:dyDescent="0.2">
      <c r="A4527" s="31" t="s">
        <v>10892</v>
      </c>
      <c r="B4527" s="27" t="s">
        <v>10893</v>
      </c>
      <c r="C4527" s="27"/>
      <c r="D4527" s="33" t="s">
        <v>14</v>
      </c>
      <c r="E4527" s="9"/>
      <c r="F4527" s="32"/>
      <c r="G4527" s="10"/>
      <c r="H4527" s="30" t="str">
        <f ca="1">IFERROR(__xludf.DUMMYFUNCTION("LOWER(REGEXREPLACE(B4527&amp;"" ""&amp;C4527,""[^а-яa-z0-9 ]"","" ""))")," тол разделочный ")</f>
        <v xml:space="preserve"> тол разделочный </v>
      </c>
    </row>
    <row r="4528" spans="1:8" ht="63.75" x14ac:dyDescent="0.2">
      <c r="A4528" s="31" t="s">
        <v>10894</v>
      </c>
      <c r="B4528" s="27" t="s">
        <v>10895</v>
      </c>
      <c r="C4528" s="27"/>
      <c r="D4528" s="33" t="s">
        <v>14</v>
      </c>
      <c r="E4528" s="34">
        <v>2</v>
      </c>
      <c r="F4528" s="34">
        <v>33</v>
      </c>
      <c r="G4528" s="10">
        <v>373623</v>
      </c>
      <c r="H4528" s="30" t="str">
        <f ca="1">IFERROR(__xludf.DUMMYFUNCTION("LOWER(REGEXREPLACE(B4528&amp;"" ""&amp;C4528,""[^а-яa-z0-9 ]"","" ""))")," тол для обвалки мяса    15 7 5    размеры 1500х750х850 мм  столешница полипропилен толщиной 20 мм  каркас  ножки труба 40х40 мм нерж сталь  нижняя   образная обвязка из нержавеющей стали ")</f>
        <v xml:space="preserve"> тол для обвалки мяса    15 7 5    размеры 1500х750х850 мм  столешница полипропилен толщиной 20 мм  каркас  ножки труба 40х40 мм нерж сталь  нижняя   образная обвязка из нержавеющей стали </v>
      </c>
    </row>
    <row r="4529" spans="1:8" ht="63.75" x14ac:dyDescent="0.2">
      <c r="A4529" s="31" t="s">
        <v>10896</v>
      </c>
      <c r="B4529" s="27" t="s">
        <v>10897</v>
      </c>
      <c r="C4529" s="27"/>
      <c r="D4529" s="33" t="s">
        <v>14</v>
      </c>
      <c r="E4529" s="34">
        <v>2</v>
      </c>
      <c r="F4529" s="34">
        <v>37</v>
      </c>
      <c r="G4529" s="10">
        <v>423438</v>
      </c>
      <c r="H4529" s="30" t="str">
        <f ca="1">IFERROR(__xludf.DUMMYFUNCTION("LOWER(REGEXREPLACE(B4529&amp;"" ""&amp;C4529,""[^а-яa-z0-9 ]"","" ""))")," тол для обвалки мяса    17 7 5    размеры 1700х750х850 мм  столешница полипропилен толщиной 20 мм  каркас  ножки труба 40х40 мм нерж сталь  нижняя   образная обвязка из нержавеющей стали ")</f>
        <v xml:space="preserve"> тол для обвалки мяса    17 7 5    размеры 1700х750х850 мм  столешница полипропилен толщиной 20 мм  каркас  ножки труба 40х40 мм нерж сталь  нижняя   образная обвязка из нержавеющей стали </v>
      </c>
    </row>
    <row r="4530" spans="1:8" ht="63.75" x14ac:dyDescent="0.2">
      <c r="A4530" s="31" t="s">
        <v>10898</v>
      </c>
      <c r="B4530" s="27" t="s">
        <v>10899</v>
      </c>
      <c r="C4530" s="27"/>
      <c r="D4530" s="33" t="s">
        <v>14</v>
      </c>
      <c r="E4530" s="34">
        <v>2</v>
      </c>
      <c r="F4530" s="34">
        <v>39</v>
      </c>
      <c r="G4530" s="10">
        <v>448345</v>
      </c>
      <c r="H4530" s="30" t="str">
        <f ca="1">IFERROR(__xludf.DUMMYFUNCTION("LOWER(REGEXREPLACE(B4530&amp;"" ""&amp;C4530,""[^а-яa-z0-9 ]"","" ""))")," тол для обвалки мяса    18 7 5    размеры 1800х750х850 мм  столешница полипропилен толщиной 20 мм  каркас  ножки труба 40х40 мм нерж сталь  нижняя   образная обвязка из нержавеющей стали ")</f>
        <v xml:space="preserve"> тол для обвалки мяса    18 7 5    размеры 1800х750х850 мм  столешница полипропилен толщиной 20 мм  каркас  ножки труба 40х40 мм нерж сталь  нижняя   образная обвязка из нержавеющей стали </v>
      </c>
    </row>
    <row r="4531" spans="1:8" ht="63.75" x14ac:dyDescent="0.2">
      <c r="A4531" s="31" t="s">
        <v>10900</v>
      </c>
      <c r="B4531" s="27" t="s">
        <v>10901</v>
      </c>
      <c r="C4531" s="27"/>
      <c r="D4531" s="33" t="s">
        <v>14</v>
      </c>
      <c r="E4531" s="34">
        <v>2</v>
      </c>
      <c r="F4531" s="34">
        <v>40</v>
      </c>
      <c r="G4531" s="10">
        <v>464949</v>
      </c>
      <c r="H4531" s="30" t="str">
        <f ca="1">IFERROR(__xludf.DUMMYFUNCTION("LOWER(REGEXREPLACE(B4531&amp;"" ""&amp;C4531,""[^а-яa-z0-9 ]"","" ""))")," тол для обвалки мяса    19 7 5    размеры 1900х750х850 мм  столешница полипропилен толщиной 20 мм  каркас  ножки труба 40х40 мм нерж сталь  нижняя   образная обвязка из нержавеющей стали ")</f>
        <v xml:space="preserve"> тол для обвалки мяса    19 7 5    размеры 1900х750х850 мм  столешница полипропилен толщиной 20 мм  каркас  ножки труба 40х40 мм нерж сталь  нижняя   образная обвязка из нержавеющей стали </v>
      </c>
    </row>
    <row r="4532" spans="1:8" ht="63.75" x14ac:dyDescent="0.2">
      <c r="A4532" s="31" t="s">
        <v>10902</v>
      </c>
      <c r="B4532" s="27" t="s">
        <v>10903</v>
      </c>
      <c r="C4532" s="27"/>
      <c r="D4532" s="33" t="s">
        <v>14</v>
      </c>
      <c r="E4532" s="34">
        <v>2</v>
      </c>
      <c r="F4532" s="34">
        <v>31</v>
      </c>
      <c r="G4532" s="10">
        <v>357016</v>
      </c>
      <c r="H4532" s="30" t="str">
        <f ca="1">IFERROR(__xludf.DUMMYFUNCTION("LOWER(REGEXREPLACE(B4532&amp;"" ""&amp;C4532,""[^а-яa-z0-9 ]"","" ""))")," тол для обвалки мяса    15 7 5    размеры 1500х750х850 мм  столешница полипропилен толщиной 20 мм  каркас  ножки  гнутый уголок 40х40 мм  толщиной 1 5 нерж сталь  нижняя   образная обвязка из нержавеющей стали ")</f>
        <v xml:space="preserve"> тол для обвалки мяса    15 7 5    размеры 1500х750х850 мм  столешница полипропилен толщиной 20 мм  каркас  ножки  гнутый уголок 40х40 мм  толщиной 1 5 нерж сталь  нижняя   образная обвязка из нержавеющей стали </v>
      </c>
    </row>
    <row r="4533" spans="1:8" ht="12.75" x14ac:dyDescent="0.2">
      <c r="A4533" s="31" t="s">
        <v>10904</v>
      </c>
      <c r="B4533" s="27" t="s">
        <v>10905</v>
      </c>
      <c r="C4533" s="27"/>
      <c r="D4533" s="33" t="s">
        <v>14</v>
      </c>
      <c r="E4533" s="9"/>
      <c r="F4533" s="32"/>
      <c r="G4533" s="10"/>
      <c r="H4533" s="30" t="str">
        <f ca="1">IFERROR(__xludf.DUMMYFUNCTION("LOWER(REGEXREPLACE(B4533&amp;"" ""&amp;C4533,""[^а-яa-z0-9 ]"","" ""))")," тол для кухонных работ ")</f>
        <v xml:space="preserve"> тол для кухонных работ </v>
      </c>
    </row>
    <row r="4534" spans="1:8" ht="76.5" x14ac:dyDescent="0.2">
      <c r="A4534" s="31" t="s">
        <v>10906</v>
      </c>
      <c r="B4534" s="27" t="s">
        <v>10907</v>
      </c>
      <c r="C4534" s="27" t="s">
        <v>10908</v>
      </c>
      <c r="D4534" s="33" t="s">
        <v>14</v>
      </c>
      <c r="E4534" s="34">
        <v>2</v>
      </c>
      <c r="F4534" s="34">
        <v>28</v>
      </c>
      <c r="G4534" s="10">
        <v>305545</v>
      </c>
      <c r="H4534" s="30" t="str">
        <f ca="1">IFERROR(__xludf.DUMMYFUNCTION("LOWER(REGEXREPLACE(B4534&amp;"" ""&amp;C4534,""[^а-яa-z0-9 ]"","" ""))")," тол для очистки овощей    12 8     размеры 1200х800х870 мм   снащен 3 бортами  столешница из нержавеющей стали  отверстие для сбора крупных отходов диаметром 200 мм  снащен 3 бортами  столешница выполнена из нержавеющей стали      430 и укреплена с внутр"&amp;"енней стороны листом ламинированной древесно стружечной плиты   каркас   из оцинкованной стали толщиной 1 2 мм   тверстие для сбора крупных отходов диаметром 200 мм   азмеры ванны 1000х250х200 мм ")</f>
        <v xml:space="preserve"> тол для очистки овощей    12 8     размеры 1200х800х870 мм   снащен 3 бортами  столешница из нержавеющей стали  отверстие для сбора крупных отходов диаметром 200 мм  снащен 3 бортами  столешница выполнена из нержавеющей стали      430 и укреплена с внутренней стороны листом ламинированной древесно стружечной плиты   каркас   из оцинкованной стали толщиной 1 2 мм   тверстие для сбора крупных отходов диаметром 200 мм   азмеры ванны 1000х250х200 мм </v>
      </c>
    </row>
    <row r="4535" spans="1:8" ht="12.75" x14ac:dyDescent="0.2">
      <c r="A4535" s="31" t="s">
        <v>10909</v>
      </c>
      <c r="B4535" s="27" t="s">
        <v>10910</v>
      </c>
      <c r="C4535" s="27"/>
      <c r="D4535" s="33" t="s">
        <v>14</v>
      </c>
      <c r="E4535" s="9"/>
      <c r="F4535" s="32"/>
      <c r="G4535" s="10"/>
      <c r="H4535" s="30" t="str">
        <f ca="1">IFERROR(__xludf.DUMMYFUNCTION("LOWER(REGEXREPLACE(B4535&amp;"" ""&amp;C4535,""[^а-яa-z0-9 ]"","" ""))")," арь для овощей ")</f>
        <v xml:space="preserve"> арь для овощей </v>
      </c>
    </row>
    <row r="4536" spans="1:8" ht="63.75" x14ac:dyDescent="0.2">
      <c r="A4536" s="31" t="s">
        <v>10911</v>
      </c>
      <c r="B4536" s="27" t="s">
        <v>10912</v>
      </c>
      <c r="C4536" s="27" t="s">
        <v>10913</v>
      </c>
      <c r="D4536" s="33" t="s">
        <v>14</v>
      </c>
      <c r="E4536" s="34">
        <v>2</v>
      </c>
      <c r="F4536" s="34">
        <v>29</v>
      </c>
      <c r="G4536" s="10">
        <v>174413</v>
      </c>
      <c r="H4536" s="30" t="str">
        <f ca="1">IFERROR(__xludf.DUMMYFUNCTION("LOWER(REGEXREPLACE(B4536&amp;"" ""&amp;C4536,""[^а-яa-z0-9 ]"","" ""))")," арь для овощей    10 6 8 5  размеры 1000х600х850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оцинко"&amp;"ванная сталь толщиной не менее 1 5 мм   ередняя и задняя стенки  крыша и основание усилены ребрами жесткости ")</f>
        <v xml:space="preserve"> арь для овощей    10 6 8 5  размеры 1000х600х850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оцинкованная сталь толщиной не менее 1 5 мм   ередняя и задняя стенки  крыша и основание усилены ребрами жесткости </v>
      </c>
    </row>
    <row r="4537" spans="1:8" ht="63.75" x14ac:dyDescent="0.2">
      <c r="A4537" s="31" t="s">
        <v>10914</v>
      </c>
      <c r="B4537" s="27" t="s">
        <v>10915</v>
      </c>
      <c r="C4537" s="27" t="s">
        <v>10916</v>
      </c>
      <c r="D4537" s="33" t="s">
        <v>14</v>
      </c>
      <c r="E4537" s="34">
        <v>2</v>
      </c>
      <c r="F4537" s="34">
        <v>35</v>
      </c>
      <c r="G4537" s="10">
        <v>209297</v>
      </c>
      <c r="H4537" s="30" t="str">
        <f ca="1">IFERROR(__xludf.DUMMYFUNCTION("LOWER(REGEXREPLACE(B4537&amp;"" ""&amp;C4537,""[^а-яa-z0-9 ]"","" ""))")," арь для овощей    12 6 8 5  размеры 1200х600х850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оцинк"&amp;"ованная сталь толщиной не менее 1 5 мм   ередняя и задняя стенки  крыша и основание усилены ребрами жесткости ")</f>
        <v xml:space="preserve"> арь для овощей    12 6 8 5  размеры 1200х600х850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оцинкованная сталь толщиной не менее 1 5 мм   ередняя и задняя стенки  крыша и основание усилены ребрами жесткости </v>
      </c>
    </row>
    <row r="4538" spans="1:8" ht="12.75" x14ac:dyDescent="0.2">
      <c r="A4538" s="31" t="s">
        <v>10917</v>
      </c>
      <c r="B4538" s="27" t="s">
        <v>10918</v>
      </c>
      <c r="C4538" s="27"/>
      <c r="D4538" s="33" t="s">
        <v>14</v>
      </c>
      <c r="E4538" s="9"/>
      <c r="F4538" s="32"/>
      <c r="G4538" s="10"/>
      <c r="H4538" s="30" t="str">
        <f ca="1">IFERROR(__xludf.DUMMYFUNCTION("LOWER(REGEXREPLACE(B4538&amp;"" ""&amp;C4538,""[^а-яa-z0-9 ]"","" ""))")," тол производственный с бортом ")</f>
        <v xml:space="preserve"> тол производственный с бортом </v>
      </c>
    </row>
    <row r="4539" spans="1:8" ht="51" x14ac:dyDescent="0.2">
      <c r="A4539" s="31" t="s">
        <v>10919</v>
      </c>
      <c r="B4539" s="8" t="s">
        <v>10920</v>
      </c>
      <c r="C4539" s="27" t="s">
        <v>10921</v>
      </c>
      <c r="D4539" s="33" t="s">
        <v>14</v>
      </c>
      <c r="E4539" s="34">
        <v>2</v>
      </c>
      <c r="F4539" s="34">
        <v>17</v>
      </c>
      <c r="G4539" s="10">
        <v>124566</v>
      </c>
      <c r="H4539" s="30" t="str">
        <f ca="1">IFERROR(__xludf.DUMMYFUNCTION("LOWER(REGEXREPLACE(B4539&amp;"" ""&amp;C4539,""[^а-яa-z0-9 ]"","" ""))")," тол производственный с бортом     6 6    борт не менее 40 мм  размеры 600х600х850 мм  столешница из нержавеющей стали 0 8 мм  усиленная     16 мм  без полки  ижняя обвязка полукругом под емкость  подступ под коммуникации 100 мм  4 ножки уголок 40х40 мм и"&amp;"з нержавеющей стали  толщиной не менее 1 5 мм  4 регулируемые по высоте опоры ")</f>
        <v xml:space="preserve"> тол производственный с бортом     6 6    борт не менее 40 мм  размеры 600х600х850 мм  столешница из нержавеющей стали 0 8 мм  усиленная     16 мм  без полки  ижняя обвязка полукругом под емкость  подступ под коммуникации 100 мм  4 ножки уголок 40х40 мм из нержавеющей стали  толщиной не менее 1 5 мм  4 регулируемые по высоте опоры </v>
      </c>
    </row>
    <row r="4540" spans="1:8" ht="63.75" x14ac:dyDescent="0.2">
      <c r="A4540" s="31" t="s">
        <v>10922</v>
      </c>
      <c r="B4540" s="8" t="s">
        <v>10923</v>
      </c>
      <c r="C4540" s="27" t="s">
        <v>10924</v>
      </c>
      <c r="D4540" s="33" t="s">
        <v>14</v>
      </c>
      <c r="E4540" s="34">
        <v>2</v>
      </c>
      <c r="F4540" s="34">
        <v>21</v>
      </c>
      <c r="G4540" s="10">
        <v>171061</v>
      </c>
      <c r="H4540" s="30" t="str">
        <f ca="1">IFERROR(__xludf.DUMMYFUNCTION("LOWER(REGEXREPLACE(B4540&amp;"" ""&amp;C4540,""[^а-яa-z0-9 ]"","" ""))")," тол производственный с бортом     10 6    борт не менее 40 мм  размеры 1000х600х850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10 6    борт не менее 40 мм  размеры 1000х600х850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1" spans="1:8" ht="63.75" x14ac:dyDescent="0.2">
      <c r="A4541" s="31" t="s">
        <v>10925</v>
      </c>
      <c r="B4541" s="8" t="s">
        <v>10926</v>
      </c>
      <c r="C4541" s="27" t="s">
        <v>10924</v>
      </c>
      <c r="D4541" s="33" t="s">
        <v>14</v>
      </c>
      <c r="E4541" s="34">
        <v>2</v>
      </c>
      <c r="F4541" s="34">
        <v>23</v>
      </c>
      <c r="G4541" s="10">
        <v>194308</v>
      </c>
      <c r="H4541" s="30" t="str">
        <f ca="1">IFERROR(__xludf.DUMMYFUNCTION("LOWER(REGEXREPLACE(B4541&amp;"" ""&amp;C4541,""[^а-яa-z0-9 ]"","" ""))")," тол производственный с бортом     12 6    борт не менее 40 мм  размеры 1200х600х850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12 6    борт не менее 40 мм  размеры 1200х600х850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2" spans="1:8" ht="63.75" x14ac:dyDescent="0.2">
      <c r="A4542" s="31" t="s">
        <v>10927</v>
      </c>
      <c r="B4542" s="8" t="s">
        <v>10928</v>
      </c>
      <c r="C4542" s="27" t="s">
        <v>10924</v>
      </c>
      <c r="D4542" s="33" t="s">
        <v>14</v>
      </c>
      <c r="E4542" s="34">
        <v>2</v>
      </c>
      <c r="F4542" s="34">
        <v>29</v>
      </c>
      <c r="G4542" s="10">
        <v>229191</v>
      </c>
      <c r="H4542" s="30" t="str">
        <f ca="1">IFERROR(__xludf.DUMMYFUNCTION("LOWER(REGEXREPLACE(B4542&amp;"" ""&amp;C4542,""[^а-яa-z0-9 ]"","" ""))"),"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уголок 40х40 мм из нержавеющей стали  толщиной не менее 1 2 мм  4 регулируемые по высоте опоры ")</f>
        <v xml:space="preserve">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3" spans="1:8" ht="63.75" x14ac:dyDescent="0.2">
      <c r="A4543" s="31" t="s">
        <v>10929</v>
      </c>
      <c r="B4543" s="8" t="s">
        <v>10930</v>
      </c>
      <c r="C4543" s="27" t="s">
        <v>10924</v>
      </c>
      <c r="D4543" s="33" t="s">
        <v>14</v>
      </c>
      <c r="E4543" s="34">
        <v>2</v>
      </c>
      <c r="F4543" s="34">
        <v>31</v>
      </c>
      <c r="G4543" s="10">
        <v>252439</v>
      </c>
      <c r="H4543" s="30" t="str">
        <f ca="1">IFERROR(__xludf.DUMMYFUNCTION("LOWER(REGEXREPLACE(B4543&amp;"" ""&amp;C4543,""[^а-яa-z0-9 ]"","" ""))")," тол производственный с бортом     17 6    борт не менее 40 мм  размеры 1700х600х850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17 6    борт не менее 40 мм  размеры 1700х600х850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4" spans="1:8" ht="63.75" x14ac:dyDescent="0.2">
      <c r="A4544" s="31" t="s">
        <v>10931</v>
      </c>
      <c r="B4544" s="8" t="s">
        <v>10932</v>
      </c>
      <c r="C4544" s="27" t="s">
        <v>10924</v>
      </c>
      <c r="D4544" s="33" t="s">
        <v>14</v>
      </c>
      <c r="E4544" s="34">
        <v>2</v>
      </c>
      <c r="F4544" s="34">
        <v>29</v>
      </c>
      <c r="G4544" s="10">
        <v>225872</v>
      </c>
      <c r="H4544" s="30" t="str">
        <f ca="1">IFERROR(__xludf.DUMMYFUNCTION("LOWER(REGEXREPLACE(B4544&amp;"" ""&amp;C4544,""[^а-яa-z0-9 ]"","" ""))"),"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уголок 40х40 мм из нержавеющей стали  толщиной не менее 1 2 мм  4 регулируемые по высоте опоры ")</f>
        <v xml:space="preserve">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5" spans="1:8" ht="63.75" x14ac:dyDescent="0.2">
      <c r="A4545" s="31" t="s">
        <v>10933</v>
      </c>
      <c r="B4545" s="8" t="s">
        <v>10934</v>
      </c>
      <c r="C4545" s="27" t="s">
        <v>10924</v>
      </c>
      <c r="D4545" s="33" t="s">
        <v>14</v>
      </c>
      <c r="E4545" s="34">
        <v>2</v>
      </c>
      <c r="F4545" s="34">
        <v>32</v>
      </c>
      <c r="G4545" s="10">
        <v>272362</v>
      </c>
      <c r="H4545" s="30" t="str">
        <f ca="1">IFERROR(__xludf.DUMMYFUNCTION("LOWER(REGEXREPLACE(B4545&amp;"" ""&amp;C4545,""[^а-яa-z0-9 ]"","" ""))")," тол производственный с бортом     17 7    борт не менее 40 мм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17 7    борт не менее 40 мм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6" spans="1:8" ht="63.75" x14ac:dyDescent="0.2">
      <c r="A4546" s="31" t="s">
        <v>10935</v>
      </c>
      <c r="B4546" s="8" t="s">
        <v>10936</v>
      </c>
      <c r="C4546" s="27" t="s">
        <v>10924</v>
      </c>
      <c r="D4546" s="33" t="s">
        <v>14</v>
      </c>
      <c r="E4546" s="34">
        <v>2</v>
      </c>
      <c r="F4546" s="34">
        <v>33</v>
      </c>
      <c r="G4546" s="10">
        <v>283986</v>
      </c>
      <c r="H4546" s="30" t="str">
        <f ca="1">IFERROR(__xludf.DUMMYFUNCTION("LOWER(REGEXREPLACE(B4546&amp;"" ""&amp;C4546,""[^а-яa-z0-9 ]"","" ""))")," тол производственный с бортом     18 7    борт не менее 40 мм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мм"&amp;"  4 ножки уголок 40х40 мм из нержавеющей стали  толщиной не менее 1 2 мм  4 регулируемые по высоте опоры ")</f>
        <v xml:space="preserve"> тол производственный с бортом     18 7    борт не менее 40 мм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47" spans="1:8" ht="63.75" x14ac:dyDescent="0.2">
      <c r="A4547" s="31" t="s">
        <v>10937</v>
      </c>
      <c r="B4547" s="8" t="s">
        <v>10938</v>
      </c>
      <c r="C4547" s="27" t="s">
        <v>10939</v>
      </c>
      <c r="D4547" s="33" t="s">
        <v>14</v>
      </c>
      <c r="E4547" s="34">
        <v>2</v>
      </c>
      <c r="F4547" s="34">
        <v>22</v>
      </c>
      <c r="G4547" s="10">
        <v>179364</v>
      </c>
      <c r="H4547" s="30" t="str">
        <f ca="1">IFERROR(__xludf.DUMMYFUNCTION("LOWER(REGEXREPLACE(B4547&amp;"" ""&amp;C4547,""[^а-яa-z0-9 ]"","" ""))")," тол производственный с бортом     10 6    борт не менее 40 мм  размеры 1000х600х850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10 6    борт не менее 40 мм  размеры 1000х600х850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48" spans="1:8" ht="63.75" x14ac:dyDescent="0.2">
      <c r="A4548" s="31" t="s">
        <v>10940</v>
      </c>
      <c r="B4548" s="8" t="s">
        <v>10941</v>
      </c>
      <c r="C4548" s="27" t="s">
        <v>10939</v>
      </c>
      <c r="D4548" s="33" t="s">
        <v>14</v>
      </c>
      <c r="E4548" s="34">
        <v>2</v>
      </c>
      <c r="F4548" s="34">
        <v>27</v>
      </c>
      <c r="G4548" s="10">
        <v>202624</v>
      </c>
      <c r="H4548" s="30" t="str">
        <f ca="1">IFERROR(__xludf.DUMMYFUNCTION("LOWER(REGEXREPLACE(B4548&amp;"" ""&amp;C4548,""[^а-яa-z0-9 ]"","" ""))")," тол производственный с бортом     12 6    борт не менее 40 мм  размеры 1200х600х850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12 6    борт не менее 40 мм  размеры 1200х600х850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49" spans="1:8" ht="63.75" x14ac:dyDescent="0.2">
      <c r="A4549" s="31" t="s">
        <v>10942</v>
      </c>
      <c r="B4549" s="8" t="s">
        <v>10943</v>
      </c>
      <c r="C4549" s="27" t="s">
        <v>10939</v>
      </c>
      <c r="D4549" s="33" t="s">
        <v>14</v>
      </c>
      <c r="E4549" s="34">
        <v>2</v>
      </c>
      <c r="F4549" s="34">
        <v>30</v>
      </c>
      <c r="G4549" s="10">
        <v>214256</v>
      </c>
      <c r="H4549" s="30" t="str">
        <f ca="1">IFERROR(__xludf.DUMMYFUNCTION("LOWER(REGEXREPLACE(B4549&amp;"" ""&amp;C4549,""[^а-яa-z0-9 ]"","" ""))")," тол производственный с бортом     13 6    борт не менее 40 мм  размеры 1300х600х850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13 6    борт не менее 40 мм  размеры 1300х600х850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0" spans="1:8" ht="63.75" x14ac:dyDescent="0.2">
      <c r="A4550" s="31" t="s">
        <v>10944</v>
      </c>
      <c r="B4550" s="8" t="s">
        <v>10945</v>
      </c>
      <c r="C4550" s="27" t="s">
        <v>10939</v>
      </c>
      <c r="D4550" s="33" t="s">
        <v>14</v>
      </c>
      <c r="E4550" s="34">
        <v>2</v>
      </c>
      <c r="F4550" s="34">
        <v>30</v>
      </c>
      <c r="G4550" s="10">
        <v>237495</v>
      </c>
      <c r="H4550" s="30" t="str">
        <f ca="1">IFERROR(__xludf.DUMMYFUNCTION("LOWER(REGEXREPLACE(B4550&amp;"" ""&amp;C4550,""[^а-яa-z0-9 ]"","" ""))"),"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1" spans="1:8" ht="63.75" x14ac:dyDescent="0.2">
      <c r="A4551" s="31" t="s">
        <v>10946</v>
      </c>
      <c r="B4551" s="8" t="s">
        <v>10947</v>
      </c>
      <c r="C4551" s="27" t="s">
        <v>10939</v>
      </c>
      <c r="D4551" s="33" t="s">
        <v>14</v>
      </c>
      <c r="E4551" s="34">
        <v>2</v>
      </c>
      <c r="F4551" s="34">
        <v>31</v>
      </c>
      <c r="G4551" s="10">
        <v>249119</v>
      </c>
      <c r="H4551" s="30" t="str">
        <f ca="1">IFERROR(__xludf.DUMMYFUNCTION("LOWER(REGEXREPLACE(B4551&amp;"" ""&amp;C4551,""[^а-яa-z0-9 ]"","" ""))")," тол производственный с бортом     16 6    борт не менее 40 мм  размеры 1600х600х850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16 6    борт не менее 40 мм  размеры 1600х600х850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2" spans="1:8" ht="63.75" x14ac:dyDescent="0.2">
      <c r="A4552" s="31" t="s">
        <v>10948</v>
      </c>
      <c r="B4552" s="8" t="s">
        <v>10949</v>
      </c>
      <c r="C4552" s="27" t="s">
        <v>10939</v>
      </c>
      <c r="D4552" s="33" t="s">
        <v>14</v>
      </c>
      <c r="E4552" s="34">
        <v>2</v>
      </c>
      <c r="F4552" s="34">
        <v>32</v>
      </c>
      <c r="G4552" s="10">
        <v>260743</v>
      </c>
      <c r="H4552" s="30" t="str">
        <f ca="1">IFERROR(__xludf.DUMMYFUNCTION("LOWER(REGEXREPLACE(B4552&amp;"" ""&amp;C4552,""[^а-яa-z0-9 ]"","" ""))")," тол производственный с бортом     17 6    борт не менее 40 мм  размеры 1700х600х850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17 6    борт не менее 40 мм  размеры 1700х600х850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3" spans="1:8" ht="63.75" x14ac:dyDescent="0.2">
      <c r="A4553" s="31" t="s">
        <v>10950</v>
      </c>
      <c r="B4553" s="8" t="s">
        <v>10951</v>
      </c>
      <c r="C4553" s="27" t="s">
        <v>10939</v>
      </c>
      <c r="D4553" s="33" t="s">
        <v>14</v>
      </c>
      <c r="E4553" s="34">
        <v>2</v>
      </c>
      <c r="F4553" s="34">
        <v>19</v>
      </c>
      <c r="G4553" s="10">
        <v>164413</v>
      </c>
      <c r="H4553" s="30" t="str">
        <f ca="1">IFERROR(__xludf.DUMMYFUNCTION("LOWER(REGEXREPLACE(B4553&amp;"" ""&amp;C4553,""[^а-яa-z0-9 ]"","" ""))")," тол производственный с бортом     7 7    борт не менее 40 мм  размеры 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коммуникации"&amp;" 100 мм  4 ножки труба 40х40 мм из нержавеющей стали  толщиной не менее 1 2 мм  4 регулируемые по высоте опоры ")</f>
        <v xml:space="preserve"> тол производственный с бортом     7 7    борт не менее 40 мм  размеры 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4" spans="1:8" ht="63.75" x14ac:dyDescent="0.2">
      <c r="A4554" s="31" t="s">
        <v>10952</v>
      </c>
      <c r="B4554" s="8" t="s">
        <v>10953</v>
      </c>
      <c r="C4554" s="27" t="s">
        <v>10939</v>
      </c>
      <c r="D4554" s="33" t="s">
        <v>14</v>
      </c>
      <c r="E4554" s="34">
        <v>2</v>
      </c>
      <c r="F4554" s="34">
        <v>23</v>
      </c>
      <c r="G4554" s="10">
        <v>199288</v>
      </c>
      <c r="H4554" s="30" t="str">
        <f ca="1">IFERROR(__xludf.DUMMYFUNCTION("LOWER(REGEXREPLACE(B4554&amp;"" ""&amp;C4554,""[^а-яa-z0-9 ]"","" ""))")," тол производственный с бортом     10 7    борт не менее 40 мм  размеры 1000х700х850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10 7    борт не менее 40 мм  размеры 1000х700х850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5" spans="1:8" ht="63.75" x14ac:dyDescent="0.2">
      <c r="A4555" s="31" t="s">
        <v>10954</v>
      </c>
      <c r="B4555" s="8" t="s">
        <v>10955</v>
      </c>
      <c r="C4555" s="27" t="s">
        <v>10939</v>
      </c>
      <c r="D4555" s="33" t="s">
        <v>14</v>
      </c>
      <c r="E4555" s="34">
        <v>2</v>
      </c>
      <c r="F4555" s="34">
        <v>28</v>
      </c>
      <c r="G4555" s="10">
        <v>222548</v>
      </c>
      <c r="H4555" s="30" t="str">
        <f ca="1">IFERROR(__xludf.DUMMYFUNCTION("LOWER(REGEXREPLACE(B4555&amp;"" ""&amp;C4555,""[^а-яa-z0-9 ]"","" ""))")," тол производственный с бортом     12 7    борт не менее 40 мм  размеры 1200х700х850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12 7    борт не менее 40 мм  размеры 1200х700х850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6" spans="1:8" ht="63.75" x14ac:dyDescent="0.2">
      <c r="A4556" s="31" t="s">
        <v>10956</v>
      </c>
      <c r="B4556" s="8" t="s">
        <v>10957</v>
      </c>
      <c r="C4556" s="27" t="s">
        <v>10939</v>
      </c>
      <c r="D4556" s="33" t="s">
        <v>14</v>
      </c>
      <c r="E4556" s="34">
        <v>2</v>
      </c>
      <c r="F4556" s="34">
        <v>31</v>
      </c>
      <c r="G4556" s="10">
        <v>234180</v>
      </c>
      <c r="H4556" s="30" t="str">
        <f ca="1">IFERROR(__xludf.DUMMYFUNCTION("LOWER(REGEXREPLACE(B4556&amp;"" ""&amp;C4556,""[^а-яa-z0-9 ]"","" ""))"),"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7" spans="1:8" ht="63.75" x14ac:dyDescent="0.2">
      <c r="A4557" s="31" t="s">
        <v>10958</v>
      </c>
      <c r="B4557" s="8" t="s">
        <v>10959</v>
      </c>
      <c r="C4557" s="27" t="s">
        <v>10939</v>
      </c>
      <c r="D4557" s="33" t="s">
        <v>14</v>
      </c>
      <c r="E4557" s="34">
        <v>2</v>
      </c>
      <c r="F4557" s="34">
        <v>33</v>
      </c>
      <c r="G4557" s="10">
        <v>257427</v>
      </c>
      <c r="H4557" s="30" t="str">
        <f ca="1">IFERROR(__xludf.DUMMYFUNCTION("LOWER(REGEXREPLACE(B4557&amp;"" ""&amp;C4557,""[^а-яa-z0-9 ]"","" ""))")," тол производственный с бортом     15 7    борт не менее 40 мм  размеры 1500х700х850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15 7    борт не менее 40 мм  размеры 1500х700х850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8" spans="1:8" ht="63.75" x14ac:dyDescent="0.2">
      <c r="A4558" s="31" t="s">
        <v>10960</v>
      </c>
      <c r="B4558" s="8" t="s">
        <v>10961</v>
      </c>
      <c r="C4558" s="27" t="s">
        <v>10939</v>
      </c>
      <c r="D4558" s="33" t="s">
        <v>14</v>
      </c>
      <c r="E4558" s="34">
        <v>2</v>
      </c>
      <c r="F4558" s="34">
        <v>37</v>
      </c>
      <c r="G4558" s="10">
        <v>280683</v>
      </c>
      <c r="H4558" s="30" t="str">
        <f ca="1">IFERROR(__xludf.DUMMYFUNCTION("LOWER(REGEXREPLACE(B4558&amp;"" ""&amp;C4558,""[^а-яa-z0-9 ]"","" ""))")," тол производственный с бортом     17 7    борт не менее 40 мм  размеры 1700х700х850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17 7    борт не менее 40 мм  размеры 1700х700х850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59" spans="1:8" ht="63.75" x14ac:dyDescent="0.2">
      <c r="A4559" s="31" t="s">
        <v>10962</v>
      </c>
      <c r="B4559" s="8" t="s">
        <v>10963</v>
      </c>
      <c r="C4559" s="27" t="s">
        <v>10939</v>
      </c>
      <c r="D4559" s="33" t="s">
        <v>14</v>
      </c>
      <c r="E4559" s="34">
        <v>2</v>
      </c>
      <c r="F4559" s="34">
        <v>39</v>
      </c>
      <c r="G4559" s="10">
        <v>292310</v>
      </c>
      <c r="H4559" s="30" t="str">
        <f ca="1">IFERROR(__xludf.DUMMYFUNCTION("LOWER(REGEXREPLACE(B4559&amp;"" ""&amp;C4559,""[^а-яa-z0-9 ]"","" ""))")," тол производственный с бортом     18 7    борт не менее 40 мм  размеры 1800х700х850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18 7    борт не менее 40 мм  размеры 1800х700х850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0" spans="1:8" ht="63.75" x14ac:dyDescent="0.2">
      <c r="A4560" s="31" t="s">
        <v>10964</v>
      </c>
      <c r="B4560" s="8" t="s">
        <v>10965</v>
      </c>
      <c r="C4560" s="27" t="s">
        <v>10939</v>
      </c>
      <c r="D4560" s="33" t="s">
        <v>14</v>
      </c>
      <c r="E4560" s="34">
        <v>2</v>
      </c>
      <c r="F4560" s="34">
        <v>41</v>
      </c>
      <c r="G4560" s="10">
        <v>315558</v>
      </c>
      <c r="H4560" s="30" t="str">
        <f ca="1">IFERROR(__xludf.DUMMYFUNCTION("LOWER(REGEXREPLACE(B4560&amp;"" ""&amp;C4560,""[^а-яa-z0-9 ]"","" ""))")," тол производственный с бортом     20 7    борт не менее 40 мм  размеры 2000х700х850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20 7    борт не менее 40 мм  размеры 2000х700х850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1" spans="1:8" ht="63.75" x14ac:dyDescent="0.2">
      <c r="A4561" s="31" t="s">
        <v>10966</v>
      </c>
      <c r="B4561" s="8" t="s">
        <v>10967</v>
      </c>
      <c r="C4561" s="27" t="s">
        <v>10939</v>
      </c>
      <c r="D4561" s="33" t="s">
        <v>14</v>
      </c>
      <c r="E4561" s="34">
        <v>2</v>
      </c>
      <c r="F4561" s="34">
        <v>29</v>
      </c>
      <c r="G4561" s="10">
        <v>239151</v>
      </c>
      <c r="H4561" s="30" t="str">
        <f ca="1">IFERROR(__xludf.DUMMYFUNCTION("LOWER(REGEXREPLACE(B4561&amp;"" ""&amp;C4561,""[^а-яa-z0-9 ]"","" ""))")," тол производственный с бортом     12 8    борт не менее 40 мм  размеры 1200х800х850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12 8    борт не менее 40 мм  размеры 1200х800х850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2" spans="1:8" ht="63.75" x14ac:dyDescent="0.2">
      <c r="A4562" s="31" t="s">
        <v>10968</v>
      </c>
      <c r="B4562" s="8" t="s">
        <v>10969</v>
      </c>
      <c r="C4562" s="27" t="s">
        <v>10939</v>
      </c>
      <c r="D4562" s="33" t="s">
        <v>14</v>
      </c>
      <c r="E4562" s="34">
        <v>2</v>
      </c>
      <c r="F4562" s="34">
        <v>29</v>
      </c>
      <c r="G4562" s="10">
        <v>247451</v>
      </c>
      <c r="H4562" s="30" t="str">
        <f ca="1">IFERROR(__xludf.DUMMYFUNCTION("LOWER(REGEXREPLACE(B4562&amp;"" ""&amp;C4562,""[^а-яa-z0-9 ]"","" ""))")," тол производственный с бортом     12 5 8    борт не менее 40 мм  размеры 1250х800х850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коммуник"&amp;"ации 100 мм  4 ножки труба 40х40 мм из нержавеющей стали  толщиной не менее 1 2 мм  4 регулируемые по высоте опоры ")</f>
        <v xml:space="preserve"> тол производственный с бортом     12 5 8    борт не менее 40 мм  размеры 1250х800х850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3" spans="1:8" ht="63.75" x14ac:dyDescent="0.2">
      <c r="A4563" s="31" t="s">
        <v>10970</v>
      </c>
      <c r="B4563" s="8" t="s">
        <v>10971</v>
      </c>
      <c r="C4563" s="27" t="s">
        <v>10939</v>
      </c>
      <c r="D4563" s="33" t="s">
        <v>14</v>
      </c>
      <c r="E4563" s="34">
        <v>2</v>
      </c>
      <c r="F4563" s="34">
        <v>40</v>
      </c>
      <c r="G4563" s="10">
        <v>338793</v>
      </c>
      <c r="H4563" s="30" t="str">
        <f ca="1">IFERROR(__xludf.DUMMYFUNCTION("LOWER(REGEXREPLACE(B4563&amp;"" ""&amp;C4563,""[^а-яa-z0-9 ]"","" ""))")," тол производственный с бортом     18 8    борт не менее 40 мм  размеры 1800х800х850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коммуникац"&amp;"ии 100 мм  4 ножки труба 40х40 мм из нержавеющей стали  толщиной не менее 1 2 мм  4 регулируемые по высоте опоры ")</f>
        <v xml:space="preserve"> тол производственный с бортом     18 8    борт не менее 40 мм  размеры 1800х800х850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64" spans="1:8" ht="76.5" x14ac:dyDescent="0.2">
      <c r="A4564" s="31" t="s">
        <v>10972</v>
      </c>
      <c r="B4564" s="8" t="s">
        <v>10973</v>
      </c>
      <c r="C4564" s="27" t="s">
        <v>10974</v>
      </c>
      <c r="D4564" s="33" t="s">
        <v>14</v>
      </c>
      <c r="E4564" s="34">
        <v>2</v>
      </c>
      <c r="F4564" s="34">
        <v>22</v>
      </c>
      <c r="G4564" s="10">
        <v>112967</v>
      </c>
      <c r="H4564" s="30" t="str">
        <f ca="1">IFERROR(__xludf.DUMMYFUNCTION("LOWER(REGEXREPLACE(B4564&amp;"" ""&amp;C4564,""[^а-яa-z0-9 ]"","" ""))")," тол производственный с бортом     10 6     борт не менее 45 мм  размеры 1000х600х850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10 6     борт не менее 45 мм  размеры 1000х600х850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5" spans="1:8" ht="76.5" x14ac:dyDescent="0.2">
      <c r="A4565" s="31" t="s">
        <v>10975</v>
      </c>
      <c r="B4565" s="8" t="s">
        <v>10976</v>
      </c>
      <c r="C4565" s="27" t="s">
        <v>10974</v>
      </c>
      <c r="D4565" s="33" t="s">
        <v>14</v>
      </c>
      <c r="E4565" s="34">
        <v>2</v>
      </c>
      <c r="F4565" s="34">
        <v>26</v>
      </c>
      <c r="G4565" s="10">
        <v>127922</v>
      </c>
      <c r="H4565" s="30" t="str">
        <f ca="1">IFERROR(__xludf.DUMMYFUNCTION("LOWER(REGEXREPLACE(B4565&amp;"" ""&amp;C4565,""[^а-яa-z0-9 ]"","" ""))")," тол производственный с бортом     12 6     борт не менее 45 мм  размеры 1200х600х850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12 6     борт не менее 45 мм  размеры 1200х600х850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6" spans="1:8" ht="76.5" x14ac:dyDescent="0.2">
      <c r="A4566" s="31" t="s">
        <v>10977</v>
      </c>
      <c r="B4566" s="8" t="s">
        <v>10978</v>
      </c>
      <c r="C4566" s="27" t="s">
        <v>10974</v>
      </c>
      <c r="D4566" s="33" t="s">
        <v>14</v>
      </c>
      <c r="E4566" s="34">
        <v>2</v>
      </c>
      <c r="F4566" s="34">
        <v>28</v>
      </c>
      <c r="G4566" s="10">
        <v>135400</v>
      </c>
      <c r="H4566" s="30" t="str">
        <f ca="1">IFERROR(__xludf.DUMMYFUNCTION("LOWER(REGEXREPLACE(B4566&amp;"" ""&amp;C4566,""[^а-яa-z0-9 ]"","" ""))")," тол производственный с бортом     13 6     борт не менее 45 мм  размеры 1300х600х850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13 6     борт не менее 45 мм  размеры 1300х600х850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7" spans="1:8" ht="76.5" x14ac:dyDescent="0.2">
      <c r="A4567" s="31" t="s">
        <v>10979</v>
      </c>
      <c r="B4567" s="8" t="s">
        <v>10980</v>
      </c>
      <c r="C4567" s="27" t="s">
        <v>10974</v>
      </c>
      <c r="D4567" s="33" t="s">
        <v>14</v>
      </c>
      <c r="E4567" s="34">
        <v>2</v>
      </c>
      <c r="F4567" s="34">
        <v>29</v>
      </c>
      <c r="G4567" s="10">
        <v>149514</v>
      </c>
      <c r="H4567" s="30" t="str">
        <f ca="1">IFERROR(__xludf.DUMMYFUNCTION("LOWER(REGEXREPLACE(B4567&amp;"" ""&amp;C4567,""[^а-яa-z0-9 ]"","" ""))")," тол производственный с бортом       15 6  борт не менее 45 мм  размеры 1500х600х850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5"&amp;"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15 6  борт не менее 45 мм  размеры 1500х600х850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8" spans="1:8" ht="76.5" x14ac:dyDescent="0.2">
      <c r="A4568" s="31" t="s">
        <v>10981</v>
      </c>
      <c r="B4568" s="8" t="s">
        <v>10982</v>
      </c>
      <c r="C4568" s="27" t="s">
        <v>10974</v>
      </c>
      <c r="D4568" s="33" t="s">
        <v>14</v>
      </c>
      <c r="E4568" s="34">
        <v>2</v>
      </c>
      <c r="F4568" s="34">
        <v>27</v>
      </c>
      <c r="G4568" s="10">
        <v>139546</v>
      </c>
      <c r="H4568" s="30" t="str">
        <f ca="1">IFERROR(__xludf.DUMMYFUNCTION("LOWER(REGEXREPLACE(B4568&amp;"" ""&amp;C4568,""[^а-яa-z0-9 ]"","" ""))")," тол производственный с бортом     12 7     борт не менее 45 мм  размеры 1200х700х850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12 7     борт не менее 45 мм  размеры 1200х700х850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69" spans="1:8" ht="76.5" x14ac:dyDescent="0.2">
      <c r="A4569" s="31" t="s">
        <v>10983</v>
      </c>
      <c r="B4569" s="8" t="s">
        <v>10984</v>
      </c>
      <c r="C4569" s="27" t="s">
        <v>10974</v>
      </c>
      <c r="D4569" s="33" t="s">
        <v>14</v>
      </c>
      <c r="E4569" s="34">
        <v>2</v>
      </c>
      <c r="F4569" s="34">
        <v>28</v>
      </c>
      <c r="G4569" s="10">
        <v>154490</v>
      </c>
      <c r="H4569" s="30" t="str">
        <f ca="1">IFERROR(__xludf.DUMMYFUNCTION("LOWER(REGEXREPLACE(B4569&amp;"" ""&amp;C4569,""[^а-яa-z0-9 ]"","" ""))")," тол производственный с бортом     14 7     борт не менее 45 мм  размеры 1400х700х850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14 7     борт не менее 45 мм  размеры 1400х700х850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70" spans="1:8" ht="76.5" x14ac:dyDescent="0.2">
      <c r="A4570" s="31" t="s">
        <v>10985</v>
      </c>
      <c r="B4570" s="8" t="s">
        <v>10986</v>
      </c>
      <c r="C4570" s="27" t="s">
        <v>10974</v>
      </c>
      <c r="D4570" s="33" t="s">
        <v>14</v>
      </c>
      <c r="E4570" s="34">
        <v>2</v>
      </c>
      <c r="F4570" s="34">
        <v>30</v>
      </c>
      <c r="G4570" s="10">
        <v>161968</v>
      </c>
      <c r="H4570" s="30" t="str">
        <f ca="1">IFERROR(__xludf.DUMMYFUNCTION("LOWER(REGEXREPLACE(B4570&amp;"" ""&amp;C4570,""[^а-яa-z0-9 ]"","" ""))")," тол производственный с бортом     15 7     борт не менее 45 мм  размеры 1500х700х850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"&amp;"5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f>
        <v xml:space="preserve"> тол производственный с бортом     15 7     борт не менее 45 мм  размеры 1500х700х850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71" spans="1:8" ht="12.75" x14ac:dyDescent="0.2">
      <c r="A4571" s="31" t="s">
        <v>10987</v>
      </c>
      <c r="B4571" s="27" t="s">
        <v>10988</v>
      </c>
      <c r="C4571" s="27"/>
      <c r="D4571" s="33" t="s">
        <v>14</v>
      </c>
      <c r="E4571" s="9"/>
      <c r="F4571" s="32"/>
      <c r="G4571" s="10"/>
      <c r="H4571" s="30" t="str">
        <f ca="1">IFERROR(__xludf.DUMMYFUNCTION("LOWER(REGEXREPLACE(B4571&amp;"" ""&amp;C4571,""[^а-яa-z0-9 ]"","" ""))")," тол производственный без борта ")</f>
        <v xml:space="preserve"> тол производственный без борта </v>
      </c>
    </row>
    <row r="4572" spans="1:8" ht="89.25" x14ac:dyDescent="0.2">
      <c r="A4572" s="31" t="s">
        <v>10989</v>
      </c>
      <c r="B4572" s="8" t="s">
        <v>10990</v>
      </c>
      <c r="C4572" s="27" t="s">
        <v>10991</v>
      </c>
      <c r="D4572" s="33" t="s">
        <v>14</v>
      </c>
      <c r="E4572" s="34">
        <v>2</v>
      </c>
      <c r="F4572" s="34">
        <v>18</v>
      </c>
      <c r="G4572" s="10">
        <v>103820</v>
      </c>
      <c r="H4572" s="30" t="str">
        <f ca="1">IFERROR(__xludf.DUMMYFUNCTION("LOWER(REGEXREPLACE(B4572&amp;"" ""&amp;C4572,""[^а-яa-z0-9 ]"","" ""))")," тол производственный    7 6    без борта  размеры 700х600х850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толщ"&amp;"иной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ног 50 мм"&amp;" ")</f>
        <v xml:space="preserve"> тол производственный    7 6    без борта  размеры 700х600х850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ног 50 мм </v>
      </c>
    </row>
    <row r="4573" spans="1:8" ht="89.25" x14ac:dyDescent="0.2">
      <c r="A4573" s="31" t="s">
        <v>10992</v>
      </c>
      <c r="B4573" s="27" t="s">
        <v>10993</v>
      </c>
      <c r="C4573" s="27" t="s">
        <v>10994</v>
      </c>
      <c r="D4573" s="33" t="s">
        <v>14</v>
      </c>
      <c r="E4573" s="34">
        <v>2</v>
      </c>
      <c r="F4573" s="34">
        <v>35</v>
      </c>
      <c r="G4573" s="10">
        <v>176928</v>
      </c>
      <c r="H4573" s="30" t="str">
        <f ca="1">IFERROR(__xludf.DUMMYFUNCTION("LOWER(REGEXREPLACE(B4573&amp;"" ""&amp;C4573,""[^а-яa-z0-9 ]"","" ""))")," тол производственный    17 7    без борта  размеры 1700х700х850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"&amp;"толщиной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"&amp;"коммуникаций 50 мм ")</f>
        <v xml:space="preserve"> тол производственный    17 7    без борта  размеры 1700х700х850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v>
      </c>
    </row>
    <row r="4574" spans="1:8" ht="89.25" x14ac:dyDescent="0.2">
      <c r="A4574" s="31" t="s">
        <v>10995</v>
      </c>
      <c r="B4574" s="27" t="s">
        <v>10996</v>
      </c>
      <c r="C4574" s="27" t="s">
        <v>10997</v>
      </c>
      <c r="D4574" s="33" t="s">
        <v>14</v>
      </c>
      <c r="E4574" s="34">
        <v>2</v>
      </c>
      <c r="F4574" s="34">
        <v>24</v>
      </c>
      <c r="G4574" s="10">
        <v>136214</v>
      </c>
      <c r="H4574" s="30" t="str">
        <f ca="1">IFERROR(__xludf.DUMMYFUNCTION("LOWER(REGEXREPLACE(B4574&amp;"" ""&amp;C4574,""[^а-яa-z0-9 ]"","" ""))")," тол производственный    12 6    без борта  размеры 1200х600х850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"&amp;"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дл"&amp;"я коммуникаций 50 мм ")</f>
        <v xml:space="preserve"> тол производственный    12 6    без борта  размеры 1200х600х850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для коммуникаций 50 мм </v>
      </c>
    </row>
    <row r="4575" spans="1:8" ht="89.25" x14ac:dyDescent="0.2">
      <c r="A4575" s="31" t="s">
        <v>10998</v>
      </c>
      <c r="B4575" s="27" t="s">
        <v>10999</v>
      </c>
      <c r="C4575" s="27" t="s">
        <v>10997</v>
      </c>
      <c r="D4575" s="33" t="s">
        <v>14</v>
      </c>
      <c r="E4575" s="34">
        <v>2</v>
      </c>
      <c r="F4575" s="34">
        <v>24</v>
      </c>
      <c r="G4575" s="10">
        <v>146174</v>
      </c>
      <c r="H4575" s="30" t="str">
        <f ca="1">IFERROR(__xludf.DUMMYFUNCTION("LOWER(REGEXREPLACE(B4575&amp;"" ""&amp;C4575,""[^а-яa-z0-9 ]"","" ""))")," тол производственный    11 7    без борта  размеры 1100х700х850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"&amp;"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дл"&amp;"я коммуникаций 50 мм ")</f>
        <v xml:space="preserve"> тол производственный    11 7    без борта  размеры 1100х700х850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для коммуникаций 50 мм </v>
      </c>
    </row>
    <row r="4576" spans="1:8" ht="63.75" x14ac:dyDescent="0.2">
      <c r="A4576" s="31" t="s">
        <v>11000</v>
      </c>
      <c r="B4576" s="27" t="s">
        <v>11001</v>
      </c>
      <c r="C4576" s="27" t="s">
        <v>11002</v>
      </c>
      <c r="D4576" s="33" t="s">
        <v>14</v>
      </c>
      <c r="E4576" s="34">
        <v>2</v>
      </c>
      <c r="F4576" s="34">
        <v>25</v>
      </c>
      <c r="G4576" s="10">
        <v>202616</v>
      </c>
      <c r="H4576" s="30" t="str">
        <f ca="1">IFERROR(__xludf.DUMMYFUNCTION("LOWER(REGEXREPLACE(B4576&amp;"" ""&amp;C4576,""[^а-яa-z0-9 ]"","" ""))")," тол производственный    12 6   без борта  размеры 1200х600х850 мм  столешница и сплошная нижняя полка из нержавеющей стали 0 8 мм  усиленные     16 мм  толешница и полка из нержавеющей стали толщиной не менее 0 8 мм   усиленные     16 мм  сплошная нижняя"&amp;"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f>
        <v xml:space="preserve"> тол производственный    12 6   без борта  размеры 1200х600х850 мм  столешница и сплошная нижняя полка из нержавеющей стали 0 8 мм  усиленные     16 мм  толешница и полка из нержавеющей стали толщиной не менее 0 8 мм   усиленные     16 мм  сплошная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77" spans="1:8" ht="51" x14ac:dyDescent="0.2">
      <c r="A4577" s="31" t="s">
        <v>11003</v>
      </c>
      <c r="B4577" s="27" t="s">
        <v>11004</v>
      </c>
      <c r="C4577" s="27" t="s">
        <v>11005</v>
      </c>
      <c r="D4577" s="33" t="s">
        <v>14</v>
      </c>
      <c r="E4577" s="34">
        <v>2</v>
      </c>
      <c r="F4577" s="34">
        <v>37</v>
      </c>
      <c r="G4577" s="10">
        <v>272383</v>
      </c>
      <c r="H4577" s="30" t="str">
        <f ca="1">IFERROR(__xludf.DUMMYFUNCTION("LOWER(REGEXREPLACE(B4577&amp;"" ""&amp;C4577,""[^а-яa-z0-9 ]"","" ""))")," тол производственный    18 6   без борта  размеры 1800х600х850 мм  столешница и сплошная нижняя полка из нержавеющей стали 0 8 мм  усиленные     16 мм  плошная нижняя полка усиленная ребрами жестеости  подступ под коммуникации 100 мм  4 ножки труба 40х40"&amp;" мм из нержавеющей стали  толщиной не менее 1 2 мм  4 регулируемые по высоте опоры ")</f>
        <v xml:space="preserve"> тол производственный    18 6   без борта  размеры 1800х600х850 мм  столешница и сплошная нижняя полка из нержавеющей стали 0 8 мм  усиленные     16 мм  плошная нижняя полка усиленная ребрами жестеости  подступ под коммуникации 100 мм  4 ножки труба 40х40 мм из нержавеющей стали  толщиной не менее 1 2 мм  4 регулируемые по высоте опоры </v>
      </c>
    </row>
    <row r="4578" spans="1:8" ht="51" x14ac:dyDescent="0.2">
      <c r="A4578" s="31" t="s">
        <v>11006</v>
      </c>
      <c r="B4578" s="27" t="s">
        <v>11007</v>
      </c>
      <c r="C4578" s="27" t="s">
        <v>11008</v>
      </c>
      <c r="D4578" s="33" t="s">
        <v>14</v>
      </c>
      <c r="E4578" s="34">
        <v>2</v>
      </c>
      <c r="F4578" s="34">
        <v>37</v>
      </c>
      <c r="G4578" s="10">
        <v>280683</v>
      </c>
      <c r="H4578" s="30" t="str">
        <f ca="1">IFERROR(__xludf.DUMMYFUNCTION("LOWER(REGEXREPLACE(B4578&amp;"" ""&amp;C4578,""[^а-яa-z0-9 ]"","" ""))")," тол производственный    17 7   без борта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40х40"&amp;" мм из нержавеющей стали  толщиной не менее 1 2 мм  4 регулируемые по высоте опоры ")</f>
        <v xml:space="preserve"> тол производственный    17 7   без борта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79" spans="1:8" ht="63.75" x14ac:dyDescent="0.2">
      <c r="A4579" s="31" t="s">
        <v>11009</v>
      </c>
      <c r="B4579" s="8" t="s">
        <v>11010</v>
      </c>
      <c r="C4579" s="27" t="s">
        <v>10939</v>
      </c>
      <c r="D4579" s="33" t="s">
        <v>14</v>
      </c>
      <c r="E4579" s="34">
        <v>2</v>
      </c>
      <c r="F4579" s="34">
        <v>39</v>
      </c>
      <c r="G4579" s="10">
        <v>292310</v>
      </c>
      <c r="H4579" s="30" t="str">
        <f ca="1">IFERROR(__xludf.DUMMYFUNCTION("LOWER(REGEXREPLACE(B4579&amp;"" ""&amp;C4579,""[^а-яa-z0-9 ]"","" ""))")," тол производственный без борта    18 7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40х40"&amp;" мм из нержавеющей стали  толщиной не менее 1 2 мм  4 регулируемые по высоте опоры ")</f>
        <v xml:space="preserve"> тол производственный без борта    18 7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580" spans="1:8" ht="63.75" x14ac:dyDescent="0.2">
      <c r="A4580" s="31" t="s">
        <v>11011</v>
      </c>
      <c r="B4580" s="8" t="s">
        <v>11012</v>
      </c>
      <c r="C4580" s="27" t="s">
        <v>10924</v>
      </c>
      <c r="D4580" s="33" t="s">
        <v>14</v>
      </c>
      <c r="E4580" s="34">
        <v>2</v>
      </c>
      <c r="F4580" s="34">
        <v>32</v>
      </c>
      <c r="G4580" s="10">
        <v>264063</v>
      </c>
      <c r="H4580" s="30" t="str">
        <f ca="1">IFERROR(__xludf.DUMMYFUNCTION("LOWER(REGEXREPLACE(B4580&amp;"" ""&amp;C4580,""[^а-яa-z0-9 ]"","" ""))")," тол производственный без борта    18 6    размеры 1800х600х850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40х4"&amp;"0 мм из нержавеющей стали  толщиной не менее 1 2 мм  4 регулируемые по высоте опоры ")</f>
        <v xml:space="preserve"> тол производственный без борта    18 6    размеры 1800х600х850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v>
      </c>
    </row>
    <row r="4581" spans="1:8" ht="63.75" x14ac:dyDescent="0.2">
      <c r="A4581" s="31" t="s">
        <v>11013</v>
      </c>
      <c r="B4581" s="8" t="s">
        <v>11014</v>
      </c>
      <c r="C4581" s="27" t="s">
        <v>11015</v>
      </c>
      <c r="D4581" s="33" t="s">
        <v>14</v>
      </c>
      <c r="E4581" s="34">
        <v>2</v>
      </c>
      <c r="F4581" s="34">
        <v>43</v>
      </c>
      <c r="G4581" s="10">
        <v>406863</v>
      </c>
      <c r="H4581" s="30" t="str">
        <f ca="1">IFERROR(__xludf.DUMMYFUNCTION("LOWER(REGEXREPLACE(B4581&amp;"" ""&amp;C4581,""[^а-яa-z0-9 ]"","" ""))")," тол производственный без борта    24 7    размеры 2400х700х850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40х40"&amp;" мм из нержавеющей стали  толщиной не менее 1 2 мм  4 регулируемые по высоте опоры ")</f>
        <v xml:space="preserve"> тол производственный без борта    24 7    размеры 2400х700х850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 мм из нержавеющей стали  толщиной не менее 1 2 мм  4 регулируемые по высоте опоры </v>
      </c>
    </row>
    <row r="4582" spans="1:8" ht="63.75" x14ac:dyDescent="0.2">
      <c r="A4582" s="31" t="s">
        <v>11016</v>
      </c>
      <c r="B4582" s="8" t="s">
        <v>11017</v>
      </c>
      <c r="C4582" s="27" t="s">
        <v>11015</v>
      </c>
      <c r="D4582" s="33" t="s">
        <v>14</v>
      </c>
      <c r="E4582" s="34">
        <v>2</v>
      </c>
      <c r="F4582" s="34">
        <v>25</v>
      </c>
      <c r="G4582" s="10">
        <v>230835</v>
      </c>
      <c r="H4582" s="30" t="str">
        <f ca="1">IFERROR(__xludf.DUMMYFUNCTION("LOWER(REGEXREPLACE(B4582&amp;"" ""&amp;C4582,""[^а-яa-z0-9 ]"","" ""))")," тол производственный без борта    12 8    борт не менее 40 мм  размеры 1200х800х850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"&amp;" 4 ножки уголок 40х40 мм из нержавеющей стали  толщиной не менее 1 2 мм  4 регулируемые по высоте опоры ")</f>
        <v xml:space="preserve"> тол производственный без борта    12 8    борт не менее 40 мм  размеры 1200х800х850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 мм из нержавеющей стали  толщиной не менее 1 2 мм  4 регулируемые по высоте опоры </v>
      </c>
    </row>
    <row r="4583" spans="1:8" ht="12.75" x14ac:dyDescent="0.2">
      <c r="A4583" s="31" t="s">
        <v>11018</v>
      </c>
      <c r="B4583" s="27" t="s">
        <v>11019</v>
      </c>
      <c r="C4583" s="27"/>
      <c r="D4583" s="33" t="s">
        <v>14</v>
      </c>
      <c r="E4583" s="9"/>
      <c r="F4583" s="32"/>
      <c r="G4583" s="10"/>
      <c r="H4583" s="30" t="str">
        <f ca="1">IFERROR(__xludf.DUMMYFUNCTION("LOWER(REGEXREPLACE(B4583&amp;"" ""&amp;C4583,""[^а-яa-z0-9 ]"","" ""))")," ележка сервировочная ")</f>
        <v xml:space="preserve"> ележка сервировочная </v>
      </c>
    </row>
    <row r="4584" spans="1:8" ht="76.5" x14ac:dyDescent="0.2">
      <c r="A4584" s="31" t="s">
        <v>11020</v>
      </c>
      <c r="B4584" s="8" t="s">
        <v>11021</v>
      </c>
      <c r="C4584" s="27"/>
      <c r="D4584" s="33" t="s">
        <v>14</v>
      </c>
      <c r="E4584" s="34">
        <v>2</v>
      </c>
      <c r="F4584" s="34">
        <v>16</v>
      </c>
      <c r="G4584" s="10">
        <v>191789</v>
      </c>
      <c r="H4584" s="30" t="str">
        <f ca="1">IFERROR(__xludf.DUMMYFUNCTION("LOWER(REGEXREPLACE(B4584&amp;"" ""&amp;C4584,""[^а-яa-z0-9 ]"","" ""))")," ележка сервировочная 2х уровневая    2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f>
        <v xml:space="preserve"> ележка сервировочная 2х уровневая    2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v>
      </c>
    </row>
    <row r="4585" spans="1:8" ht="76.5" x14ac:dyDescent="0.2">
      <c r="A4585" s="31" t="s">
        <v>11022</v>
      </c>
      <c r="B4585" s="8" t="s">
        <v>11023</v>
      </c>
      <c r="C4585" s="27"/>
      <c r="D4585" s="33" t="s">
        <v>14</v>
      </c>
      <c r="E4585" s="34">
        <v>2</v>
      </c>
      <c r="F4585" s="34">
        <v>20</v>
      </c>
      <c r="G4585" s="10">
        <v>198944</v>
      </c>
      <c r="H4585" s="30" t="str">
        <f ca="1">IFERROR(__xludf.DUMMYFUNCTION("LOWER(REGEXREPLACE(B4585&amp;"" ""&amp;C4585,""[^а-яa-z0-9 ]"","" ""))")," ележка сервировочная 3х уровневая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f>
        <v xml:space="preserve"> ележка сервировочная 3х уровневая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v>
      </c>
    </row>
    <row r="4586" spans="1:8" ht="12.75" x14ac:dyDescent="0.2">
      <c r="A4586" s="31" t="s">
        <v>11024</v>
      </c>
      <c r="B4586" s="27" t="s">
        <v>11025</v>
      </c>
      <c r="C4586" s="27"/>
      <c r="D4586" s="32"/>
      <c r="E4586" s="9"/>
      <c r="F4586" s="32"/>
      <c r="G4586" s="10"/>
      <c r="H4586" s="30" t="str">
        <f ca="1">IFERROR(__xludf.DUMMYFUNCTION("LOWER(REGEXREPLACE(B4586&amp;"" ""&amp;C4586,""[^а-яa-z0-9 ]"","" ""))")," епловое оборудование ")</f>
        <v xml:space="preserve"> епловое оборудование </v>
      </c>
    </row>
    <row r="4587" spans="1:8" ht="25.5" x14ac:dyDescent="0.2">
      <c r="A4587" s="31" t="s">
        <v>11026</v>
      </c>
      <c r="B4587" s="27" t="s">
        <v>11027</v>
      </c>
      <c r="C4587" s="27"/>
      <c r="D4587" s="33" t="s">
        <v>14</v>
      </c>
      <c r="E4587" s="9"/>
      <c r="F4587" s="34">
        <v>206</v>
      </c>
      <c r="G4587" s="10">
        <v>1458145</v>
      </c>
      <c r="H4587" s="30" t="str">
        <f ca="1">IFERROR(__xludf.DUMMYFUNCTION("LOWER(REGEXREPLACE(B4587&amp;"" ""&amp;C4587,""[^а-яa-z0-9 ]"","" ""))")," отел пищеварочный электрический      250 9   18 1 к т  380   ")</f>
        <v xml:space="preserve"> отел пищеварочный электрический      250 9   18 1 к т  380   </v>
      </c>
    </row>
    <row r="4588" spans="1:8" ht="25.5" x14ac:dyDescent="0.2">
      <c r="A4588" s="31" t="s">
        <v>11028</v>
      </c>
      <c r="B4588" s="27" t="s">
        <v>11029</v>
      </c>
      <c r="C4588" s="27"/>
      <c r="D4588" s="33" t="s">
        <v>14</v>
      </c>
      <c r="E4588" s="9"/>
      <c r="F4588" s="34">
        <v>197</v>
      </c>
      <c r="G4588" s="10">
        <v>1310856</v>
      </c>
      <c r="H4588" s="30" t="str">
        <f ca="1">IFERROR(__xludf.DUMMYFUNCTION("LOWER(REGEXREPLACE(B4588&amp;"" ""&amp;C4588,""[^а-яa-z0-9 ]"","" ""))")," отел пищеварочный электрический      160 9   18 1 к т  380   ")</f>
        <v xml:space="preserve"> отел пищеварочный электрический      160 9   18 1 к т  380   </v>
      </c>
    </row>
    <row r="4589" spans="1:8" ht="38.25" x14ac:dyDescent="0.2">
      <c r="A4589" s="31" t="s">
        <v>11030</v>
      </c>
      <c r="B4589" s="27" t="s">
        <v>11031</v>
      </c>
      <c r="C4589" s="27"/>
      <c r="D4589" s="33" t="s">
        <v>14</v>
      </c>
      <c r="E4589" s="9"/>
      <c r="F4589" s="34">
        <v>82</v>
      </c>
      <c r="G4589" s="10">
        <v>1205272</v>
      </c>
      <c r="H4589" s="30" t="str">
        <f ca="1">IFERROR(__xludf.DUMMYFUNCTION("LOWER(REGEXREPLACE(B4589&amp;"" ""&amp;C4589,""[^а-яa-z0-9 ]"","" ""))")," отел электрический пищеварочный круглый стационарный     60 нерж   900х625х625 мм  60 л  9 к т  380    ")</f>
        <v xml:space="preserve"> отел электрический пищеварочный круглый стационарный     60 нерж   900х625х625 мм  60 л  9 к т  380    </v>
      </c>
    </row>
    <row r="4590" spans="1:8" ht="38.25" x14ac:dyDescent="0.2">
      <c r="A4590" s="31" t="s">
        <v>11032</v>
      </c>
      <c r="B4590" s="27" t="s">
        <v>11033</v>
      </c>
      <c r="C4590" s="27"/>
      <c r="D4590" s="33" t="s">
        <v>14</v>
      </c>
      <c r="E4590" s="9"/>
      <c r="F4590" s="34">
        <v>140</v>
      </c>
      <c r="G4590" s="10">
        <v>1450998</v>
      </c>
      <c r="H4590" s="30" t="str">
        <f ca="1">IFERROR(__xludf.DUMMYFUNCTION("LOWER(REGEXREPLACE(B4590&amp;"" ""&amp;C4590,""[^а-яa-z0-9 ]"","" ""))")," отел электрический пищеварочный круглый стац      100 нерж   900х625х625 мм  100 л  380    12 к т  ")</f>
        <v xml:space="preserve"> отел электрический пищеварочный круглый стац      100 нерж   900х625х625 мм  100 л  380    12 к т  </v>
      </c>
    </row>
    <row r="4591" spans="1:8" ht="12.75" x14ac:dyDescent="0.2">
      <c r="A4591" s="31" t="s">
        <v>11034</v>
      </c>
      <c r="B4591" s="27" t="s">
        <v>11035</v>
      </c>
      <c r="C4591" s="27"/>
      <c r="D4591" s="33" t="s">
        <v>14</v>
      </c>
      <c r="E4591" s="9"/>
      <c r="F4591" s="32"/>
      <c r="G4591" s="10"/>
      <c r="H4591" s="30" t="str">
        <f ca="1">IFERROR(__xludf.DUMMYFUNCTION("LOWER(REGEXREPLACE(B4591&amp;"" ""&amp;C4591,""[^а-яa-z0-9 ]"","" ""))")," отел пищеварочный ")</f>
        <v xml:space="preserve"> отел пищеварочный </v>
      </c>
    </row>
    <row r="4592" spans="1:8" ht="38.25" x14ac:dyDescent="0.2">
      <c r="A4592" s="31" t="s">
        <v>11036</v>
      </c>
      <c r="B4592" s="27" t="s">
        <v>11037</v>
      </c>
      <c r="C4592" s="27"/>
      <c r="D4592" s="33" t="s">
        <v>14</v>
      </c>
      <c r="E4592" s="9"/>
      <c r="F4592" s="34">
        <v>197</v>
      </c>
      <c r="G4592" s="10">
        <v>942328</v>
      </c>
      <c r="H4592" s="30" t="str">
        <f ca="1">IFERROR(__xludf.DUMMYFUNCTION("LOWER(REGEXREPLACE(B4592&amp;"" ""&amp;C4592,""[^а-яa-z0-9 ]"","" ""))")," отел пищеварочный      200 9   размеры 841x1018х1182 мм  объем 200 л  мощность 18 1 к т  напряжение 380   ")</f>
        <v xml:space="preserve"> отел пищеварочный      200 9   размеры 841x1018х1182 мм  объем 200 л  мощность 18 1 к т  напряжение 380   </v>
      </c>
    </row>
    <row r="4593" spans="1:8" ht="38.25" x14ac:dyDescent="0.2">
      <c r="A4593" s="31" t="s">
        <v>11038</v>
      </c>
      <c r="B4593" s="27" t="s">
        <v>11039</v>
      </c>
      <c r="C4593" s="27"/>
      <c r="D4593" s="33" t="s">
        <v>14</v>
      </c>
      <c r="E4593" s="9"/>
      <c r="F4593" s="34">
        <v>121</v>
      </c>
      <c r="G4593" s="10">
        <v>3917049</v>
      </c>
      <c r="H4593" s="30" t="str">
        <f ca="1">IFERROR(__xludf.DUMMYFUNCTION("LOWER(REGEXREPLACE(B4593&amp;"" ""&amp;C4593,""[^а-яa-z0-9 ]"","" ""))")," отел пищеварочный электрический    899  100  размеры 800х900х920 мм  объем 100 л  мощность 18 к т  напряжение 380   ")</f>
        <v xml:space="preserve"> отел пищеварочный электрический    899  100  размеры 800х900х920 мм  объем 100 л  мощность 18 к т  напряжение 380   </v>
      </c>
    </row>
    <row r="4594" spans="1:8" ht="38.25" x14ac:dyDescent="0.2">
      <c r="A4594" s="31" t="s">
        <v>11040</v>
      </c>
      <c r="B4594" s="27" t="s">
        <v>11041</v>
      </c>
      <c r="C4594" s="27"/>
      <c r="D4594" s="33" t="s">
        <v>14</v>
      </c>
      <c r="E4594" s="9"/>
      <c r="F4594" s="34">
        <v>170</v>
      </c>
      <c r="G4594" s="10">
        <v>3953705</v>
      </c>
      <c r="H4594" s="30" t="str">
        <f ca="1">IFERROR(__xludf.DUMMYFUNCTION("LOWER(REGEXREPLACE(B4594&amp;"" ""&amp;C4594,""[^а-яa-z0-9 ]"","" ""))")," отел пищеварочный электрический    899  150  размеры 800х900х920 мм  объем 150 л  мощность 24 к т  напряжение 380   ")</f>
        <v xml:space="preserve"> отел пищеварочный электрический    899  150  размеры 800х900х920 мм  объем 150 л  мощность 24 к т  напряжение 380   </v>
      </c>
    </row>
    <row r="4595" spans="1:8" ht="51" x14ac:dyDescent="0.2">
      <c r="A4595" s="31" t="s">
        <v>11042</v>
      </c>
      <c r="B4595" s="27" t="s">
        <v>11043</v>
      </c>
      <c r="C4595" s="27"/>
      <c r="D4595" s="33" t="s">
        <v>14</v>
      </c>
      <c r="E4595" s="34">
        <v>2</v>
      </c>
      <c r="F4595" s="34">
        <v>115</v>
      </c>
      <c r="G4595" s="10">
        <v>879126</v>
      </c>
      <c r="H4595" s="30" t="str">
        <f ca="1">IFERROR(__xludf.DUMMYFUNCTION("LOWER(REGEXREPLACE(B4595&amp;"" ""&amp;C4595,""[^а-яa-z0-9 ]"","" ""))")," отел пищеварочный электрический      60 9   60 л  100    сливной кран  пароводяная рубашка  цельнотянутый  641x1015x1030мм  9 1 к т  400   ")</f>
        <v xml:space="preserve"> отел пищеварочный электрический      60 9   60 л  100    сливной кран  пароводяная рубашка  цельнотянутый  641x1015x1030мм  9 1 к т  400   </v>
      </c>
    </row>
    <row r="4596" spans="1:8" ht="51" x14ac:dyDescent="0.2">
      <c r="A4596" s="31" t="s">
        <v>11044</v>
      </c>
      <c r="B4596" s="8" t="s">
        <v>11045</v>
      </c>
      <c r="C4596" s="27"/>
      <c r="D4596" s="33" t="s">
        <v>14</v>
      </c>
      <c r="E4596" s="34">
        <v>2</v>
      </c>
      <c r="F4596" s="34">
        <v>141</v>
      </c>
      <c r="G4596" s="10">
        <v>1051430</v>
      </c>
      <c r="H4596" s="30" t="str">
        <f ca="1">IFERROR(__xludf.DUMMYFUNCTION("LOWER(REGEXREPLACE(B4596&amp;"" ""&amp;C4596,""[^а-яa-z0-9 ]"","" ""))")," отел пищеварочный электрический      100 9   100 л   100    сливной кран  пароводяная рубашка  цельнотянутый  841x1015x1030 мм  18 1 к т  400   ")</f>
        <v xml:space="preserve"> отел пищеварочный электрический      100 9   100 л   100    сливной кран  пароводяная рубашка  цельнотянутый  841x1015x1030 мм  18 1 к т  400   </v>
      </c>
    </row>
    <row r="4597" spans="1:8" ht="25.5" x14ac:dyDescent="0.2">
      <c r="A4597" s="31" t="s">
        <v>11046</v>
      </c>
      <c r="B4597" s="8" t="s">
        <v>11047</v>
      </c>
      <c r="C4597" s="27"/>
      <c r="D4597" s="33" t="s">
        <v>14</v>
      </c>
      <c r="E4597" s="9"/>
      <c r="F4597" s="34">
        <v>110</v>
      </c>
      <c r="G4597" s="10">
        <v>2740494</v>
      </c>
      <c r="H4597" s="30" t="str">
        <f ca="1">IFERROR(__xludf.DUMMYFUNCTION("LOWER(REGEXREPLACE(B4597&amp;"" ""&amp;C4597,""[^а-яa-z0-9 ]"","" ""))")," ароконвектомат           1011  1    750x783x1010  ")</f>
        <v xml:space="preserve"> ароконвектомат           1011  1    750x783x1010  </v>
      </c>
    </row>
    <row r="4598" spans="1:8" ht="25.5" x14ac:dyDescent="0.2">
      <c r="A4598" s="31" t="s">
        <v>11048</v>
      </c>
      <c r="B4598" s="27" t="s">
        <v>11049</v>
      </c>
      <c r="C4598" s="27"/>
      <c r="D4598" s="33" t="s">
        <v>14</v>
      </c>
      <c r="E4598" s="9"/>
      <c r="F4598" s="34">
        <v>112</v>
      </c>
      <c r="G4598" s="10">
        <v>1519978</v>
      </c>
      <c r="H4598" s="30" t="str">
        <f ca="1">IFERROR(__xludf.DUMMYFUNCTION("LOWER(REGEXREPLACE(B4598&amp;"" ""&amp;C4598,""[^а-яa-z0-9 ]"","" ""))")," ароконвектомат         7706       6   1 1 или 600х400  10 5 к т  термощуп  780x850x830 мм  ")</f>
        <v xml:space="preserve"> ароконвектомат         7706       6   1 1 или 600х400  10 5 к т  термощуп  780x850x830 мм  </v>
      </c>
    </row>
    <row r="4599" spans="1:8" ht="12.75" x14ac:dyDescent="0.2">
      <c r="A4599" s="31" t="s">
        <v>11050</v>
      </c>
      <c r="B4599" s="27" t="s">
        <v>11051</v>
      </c>
      <c r="C4599" s="27"/>
      <c r="D4599" s="33" t="s">
        <v>14</v>
      </c>
      <c r="E4599" s="9"/>
      <c r="F4599" s="32"/>
      <c r="G4599" s="10"/>
      <c r="H4599" s="30" t="str">
        <f ca="1">IFERROR(__xludf.DUMMYFUNCTION("LOWER(REGEXREPLACE(B4599&amp;"" ""&amp;C4599,""[^а-яa-z0-9 ]"","" ""))")," ароконвектомат ")</f>
        <v xml:space="preserve"> ароконвектомат </v>
      </c>
    </row>
    <row r="4600" spans="1:8" ht="63.75" x14ac:dyDescent="0.2">
      <c r="A4600" s="31" t="s">
        <v>11052</v>
      </c>
      <c r="B4600" s="27" t="s">
        <v>11053</v>
      </c>
      <c r="C4600" s="27"/>
      <c r="D4600" s="33" t="s">
        <v>14</v>
      </c>
      <c r="E4600" s="9"/>
      <c r="F4600" s="34">
        <v>180</v>
      </c>
      <c r="G4600" s="10">
        <v>2139710</v>
      </c>
      <c r="H4600" s="30" t="str">
        <f ca="1">IFERROR(__xludf.DUMMYFUNCTION("LOWER(REGEXREPLACE(B4600&amp;"" ""&amp;C4600,""[^а-яa-z0-9 ]"","" ""))")," ароконвектомат    10 1 1  2  инжекционный  10    1 1  вся нерж  без гастроемкостей  3х канальный щуп  регулировка влажности  5 скоростей вращения вентилятора    110 программ ")</f>
        <v xml:space="preserve"> ароконвектомат    10 1 1  2  инжекционный  10    1 1  вся нерж  без гастроемкостей  3х канальный щуп  регулировка влажности  5 скоростей вращения вентилятора    110 программ </v>
      </c>
    </row>
    <row r="4601" spans="1:8" ht="51" x14ac:dyDescent="0.2">
      <c r="A4601" s="31" t="s">
        <v>11054</v>
      </c>
      <c r="B4601" s="27" t="s">
        <v>11055</v>
      </c>
      <c r="C4601" s="27"/>
      <c r="D4601" s="33" t="s">
        <v>14</v>
      </c>
      <c r="E4601" s="9"/>
      <c r="F4601" s="34">
        <v>247</v>
      </c>
      <c r="G4601" s="10">
        <v>20013182</v>
      </c>
      <c r="H4601" s="30" t="str">
        <f ca="1">IFERROR(__xludf.DUMMYFUNCTION("LOWER(REGEXREPLACE(B4601&amp;"" ""&amp;C4601,""[^а-яa-z0-9 ]"","" ""))")," ароконвектомат     2011    0 85  бойлерный  20 уровней    1 1  4 вентилятора с реверсом    100 программ  с автоматической мойкой ")</f>
        <v xml:space="preserve"> ароконвектомат     2011    0 85  бойлерный  20 уровней    1 1  4 вентилятора с реверсом    100 программ  с автоматической мойкой </v>
      </c>
    </row>
    <row r="4602" spans="1:8" ht="51" x14ac:dyDescent="0.2">
      <c r="A4602" s="31" t="s">
        <v>11056</v>
      </c>
      <c r="B4602" s="27" t="s">
        <v>11057</v>
      </c>
      <c r="C4602" s="27"/>
      <c r="D4602" s="33" t="s">
        <v>14</v>
      </c>
      <c r="E4602" s="9"/>
      <c r="F4602" s="34">
        <v>125</v>
      </c>
      <c r="G4602" s="10">
        <v>5903322</v>
      </c>
      <c r="H4602" s="30" t="str">
        <f ca="1">IFERROR(__xludf.DUMMYFUNCTION("LOWER(REGEXREPLACE(B4602&amp;"" ""&amp;C4602,""[^а-яa-z0-9 ]"","" ""))")," ечь пароконвекционная     1111    0 85  бойлерный  11 уровней    1 1  2 вентилятора с реверсом    100 программ  с автоматической мойкой ")</f>
        <v xml:space="preserve"> ечь пароконвекционная     1111    0 85  бойлерный  11 уровней    1 1  2 вентилятора с реверсом    100 программ  с автоматической мойкой </v>
      </c>
    </row>
    <row r="4603" spans="1:8" ht="51" x14ac:dyDescent="0.2">
      <c r="A4603" s="31" t="s">
        <v>11058</v>
      </c>
      <c r="B4603" s="27" t="s">
        <v>11059</v>
      </c>
      <c r="C4603" s="27"/>
      <c r="D4603" s="33" t="s">
        <v>14</v>
      </c>
      <c r="E4603" s="9"/>
      <c r="F4603" s="34">
        <v>140</v>
      </c>
      <c r="G4603" s="10">
        <v>6527255</v>
      </c>
      <c r="H4603" s="30" t="str">
        <f ca="1">IFERROR(__xludf.DUMMYFUNCTION("LOWER(REGEXREPLACE(B4603&amp;"" ""&amp;C4603,""[^а-яa-z0-9 ]"","" ""))")," ечь конвекционная     1064    0 85  бойлерный  10 уровней  3 вентилятора с реверсом    100 программ  с автоматической мойкой ")</f>
        <v xml:space="preserve"> ечь конвекционная     1064    0 85  бойлерный  10 уровней  3 вентилятора с реверсом    100 программ  с автоматической мойкой </v>
      </c>
    </row>
    <row r="4604" spans="1:8" ht="25.5" x14ac:dyDescent="0.2">
      <c r="A4604" s="31" t="s">
        <v>11060</v>
      </c>
      <c r="B4604" s="27" t="s">
        <v>11061</v>
      </c>
      <c r="C4604" s="27"/>
      <c r="D4604" s="33" t="s">
        <v>14</v>
      </c>
      <c r="E4604" s="9"/>
      <c r="F4604" s="34">
        <v>91</v>
      </c>
      <c r="G4604" s="10">
        <v>2114292</v>
      </c>
      <c r="H4604" s="30" t="str">
        <f ca="1">IFERROR(__xludf.DUMMYFUNCTION("LOWER(REGEXREPLACE(B4604&amp;"" ""&amp;C4604,""[^а-яa-z0-9 ]"","" ""))")," каф расстоечный     1064    10 уровней  механическое управление  ")</f>
        <v xml:space="preserve"> каф расстоечный     1064    10 уровней  механическое управление  </v>
      </c>
    </row>
    <row r="4605" spans="1:8" ht="76.5" x14ac:dyDescent="0.2">
      <c r="A4605" s="31" t="s">
        <v>11062</v>
      </c>
      <c r="B4605" s="27" t="s">
        <v>11063</v>
      </c>
      <c r="C4605" s="27"/>
      <c r="D4605" s="33" t="s">
        <v>14</v>
      </c>
      <c r="E4605" s="34">
        <v>2</v>
      </c>
      <c r="F4605" s="34">
        <v>145</v>
      </c>
      <c r="G4605" s="10">
        <v>1503592</v>
      </c>
      <c r="H4605" s="30" t="str">
        <f ca="1">IFERROR(__xludf.DUMMYFUNCTION("LOWER(REGEXREPLACE(B4605&amp;"" ""&amp;C4605,""[^а-яa-z0-9 ]"","" ""))")," ароконвектомат     6 1 1  2  парогенератор  6х   1 1  память на 110 программ приготовления  вся нерж  без г емкостей  3х канальный щуп  регулировка влажности  вентилятор  реверс   5 скоростей  840х840 905 х775мм  9 5к т  ")</f>
        <v xml:space="preserve"> ароконвектомат     6 1 1  2  парогенератор  6х   1 1  память на 110 программ приготовления  вся нерж  без г емкостей  3х канальный щуп  регулировка влажности  вентилятор  реверс   5 скоростей  840х840 905 х775мм  9 5к т  </v>
      </c>
    </row>
    <row r="4606" spans="1:8" ht="76.5" x14ac:dyDescent="0.2">
      <c r="A4606" s="31" t="s">
        <v>11064</v>
      </c>
      <c r="B4606" s="27" t="s">
        <v>11065</v>
      </c>
      <c r="C4606" s="27"/>
      <c r="D4606" s="33" t="s">
        <v>14</v>
      </c>
      <c r="E4606" s="34">
        <v>2</v>
      </c>
      <c r="F4606" s="34">
        <v>170</v>
      </c>
      <c r="G4606" s="10">
        <v>1721814</v>
      </c>
      <c r="H4606" s="30" t="str">
        <f ca="1">IFERROR(__xludf.DUMMYFUNCTION("LOWER(REGEXREPLACE(B4606&amp;"" ""&amp;C4606,""[^а-яa-z0-9 ]"","" ""))")," ароконвектомат     10 1 1  2  парогенератор  10х   1 1  память на 110 программ приготовления  вся нерж  без г емкостей  3х канальный щуп  регулировка влажности  вентилятор  реверс   5 скоростей   840х840 905 х1055мм  12 5к т  ")</f>
        <v xml:space="preserve"> ароконвектомат     10 1 1  2  парогенератор  10х   1 1  память на 110 программ приготовления  вся нерж  без г емкостей  3х канальный щуп  регулировка влажности  вентилятор  реверс   5 скоростей   840х840 905 х1055мм  12 5к т  </v>
      </c>
    </row>
    <row r="4607" spans="1:8" ht="89.25" x14ac:dyDescent="0.2">
      <c r="A4607" s="31" t="s">
        <v>11066</v>
      </c>
      <c r="B4607" s="27" t="s">
        <v>11067</v>
      </c>
      <c r="C4607" s="27"/>
      <c r="D4607" s="33" t="s">
        <v>14</v>
      </c>
      <c r="E4607" s="34">
        <v>2</v>
      </c>
      <c r="F4607" s="34">
        <v>305</v>
      </c>
      <c r="G4607" s="10">
        <v>3217419</v>
      </c>
      <c r="H4607" s="30" t="str">
        <f ca="1">IFERROR(__xludf.DUMMYFUNCTION("LOWER(REGEXREPLACE(B4607&amp;"" ""&amp;C4607,""[^а-яa-z0-9 ]"","" ""))")," ароконвектомат     20 1 1  2  парогенератор  тележка на 20х   1 1 в комплекте  память на 110 программ приготовления  вся нерж  без г емкостей  3х канальный щуп  регулировка влажности  вентилятор  реверс   5 скоростей  890х890х1780мм  35к т  ")</f>
        <v xml:space="preserve"> ароконвектомат     20 1 1  2  парогенератор  тележка на 20х   1 1 в комплекте  память на 110 программ приготовления  вся нерж  без г емкостей  3х канальный щуп  регулировка влажности  вентилятор  реверс   5 скоростей  890х890х1780мм  35к т  </v>
      </c>
    </row>
    <row r="4608" spans="1:8" ht="25.5" x14ac:dyDescent="0.2">
      <c r="A4608" s="31" t="s">
        <v>11068</v>
      </c>
      <c r="B4608" s="8" t="s">
        <v>11069</v>
      </c>
      <c r="C4608" s="27"/>
      <c r="D4608" s="33" t="s">
        <v>14</v>
      </c>
      <c r="E4608" s="9"/>
      <c r="F4608" s="34">
        <v>139</v>
      </c>
      <c r="G4608" s="10">
        <v>899365</v>
      </c>
      <c r="H4608" s="30" t="str">
        <f ca="1">IFERROR(__xludf.DUMMYFUNCTION("LOWER(REGEXREPLACE(B4608&amp;"" ""&amp;C4608,""[^а-яa-z0-9 ]"","" ""))")," коворода электрическая     80 0 27 40  800x899x950 мм  9 к т  380    ")</f>
        <v xml:space="preserve"> коворода электрическая     80 0 27 40  800x899x950 мм  9 к т  380    </v>
      </c>
    </row>
    <row r="4609" spans="1:8" ht="38.25" x14ac:dyDescent="0.2">
      <c r="A4609" s="31" t="s">
        <v>11070</v>
      </c>
      <c r="B4609" s="27" t="s">
        <v>11071</v>
      </c>
      <c r="C4609" s="27"/>
      <c r="D4609" s="33" t="s">
        <v>14</v>
      </c>
      <c r="E4609" s="9"/>
      <c r="F4609" s="34">
        <v>230</v>
      </c>
      <c r="G4609" s="10">
        <v>940953</v>
      </c>
      <c r="H4609" s="30" t="str">
        <f ca="1">IFERROR(__xludf.DUMMYFUNCTION("LOWER(REGEXREPLACE(B4609&amp;"" ""&amp;C4609,""[^а-яa-z0-9 ]"","" ""))")," коворода электрическая     0 25   1000х800х850 мм  38 л  чугун  чаша  облиц  и крышка нерж   ")</f>
        <v xml:space="preserve"> коворода электрическая     0 25   1000х800х850 мм  38 л  чугун  чаша  облиц  и крышка нерж   </v>
      </c>
    </row>
    <row r="4610" spans="1:8" ht="25.5" x14ac:dyDescent="0.2">
      <c r="A4610" s="31" t="s">
        <v>11072</v>
      </c>
      <c r="B4610" s="27" t="s">
        <v>11073</v>
      </c>
      <c r="C4610" s="27"/>
      <c r="D4610" s="33" t="s">
        <v>14</v>
      </c>
      <c r="E4610" s="9"/>
      <c r="F4610" s="34">
        <v>163</v>
      </c>
      <c r="G4610" s="10">
        <v>484187</v>
      </c>
      <c r="H4610" s="30" t="str">
        <f ca="1">IFERROR(__xludf.DUMMYFUNCTION("LOWER(REGEXREPLACE(B4610&amp;"" ""&amp;C4610,""[^а-яa-z0-9 ]"","" ""))")," коворода электрическая     0 25  емкость 38 л  985х850  900 х820  840  мм  6 к т  380    ")</f>
        <v xml:space="preserve"> коворода электрическая     0 25  емкость 38 л  985х850  900 х820  840  мм  6 к т  380    </v>
      </c>
    </row>
    <row r="4611" spans="1:8" ht="25.5" x14ac:dyDescent="0.2">
      <c r="A4611" s="31" t="s">
        <v>11074</v>
      </c>
      <c r="B4611" s="8" t="s">
        <v>11075</v>
      </c>
      <c r="C4611" s="27"/>
      <c r="D4611" s="33" t="s">
        <v>14</v>
      </c>
      <c r="E4611" s="9"/>
      <c r="F4611" s="34">
        <v>254</v>
      </c>
      <c r="G4611" s="10">
        <v>824985</v>
      </c>
      <c r="H4611" s="30" t="str">
        <f ca="1">IFERROR(__xludf.DUMMYFUNCTION("LOWER(REGEXREPLACE(B4611&amp;"" ""&amp;C4611,""[^а-яa-z0-9 ]"","" ""))")," лита электрическая    6    1475x895x860 мм  22 8 к т  380    ")</f>
        <v xml:space="preserve"> лита электрическая    6    1475x895x860 мм  22 8 к т  380    </v>
      </c>
    </row>
    <row r="4612" spans="1:8" ht="25.5" x14ac:dyDescent="0.2">
      <c r="A4612" s="31" t="s">
        <v>11076</v>
      </c>
      <c r="B4612" s="8" t="s">
        <v>11077</v>
      </c>
      <c r="C4612" s="27"/>
      <c r="D4612" s="33" t="s">
        <v>14</v>
      </c>
      <c r="E4612" s="9"/>
      <c r="F4612" s="34">
        <v>180</v>
      </c>
      <c r="G4612" s="10">
        <v>615712</v>
      </c>
      <c r="H4612" s="30" t="str">
        <f ca="1">IFERROR(__xludf.DUMMYFUNCTION("LOWER(REGEXREPLACE(B4612&amp;"" ""&amp;C4612,""[^а-яa-z0-9 ]"","" ""))")," лита электрическая    4    1050x895x860 мм  16 8 к т  380    ")</f>
        <v xml:space="preserve"> лита электрическая    4    1050x895x860 мм  16 8 к т  380    </v>
      </c>
    </row>
    <row r="4613" spans="1:8" ht="12.75" x14ac:dyDescent="0.2">
      <c r="A4613" s="31" t="s">
        <v>11078</v>
      </c>
      <c r="B4613" s="27" t="s">
        <v>3571</v>
      </c>
      <c r="C4613" s="27"/>
      <c r="D4613" s="33" t="s">
        <v>14</v>
      </c>
      <c r="E4613" s="9"/>
      <c r="F4613" s="32"/>
      <c r="G4613" s="10"/>
      <c r="H4613" s="30" t="str">
        <f ca="1">IFERROR(__xludf.DUMMYFUNCTION("LOWER(REGEXREPLACE(B4613&amp;"" ""&amp;C4613,""[^а-яa-z0-9 ]"","" ""))")," лита электрическая ")</f>
        <v xml:space="preserve"> лита электрическая </v>
      </c>
    </row>
    <row r="4614" spans="1:8" ht="51" x14ac:dyDescent="0.2">
      <c r="A4614" s="31" t="s">
        <v>11079</v>
      </c>
      <c r="B4614" s="8" t="s">
        <v>11080</v>
      </c>
      <c r="C4614" s="27"/>
      <c r="D4614" s="33" t="s">
        <v>14</v>
      </c>
      <c r="E4614" s="9"/>
      <c r="F4614" s="34">
        <v>75</v>
      </c>
      <c r="G4614" s="10">
        <v>903884</v>
      </c>
      <c r="H4614" s="30" t="str">
        <f ca="1">IFERROR(__xludf.DUMMYFUNCTION("LOWER(REGEXREPLACE(B4614&amp;"" ""&amp;C4614,""[^а-яa-z0-9 ]"","" ""))")," лита электрическая четырехконфорочная              70 7 616091  размеры 700x700x280 мм  мощность 10 к т  напряжение 380   ")</f>
        <v xml:space="preserve"> лита электрическая четырехконфорочная              70 7 616091  размеры 700x700x280 мм  мощность 10 к т  напряжение 380   </v>
      </c>
    </row>
    <row r="4615" spans="1:8" ht="38.25" x14ac:dyDescent="0.2">
      <c r="A4615" s="31" t="s">
        <v>11081</v>
      </c>
      <c r="B4615" s="27" t="s">
        <v>11082</v>
      </c>
      <c r="C4615" s="27"/>
      <c r="D4615" s="33" t="s">
        <v>14</v>
      </c>
      <c r="E4615" s="9"/>
      <c r="F4615" s="34">
        <v>82</v>
      </c>
      <c r="G4615" s="10">
        <v>2175020</v>
      </c>
      <c r="H4615" s="30" t="str">
        <f ca="1">IFERROR(__xludf.DUMMYFUNCTION("LOWER(REGEXREPLACE(B4615&amp;"" ""&amp;C4615,""[^а-яa-z0-9 ]"","" ""))")," лита электрическая четырехконфорочная    879   размеры 800х900х920 мм  мощность 4 к т  напряжение 380   ")</f>
        <v xml:space="preserve"> лита электрическая четырехконфорочная    879   размеры 800х900х920 мм  мощность 4 к т  напряжение 380   </v>
      </c>
    </row>
    <row r="4616" spans="1:8" ht="38.25" x14ac:dyDescent="0.2">
      <c r="A4616" s="31" t="s">
        <v>11083</v>
      </c>
      <c r="B4616" s="27" t="s">
        <v>11084</v>
      </c>
      <c r="C4616" s="27"/>
      <c r="D4616" s="33" t="s">
        <v>14</v>
      </c>
      <c r="E4616" s="9"/>
      <c r="F4616" s="34">
        <v>91</v>
      </c>
      <c r="G4616" s="10">
        <v>2537185</v>
      </c>
      <c r="H4616" s="30" t="str">
        <f ca="1">IFERROR(__xludf.DUMMYFUNCTION("LOWER(REGEXREPLACE(B4616&amp;"" ""&amp;C4616,""[^а-яa-z0-9 ]"","" ""))")," лита электрическая четырехконфорочная    899   размеры 800х900х920 мм  мощность 20 8 к т  напряжение 380   ")</f>
        <v xml:space="preserve"> лита электрическая четырехконфорочная    899   размеры 800х900х920 мм  мощность 20 8 к т  напряжение 380   </v>
      </c>
    </row>
    <row r="4617" spans="1:8" ht="38.25" x14ac:dyDescent="0.2">
      <c r="A4617" s="31" t="s">
        <v>11085</v>
      </c>
      <c r="B4617" s="27" t="s">
        <v>11086</v>
      </c>
      <c r="C4617" s="27"/>
      <c r="D4617" s="33" t="s">
        <v>14</v>
      </c>
      <c r="E4617" s="9"/>
      <c r="F4617" s="34">
        <v>118</v>
      </c>
      <c r="G4617" s="10">
        <v>3418225</v>
      </c>
      <c r="H4617" s="30" t="str">
        <f ca="1">IFERROR(__xludf.DUMMYFUNCTION("LOWER(REGEXREPLACE(B4617&amp;"" ""&amp;C4617,""[^а-яa-z0-9 ]"","" ""))")," лита электрическая шестиконфорочная    199   размеры 1200х900х920 мм  мощность 28 8 к т  напряжение 380   ")</f>
        <v xml:space="preserve"> лита электрическая шестиконфорочная    199   размеры 1200х900х920 мм  мощность 28 8 к т  напряжение 380   </v>
      </c>
    </row>
    <row r="4618" spans="1:8" ht="38.25" x14ac:dyDescent="0.2">
      <c r="A4618" s="31" t="s">
        <v>11087</v>
      </c>
      <c r="B4618" s="27" t="s">
        <v>11088</v>
      </c>
      <c r="C4618" s="27"/>
      <c r="D4618" s="33" t="s">
        <v>14</v>
      </c>
      <c r="E4618" s="9"/>
      <c r="F4618" s="34">
        <v>82</v>
      </c>
      <c r="G4618" s="10">
        <v>266285</v>
      </c>
      <c r="H4618" s="30" t="str">
        <f ca="1">IFERROR(__xludf.DUMMYFUNCTION("LOWER(REGEXREPLACE(B4618&amp;"" ""&amp;C4618,""[^а-яa-z0-9 ]"","" ""))")," лита электрическая двухконфорочная без жарочного шкафа     0 34   725 770 840 860  мм  ")</f>
        <v xml:space="preserve"> лита электрическая двухконфорочная без жарочного шкафа     0 34   725 770 840 860  мм  </v>
      </c>
    </row>
    <row r="4619" spans="1:8" ht="38.25" x14ac:dyDescent="0.2">
      <c r="A4619" s="31" t="s">
        <v>11089</v>
      </c>
      <c r="B4619" s="8" t="s">
        <v>11090</v>
      </c>
      <c r="C4619" s="27"/>
      <c r="D4619" s="33" t="s">
        <v>14</v>
      </c>
      <c r="E4619" s="9"/>
      <c r="F4619" s="34">
        <v>67</v>
      </c>
      <c r="G4619" s="10">
        <v>239985</v>
      </c>
      <c r="H4619" s="30" t="str">
        <f ca="1">IFERROR(__xludf.DUMMYFUNCTION("LOWER(REGEXREPLACE(B4619&amp;"" ""&amp;C4619,""[^а-яa-z0-9 ]"","" ""))")," лита электрическая двухконфорочная напольная без жарочного шкафа     0 24 01  417  627  850 860  880  мм  ")</f>
        <v xml:space="preserve"> лита электрическая двухконфорочная напольная без жарочного шкафа     0 24 01  417  627  850 860  880  мм  </v>
      </c>
    </row>
    <row r="4620" spans="1:8" ht="38.25" x14ac:dyDescent="0.2">
      <c r="A4620" s="31" t="s">
        <v>11091</v>
      </c>
      <c r="B4620" s="27" t="s">
        <v>11092</v>
      </c>
      <c r="C4620" s="27"/>
      <c r="D4620" s="33" t="s">
        <v>14</v>
      </c>
      <c r="E4620" s="9"/>
      <c r="F4620" s="34">
        <v>109</v>
      </c>
      <c r="G4620" s="10">
        <v>241115</v>
      </c>
      <c r="H4620" s="30" t="str">
        <f ca="1">IFERROR(__xludf.DUMMYFUNCTION("LOWER(REGEXREPLACE(B4620&amp;"" ""&amp;C4620,""[^а-яa-z0-9 ]"","" ""))")," лита электрическая четырехконфорочная без жарочного шкафа     0 48 01  840 1050  850 860 880  мм  ")</f>
        <v xml:space="preserve"> лита электрическая четырехконфорочная без жарочного шкафа     0 48 01  840 1050  850 860 880  мм  </v>
      </c>
    </row>
    <row r="4621" spans="1:8" ht="38.25" x14ac:dyDescent="0.2">
      <c r="A4621" s="31" t="s">
        <v>11093</v>
      </c>
      <c r="B4621" s="27" t="s">
        <v>11094</v>
      </c>
      <c r="C4621" s="27"/>
      <c r="D4621" s="33" t="s">
        <v>14</v>
      </c>
      <c r="E4621" s="9"/>
      <c r="F4621" s="34">
        <v>140</v>
      </c>
      <c r="G4621" s="10">
        <v>345345</v>
      </c>
      <c r="H4621" s="30" t="str">
        <f ca="1">IFERROR(__xludf.DUMMYFUNCTION("LOWER(REGEXREPLACE(B4621&amp;"" ""&amp;C4621,""[^а-яa-z0-9 ]"","" ""))")," лита электрическая шестиконфорочная без жарочного шкафа     0 72 01  1265 1475  850 860 880  мм  ")</f>
        <v xml:space="preserve"> лита электрическая шестиконфорочная без жарочного шкафа     0 72 01  1265 1475  850 860 880  мм  </v>
      </c>
    </row>
    <row r="4622" spans="1:8" ht="38.25" x14ac:dyDescent="0.2">
      <c r="A4622" s="31" t="s">
        <v>11095</v>
      </c>
      <c r="B4622" s="27" t="s">
        <v>11096</v>
      </c>
      <c r="C4622" s="27"/>
      <c r="D4622" s="33" t="s">
        <v>14</v>
      </c>
      <c r="E4622" s="9"/>
      <c r="F4622" s="34">
        <v>154</v>
      </c>
      <c r="G4622" s="10">
        <v>357979</v>
      </c>
      <c r="H4622" s="30" t="str">
        <f ca="1">IFERROR(__xludf.DUMMYFUNCTION("LOWER(REGEXREPLACE(B4622&amp;"" ""&amp;C4622,""[^а-яa-z0-9 ]"","" ""))")," лита электрическая четырехконфорочная с жарочным шкафом     0 48    01  840 1050  850 900  860 880  мм  ")</f>
        <v xml:space="preserve"> лита электрическая четырехконфорочная с жарочным шкафом     0 48    01  840 1050  850 900  860 880  мм  </v>
      </c>
    </row>
    <row r="4623" spans="1:8" ht="38.25" x14ac:dyDescent="0.2">
      <c r="A4623" s="31" t="s">
        <v>11097</v>
      </c>
      <c r="B4623" s="27" t="s">
        <v>11098</v>
      </c>
      <c r="C4623" s="27"/>
      <c r="D4623" s="33" t="s">
        <v>14</v>
      </c>
      <c r="E4623" s="34">
        <v>2</v>
      </c>
      <c r="F4623" s="34">
        <v>140</v>
      </c>
      <c r="G4623" s="10">
        <v>349363</v>
      </c>
      <c r="H4623" s="30" t="str">
        <f ca="1">IFERROR(__xludf.DUMMYFUNCTION("LOWER(REGEXREPLACE(B4623&amp;"" ""&amp;C4623,""[^а-яa-z0-9 ]"","" ""))")," лита электрическая четырехконфорочная    4   размеры 1050x850x860 мм  мощность 12 к т  напряжение 380  ")</f>
        <v xml:space="preserve"> лита электрическая четырехконфорочная    4   размеры 1050x850x860 мм  мощность 12 к т  напряжение 380  </v>
      </c>
    </row>
    <row r="4624" spans="1:8" ht="38.25" x14ac:dyDescent="0.2">
      <c r="A4624" s="31" t="s">
        <v>11099</v>
      </c>
      <c r="B4624" s="27" t="s">
        <v>11100</v>
      </c>
      <c r="C4624" s="27"/>
      <c r="D4624" s="33" t="s">
        <v>14</v>
      </c>
      <c r="E4624" s="34">
        <v>2</v>
      </c>
      <c r="F4624" s="34">
        <v>165</v>
      </c>
      <c r="G4624" s="10">
        <v>473093</v>
      </c>
      <c r="H4624" s="30" t="str">
        <f ca="1">IFERROR(__xludf.DUMMYFUNCTION("LOWER(REGEXREPLACE(B4624&amp;"" ""&amp;C4624,""[^а-яa-z0-9 ]"","" ""))")," лита электрическая шестиконфорочная    6   размеры 1475x850x860 мм  мощность 18 к т  напряжение 380  ")</f>
        <v xml:space="preserve"> лита электрическая шестиконфорочная    6   размеры 1475x850x860 мм  мощность 18 к т  напряжение 380  </v>
      </c>
    </row>
    <row r="4625" spans="1:8" ht="25.5" x14ac:dyDescent="0.2">
      <c r="A4625" s="31" t="s">
        <v>11101</v>
      </c>
      <c r="B4625" s="27" t="s">
        <v>11102</v>
      </c>
      <c r="C4625" s="27"/>
      <c r="D4625" s="33" t="s">
        <v>14</v>
      </c>
      <c r="E4625" s="34">
        <v>2</v>
      </c>
      <c r="F4625" s="34">
        <v>194</v>
      </c>
      <c r="G4625" s="10">
        <v>495282</v>
      </c>
      <c r="H4625" s="30" t="str">
        <f ca="1">IFERROR(__xludf.DUMMYFUNCTION("LOWER(REGEXREPLACE(B4625&amp;"" ""&amp;C4625,""[^а-яa-z0-9 ]"","" ""))")," лита электрическая четырехконфорочная   49   мощность 16 8 к т  напряжение 380  ")</f>
        <v xml:space="preserve"> лита электрическая четырехконфорочная   49   мощность 16 8 к т  напряжение 380  </v>
      </c>
    </row>
    <row r="4626" spans="1:8" ht="38.25" x14ac:dyDescent="0.2">
      <c r="A4626" s="31" t="s">
        <v>11103</v>
      </c>
      <c r="B4626" s="27" t="s">
        <v>11104</v>
      </c>
      <c r="C4626" s="27"/>
      <c r="D4626" s="33" t="s">
        <v>14</v>
      </c>
      <c r="E4626" s="34">
        <v>2</v>
      </c>
      <c r="F4626" s="34">
        <v>121</v>
      </c>
      <c r="G4626" s="10">
        <v>336043</v>
      </c>
      <c r="H4626" s="30" t="str">
        <f ca="1">IFERROR(__xludf.DUMMYFUNCTION("LOWER(REGEXREPLACE(B4626&amp;"" ""&amp;C4626,""[^а-яa-z0-9 ]"","" ""))")," лита электрическая четырехконфорочная    49   размеры 1050х900х860 мм  мощность 12к т  напряжение 380  ")</f>
        <v xml:space="preserve"> лита электрическая четырехконфорочная    49   размеры 1050х900х860 мм  мощность 12к т  напряжение 380  </v>
      </c>
    </row>
    <row r="4627" spans="1:8" ht="25.5" x14ac:dyDescent="0.2">
      <c r="A4627" s="31" t="s">
        <v>11105</v>
      </c>
      <c r="B4627" s="27" t="s">
        <v>11106</v>
      </c>
      <c r="C4627" s="27"/>
      <c r="D4627" s="33" t="s">
        <v>14</v>
      </c>
      <c r="E4627" s="9"/>
      <c r="F4627" s="35">
        <v>5.6</v>
      </c>
      <c r="G4627" s="10">
        <v>44383</v>
      </c>
      <c r="H4627" s="30" t="str">
        <f ca="1">IFERROR(__xludf.DUMMYFUNCTION("LOWER(REGEXREPLACE(B4627&amp;"" ""&amp;C4627,""[^а-яa-z0-9 ]"","" ""))")," армит супница                  350 330 370 мм  10 л  0 4 к т  220    ")</f>
        <v xml:space="preserve"> армит супница                  350 330 370 мм  10 л  0 4 к т  220    </v>
      </c>
    </row>
    <row r="4628" spans="1:8" ht="25.5" x14ac:dyDescent="0.2">
      <c r="A4628" s="31" t="s">
        <v>11107</v>
      </c>
      <c r="B4628" s="27" t="s">
        <v>11108</v>
      </c>
      <c r="C4628" s="27"/>
      <c r="D4628" s="33" t="s">
        <v>14</v>
      </c>
      <c r="E4628" s="9"/>
      <c r="F4628" s="35">
        <v>5.5</v>
      </c>
      <c r="G4628" s="10">
        <v>45709</v>
      </c>
      <c r="H4628" s="30" t="str">
        <f ca="1">IFERROR(__xludf.DUMMYFUNCTION("LOWER(REGEXREPLACE(B4628&amp;"" ""&amp;C4628,""[^а-яa-z0-9 ]"","" ""))")," армит супница  irhot    6000  335x335x370 мм  9 л  0 4 к т  220    ")</f>
        <v xml:space="preserve"> армит супница  irhot    6000  335x335x370 мм  9 л  0 4 к т  220    </v>
      </c>
    </row>
    <row r="4629" spans="1:8" ht="38.25" x14ac:dyDescent="0.2">
      <c r="A4629" s="31" t="s">
        <v>11109</v>
      </c>
      <c r="B4629" s="27" t="s">
        <v>11110</v>
      </c>
      <c r="C4629" s="27"/>
      <c r="D4629" s="33" t="s">
        <v>14</v>
      </c>
      <c r="E4629" s="9"/>
      <c r="F4629" s="35">
        <v>8.1</v>
      </c>
      <c r="G4629" s="10">
        <v>114547</v>
      </c>
      <c r="H4629" s="30" t="str">
        <f ca="1">IFERROR(__xludf.DUMMYFUNCTION("LOWER(REGEXREPLACE(B4629&amp;"" ""&amp;C4629,""[^а-яa-z0-9 ]"","" ""))")," армит электрический настольный              100   622х360х235 мм  1 6 к т  220  т  ")</f>
        <v xml:space="preserve"> армит электрический настольный              100   622х360х235 мм  1 6 к т  220  т  </v>
      </c>
    </row>
    <row r="4630" spans="1:8" ht="38.25" x14ac:dyDescent="0.2">
      <c r="A4630" s="31" t="s">
        <v>11111</v>
      </c>
      <c r="B4630" s="27" t="s">
        <v>11112</v>
      </c>
      <c r="C4630" s="27"/>
      <c r="D4630" s="33" t="s">
        <v>14</v>
      </c>
      <c r="E4630" s="9"/>
      <c r="F4630" s="35">
        <v>7.8</v>
      </c>
      <c r="G4630" s="10">
        <v>67612</v>
      </c>
      <c r="H4630" s="30" t="str">
        <f ca="1">IFERROR(__xludf.DUMMYFUNCTION("LOWER(REGEXREPLACE(B4630&amp;"" ""&amp;C4630,""[^а-яa-z0-9 ]"","" ""))")," армит электрический настольный           11 без гастроемкости  600x338x243 мм  1 2 к т  220    ")</f>
        <v xml:space="preserve"> армит электрический настольный           11 без гастроемкости  600x338x243 мм  1 2 к т  220    </v>
      </c>
    </row>
    <row r="4631" spans="1:8" ht="38.25" x14ac:dyDescent="0.2">
      <c r="A4631" s="31" t="s">
        <v>11113</v>
      </c>
      <c r="B4631" s="8" t="s">
        <v>11114</v>
      </c>
      <c r="C4631" s="27"/>
      <c r="D4631" s="33" t="s">
        <v>14</v>
      </c>
      <c r="E4631" s="9"/>
      <c r="F4631" s="36">
        <v>14.73</v>
      </c>
      <c r="G4631" s="10">
        <v>85531</v>
      </c>
      <c r="H4631" s="30" t="str">
        <f ca="1">IFERROR(__xludf.DUMMYFUNCTION("LOWER(REGEXREPLACE(B4631&amp;"" ""&amp;C4631,""[^а-яa-z0-9 ]"","" ""))")," ечь микроволновая                   900  483x400x281 мм  220    1 4 к т  ")</f>
        <v xml:space="preserve"> ечь микроволновая                   900  483x400x281 мм  220    1 4 к т  </v>
      </c>
    </row>
    <row r="4632" spans="1:8" ht="38.25" x14ac:dyDescent="0.2">
      <c r="A4632" s="31" t="s">
        <v>11115</v>
      </c>
      <c r="B4632" s="8" t="s">
        <v>11116</v>
      </c>
      <c r="C4632" s="27"/>
      <c r="D4632" s="33" t="s">
        <v>14</v>
      </c>
      <c r="E4632" s="9"/>
      <c r="F4632" s="34">
        <v>18</v>
      </c>
      <c r="G4632" s="10">
        <v>87880</v>
      </c>
      <c r="H4632" s="30" t="str">
        <f ca="1">IFERROR(__xludf.DUMMYFUNCTION("LOWER(REGEXREPLACE(B4632&amp;"" ""&amp;C4632,""[^а-яa-z0-9 ]"","" ""))")," ечь микроволновая              900 25     483х424х281 мм  0 9 к т  220    6 уровней мощности  25 л  ")</f>
        <v xml:space="preserve"> ечь микроволновая              900 25     483х424х281 мм  0 9 к т  220    6 уровней мощности  25 л  </v>
      </c>
    </row>
    <row r="4633" spans="1:8" ht="25.5" x14ac:dyDescent="0.2">
      <c r="A4633" s="31" t="s">
        <v>11117</v>
      </c>
      <c r="B4633" s="27" t="s">
        <v>11118</v>
      </c>
      <c r="C4633" s="27"/>
      <c r="D4633" s="33" t="s">
        <v>14</v>
      </c>
      <c r="E4633" s="9"/>
      <c r="F4633" s="34">
        <v>23</v>
      </c>
      <c r="G4633" s="10">
        <v>104605</v>
      </c>
      <c r="H4633" s="30" t="str">
        <f ca="1">IFERROR(__xludf.DUMMYFUNCTION("LOWER(REGEXREPLACE(B4633&amp;"" ""&amp;C4633,""[^а-яa-z0-9 ]"","" ""))")," итрина тепловая               2  660x466x610  220    0 84 к т  ")</f>
        <v xml:space="preserve"> итрина тепловая               2  660x466x610  220    0 84 к т  </v>
      </c>
    </row>
    <row r="4634" spans="1:8" ht="25.5" x14ac:dyDescent="0.2">
      <c r="A4634" s="31" t="s">
        <v>11119</v>
      </c>
      <c r="B4634" s="27" t="s">
        <v>11120</v>
      </c>
      <c r="C4634" s="27"/>
      <c r="D4634" s="33" t="s">
        <v>14</v>
      </c>
      <c r="E4634" s="9"/>
      <c r="F4634" s="35">
        <v>35.6</v>
      </c>
      <c r="G4634" s="10">
        <v>182973</v>
      </c>
      <c r="H4634" s="30" t="str">
        <f ca="1">IFERROR(__xludf.DUMMYFUNCTION("LOWER(REGEXREPLACE(B4634&amp;"" ""&amp;C4634,""[^а-яa-z0-9 ]"","" ""))")," итрина тепловая               30   970x430x620  220    1 2 к т  35 кг  ")</f>
        <v xml:space="preserve"> итрина тепловая               30   970x430x620  220    1 2 к т  35 кг  </v>
      </c>
    </row>
    <row r="4635" spans="1:8" ht="63.75" x14ac:dyDescent="0.2">
      <c r="A4635" s="31" t="s">
        <v>11121</v>
      </c>
      <c r="B4635" s="27" t="s">
        <v>11122</v>
      </c>
      <c r="C4635" s="27" t="s">
        <v>11123</v>
      </c>
      <c r="D4635" s="33" t="s">
        <v>14</v>
      </c>
      <c r="E4635" s="9"/>
      <c r="F4635" s="34">
        <v>84</v>
      </c>
      <c r="G4635" s="10">
        <v>564539</v>
      </c>
      <c r="H4635" s="30" t="str">
        <f ca="1">IFERROR(__xludf.DUMMYFUNCTION("LOWER(REGEXREPLACE(B4635&amp;"" ""&amp;C4635,""[^а-яa-z0-9 ]"","" ""))")," армит для 1 х блюд  апряжение 380     ощность 3 2 к т   азмеры не менее 1500х705 1030х1240мм   онструкция выполнена из нержавеющей стали   армит первых блюд   3 конфорки с регулировкой мощности ступенчатым переключателем   олка над мармитом с подсветкой "&amp;"для выкладки блюд   аправляющие для подносов входят в комплект поставки ")</f>
        <v xml:space="preserve"> армит для 1 х блюд  апряжение 380     ощность 3 2 к т   азмеры не менее 1500х705 1030х1240мм   онструкция выполнена из нержавеющей стали   армит первых блюд   3 конфорки с регулировкой мощности ступенчатым переключателем   олка над мармитом с подсветкой для выкладки блюд   аправляющие для подносов входят в комплект поставки </v>
      </c>
    </row>
    <row r="4636" spans="1:8" ht="89.25" x14ac:dyDescent="0.2">
      <c r="A4636" s="31" t="s">
        <v>11124</v>
      </c>
      <c r="B4636" s="27" t="s">
        <v>11125</v>
      </c>
      <c r="C4636" s="27" t="s">
        <v>11126</v>
      </c>
      <c r="D4636" s="33" t="s">
        <v>14</v>
      </c>
      <c r="E4636" s="9"/>
      <c r="F4636" s="34">
        <v>92</v>
      </c>
      <c r="G4636" s="10">
        <v>741229</v>
      </c>
      <c r="H4636" s="30" t="str">
        <f ca="1">IFERROR(__xludf.DUMMYFUNCTION("LOWER(REGEXREPLACE(B4636&amp;"" ""&amp;C4636,""[^а-яa-z0-9 ]"","" ""))")," армит для 2 х блюд  емпературный режим теплового отсека 85      апряжение 220    ощность 2 к т   азмеры не менее 1120х705 1030х1484мм   снащена регулируемыми по высоте ножками   онструкция выполнена из нержавеющей стали   армит вторых блюд с плавной регу"&amp;"лировкой температуры   пособ обогрева гастро мкостей   горячий пар   низу расположен шкаф для хранения кухонного инвентаря   войная полка над мармитом с подсветкой для выкладки блюд   астро мкости и направляющие для подносов входят в комплект поставки ")</f>
        <v xml:space="preserve"> армит для 2 х блюд  емпературный режим теплового отсека 85      апряжение 220    ощность 2 к т   азмеры не менее 1120х705 1030х1484мм   снащена регулируемыми по высоте ножками   онструкция выполнена из нержавеющей стали   армит вторых блюд с плавной регулировкой температуры   пособ обогрева гастро мкостей   горячий пар   низу расположен шкаф для хранения кухонного инвентаря   войная полка над мармитом с подсветкой для выкладки блюд   астро мкости и направляющие для подносов входят в комплект поставки </v>
      </c>
    </row>
    <row r="4637" spans="1:8" ht="25.5" x14ac:dyDescent="0.2">
      <c r="A4637" s="31" t="s">
        <v>11127</v>
      </c>
      <c r="B4637" s="27" t="s">
        <v>11128</v>
      </c>
      <c r="C4637" s="27"/>
      <c r="D4637" s="33" t="s">
        <v>14</v>
      </c>
      <c r="E4637" s="9"/>
      <c r="F4637" s="34">
        <v>109</v>
      </c>
      <c r="G4637" s="10">
        <v>1156071</v>
      </c>
      <c r="H4637" s="30" t="str">
        <f ca="1">IFERROR(__xludf.DUMMYFUNCTION("LOWER(REGEXREPLACE(B4637&amp;"" ""&amp;C4637,""[^а-яa-z0-9 ]"","" ""))")," армит 1 х и 2 х блюд     70     1500х705 1030х1485     8 л ")</f>
        <v xml:space="preserve"> армит 1 х и 2 х блюд     70     1500х705 1030х1485     8 л </v>
      </c>
    </row>
    <row r="4638" spans="1:8" ht="25.5" x14ac:dyDescent="0.2">
      <c r="A4638" s="31" t="s">
        <v>11129</v>
      </c>
      <c r="B4638" s="27" t="s">
        <v>11130</v>
      </c>
      <c r="C4638" s="27"/>
      <c r="D4638" s="33" t="s">
        <v>14</v>
      </c>
      <c r="E4638" s="9"/>
      <c r="F4638" s="34">
        <v>115</v>
      </c>
      <c r="G4638" s="10">
        <v>996429</v>
      </c>
      <c r="H4638" s="30" t="str">
        <f ca="1">IFERROR(__xludf.DUMMYFUNCTION("LOWER(REGEXREPLACE(B4638&amp;"" ""&amp;C4638,""[^а-яa-z0-9 ]"","" ""))")," армит 2 х блюд      70   80  1500х705 1030х1482  ")</f>
        <v xml:space="preserve"> армит 2 х блюд      70   80  1500х705 1030х1482  </v>
      </c>
    </row>
    <row r="4639" spans="1:8" ht="25.5" x14ac:dyDescent="0.2">
      <c r="A4639" s="31" t="s">
        <v>11131</v>
      </c>
      <c r="B4639" s="27" t="s">
        <v>11132</v>
      </c>
      <c r="C4639" s="27"/>
      <c r="D4639" s="33" t="s">
        <v>14</v>
      </c>
      <c r="E4639" s="9"/>
      <c r="F4639" s="34">
        <v>115</v>
      </c>
      <c r="G4639" s="10">
        <v>1136607</v>
      </c>
      <c r="H4639" s="30" t="str">
        <f ca="1">IFERROR(__xludf.DUMMYFUNCTION("LOWER(REGEXREPLACE(B4639&amp;"" ""&amp;C4639,""[^а-яa-z0-9 ]"","" ""))")," армит 2 х блюд     70   01 паровой  две полки  подсветка  с гастроемкостями  1120 мм  ")</f>
        <v xml:space="preserve"> армит 2 х блюд     70   01 паровой  две полки  подсветка  с гастроемкостями  1120 мм  </v>
      </c>
    </row>
    <row r="4640" spans="1:8" ht="25.5" x14ac:dyDescent="0.2">
      <c r="A4640" s="31" t="s">
        <v>11133</v>
      </c>
      <c r="B4640" s="27" t="s">
        <v>11134</v>
      </c>
      <c r="C4640" s="27"/>
      <c r="D4640" s="33" t="s">
        <v>14</v>
      </c>
      <c r="E4640" s="9"/>
      <c r="F4640" s="34">
        <v>77</v>
      </c>
      <c r="G4640" s="10">
        <v>549443</v>
      </c>
      <c r="H4640" s="30" t="str">
        <f ca="1">IFERROR(__xludf.DUMMYFUNCTION("LOWER(REGEXREPLACE(B4640&amp;"" ""&amp;C4640,""[^а-яa-z0-9 ]"","" ""))")," армит 1 х блюд      70    1120х705 1030х1240  ")</f>
        <v xml:space="preserve"> армит 1 х блюд      70    1120х705 1030х1240  </v>
      </c>
    </row>
    <row r="4641" spans="1:8" ht="12.75" x14ac:dyDescent="0.2">
      <c r="A4641" s="31" t="s">
        <v>11135</v>
      </c>
      <c r="B4641" s="27" t="s">
        <v>11136</v>
      </c>
      <c r="C4641" s="27"/>
      <c r="D4641" s="33" t="s">
        <v>14</v>
      </c>
      <c r="E4641" s="9"/>
      <c r="F4641" s="32"/>
      <c r="G4641" s="10"/>
      <c r="H4641" s="30" t="str">
        <f ca="1">IFERROR(__xludf.DUMMYFUNCTION("LOWER(REGEXREPLACE(B4641&amp;"" ""&amp;C4641,""[^а-яa-z0-9 ]"","" ""))")," армит ")</f>
        <v xml:space="preserve"> армит </v>
      </c>
    </row>
    <row r="4642" spans="1:8" ht="25.5" x14ac:dyDescent="0.2">
      <c r="A4642" s="31" t="s">
        <v>11137</v>
      </c>
      <c r="B4642" s="8" t="s">
        <v>11138</v>
      </c>
      <c r="C4642" s="27"/>
      <c r="D4642" s="33" t="s">
        <v>14</v>
      </c>
      <c r="E4642" s="9"/>
      <c r="F4642" s="34">
        <v>92</v>
      </c>
      <c r="G4642" s="10">
        <v>1116093</v>
      </c>
      <c r="H4642" s="30" t="str">
        <f ca="1">IFERROR(__xludf.DUMMYFUNCTION("LOWER(REGEXREPLACE(B4642&amp;"" ""&amp;C4642,""[^а-яa-z0-9 ]"","" ""))")," армит 2 х блюд      70   60  1120х705 1030х1482  ")</f>
        <v xml:space="preserve"> армит 2 х блюд      70   60  1120х705 1030х1482  </v>
      </c>
    </row>
    <row r="4643" spans="1:8" ht="51" x14ac:dyDescent="0.2">
      <c r="A4643" s="31" t="s">
        <v>11139</v>
      </c>
      <c r="B4643" s="8" t="s">
        <v>11140</v>
      </c>
      <c r="C4643" s="27"/>
      <c r="D4643" s="33" t="s">
        <v>14</v>
      </c>
      <c r="E4643" s="9"/>
      <c r="F4643" s="34">
        <v>115</v>
      </c>
      <c r="G4643" s="10">
        <v>1507270</v>
      </c>
      <c r="H4643" s="30" t="str">
        <f ca="1">IFERROR(__xludf.DUMMYFUNCTION("LOWER(REGEXREPLACE(B4643&amp;"" ""&amp;C4643,""[^а-яa-z0-9 ]"","" ""))")," армит 2 х блюд паровой 1500х700 1000 х1500  2 полки  гастроемкости  подсветка   ощность 2 5 к т      70   01 ")</f>
        <v xml:space="preserve"> армит 2 х блюд паровой 1500х700 1000 х1500  2 полки  гастроемкости  подсветка   ощность 2 5 к т      70   01 </v>
      </c>
    </row>
    <row r="4644" spans="1:8" ht="25.5" x14ac:dyDescent="0.2">
      <c r="A4644" s="31" t="s">
        <v>11141</v>
      </c>
      <c r="B4644" s="27" t="s">
        <v>11142</v>
      </c>
      <c r="C4644" s="27"/>
      <c r="D4644" s="33" t="s">
        <v>14</v>
      </c>
      <c r="E4644" s="9"/>
      <c r="F4644" s="34">
        <v>77</v>
      </c>
      <c r="G4644" s="10">
        <v>1084834</v>
      </c>
      <c r="H4644" s="30" t="str">
        <f ca="1">IFERROR(__xludf.DUMMYFUNCTION("LOWER(REGEXREPLACE(B4644&amp;"" ""&amp;C4644,""[^а-яa-z0-9 ]"","" ""))")," армит 1 х блюд  1100х700 1000 х1220  одна полка  подсветка   ощность 4 к т       70   ")</f>
        <v xml:space="preserve"> армит 1 х блюд  1100х700 1000 х1220  одна полка  подсветка   ощность 4 к т       70   </v>
      </c>
    </row>
    <row r="4645" spans="1:8" ht="25.5" x14ac:dyDescent="0.2">
      <c r="A4645" s="31" t="s">
        <v>11143</v>
      </c>
      <c r="B4645" s="27" t="s">
        <v>11144</v>
      </c>
      <c r="C4645" s="27"/>
      <c r="D4645" s="33" t="s">
        <v>14</v>
      </c>
      <c r="E4645" s="9"/>
      <c r="F4645" s="34">
        <v>71</v>
      </c>
      <c r="G4645" s="10">
        <v>1565490</v>
      </c>
      <c r="H4645" s="30" t="str">
        <f ca="1">IFERROR(__xludf.DUMMYFUNCTION("LOWER(REGEXREPLACE(B4645&amp;"" ""&amp;C4645,""[^а-яa-z0-9 ]"","" ""))")," армит паровой     909   размеры 800х900х920 мм  мощность 6 к т  напряжение 380   ")</f>
        <v xml:space="preserve"> армит паровой     909   размеры 800х900х920 мм  мощность 6 к т  напряжение 380   </v>
      </c>
    </row>
    <row r="4646" spans="1:8" ht="38.25" x14ac:dyDescent="0.2">
      <c r="A4646" s="31" t="s">
        <v>11145</v>
      </c>
      <c r="B4646" s="27" t="s">
        <v>11146</v>
      </c>
      <c r="C4646" s="27"/>
      <c r="D4646" s="33" t="s">
        <v>14</v>
      </c>
      <c r="E4646" s="9"/>
      <c r="F4646" s="35">
        <v>16.5</v>
      </c>
      <c r="G4646" s="10">
        <v>199267</v>
      </c>
      <c r="H4646" s="30" t="str">
        <f ca="1">IFERROR(__xludf.DUMMYFUNCTION("LOWER(REGEXREPLACE(B4646&amp;"" ""&amp;C4646,""[^а-яa-z0-9 ]"","" ""))")," армит паровой настольный электрический    4   размеры 700х600х280 мм  мощность 1 5 к т  напряжение 220   ")</f>
        <v xml:space="preserve"> армит паровой настольный электрический    4   размеры 700х600х280 мм  мощность 1 5 к т  напряжение 220   </v>
      </c>
    </row>
    <row r="4647" spans="1:8" ht="38.25" x14ac:dyDescent="0.2">
      <c r="A4647" s="31" t="s">
        <v>11147</v>
      </c>
      <c r="B4647" s="27" t="s">
        <v>11148</v>
      </c>
      <c r="C4647" s="27"/>
      <c r="D4647" s="33" t="s">
        <v>14</v>
      </c>
      <c r="E4647" s="9"/>
      <c r="F4647" s="34">
        <v>19</v>
      </c>
      <c r="G4647" s="10">
        <v>234733</v>
      </c>
      <c r="H4647" s="30" t="str">
        <f ca="1">IFERROR(__xludf.DUMMYFUNCTION("LOWER(REGEXREPLACE(B4647&amp;"" ""&amp;C4647,""[^а-яa-z0-9 ]"","" ""))")," армит паровой настольный электрический    6   размеры 700х590х275 мм  мощность 1 5 к т  напряжение 220   ")</f>
        <v xml:space="preserve"> армит паровой настольный электрический    6   размеры 700х590х275 мм  мощность 1 5 к т  напряжение 220   </v>
      </c>
    </row>
    <row r="4648" spans="1:8" ht="12.75" x14ac:dyDescent="0.2">
      <c r="A4648" s="31" t="s">
        <v>11149</v>
      </c>
      <c r="B4648" s="27" t="s">
        <v>11150</v>
      </c>
      <c r="C4648" s="27"/>
      <c r="D4648" s="33" t="s">
        <v>14</v>
      </c>
      <c r="E4648" s="9"/>
      <c r="F4648" s="34">
        <v>142</v>
      </c>
      <c r="G4648" s="10"/>
      <c r="H4648" s="30" t="str">
        <f ca="1">IFERROR(__xludf.DUMMYFUNCTION("LOWER(REGEXREPLACE(B4648&amp;"" ""&amp;C4648,""[^а-яa-z0-9 ]"","" ""))")," итрина тепловая ")</f>
        <v xml:space="preserve"> итрина тепловая </v>
      </c>
    </row>
    <row r="4649" spans="1:8" ht="38.25" x14ac:dyDescent="0.2">
      <c r="A4649" s="31" t="s">
        <v>11151</v>
      </c>
      <c r="B4649" s="27" t="s">
        <v>11152</v>
      </c>
      <c r="C4649" s="27"/>
      <c r="D4649" s="33" t="s">
        <v>14</v>
      </c>
      <c r="E4649" s="9"/>
      <c r="F4649" s="34">
        <v>142</v>
      </c>
      <c r="G4649" s="10">
        <v>1130562</v>
      </c>
      <c r="H4649" s="30" t="str">
        <f ca="1">IFERROR(__xludf.DUMMYFUNCTION("LOWER(REGEXREPLACE(B4649&amp;"" ""&amp;C4649,""[^а-яa-z0-9 ]"","" ""))")," итрина тепловая     70    размеры 1120х705 1030х1720 мм  мощность 1 37 к т  напряжение 220   ")</f>
        <v xml:space="preserve"> итрина тепловая     70    размеры 1120х705 1030х1720 мм  мощность 1 37 к т  напряжение 220   </v>
      </c>
    </row>
    <row r="4650" spans="1:8" ht="38.25" x14ac:dyDescent="0.2">
      <c r="A4650" s="31" t="s">
        <v>11153</v>
      </c>
      <c r="B4650" s="27" t="s">
        <v>11154</v>
      </c>
      <c r="C4650" s="27"/>
      <c r="D4650" s="33" t="s">
        <v>14</v>
      </c>
      <c r="E4650" s="9"/>
      <c r="F4650" s="34">
        <v>106</v>
      </c>
      <c r="G4650" s="10">
        <v>851635</v>
      </c>
      <c r="H4650" s="30" t="str">
        <f ca="1">IFERROR(__xludf.DUMMYFUNCTION("LOWER(REGEXREPLACE(B4650&amp;"" ""&amp;C4650,""[^а-яa-z0-9 ]"","" ""))")," итрина тепловая     90     размеры 900х530х730 мм  мощность 1 3 к т  напряжение 220   ")</f>
        <v xml:space="preserve"> итрина тепловая     90     размеры 900х530х730 мм  мощность 1 3 к т  напряжение 220   </v>
      </c>
    </row>
    <row r="4651" spans="1:8" ht="38.25" x14ac:dyDescent="0.2">
      <c r="A4651" s="31" t="s">
        <v>11155</v>
      </c>
      <c r="B4651" s="27" t="s">
        <v>11156</v>
      </c>
      <c r="C4651" s="27"/>
      <c r="D4651" s="33" t="s">
        <v>14</v>
      </c>
      <c r="E4651" s="9"/>
      <c r="F4651" s="34">
        <v>130</v>
      </c>
      <c r="G4651" s="10">
        <v>978813</v>
      </c>
      <c r="H4651" s="30" t="str">
        <f ca="1">IFERROR(__xludf.DUMMYFUNCTION("LOWER(REGEXREPLACE(B4651&amp;"" ""&amp;C4651,""[^а-яa-z0-9 ]"","" ""))")," итрина тепловая     120     размеры 1200х530х730 мм  мощность 1 3 к т  напряжение 220   ")</f>
        <v xml:space="preserve"> итрина тепловая     120     размеры 1200х530х730 мм  мощность 1 3 к т  напряжение 220   </v>
      </c>
    </row>
    <row r="4652" spans="1:8" ht="12.75" x14ac:dyDescent="0.2">
      <c r="A4652" s="31" t="s">
        <v>11157</v>
      </c>
      <c r="B4652" s="27" t="s">
        <v>11158</v>
      </c>
      <c r="C4652" s="27"/>
      <c r="D4652" s="33" t="s">
        <v>14</v>
      </c>
      <c r="E4652" s="9"/>
      <c r="F4652" s="34">
        <v>128</v>
      </c>
      <c r="G4652" s="10"/>
      <c r="H4652" s="30" t="str">
        <f ca="1">IFERROR(__xludf.DUMMYFUNCTION("LOWER(REGEXREPLACE(B4652&amp;"" ""&amp;C4652,""[^а-яa-z0-9 ]"","" ""))")," коворода ")</f>
        <v xml:space="preserve"> коворода </v>
      </c>
    </row>
    <row r="4653" spans="1:8" ht="38.25" x14ac:dyDescent="0.2">
      <c r="A4653" s="31" t="s">
        <v>11159</v>
      </c>
      <c r="B4653" s="27" t="s">
        <v>11160</v>
      </c>
      <c r="C4653" s="27"/>
      <c r="D4653" s="33" t="s">
        <v>14</v>
      </c>
      <c r="E4653" s="9"/>
      <c r="F4653" s="34">
        <v>128</v>
      </c>
      <c r="G4653" s="10">
        <v>1304589</v>
      </c>
      <c r="H4653" s="30" t="str">
        <f ca="1">IFERROR(__xludf.DUMMYFUNCTION("LOWER(REGEXREPLACE(B4653&amp;"" ""&amp;C4653,""[^а-яa-z0-9 ]"","" ""))")," коворода электрическая     90 0 47 70  размеры 840х1045х940 мм  мощность 12 к т  напряжение 380   ")</f>
        <v xml:space="preserve"> коворода электрическая     90 0 47 70  размеры 840х1045х940 мм  мощность 12 к т  напряжение 380   </v>
      </c>
    </row>
    <row r="4654" spans="1:8" ht="38.25" x14ac:dyDescent="0.2">
      <c r="A4654" s="31" t="s">
        <v>11161</v>
      </c>
      <c r="B4654" s="27" t="s">
        <v>11162</v>
      </c>
      <c r="C4654" s="27"/>
      <c r="D4654" s="33" t="s">
        <v>14</v>
      </c>
      <c r="E4654" s="9"/>
      <c r="F4654" s="34">
        <v>128</v>
      </c>
      <c r="G4654" s="10">
        <v>2738856</v>
      </c>
      <c r="H4654" s="30" t="str">
        <f ca="1">IFERROR(__xludf.DUMMYFUNCTION("LOWER(REGEXREPLACE(B4654&amp;"" ""&amp;C4654,""[^а-яa-z0-9 ]"","" ""))")," коворода электрическая      80  размеры 800х900х920 мм  мощность 12 к т  напряжение 380   ")</f>
        <v xml:space="preserve"> коворода электрическая      80  размеры 800х900х920 мм  мощность 12 к т  напряжение 380   </v>
      </c>
    </row>
    <row r="4655" spans="1:8" ht="38.25" x14ac:dyDescent="0.2">
      <c r="A4655" s="31" t="s">
        <v>11163</v>
      </c>
      <c r="B4655" s="27" t="s">
        <v>11164</v>
      </c>
      <c r="C4655" s="27"/>
      <c r="D4655" s="33" t="s">
        <v>14</v>
      </c>
      <c r="E4655" s="34">
        <v>2</v>
      </c>
      <c r="F4655" s="34">
        <v>175</v>
      </c>
      <c r="G4655" s="10">
        <v>768970</v>
      </c>
      <c r="H4655" s="30" t="str">
        <f ca="1">IFERROR(__xludf.DUMMYFUNCTION("LOWER(REGEXREPLACE(B4655&amp;"" ""&amp;C4655,""[^а-яa-z0-9 ]"","" ""))")," коворода электрическая     80 0 27 40    размеры 800х899х950 мм  мощность 9 к т  напряжение 380   ")</f>
        <v xml:space="preserve"> коворода электрическая     80 0 27 40    размеры 800х899х950 мм  мощность 9 к т  напряжение 380   </v>
      </c>
    </row>
    <row r="4656" spans="1:8" ht="38.25" x14ac:dyDescent="0.2">
      <c r="A4656" s="31" t="s">
        <v>11165</v>
      </c>
      <c r="B4656" s="27" t="s">
        <v>11166</v>
      </c>
      <c r="C4656" s="27"/>
      <c r="D4656" s="33" t="s">
        <v>14</v>
      </c>
      <c r="E4656" s="34">
        <v>2</v>
      </c>
      <c r="F4656" s="34">
        <v>150</v>
      </c>
      <c r="G4656" s="10">
        <v>711472</v>
      </c>
      <c r="H4656" s="30" t="str">
        <f ca="1">IFERROR(__xludf.DUMMYFUNCTION("LOWER(REGEXREPLACE(B4656&amp;"" ""&amp;C4656,""[^а-яa-z0-9 ]"","" ""))")," коворода электрическая     90 0 27 40  размеры 840х1050х940 мм  мощность 9 к т  напряжение 380   ")</f>
        <v xml:space="preserve"> коворода электрическая     90 0 27 40  размеры 840х1050х940 мм  мощность 9 к т  напряжение 380   </v>
      </c>
    </row>
    <row r="4657" spans="1:8" ht="38.25" x14ac:dyDescent="0.2">
      <c r="A4657" s="31" t="s">
        <v>11167</v>
      </c>
      <c r="B4657" s="27" t="s">
        <v>11168</v>
      </c>
      <c r="C4657" s="27"/>
      <c r="D4657" s="33" t="s">
        <v>14</v>
      </c>
      <c r="E4657" s="34">
        <v>2</v>
      </c>
      <c r="F4657" s="34">
        <v>209</v>
      </c>
      <c r="G4657" s="10">
        <v>1135586</v>
      </c>
      <c r="H4657" s="30" t="str">
        <f ca="1">IFERROR(__xludf.DUMMYFUNCTION("LOWER(REGEXREPLACE(B4657&amp;"" ""&amp;C4657,""[^а-яa-z0-9 ]"","" ""))")," коворода электрическая     90 0 67 120  размеры 1202х1045х940 мм  мощность 15 к т  напряжение 380   ")</f>
        <v xml:space="preserve"> коворода электрическая     90 0 67 120  размеры 1202х1045х940 мм  мощность 15 к т  напряжение 380   </v>
      </c>
    </row>
    <row r="4658" spans="1:8" ht="38.25" x14ac:dyDescent="0.2">
      <c r="A4658" s="31" t="s">
        <v>11169</v>
      </c>
      <c r="B4658" s="27" t="s">
        <v>11170</v>
      </c>
      <c r="C4658" s="27"/>
      <c r="D4658" s="33" t="s">
        <v>14</v>
      </c>
      <c r="E4658" s="34">
        <v>2</v>
      </c>
      <c r="F4658" s="34">
        <v>226</v>
      </c>
      <c r="G4658" s="10">
        <v>592546</v>
      </c>
      <c r="H4658" s="30" t="str">
        <f ca="1">IFERROR(__xludf.DUMMYFUNCTION("LOWER(REGEXREPLACE(B4658&amp;"" ""&amp;C4658,""[^а-яa-z0-9 ]"","" ""))")," коворода электрическая     0 45  размеры 1430х850 900 х820 840 мм  мощность 12к т  напряжение 380  ")</f>
        <v xml:space="preserve"> коворода электрическая     0 45  размеры 1430х850 900 х820 840 мм  мощность 12к т  напряжение 380  </v>
      </c>
    </row>
    <row r="4659" spans="1:8" ht="12.75" x14ac:dyDescent="0.2">
      <c r="A4659" s="31" t="s">
        <v>11171</v>
      </c>
      <c r="B4659" s="27" t="s">
        <v>11172</v>
      </c>
      <c r="C4659" s="27"/>
      <c r="D4659" s="33" t="s">
        <v>14</v>
      </c>
      <c r="E4659" s="9"/>
      <c r="F4659" s="32"/>
      <c r="G4659" s="10"/>
      <c r="H4659" s="30" t="str">
        <f ca="1">IFERROR(__xludf.DUMMYFUNCTION("LOWER(REGEXREPLACE(B4659&amp;"" ""&amp;C4659,""[^а-яa-z0-9 ]"","" ""))")," астоварка электрическая ")</f>
        <v xml:space="preserve"> астоварка электрическая </v>
      </c>
    </row>
    <row r="4660" spans="1:8" ht="38.25" x14ac:dyDescent="0.2">
      <c r="A4660" s="31" t="s">
        <v>11173</v>
      </c>
      <c r="B4660" s="27" t="s">
        <v>11174</v>
      </c>
      <c r="C4660" s="27"/>
      <c r="D4660" s="33" t="s">
        <v>14</v>
      </c>
      <c r="E4660" s="9"/>
      <c r="F4660" s="34">
        <v>70</v>
      </c>
      <c r="G4660" s="10">
        <v>1724961</v>
      </c>
      <c r="H4660" s="30" t="str">
        <f ca="1">IFERROR(__xludf.DUMMYFUNCTION("LOWER(REGEXREPLACE(B4660&amp;"" ""&amp;C4660,""[^а-яa-z0-9 ]"","" ""))")," астоварка электрическая     915   размеры 800х900х920 мм  мощность 18 к т  напряжение 380   ")</f>
        <v xml:space="preserve"> астоварка электрическая     915   размеры 800х900х920 мм  мощность 18 к т  напряжение 380   </v>
      </c>
    </row>
    <row r="4661" spans="1:8" ht="38.25" x14ac:dyDescent="0.2">
      <c r="A4661" s="31" t="s">
        <v>11175</v>
      </c>
      <c r="B4661" s="27" t="s">
        <v>11176</v>
      </c>
      <c r="C4661" s="27"/>
      <c r="D4661" s="33" t="s">
        <v>14</v>
      </c>
      <c r="E4661" s="9"/>
      <c r="F4661" s="34">
        <v>70</v>
      </c>
      <c r="G4661" s="10">
        <v>1557951</v>
      </c>
      <c r="H4661" s="30" t="str">
        <f ca="1">IFERROR(__xludf.DUMMYFUNCTION("LOWER(REGEXREPLACE(B4661&amp;"" ""&amp;C4661,""[^а-яa-z0-9 ]"","" ""))")," астоварка электрическая     910   размеры 800х900х920 мм  мощность 18 к т  напряжение 380   ")</f>
        <v xml:space="preserve"> астоварка электрическая     910   размеры 800х900х920 мм  мощность 18 к т  напряжение 380   </v>
      </c>
    </row>
    <row r="4662" spans="1:8" ht="12.75" x14ac:dyDescent="0.2">
      <c r="A4662" s="31" t="s">
        <v>11177</v>
      </c>
      <c r="B4662" s="27" t="s">
        <v>11178</v>
      </c>
      <c r="C4662" s="27"/>
      <c r="D4662" s="33" t="s">
        <v>14</v>
      </c>
      <c r="E4662" s="9"/>
      <c r="F4662" s="32"/>
      <c r="G4662" s="10"/>
      <c r="H4662" s="30" t="str">
        <f ca="1">IFERROR(__xludf.DUMMYFUNCTION("LOWER(REGEXREPLACE(B4662&amp;"" ""&amp;C4662,""[^а-яa-z0-9 ]"","" ""))")," риль ")</f>
        <v xml:space="preserve"> риль </v>
      </c>
    </row>
    <row r="4663" spans="1:8" ht="38.25" x14ac:dyDescent="0.2">
      <c r="A4663" s="31" t="s">
        <v>11179</v>
      </c>
      <c r="B4663" s="27" t="s">
        <v>11180</v>
      </c>
      <c r="C4663" s="27"/>
      <c r="D4663" s="33" t="s">
        <v>14</v>
      </c>
      <c r="E4663" s="9"/>
      <c r="F4663" s="34">
        <v>128</v>
      </c>
      <c r="G4663" s="10">
        <v>1573720</v>
      </c>
      <c r="H4663" s="30" t="str">
        <f ca="1">IFERROR(__xludf.DUMMYFUNCTION("LOWER(REGEXREPLACE(B4663&amp;"" ""&amp;C4663,""[^а-яa-z0-9 ]"","" ""))")," риль лавовый электрический     907   размеры 800х900х920 мм  мощность 12 к т  напряжение 380   ")</f>
        <v xml:space="preserve"> риль лавовый электрический     907   размеры 800х900х920 мм  мощность 12 к т  напряжение 380   </v>
      </c>
    </row>
    <row r="4664" spans="1:8" ht="12.75" x14ac:dyDescent="0.2">
      <c r="A4664" s="31" t="s">
        <v>11181</v>
      </c>
      <c r="B4664" s="27" t="s">
        <v>11182</v>
      </c>
      <c r="C4664" s="27"/>
      <c r="D4664" s="33" t="s">
        <v>14</v>
      </c>
      <c r="E4664" s="9"/>
      <c r="F4664" s="32"/>
      <c r="G4664" s="10"/>
      <c r="H4664" s="30" t="str">
        <f ca="1">IFERROR(__xludf.DUMMYFUNCTION("LOWER(REGEXREPLACE(B4664&amp;"" ""&amp;C4664,""[^а-яa-z0-9 ]"","" ""))")," оверхность жарочная ")</f>
        <v xml:space="preserve"> оверхность жарочная </v>
      </c>
    </row>
    <row r="4665" spans="1:8" ht="38.25" x14ac:dyDescent="0.2">
      <c r="A4665" s="31" t="s">
        <v>11183</v>
      </c>
      <c r="B4665" s="27" t="s">
        <v>11184</v>
      </c>
      <c r="C4665" s="27"/>
      <c r="D4665" s="33" t="s">
        <v>14</v>
      </c>
      <c r="E4665" s="9"/>
      <c r="F4665" s="34">
        <v>121</v>
      </c>
      <c r="G4665" s="10">
        <v>2013920</v>
      </c>
      <c r="H4665" s="30" t="str">
        <f ca="1">IFERROR(__xludf.DUMMYFUNCTION("LOWER(REGEXREPLACE(B4665&amp;"" ""&amp;C4665,""[^а-яa-z0-9 ]"","" ""))")," оверхность жарочная комбинированная  электрическая     913   размеры 800х900х920 мм  мощность 16 8 к т  напряжение 380   ")</f>
        <v xml:space="preserve"> оверхность жарочная комбинированная  электрическая     913   размеры 800х900х920 мм  мощность 16 8 к т  напряжение 380   </v>
      </c>
    </row>
    <row r="4666" spans="1:8" ht="12.75" x14ac:dyDescent="0.2">
      <c r="A4666" s="31" t="s">
        <v>11185</v>
      </c>
      <c r="B4666" s="27" t="s">
        <v>11186</v>
      </c>
      <c r="C4666" s="27"/>
      <c r="D4666" s="33" t="s">
        <v>14</v>
      </c>
      <c r="E4666" s="9"/>
      <c r="F4666" s="32"/>
      <c r="G4666" s="10"/>
      <c r="H4666" s="30" t="str">
        <f ca="1">IFERROR(__xludf.DUMMYFUNCTION("LOWER(REGEXREPLACE(B4666&amp;"" ""&amp;C4666,""[^а-яa-z0-9 ]"","" ""))")," ритюрница ")</f>
        <v xml:space="preserve"> ритюрница </v>
      </c>
    </row>
    <row r="4667" spans="1:8" ht="38.25" x14ac:dyDescent="0.2">
      <c r="A4667" s="31" t="s">
        <v>11187</v>
      </c>
      <c r="B4667" s="27" t="s">
        <v>11188</v>
      </c>
      <c r="C4667" s="27"/>
      <c r="D4667" s="33" t="s">
        <v>14</v>
      </c>
      <c r="E4667" s="9"/>
      <c r="F4667" s="34">
        <v>49</v>
      </c>
      <c r="G4667" s="10">
        <v>876132</v>
      </c>
      <c r="H4667" s="30" t="str">
        <f ca="1">IFERROR(__xludf.DUMMYFUNCTION("LOWER(REGEXREPLACE(B4667&amp;"" ""&amp;C4667,""[^а-яa-z0-9 ]"","" ""))")," ритюрница электрическая    499  22  размеры 400х900х920 мм  объем 28 л  мощность 12 к т  напряжение 380   ")</f>
        <v xml:space="preserve"> ритюрница электрическая    499  22  размеры 400х900х920 мм  объем 28 л  мощность 12 к т  напряжение 380   </v>
      </c>
    </row>
    <row r="4668" spans="1:8" ht="38.25" x14ac:dyDescent="0.2">
      <c r="A4668" s="31" t="s">
        <v>11189</v>
      </c>
      <c r="B4668" s="27" t="s">
        <v>11190</v>
      </c>
      <c r="C4668" s="27"/>
      <c r="D4668" s="33" t="s">
        <v>14</v>
      </c>
      <c r="E4668" s="9"/>
      <c r="F4668" s="34">
        <v>102</v>
      </c>
      <c r="G4668" s="10">
        <v>1584571</v>
      </c>
      <c r="H4668" s="30" t="str">
        <f ca="1">IFERROR(__xludf.DUMMYFUNCTION("LOWER(REGEXREPLACE(B4668&amp;"" ""&amp;C4668,""[^а-яa-z0-9 ]"","" ""))")," ритюрница электрическая    899  22 22  размеры 800х900х920 мм  объем 22 л  мощность 24 к т  напряжение 380   ")</f>
        <v xml:space="preserve"> ритюрница электрическая    899  22 22  размеры 800х900х920 мм  объем 22 л  мощность 24 к т  напряжение 380   </v>
      </c>
    </row>
    <row r="4669" spans="1:8" ht="38.25" x14ac:dyDescent="0.2">
      <c r="A4669" s="31" t="s">
        <v>11191</v>
      </c>
      <c r="B4669" s="27" t="s">
        <v>11192</v>
      </c>
      <c r="C4669" s="27"/>
      <c r="D4669" s="33" t="s">
        <v>14</v>
      </c>
      <c r="E4669" s="9"/>
      <c r="F4669" s="34">
        <v>8</v>
      </c>
      <c r="G4669" s="10">
        <v>452520</v>
      </c>
      <c r="H4669" s="30" t="str">
        <f ca="1">IFERROR(__xludf.DUMMYFUNCTION("LOWER(REGEXREPLACE(B4669&amp;"" ""&amp;C4669,""[^а-яa-z0-9 ]"","" ""))")," ритюрница индукционная настольная     8  размеры 288x478x410 мм  объем 8 л  мощность 3 5 к т  напряжение 220   ")</f>
        <v xml:space="preserve"> ритюрница индукционная настольная     8  размеры 288x478x410 мм  объем 8 л  мощность 3 5 к т  напряжение 220   </v>
      </c>
    </row>
    <row r="4670" spans="1:8" ht="38.25" x14ac:dyDescent="0.2">
      <c r="A4670" s="31" t="s">
        <v>11193</v>
      </c>
      <c r="B4670" s="27" t="s">
        <v>11194</v>
      </c>
      <c r="C4670" s="27"/>
      <c r="D4670" s="33" t="s">
        <v>14</v>
      </c>
      <c r="E4670" s="9"/>
      <c r="F4670" s="34">
        <v>12</v>
      </c>
      <c r="G4670" s="10">
        <v>901300</v>
      </c>
      <c r="H4670" s="30" t="str">
        <f ca="1">IFERROR(__xludf.DUMMYFUNCTION("LOWER(REGEXREPLACE(B4670&amp;"" ""&amp;C4670,""[^а-яa-z0-9 ]"","" ""))")," ритюрница индукционная настольная     8 8  размеры 576x478x410 мм  объем 8 л  мощность 3 5 к т  напряжение 220   ")</f>
        <v xml:space="preserve"> ритюрница индукционная настольная     8 8  размеры 576x478x410 мм  объем 8 л  мощность 3 5 к т  напряжение 220   </v>
      </c>
    </row>
    <row r="4671" spans="1:8" ht="12.75" x14ac:dyDescent="0.2">
      <c r="A4671" s="31" t="s">
        <v>11195</v>
      </c>
      <c r="B4671" s="27" t="s">
        <v>11196</v>
      </c>
      <c r="C4671" s="27"/>
      <c r="D4671" s="33" t="s">
        <v>14</v>
      </c>
      <c r="E4671" s="9"/>
      <c r="F4671" s="32"/>
      <c r="G4671" s="10"/>
      <c r="H4671" s="30" t="str">
        <f ca="1">IFERROR(__xludf.DUMMYFUNCTION("LOWER(REGEXREPLACE(B4671&amp;"" ""&amp;C4671,""[^а-яa-z0-9 ]"","" ""))")," ележка тепловая ")</f>
        <v xml:space="preserve"> ележка тепловая </v>
      </c>
    </row>
    <row r="4672" spans="1:8" ht="38.25" x14ac:dyDescent="0.2">
      <c r="A4672" s="31" t="s">
        <v>11197</v>
      </c>
      <c r="B4672" s="27" t="s">
        <v>11198</v>
      </c>
      <c r="C4672" s="27"/>
      <c r="D4672" s="33" t="s">
        <v>14</v>
      </c>
      <c r="E4672" s="9"/>
      <c r="F4672" s="34">
        <v>56</v>
      </c>
      <c r="G4672" s="10">
        <v>1659414</v>
      </c>
      <c r="H4672" s="30" t="str">
        <f ca="1">IFERROR(__xludf.DUMMYFUNCTION("LOWER(REGEXREPLACE(B4672&amp;"" ""&amp;C4672,""[^а-яa-z0-9 ]"","" ""))")," ележка тепловая электрическая    11 21  размеры 780х960х1790 мм  мощность 2 52 к т  напряжение 220   ")</f>
        <v xml:space="preserve"> ележка тепловая электрическая    11 21  размеры 780х960х1790 мм  мощность 2 52 к т  напряжение 220   </v>
      </c>
    </row>
    <row r="4673" spans="1:8" ht="38.25" x14ac:dyDescent="0.2">
      <c r="A4673" s="31" t="s">
        <v>11199</v>
      </c>
      <c r="B4673" s="27" t="s">
        <v>11200</v>
      </c>
      <c r="C4673" s="27"/>
      <c r="D4673" s="33" t="s">
        <v>14</v>
      </c>
      <c r="E4673" s="9"/>
      <c r="F4673" s="34">
        <v>78</v>
      </c>
      <c r="G4673" s="10">
        <v>3029198</v>
      </c>
      <c r="H4673" s="30" t="str">
        <f ca="1">IFERROR(__xludf.DUMMYFUNCTION("LOWER(REGEXREPLACE(B4673&amp;"" ""&amp;C4673,""[^а-яa-z0-9 ]"","" ""))")," ележка тепловая электрическая    22 21  размеры 1580х960х1790 мм  мощность 2 52 к т  напряжение 220   ")</f>
        <v xml:space="preserve"> ележка тепловая электрическая    22 21  размеры 1580х960х1790 мм  мощность 2 52 к т  напряжение 220   </v>
      </c>
    </row>
    <row r="4674" spans="1:8" ht="12.75" x14ac:dyDescent="0.2">
      <c r="A4674" s="31" t="s">
        <v>11201</v>
      </c>
      <c r="B4674" s="27" t="s">
        <v>11202</v>
      </c>
      <c r="C4674" s="27"/>
      <c r="D4674" s="33" t="s">
        <v>14</v>
      </c>
      <c r="E4674" s="9"/>
      <c r="F4674" s="32"/>
      <c r="G4674" s="10"/>
      <c r="H4674" s="30" t="str">
        <f ca="1">IFERROR(__xludf.DUMMYFUNCTION("LOWER(REGEXREPLACE(B4674&amp;"" ""&amp;C4674,""[^а-яa-z0-9 ]"","" ""))")," лита индукционная ")</f>
        <v xml:space="preserve"> лита индукционная </v>
      </c>
    </row>
    <row r="4675" spans="1:8" ht="38.25" x14ac:dyDescent="0.2">
      <c r="A4675" s="31" t="s">
        <v>11203</v>
      </c>
      <c r="B4675" s="27" t="s">
        <v>11204</v>
      </c>
      <c r="C4675" s="27"/>
      <c r="D4675" s="33" t="s">
        <v>14</v>
      </c>
      <c r="E4675" s="9"/>
      <c r="F4675" s="35">
        <v>6.5</v>
      </c>
      <c r="G4675" s="10">
        <v>327267</v>
      </c>
      <c r="H4675" s="30" t="str">
        <f ca="1">IFERROR(__xludf.DUMMYFUNCTION("LOWER(REGEXREPLACE(B4675&amp;"" ""&amp;C4675,""[^а-яa-z0-9 ]"","" ""))")," лита индукционная настольная встраиваемая  1   размеры 360х420х105 мм  мощность 3 5 к т  напряжение 220   ")</f>
        <v xml:space="preserve"> лита индукционная настольная встраиваемая  1   размеры 360х420х105 мм  мощность 3 5 к т  напряжение 220   </v>
      </c>
    </row>
    <row r="4676" spans="1:8" ht="38.25" x14ac:dyDescent="0.2">
      <c r="A4676" s="31" t="s">
        <v>11205</v>
      </c>
      <c r="B4676" s="27" t="s">
        <v>11206</v>
      </c>
      <c r="C4676" s="27"/>
      <c r="D4676" s="33" t="s">
        <v>14</v>
      </c>
      <c r="E4676" s="9"/>
      <c r="F4676" s="35">
        <v>6.5</v>
      </c>
      <c r="G4676" s="10">
        <v>210724</v>
      </c>
      <c r="H4676" s="30" t="str">
        <f ca="1">IFERROR(__xludf.DUMMYFUNCTION("LOWER(REGEXREPLACE(B4676&amp;"" ""&amp;C4676,""[^а-яa-z0-9 ]"","" ""))")," лита индукционная настольная  2x1  размеры 360х420х125 мм  мощность 3 5 к т  напряжение 220   ")</f>
        <v xml:space="preserve"> лита индукционная настольная  2x1  размеры 360х420х125 мм  мощность 3 5 к т  напряжение 220   </v>
      </c>
    </row>
    <row r="4677" spans="1:8" ht="38.25" x14ac:dyDescent="0.2">
      <c r="A4677" s="31" t="s">
        <v>11207</v>
      </c>
      <c r="B4677" s="27" t="s">
        <v>11208</v>
      </c>
      <c r="C4677" s="27"/>
      <c r="D4677" s="33" t="s">
        <v>14</v>
      </c>
      <c r="E4677" s="9"/>
      <c r="F4677" s="35">
        <v>6.5</v>
      </c>
      <c r="G4677" s="10">
        <v>178967</v>
      </c>
      <c r="H4677" s="30" t="str">
        <f ca="1">IFERROR(__xludf.DUMMYFUNCTION("LOWER(REGEXREPLACE(B4677&amp;"" ""&amp;C4677,""[^а-яa-z0-9 ]"","" ""))")," лита индукционная настольная        3  размеры 360х440х135 мм  мощность 3 5 к т  напряжение 220   ")</f>
        <v xml:space="preserve"> лита индукционная настольная        3  размеры 360х440х135 мм  мощность 3 5 к т  напряжение 220   </v>
      </c>
    </row>
    <row r="4678" spans="1:8" ht="38.25" x14ac:dyDescent="0.2">
      <c r="A4678" s="31" t="s">
        <v>11209</v>
      </c>
      <c r="B4678" s="27" t="s">
        <v>11210</v>
      </c>
      <c r="C4678" s="27"/>
      <c r="D4678" s="33" t="s">
        <v>14</v>
      </c>
      <c r="E4678" s="9"/>
      <c r="F4678" s="34">
        <v>12</v>
      </c>
      <c r="G4678" s="10">
        <v>650483</v>
      </c>
      <c r="H4678" s="30" t="str">
        <f ca="1">IFERROR(__xludf.DUMMYFUNCTION("LOWER(REGEXREPLACE(B4678&amp;"" ""&amp;C4678,""[^а-яa-z0-9 ]"","" ""))")," лита индукционная настольная  2   размеры 400х830х200 мм  мощность 3 5 к т  напряжение 220   ")</f>
        <v xml:space="preserve"> лита индукционная настольная  2   размеры 400х830х200 мм  мощность 3 5 к т  напряжение 220   </v>
      </c>
    </row>
    <row r="4679" spans="1:8" ht="38.25" x14ac:dyDescent="0.2">
      <c r="A4679" s="31" t="s">
        <v>11211</v>
      </c>
      <c r="B4679" s="27" t="s">
        <v>11212</v>
      </c>
      <c r="C4679" s="27"/>
      <c r="D4679" s="33" t="s">
        <v>14</v>
      </c>
      <c r="E4679" s="9"/>
      <c r="F4679" s="34">
        <v>60</v>
      </c>
      <c r="G4679" s="10">
        <v>1297024</v>
      </c>
      <c r="H4679" s="30" t="str">
        <f ca="1">IFERROR(__xludf.DUMMYFUNCTION("LOWER(REGEXREPLACE(B4679&amp;"" ""&amp;C4679,""[^а-яa-z0-9 ]"","" ""))")," лита индукционная настольная  4   размеры 760х830х200 мм  мощность 3 5 к т  напряжение 380   ")</f>
        <v xml:space="preserve"> лита индукционная настольная  4   размеры 760х830х200 мм  мощность 3 5 к т  напряжение 380   </v>
      </c>
    </row>
    <row r="4680" spans="1:8" ht="38.25" x14ac:dyDescent="0.2">
      <c r="A4680" s="31" t="s">
        <v>11213</v>
      </c>
      <c r="B4680" s="27" t="s">
        <v>11214</v>
      </c>
      <c r="C4680" s="27"/>
      <c r="D4680" s="33" t="s">
        <v>14</v>
      </c>
      <c r="E4680" s="9"/>
      <c r="F4680" s="34">
        <v>79</v>
      </c>
      <c r="G4680" s="10">
        <v>1905669</v>
      </c>
      <c r="H4680" s="30" t="str">
        <f ca="1">IFERROR(__xludf.DUMMYFUNCTION("LOWER(REGEXREPLACE(B4680&amp;"" ""&amp;C4680,""[^а-яa-z0-9 ]"","" ""))")," лита индукционная настольная  6   размеры 1100х830х200 мм  мощность 3 5 к т  напряжение 380   ")</f>
        <v xml:space="preserve"> лита индукционная настольная  6   размеры 1100х830х200 мм  мощность 3 5 к т  напряжение 380   </v>
      </c>
    </row>
    <row r="4681" spans="1:8" ht="38.25" x14ac:dyDescent="0.2">
      <c r="A4681" s="31" t="s">
        <v>11215</v>
      </c>
      <c r="B4681" s="27" t="s">
        <v>11216</v>
      </c>
      <c r="C4681" s="27"/>
      <c r="D4681" s="33" t="s">
        <v>14</v>
      </c>
      <c r="E4681" s="9"/>
      <c r="F4681" s="34">
        <v>6</v>
      </c>
      <c r="G4681" s="10">
        <v>452746</v>
      </c>
      <c r="H4681" s="30" t="str">
        <f ca="1">IFERROR(__xludf.DUMMYFUNCTION("LOWER(REGEXREPLACE(B4681&amp;"" ""&amp;C4681,""[^а-яa-z0-9 ]"","" ""))")," лита индукционная настольная    6  размеры 400х510х240 мм  мощность 5 к т  напряжение 220   ")</f>
        <v xml:space="preserve"> лита индукционная настольная    6  размеры 400х510х240 мм  мощность 5 к т  напряжение 220   </v>
      </c>
    </row>
    <row r="4682" spans="1:8" ht="38.25" x14ac:dyDescent="0.2">
      <c r="A4682" s="31" t="s">
        <v>11217</v>
      </c>
      <c r="B4682" s="27" t="s">
        <v>11218</v>
      </c>
      <c r="C4682" s="27"/>
      <c r="D4682" s="33" t="s">
        <v>14</v>
      </c>
      <c r="E4682" s="9"/>
      <c r="F4682" s="34">
        <v>6</v>
      </c>
      <c r="G4682" s="10">
        <v>196593</v>
      </c>
      <c r="H4682" s="30" t="str">
        <f ca="1">IFERROR(__xludf.DUMMYFUNCTION("LOWER(REGEXREPLACE(B4682&amp;"" ""&amp;C4682,""[^а-яa-z0-9 ]"","" ""))")," лита индукционная настольная    7  размеры 320х393х119 мм  мощность 2 7 к т  напряжение 220   ")</f>
        <v xml:space="preserve"> лита индукционная настольная    7  размеры 320х393х119 мм  мощность 2 7 к т  напряжение 220   </v>
      </c>
    </row>
    <row r="4683" spans="1:8" ht="12.75" x14ac:dyDescent="0.2">
      <c r="A4683" s="31" t="s">
        <v>11219</v>
      </c>
      <c r="B4683" s="27" t="s">
        <v>11220</v>
      </c>
      <c r="C4683" s="27"/>
      <c r="D4683" s="33" t="s">
        <v>14</v>
      </c>
      <c r="E4683" s="9"/>
      <c r="F4683" s="32"/>
      <c r="G4683" s="10"/>
      <c r="H4683" s="30" t="str">
        <f ca="1">IFERROR(__xludf.DUMMYFUNCTION("LOWER(REGEXREPLACE(B4683&amp;"" ""&amp;C4683,""[^а-яa-z0-9 ]"","" ""))")," оверхность тепловая ")</f>
        <v xml:space="preserve"> оверхность тепловая </v>
      </c>
    </row>
    <row r="4684" spans="1:8" ht="38.25" x14ac:dyDescent="0.2">
      <c r="A4684" s="31" t="s">
        <v>11221</v>
      </c>
      <c r="B4684" s="27" t="s">
        <v>11222</v>
      </c>
      <c r="C4684" s="27"/>
      <c r="D4684" s="33" t="s">
        <v>14</v>
      </c>
      <c r="E4684" s="9"/>
      <c r="F4684" s="35">
        <v>5.4</v>
      </c>
      <c r="G4684" s="10">
        <v>128601</v>
      </c>
      <c r="H4684" s="30" t="str">
        <f ca="1">IFERROR(__xludf.DUMMYFUNCTION("LOWER(REGEXREPLACE(B4684&amp;"" ""&amp;C4684,""[^а-яa-z0-9 ]"","" ""))")," оверхность тепловая     537  размеры 565x380x75 мм  мощность 0 26 к т  напряжение 220    максимальная температура до 85   ")</f>
        <v xml:space="preserve"> оверхность тепловая     537  размеры 565x380x75 мм  мощность 0 26 к т  напряжение 220    максимальная температура до 85   </v>
      </c>
    </row>
    <row r="4685" spans="1:8" ht="38.25" x14ac:dyDescent="0.2">
      <c r="A4685" s="31" t="s">
        <v>11223</v>
      </c>
      <c r="B4685" s="27" t="s">
        <v>11224</v>
      </c>
      <c r="C4685" s="27"/>
      <c r="D4685" s="33" t="s">
        <v>14</v>
      </c>
      <c r="E4685" s="9"/>
      <c r="F4685" s="35">
        <v>7.8</v>
      </c>
      <c r="G4685" s="10">
        <v>333299</v>
      </c>
      <c r="H4685" s="30" t="str">
        <f ca="1">IFERROR(__xludf.DUMMYFUNCTION("LOWER(REGEXREPLACE(B4685&amp;"" ""&amp;C4685,""[^а-яa-z0-9 ]"","" ""))")," оверхность тепловая      756  размеры 730x585x625 мм  мощность 1 07 к т  напряжение 220    максимальная температура до 85   ")</f>
        <v xml:space="preserve"> оверхность тепловая      756  размеры 730x585x625 мм  мощность 1 07 к т  напряжение 220    максимальная температура до 85   </v>
      </c>
    </row>
    <row r="4686" spans="1:8" ht="12.75" x14ac:dyDescent="0.2">
      <c r="A4686" s="31" t="s">
        <v>11225</v>
      </c>
      <c r="B4686" s="27" t="s">
        <v>11226</v>
      </c>
      <c r="C4686" s="27"/>
      <c r="D4686" s="33" t="s">
        <v>14</v>
      </c>
      <c r="E4686" s="9"/>
      <c r="F4686" s="32"/>
      <c r="G4686" s="10"/>
      <c r="H4686" s="30" t="str">
        <f ca="1">IFERROR(__xludf.DUMMYFUNCTION("LOWER(REGEXREPLACE(B4686&amp;"" ""&amp;C4686,""[^а-яa-z0-9 ]"","" ""))")," упница ")</f>
        <v xml:space="preserve"> упница </v>
      </c>
    </row>
    <row r="4687" spans="1:8" ht="25.5" x14ac:dyDescent="0.2">
      <c r="A4687" s="31" t="s">
        <v>11227</v>
      </c>
      <c r="B4687" s="27" t="s">
        <v>11228</v>
      </c>
      <c r="C4687" s="27"/>
      <c r="D4687" s="33" t="s">
        <v>14</v>
      </c>
      <c r="E4687" s="9"/>
      <c r="F4687" s="35">
        <v>4.7</v>
      </c>
      <c r="G4687" s="10">
        <v>100164</v>
      </c>
      <c r="H4687" s="30" t="str">
        <f ca="1">IFERROR(__xludf.DUMMYFUNCTION("LOWER(REGEXREPLACE(B4687&amp;"" ""&amp;C4687,""[^а-яa-z0-9 ]"","" ""))")," упница 81010    размеры 300х300х445 мм  мощность 0 4 к т  напряжение 220   ")</f>
        <v xml:space="preserve"> упница 81010    размеры 300х300х445 мм  мощность 0 4 к т  напряжение 220   </v>
      </c>
    </row>
    <row r="4688" spans="1:8" ht="25.5" x14ac:dyDescent="0.2">
      <c r="A4688" s="31" t="s">
        <v>11229</v>
      </c>
      <c r="B4688" s="27" t="s">
        <v>11230</v>
      </c>
      <c r="C4688" s="27"/>
      <c r="D4688" s="33" t="s">
        <v>14</v>
      </c>
      <c r="E4688" s="9"/>
      <c r="F4688" s="35">
        <v>5.5</v>
      </c>
      <c r="G4688" s="10">
        <v>121821</v>
      </c>
      <c r="H4688" s="30" t="str">
        <f ca="1">IFERROR(__xludf.DUMMYFUNCTION("LOWER(REGEXREPLACE(B4688&amp;"" ""&amp;C4688,""[^а-яa-z0-9 ]"","" ""))")," упница 83013    размеры 300х300х445 мм  мощность 0 4 к т  напряжение 220  т ")</f>
        <v xml:space="preserve"> упница 83013    размеры 300х300х445 мм  мощность 0 4 к т  напряжение 220  т </v>
      </c>
    </row>
    <row r="4689" spans="1:8" ht="25.5" x14ac:dyDescent="0.2">
      <c r="A4689" s="31" t="s">
        <v>11231</v>
      </c>
      <c r="B4689" s="27" t="s">
        <v>11232</v>
      </c>
      <c r="C4689" s="27"/>
      <c r="D4689" s="33" t="s">
        <v>14</v>
      </c>
      <c r="E4689" s="9"/>
      <c r="F4689" s="35">
        <v>3.5</v>
      </c>
      <c r="G4689" s="10">
        <v>70321</v>
      </c>
      <c r="H4689" s="30" t="str">
        <f ca="1">IFERROR(__xludf.DUMMYFUNCTION("LOWER(REGEXREPLACE(B4689&amp;"" ""&amp;C4689,""[^а-яa-z0-9 ]"","" ""))")," упница    5700  размеры 300х300х445 мм  мощность 0 4 к т  напряжение 220   ")</f>
        <v xml:space="preserve"> упница    5700  размеры 300х300х445 мм  мощность 0 4 к т  напряжение 220   </v>
      </c>
    </row>
    <row r="4690" spans="1:8" ht="25.5" x14ac:dyDescent="0.2">
      <c r="A4690" s="31" t="s">
        <v>11233</v>
      </c>
      <c r="B4690" s="27" t="s">
        <v>11234</v>
      </c>
      <c r="C4690" s="27"/>
      <c r="D4690" s="33" t="s">
        <v>14</v>
      </c>
      <c r="E4690" s="9"/>
      <c r="F4690" s="35">
        <v>4.7</v>
      </c>
      <c r="G4690" s="10">
        <v>76625</v>
      </c>
      <c r="H4690" s="30" t="str">
        <f ca="1">IFERROR(__xludf.DUMMYFUNCTION("LOWER(REGEXREPLACE(B4690&amp;"" ""&amp;C4690,""[^а-яa-z0-9 ]"","" ""))")," упница    6000  размеры 300х300х445 мм  мощность 0 4 к т  напряжение 220   ")</f>
        <v xml:space="preserve"> упница    6000  размеры 300х300х445 мм  мощность 0 4 к т  напряжение 220   </v>
      </c>
    </row>
    <row r="4691" spans="1:8" ht="25.5" x14ac:dyDescent="0.2">
      <c r="A4691" s="31" t="s">
        <v>11235</v>
      </c>
      <c r="B4691" s="27" t="s">
        <v>11236</v>
      </c>
      <c r="C4691" s="27"/>
      <c r="D4691" s="33" t="s">
        <v>14</v>
      </c>
      <c r="E4691" s="9"/>
      <c r="F4691" s="35">
        <v>5.5</v>
      </c>
      <c r="G4691" s="10">
        <v>111656</v>
      </c>
      <c r="H4691" s="30" t="str">
        <f ca="1">IFERROR(__xludf.DUMMYFUNCTION("LOWER(REGEXREPLACE(B4691&amp;"" ""&amp;C4691,""[^а-яa-z0-9 ]"","" ""))")," упница    6000   размеры 300х300х445 мм  мощность 0 4 к т  напряжение 220   ")</f>
        <v xml:space="preserve"> упница    6000   размеры 300х300х445 мм  мощность 0 4 к т  напряжение 220   </v>
      </c>
    </row>
    <row r="4692" spans="1:8" ht="12.75" x14ac:dyDescent="0.2">
      <c r="A4692" s="31" t="s">
        <v>11237</v>
      </c>
      <c r="B4692" s="27" t="s">
        <v>11238</v>
      </c>
      <c r="C4692" s="27"/>
      <c r="D4692" s="33" t="s">
        <v>14</v>
      </c>
      <c r="E4692" s="9"/>
      <c r="F4692" s="32"/>
      <c r="G4692" s="10"/>
      <c r="H4692" s="30" t="str">
        <f ca="1">IFERROR(__xludf.DUMMYFUNCTION("LOWER(REGEXREPLACE(B4692&amp;"" ""&amp;C4692,""[^а-яa-z0-9 ]"","" ""))")," каф жарочный ")</f>
        <v xml:space="preserve"> каф жарочный </v>
      </c>
    </row>
    <row r="4693" spans="1:8" ht="38.25" x14ac:dyDescent="0.2">
      <c r="A4693" s="31" t="s">
        <v>11239</v>
      </c>
      <c r="B4693" s="27" t="s">
        <v>11240</v>
      </c>
      <c r="C4693" s="27"/>
      <c r="D4693" s="33" t="s">
        <v>14</v>
      </c>
      <c r="E4693" s="34">
        <v>2</v>
      </c>
      <c r="F4693" s="34">
        <v>160</v>
      </c>
      <c r="G4693" s="10">
        <v>486320</v>
      </c>
      <c r="H4693" s="30" t="str">
        <f ca="1">IFERROR(__xludf.DUMMYFUNCTION("LOWER(REGEXREPLACE(B4693&amp;"" ""&amp;C4693,""[^а-яa-z0-9 ]"","" ""))")," каф жарочный     2  2 х секционный  стандартная духовка  подставка  840х900x1510 мм  лицев  нерж   380   9 6к т  ")</f>
        <v xml:space="preserve"> каф жарочный     2  2 х секционный  стандартная духовка  подставка  840х900x1510 мм  лицев  нерж   380   9 6к т  </v>
      </c>
    </row>
    <row r="4694" spans="1:8" ht="38.25" x14ac:dyDescent="0.2">
      <c r="A4694" s="31" t="s">
        <v>11241</v>
      </c>
      <c r="B4694" s="27" t="s">
        <v>11242</v>
      </c>
      <c r="C4694" s="27"/>
      <c r="D4694" s="33" t="s">
        <v>14</v>
      </c>
      <c r="E4694" s="34">
        <v>2</v>
      </c>
      <c r="F4694" s="34">
        <v>210</v>
      </c>
      <c r="G4694" s="10">
        <v>680795</v>
      </c>
      <c r="H4694" s="30" t="str">
        <f ca="1">IFERROR(__xludf.DUMMYFUNCTION("LOWER(REGEXREPLACE(B4694&amp;"" ""&amp;C4694,""[^а-яa-z0-9 ]"","" ""))")," каф жарочный     3  3 х секционный  стандартная духовка  840x900x1500 мм  лицев  нерж   380   14 4к т  ")</f>
        <v xml:space="preserve"> каф жарочный     3  3 х секционный  стандартная духовка  840x900x1500 мм  лицев  нерж   380   14 4к т  </v>
      </c>
    </row>
    <row r="4695" spans="1:8" ht="76.5" x14ac:dyDescent="0.2">
      <c r="A4695" s="31" t="s">
        <v>11243</v>
      </c>
      <c r="B4695" s="27" t="s">
        <v>11244</v>
      </c>
      <c r="C4695" s="27"/>
      <c r="D4695" s="33" t="s">
        <v>14</v>
      </c>
      <c r="E4695" s="34">
        <v>2</v>
      </c>
      <c r="F4695" s="34">
        <v>208</v>
      </c>
      <c r="G4695" s="10">
        <v>473259</v>
      </c>
      <c r="H4695" s="30" t="str">
        <f ca="1">IFERROR(__xludf.DUMMYFUNCTION("LOWER(REGEXREPLACE(B4695&amp;"" ""&amp;C4695,""[^а-яa-z0-9 ]"","" ""))")," каф жарочный    92  2 х секционный  две стандартные духовки из угл  стали под противень 470 530 30 мм  крашенная подставка  разборная конструкция  нерж     ы  раздельная регулировка верхних и нижних     ов  20 270     9 6к т  230 400   ")</f>
        <v xml:space="preserve"> каф жарочный    92  2 х секционный  две стандартные духовки из угл  стали под противень 470 530 30 мм  крашенная подставка  разборная конструкция  нерж     ы  раздельная регулировка верхних и нижних     ов  20 270     9 6к т  230 400   </v>
      </c>
    </row>
    <row r="4696" spans="1:8" ht="63.75" x14ac:dyDescent="0.2">
      <c r="A4696" s="31" t="s">
        <v>11245</v>
      </c>
      <c r="B4696" s="27" t="s">
        <v>11246</v>
      </c>
      <c r="C4696" s="27"/>
      <c r="D4696" s="33" t="s">
        <v>14</v>
      </c>
      <c r="E4696" s="34">
        <v>2</v>
      </c>
      <c r="F4696" s="34">
        <v>260</v>
      </c>
      <c r="G4696" s="10">
        <v>645663</v>
      </c>
      <c r="H4696" s="30" t="str">
        <f ca="1">IFERROR(__xludf.DUMMYFUNCTION("LOWER(REGEXREPLACE(B4696&amp;"" ""&amp;C4696,""[^а-яa-z0-9 ]"","" ""))")," каф жарочный    93  3 х секционный  три стандартные духовки из угл  стали под противень 470 530 30 мм  нерж     ы  раздельная регулировка верхних и нижних     ов  20 270     14 4к т  230 400   ")</f>
        <v xml:space="preserve"> каф жарочный    93  3 х секционный  три стандартные духовки из угл  стали под противень 470 530 30 мм  нерж     ы  раздельная регулировка верхних и нижних     ов  20 270     14 4к т  230 400   </v>
      </c>
    </row>
    <row r="4697" spans="1:8" ht="12.75" x14ac:dyDescent="0.2">
      <c r="A4697" s="31" t="s">
        <v>11247</v>
      </c>
      <c r="B4697" s="27" t="s">
        <v>11248</v>
      </c>
      <c r="C4697" s="27"/>
      <c r="D4697" s="32"/>
      <c r="E4697" s="9"/>
      <c r="F4697" s="32"/>
      <c r="G4697" s="10"/>
      <c r="H4697" s="30" t="str">
        <f ca="1">IFERROR(__xludf.DUMMYFUNCTION("LOWER(REGEXREPLACE(B4697&amp;"" ""&amp;C4697,""[^а-яa-z0-9 ]"","" ""))")," олодильное оборудование ")</f>
        <v xml:space="preserve"> олодильное оборудование </v>
      </c>
    </row>
    <row r="4698" spans="1:8" ht="25.5" x14ac:dyDescent="0.2">
      <c r="A4698" s="31" t="s">
        <v>11249</v>
      </c>
      <c r="B4698" s="27" t="s">
        <v>11250</v>
      </c>
      <c r="C4698" s="27"/>
      <c r="D4698" s="33" t="s">
        <v>14</v>
      </c>
      <c r="E4698" s="9"/>
      <c r="F4698" s="34">
        <v>184</v>
      </c>
      <c r="G4698" s="10">
        <v>1344643</v>
      </c>
      <c r="H4698" s="30" t="str">
        <f ca="1">IFERROR(__xludf.DUMMYFUNCTION("LOWER(REGEXREPLACE(B4698&amp;"" ""&amp;C4698,""[^а-яa-z0-9 ]"","" ""))")," каф холодильный   114      1400 л  0   6    1402х925х1996 мм  0 55 к т  220    ")</f>
        <v xml:space="preserve"> каф холодильный   114      1400 л  0   6    1402х925х1996 мм  0 55 к т  220    </v>
      </c>
    </row>
    <row r="4699" spans="1:8" ht="25.5" x14ac:dyDescent="0.2">
      <c r="A4699" s="31" t="s">
        <v>11251</v>
      </c>
      <c r="B4699" s="27" t="s">
        <v>11252</v>
      </c>
      <c r="C4699" s="27"/>
      <c r="D4699" s="33" t="s">
        <v>14</v>
      </c>
      <c r="E4699" s="9"/>
      <c r="F4699" s="34">
        <v>137</v>
      </c>
      <c r="G4699" s="10">
        <v>598183</v>
      </c>
      <c r="H4699" s="30" t="str">
        <f ca="1">IFERROR(__xludf.DUMMYFUNCTION("LOWER(REGEXREPLACE(B4699&amp;"" ""&amp;C4699,""[^а-яa-z0-9 ]"","" ""))")," каф холодильный   107      700 л  0   6    697х925х1996 мм  0 35 к т  220    ")</f>
        <v xml:space="preserve"> каф холодильный   107      700 л  0   6    697х925х1996 мм  0 35 к т  220    </v>
      </c>
    </row>
    <row r="4700" spans="1:8" ht="38.25" x14ac:dyDescent="0.2">
      <c r="A4700" s="31" t="s">
        <v>11253</v>
      </c>
      <c r="B4700" s="8" t="s">
        <v>11254</v>
      </c>
      <c r="C4700" s="27"/>
      <c r="D4700" s="33" t="s">
        <v>14</v>
      </c>
      <c r="E4700" s="9"/>
      <c r="F4700" s="34">
        <v>115</v>
      </c>
      <c r="G4700" s="10">
        <v>385863</v>
      </c>
      <c r="H4700" s="30" t="str">
        <f ca="1">IFERROR(__xludf.DUMMYFUNCTION("LOWER(REGEXREPLACE(B4700&amp;"" ""&amp;C4700,""[^а-яa-z0-9 ]"","" ""))")," каф среднетемпературный    500 л        0 5    710х680х2200 мм  0  6     краш   ")</f>
        <v xml:space="preserve"> каф среднетемпературный    500 л        0 5    710х680х2200 мм  0  6     краш   </v>
      </c>
    </row>
    <row r="4701" spans="1:8" ht="38.25" x14ac:dyDescent="0.2">
      <c r="A4701" s="31" t="s">
        <v>11255</v>
      </c>
      <c r="B4701" s="8" t="s">
        <v>11256</v>
      </c>
      <c r="C4701" s="27"/>
      <c r="D4701" s="33" t="s">
        <v>14</v>
      </c>
      <c r="E4701" s="9"/>
      <c r="F4701" s="34">
        <v>135</v>
      </c>
      <c r="G4701" s="10">
        <v>657081</v>
      </c>
      <c r="H4701" s="30" t="str">
        <f ca="1">IFERROR(__xludf.DUMMYFUNCTION("LOWER(REGEXREPLACE(B4701&amp;"" ""&amp;C4701,""[^а-яa-z0-9 ]"","" ""))")," каф среднетемпературный    700 л        0  7    710х880х2200 мм  0  6     нерж   ")</f>
        <v xml:space="preserve"> каф среднетемпературный    700 л        0  7    710х880х2200 мм  0  6     нерж   </v>
      </c>
    </row>
    <row r="4702" spans="1:8" ht="25.5" x14ac:dyDescent="0.2">
      <c r="A4702" s="31" t="s">
        <v>11257</v>
      </c>
      <c r="B4702" s="27" t="s">
        <v>11258</v>
      </c>
      <c r="C4702" s="27"/>
      <c r="D4702" s="33" t="s">
        <v>14</v>
      </c>
      <c r="E4702" s="9"/>
      <c r="F4702" s="34">
        <v>205</v>
      </c>
      <c r="G4702" s="10">
        <v>921376</v>
      </c>
      <c r="H4702" s="30" t="str">
        <f ca="1">IFERROR(__xludf.DUMMYFUNCTION("LOWER(REGEXREPLACE(B4702&amp;"" ""&amp;C4702,""[^а-яa-z0-9 ]"","" ""))")," каф среднетемпературный   1500 л        с 1 4  1485х820х2050 мм  0    5    краш   ")</f>
        <v xml:space="preserve"> каф среднетемпературный   1500 л        с 1 4  1485х820х2050 мм  0    5    краш   </v>
      </c>
    </row>
    <row r="4703" spans="1:8" ht="38.25" x14ac:dyDescent="0.2">
      <c r="A4703" s="31" t="s">
        <v>11259</v>
      </c>
      <c r="B4703" s="8" t="s">
        <v>11260</v>
      </c>
      <c r="C4703" s="27"/>
      <c r="D4703" s="33" t="s">
        <v>14</v>
      </c>
      <c r="E4703" s="9"/>
      <c r="F4703" s="34">
        <v>105</v>
      </c>
      <c r="G4703" s="10">
        <v>1247430</v>
      </c>
      <c r="H4703" s="30" t="str">
        <f ca="1">IFERROR(__xludf.DUMMYFUNCTION("LOWER(REGEXREPLACE(B4703&amp;"" ""&amp;C4703,""[^а-яa-z0-9 ]"","" ""))")," каф среднетемпературный   664 л            v 6460  747х750х2064 мм   1    15    нерж      2 1  ")</f>
        <v xml:space="preserve"> каф среднетемпературный   664 л            v 6460  747х750х2064 мм   1    15    нерж      2 1  </v>
      </c>
    </row>
    <row r="4704" spans="1:8" ht="25.5" x14ac:dyDescent="0.2">
      <c r="A4704" s="31" t="s">
        <v>11261</v>
      </c>
      <c r="B4704" s="8" t="s">
        <v>11262</v>
      </c>
      <c r="C4704" s="27"/>
      <c r="D4704" s="33" t="s">
        <v>14</v>
      </c>
      <c r="E4704" s="9"/>
      <c r="F4704" s="34">
        <v>200</v>
      </c>
      <c r="G4704" s="10">
        <v>782647</v>
      </c>
      <c r="H4704" s="30" t="str">
        <f ca="1">IFERROR(__xludf.DUMMYFUNCTION("LOWER(REGEXREPLACE(B4704&amp;"" ""&amp;C4704,""[^а-яa-z0-9 ]"","" ""))")," тол холодильный   4        600 л   2   10    2060х705х850 910 мм  4 двери  ")</f>
        <v xml:space="preserve"> тол холодильный   4        600 л   2   10    2060х705х850 910 мм  4 двери  </v>
      </c>
    </row>
    <row r="4705" spans="1:8" ht="38.25" x14ac:dyDescent="0.2">
      <c r="A4705" s="31" t="s">
        <v>11263</v>
      </c>
      <c r="B4705" s="8" t="s">
        <v>11264</v>
      </c>
      <c r="C4705" s="27"/>
      <c r="D4705" s="33" t="s">
        <v>14</v>
      </c>
      <c r="E4705" s="9"/>
      <c r="F4705" s="34">
        <v>180</v>
      </c>
      <c r="G4705" s="10">
        <v>657005</v>
      </c>
      <c r="H4705" s="30" t="str">
        <f ca="1">IFERROR(__xludf.DUMMYFUNCTION("LOWER(REGEXREPLACE(B4705&amp;"" ""&amp;C4705,""[^а-яa-z0-9 ]"","" ""))")," тол холодильный          3        450 л   2   10    1630х705х850 910  3 двери  ")</f>
        <v xml:space="preserve"> тол холодильный          3        450 л   2   10    1630х705х850 910  3 двери  </v>
      </c>
    </row>
    <row r="4706" spans="1:8" ht="25.5" x14ac:dyDescent="0.2">
      <c r="A4706" s="31" t="s">
        <v>11265</v>
      </c>
      <c r="B4706" s="8" t="s">
        <v>11266</v>
      </c>
      <c r="C4706" s="27"/>
      <c r="D4706" s="33" t="s">
        <v>14</v>
      </c>
      <c r="E4706" s="9"/>
      <c r="F4706" s="34">
        <v>150</v>
      </c>
      <c r="G4706" s="10">
        <v>546057</v>
      </c>
      <c r="H4706" s="30" t="str">
        <f ca="1">IFERROR(__xludf.DUMMYFUNCTION("LOWER(REGEXREPLACE(B4706&amp;"" ""&amp;C4706,""[^а-яa-z0-9 ]"","" ""))")," тол холодильный   2        320 л   2   10    1200х705х850 910 мм  2 двери  ")</f>
        <v xml:space="preserve"> тол холодильный   2        320 л   2   10    1200х705х850 910 мм  2 двери  </v>
      </c>
    </row>
    <row r="4707" spans="1:8" ht="25.5" x14ac:dyDescent="0.2">
      <c r="A4707" s="31" t="s">
        <v>11267</v>
      </c>
      <c r="B4707" s="27" t="s">
        <v>11268</v>
      </c>
      <c r="C4707" s="27"/>
      <c r="D4707" s="33" t="s">
        <v>14</v>
      </c>
      <c r="E4707" s="9"/>
      <c r="F4707" s="34">
        <v>126</v>
      </c>
      <c r="G4707" s="10">
        <v>1049451</v>
      </c>
      <c r="H4707" s="30" t="str">
        <f ca="1">IFERROR(__xludf.DUMMYFUNCTION("LOWER(REGEXREPLACE(B4707&amp;"" ""&amp;C4707,""[^а-яa-z0-9 ]"","" ""))")," тол холодильный     0 3    1850  1838х700х840 мм  0 3 к т  220    ")</f>
        <v xml:space="preserve"> тол холодильный     0 3    1850  1838х700х840 мм  0 3 к т  220    </v>
      </c>
    </row>
    <row r="4708" spans="1:8" ht="25.5" x14ac:dyDescent="0.2">
      <c r="A4708" s="31" t="s">
        <v>11269</v>
      </c>
      <c r="B4708" s="8" t="s">
        <v>11270</v>
      </c>
      <c r="C4708" s="27"/>
      <c r="D4708" s="33" t="s">
        <v>14</v>
      </c>
      <c r="E4708" s="9"/>
      <c r="F4708" s="34">
        <v>118</v>
      </c>
      <c r="G4708" s="10">
        <v>582091</v>
      </c>
      <c r="H4708" s="30" t="str">
        <f ca="1">IFERROR(__xludf.DUMMYFUNCTION("LOWER(REGEXREPLACE(B4708&amp;"" ""&amp;C4708,""[^а-яa-z0-9 ]"","" ""))")," тол среднетемпературный   150 л      70    2    8   957x705x900 мм  1 дверь  150 л  ")</f>
        <v xml:space="preserve"> тол среднетемпературный   150 л      70    2    8   957x705x900 мм  1 дверь  150 л  </v>
      </c>
    </row>
    <row r="4709" spans="1:8" ht="25.5" x14ac:dyDescent="0.2">
      <c r="A4709" s="31" t="s">
        <v>11271</v>
      </c>
      <c r="B4709" s="27" t="s">
        <v>11272</v>
      </c>
      <c r="C4709" s="27"/>
      <c r="D4709" s="33" t="s">
        <v>14</v>
      </c>
      <c r="E4709" s="9"/>
      <c r="F4709" s="34">
        <v>805</v>
      </c>
      <c r="G4709" s="10">
        <v>2313713</v>
      </c>
      <c r="H4709" s="30" t="str">
        <f ca="1">IFERROR(__xludf.DUMMYFUNCTION("LOWER(REGEXREPLACE(B4709&amp;"" ""&amp;C4709,""[^а-яa-z0-9 ]"","" ""))")," амера холодильная     17 63    17 63 м3  2560x3760x2200 мм  толщина панели 80 мм  ")</f>
        <v xml:space="preserve"> амера холодильная     17 63    17 63 м3  2560x3760x2200 мм  толщина панели 80 мм  </v>
      </c>
    </row>
    <row r="4710" spans="1:8" ht="12.75" x14ac:dyDescent="0.2">
      <c r="A4710" s="31" t="s">
        <v>11273</v>
      </c>
      <c r="B4710" s="27" t="s">
        <v>11274</v>
      </c>
      <c r="C4710" s="27"/>
      <c r="D4710" s="33" t="s">
        <v>14</v>
      </c>
      <c r="E4710" s="9"/>
      <c r="F4710" s="32"/>
      <c r="G4710" s="10"/>
      <c r="H4710" s="30" t="str">
        <f ca="1">IFERROR(__xludf.DUMMYFUNCTION("LOWER(REGEXREPLACE(B4710&amp;"" ""&amp;C4710,""[^а-яa-z0-9 ]"","" ""))")," амера холодильная ")</f>
        <v xml:space="preserve"> амера холодильная </v>
      </c>
    </row>
    <row r="4711" spans="1:8" ht="25.5" x14ac:dyDescent="0.2">
      <c r="A4711" s="31" t="s">
        <v>11275</v>
      </c>
      <c r="B4711" s="8" t="s">
        <v>11276</v>
      </c>
      <c r="C4711" s="27"/>
      <c r="D4711" s="33" t="s">
        <v>14</v>
      </c>
      <c r="E4711" s="9"/>
      <c r="F4711" s="34">
        <v>310</v>
      </c>
      <c r="G4711" s="10">
        <v>852265</v>
      </c>
      <c r="H4711" s="30" t="str">
        <f ca="1">IFERROR(__xludf.DUMMYFUNCTION("LOWER(REGEXREPLACE(B4711&amp;"" ""&amp;C4711,""[^а-яa-z0-9 ]"","" ""))")," амера холодильная     2 94    2 94 м3  1360х1360х2200 мм  толщина панели 80 мм  ")</f>
        <v xml:space="preserve"> амера холодильная     2 94    2 94 м3  1360х1360х2200 мм  толщина панели 80 мм  </v>
      </c>
    </row>
    <row r="4712" spans="1:8" ht="63.75" x14ac:dyDescent="0.2">
      <c r="A4712" s="31" t="s">
        <v>11277</v>
      </c>
      <c r="B4712" s="8" t="s">
        <v>11278</v>
      </c>
      <c r="C4712" s="27"/>
      <c r="D4712" s="33" t="s">
        <v>14</v>
      </c>
      <c r="E4712" s="9"/>
      <c r="F4712" s="34">
        <v>181</v>
      </c>
      <c r="G4712" s="10">
        <v>3683879</v>
      </c>
      <c r="H4712" s="30" t="str">
        <f ca="1">IFERROR(__xludf.DUMMYFUNCTION("LOWER(REGEXREPLACE(B4712&amp;"" ""&amp;C4712,""[^а-яa-z0-9 ]"","" ""))")," амера холодильная среднетемпературная сборно разборная 1960х1660х2200 мм    5 51 м3  в комплекте с холодильной машиной с выносным пультом управления     5 51   ")</f>
        <v xml:space="preserve"> амера холодильная среднетемпературная сборно разборная 1960х1660х2200 мм    5 51 м3  в комплекте с холодильной машиной с выносным пультом управления     5 51   </v>
      </c>
    </row>
    <row r="4713" spans="1:8" ht="63.75" x14ac:dyDescent="0.2">
      <c r="A4713" s="31" t="s">
        <v>11279</v>
      </c>
      <c r="B4713" s="27" t="s">
        <v>11280</v>
      </c>
      <c r="C4713" s="27"/>
      <c r="D4713" s="33" t="s">
        <v>14</v>
      </c>
      <c r="E4713" s="9"/>
      <c r="F4713" s="34">
        <v>728</v>
      </c>
      <c r="G4713" s="10">
        <v>7008894</v>
      </c>
      <c r="H4713" s="30" t="str">
        <f ca="1">IFERROR(__xludf.DUMMYFUNCTION("LOWER(REGEXREPLACE(B4713&amp;"" ""&amp;C4713,""[^а-яa-z0-9 ]"","" ""))")," амера холодильная среднетемпературная сборно разборная 2560х4060х2200 мм    19 09 м3  в комплекте с холодильной машиной с зимним комплектом и выносным пультом управления     19 09   ")</f>
        <v xml:space="preserve"> амера холодильная среднетемпературная сборно разборная 2560х4060х2200 мм    19 09 м3  в комплекте с холодильной машиной с зимним комплектом и выносным пультом управления     19 09   </v>
      </c>
    </row>
    <row r="4714" spans="1:8" ht="63.75" x14ac:dyDescent="0.2">
      <c r="A4714" s="31" t="s">
        <v>11281</v>
      </c>
      <c r="B4714" s="8" t="s">
        <v>11282</v>
      </c>
      <c r="C4714" s="27"/>
      <c r="D4714" s="33" t="s">
        <v>14</v>
      </c>
      <c r="E4714" s="34">
        <v>2</v>
      </c>
      <c r="F4714" s="34">
        <v>1160</v>
      </c>
      <c r="G4714" s="10">
        <v>7543310</v>
      </c>
      <c r="H4714" s="30" t="str">
        <f ca="1">IFERROR(__xludf.DUMMYFUNCTION("LOWER(REGEXREPLACE(B4714&amp;"" ""&amp;C4714,""[^а-яa-z0-9 ]"","" ""))")," амера холодильная среднетемпературная сборно разборная 2860х4060х2200 мм    21 48 м3  в комплекте с холодильной машиной с зимним комплектом и выносным пультом управления     21 48   ")</f>
        <v xml:space="preserve"> амера холодильная среднетемпературная сборно разборная 2860х4060х2200 мм    21 48 м3  в комплекте с холодильной машиной с зимним комплектом и выносным пультом управления     21 48   </v>
      </c>
    </row>
    <row r="4715" spans="1:8" ht="76.5" x14ac:dyDescent="0.2">
      <c r="A4715" s="31" t="s">
        <v>11283</v>
      </c>
      <c r="B4715" s="27" t="s">
        <v>11284</v>
      </c>
      <c r="C4715" s="27"/>
      <c r="D4715" s="33" t="s">
        <v>14</v>
      </c>
      <c r="E4715" s="9"/>
      <c r="F4715" s="34">
        <v>1329</v>
      </c>
      <c r="G4715" s="10">
        <v>13559096</v>
      </c>
      <c r="H4715" s="30" t="str">
        <f ca="1">IFERROR(__xludf.DUMMYFUNCTION("LOWER(REGEXREPLACE(B4715&amp;"" ""&amp;C4715,""[^а-яa-z0-9 ]"","" ""))")," амера холодильная среднетемпературная низкотемпературная сборно разборная 5300х3500х2240 мм    34 33 м3  в комплекте с двумя холодильными машинами с зимним комплектом и выносными пультами управления    34 33     ")</f>
        <v xml:space="preserve"> амера холодильная среднетемпературная низкотемпературная сборно разборная 5300х3500х2240 мм    34 33 м3  в комплекте с двумя холодильными машинами с зимним комплектом и выносными пультами управления    34 33     </v>
      </c>
    </row>
    <row r="4716" spans="1:8" ht="89.25" x14ac:dyDescent="0.2">
      <c r="A4716" s="31" t="s">
        <v>11285</v>
      </c>
      <c r="B4716" s="8" t="s">
        <v>11286</v>
      </c>
      <c r="C4716" s="27"/>
      <c r="D4716" s="33" t="s">
        <v>14</v>
      </c>
      <c r="E4716" s="34">
        <v>2</v>
      </c>
      <c r="F4716" s="34">
        <v>1300</v>
      </c>
      <c r="G4716" s="10">
        <v>13687684</v>
      </c>
      <c r="H4716" s="30" t="str">
        <f ca="1">IFERROR(__xludf.DUMMYFUNCTION("LOWER(REGEXREPLACE(B4716&amp;"" ""&amp;C4716,""[^а-яa-z0-9 ]"","" ""))")," амера холодильнаясреднетемпературная низкотемп ературнаясборно разборная  5300х3200х2240 мм   31 21 м3  в комплекте с двумяхолодильными машинами с зимнимкомплектом и выносными пультамиуправления     31 21     ")</f>
        <v xml:space="preserve"> амера холодильнаясреднетемпературная низкотемп ературнаясборно разборная  5300х3200х2240 мм   31 21 м3  в комплекте с двумяхолодильными машинами с зимнимкомплектом и выносными пультамиуправления     31 21     </v>
      </c>
    </row>
    <row r="4717" spans="1:8" ht="89.25" x14ac:dyDescent="0.2">
      <c r="A4717" s="31" t="s">
        <v>11287</v>
      </c>
      <c r="B4717" s="27" t="s">
        <v>11288</v>
      </c>
      <c r="C4717" s="27"/>
      <c r="D4717" s="33" t="s">
        <v>14</v>
      </c>
      <c r="E4717" s="34">
        <v>2</v>
      </c>
      <c r="F4717" s="34">
        <v>1240</v>
      </c>
      <c r="G4717" s="10">
        <v>13628098</v>
      </c>
      <c r="H4717" s="30" t="str">
        <f ca="1">IFERROR(__xludf.DUMMYFUNCTION("LOWER(REGEXREPLACE(B4717&amp;"" ""&amp;C4717,""[^а-яa-z0-9 ]"","" ""))")," амера холодильнаясреднетемпературная низкотемп ературнаясборно разборная 4700 3200 2200 мм   27 54 м3  в комплекте с двумяхолодильными машинами с зимнимкомплектом и выносными пультамиуправления     27 54     ")</f>
        <v xml:space="preserve"> амера холодильнаясреднетемпературная низкотемп ературнаясборно разборная 4700 3200 2200 мм   27 54 м3  в комплекте с двумяхолодильными машинами с зимнимкомплектом и выносными пультамиуправления     27 54     </v>
      </c>
    </row>
    <row r="4718" spans="1:8" ht="114.75" x14ac:dyDescent="0.2">
      <c r="A4718" s="31" t="s">
        <v>11289</v>
      </c>
      <c r="B4718" s="8" t="s">
        <v>11290</v>
      </c>
      <c r="C4718" s="27"/>
      <c r="D4718" s="33" t="s">
        <v>14</v>
      </c>
      <c r="E4718" s="34">
        <v>2</v>
      </c>
      <c r="F4718" s="34">
        <v>1300</v>
      </c>
      <c r="G4718" s="10">
        <v>13650814</v>
      </c>
      <c r="H4718" s="30" t="str">
        <f ca="1">IFERROR(__xludf.DUMMYFUNCTION("LOWER(REGEXREPLACE(B4718&amp;"" ""&amp;C4718,""[^а-яa-z0-9 ]"","" ""))")," амера холодильная среднетемпературная низкотемпературнаясб 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двери"&amp;" со световым проемом 800х1850 мм     32 31     ")</f>
        <v xml:space="preserve"> амера холодильная среднетемпературная низкотемпературнаясб 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32 31     </v>
      </c>
    </row>
    <row r="4719" spans="1:8" ht="102" x14ac:dyDescent="0.2">
      <c r="A4719" s="31" t="s">
        <v>11291</v>
      </c>
      <c r="B4719" s="27" t="s">
        <v>11292</v>
      </c>
      <c r="C4719" s="27"/>
      <c r="D4719" s="33" t="s">
        <v>14</v>
      </c>
      <c r="E4719" s="34">
        <v>2</v>
      </c>
      <c r="F4719" s="34">
        <v>1086</v>
      </c>
      <c r="G4719" s="10">
        <v>9262907</v>
      </c>
      <c r="H4719" s="30" t="str">
        <f ca="1">IFERROR(__xludf.DUMMYFUNCTION("LOWER(REGEXREPLACE(B4719&amp;"" ""&amp;C4719,""[^а-яa-z0-9 ]"","" ""))")," амера холодильная среднетемпературная среднетемпературнаяс борно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двер"&amp;"и со световым проемом 800х1850 мм     19 09     ")</f>
        <v xml:space="preserve"> амера холодильная среднетемпературная среднетемпературнаяс борно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19 09     </v>
      </c>
    </row>
    <row r="4720" spans="1:8" ht="76.5" x14ac:dyDescent="0.2">
      <c r="A4720" s="31" t="s">
        <v>11293</v>
      </c>
      <c r="B4720" s="8" t="s">
        <v>11294</v>
      </c>
      <c r="C4720" s="27"/>
      <c r="D4720" s="33" t="s">
        <v>14</v>
      </c>
      <c r="E4720" s="34">
        <v>2</v>
      </c>
      <c r="F4720" s="34">
        <v>590</v>
      </c>
      <c r="G4720" s="10">
        <v>5293780</v>
      </c>
      <c r="H4720" s="30" t="str">
        <f ca="1">IFERROR(__xludf.DUMMYFUNCTION("LOWER(REGEXREPLACE(B4720&amp;"" ""&amp;C4720,""[^а-яa-z0-9 ]"","" ""))")," амера холодильная среднетемпературнаясборно разборная 2560х2260х2200 мм   10 28 м3  в комплекте с холодильноймашиной с зимним комплектом и выноснымпультом управления     10 28   ")</f>
        <v xml:space="preserve"> амера холодильная среднетемпературнаясборно разборная 2560х2260х2200 мм   10 28 м3  в комплекте с холодильноймашиной с зимним комплектом и выноснымпультом управления     10 28   </v>
      </c>
    </row>
    <row r="4721" spans="1:8" ht="63.75" x14ac:dyDescent="0.2">
      <c r="A4721" s="31" t="s">
        <v>11295</v>
      </c>
      <c r="B4721" s="8" t="s">
        <v>11296</v>
      </c>
      <c r="C4721" s="27"/>
      <c r="D4721" s="33" t="s">
        <v>14</v>
      </c>
      <c r="E4721" s="34">
        <v>2</v>
      </c>
      <c r="F4721" s="34">
        <v>590</v>
      </c>
      <c r="G4721" s="10">
        <v>5906104</v>
      </c>
      <c r="H4721" s="30" t="str">
        <f ca="1">IFERROR(__xludf.DUMMYFUNCTION("LOWER(REGEXREPLACE(B4721&amp;"" ""&amp;C4721,""[^а-яa-z0-9 ]"","" ""))")," амера холодильная низкотемпературнаясборно разборная 2560х2260х2200 мм   10 28 м3  в комплекте с холодильноймашиной с зимним комплектом и выноснымпультом управления     10 28   ")</f>
        <v xml:space="preserve"> амера холодильная низкотемпературнаясборно разборная 2560х2260х2200 мм   10 28 м3  в комплекте с холодильноймашиной с зимним комплектом и выноснымпультом управления     10 28   </v>
      </c>
    </row>
    <row r="4722" spans="1:8" ht="76.5" x14ac:dyDescent="0.2">
      <c r="A4722" s="31" t="s">
        <v>11297</v>
      </c>
      <c r="B4722" s="8" t="s">
        <v>11298</v>
      </c>
      <c r="C4722" s="27"/>
      <c r="D4722" s="33" t="s">
        <v>14</v>
      </c>
      <c r="E4722" s="34">
        <v>2</v>
      </c>
      <c r="F4722" s="34">
        <v>1060</v>
      </c>
      <c r="G4722" s="10">
        <v>7519540</v>
      </c>
      <c r="H4722" s="30" t="str">
        <f ca="1">IFERROR(__xludf.DUMMYFUNCTION("LOWER(REGEXREPLACE(B4722&amp;"" ""&amp;C4722,""[^а-яa-z0-9 ]"","" ""))")," амера холодильная среднетемпературнаясборно разборная 3160х3160х2200 мм   18 36 м3  в комплекте с холодильноймашиной с зимним комплектом и выноснымпультом управления     18 36   ")</f>
        <v xml:space="preserve"> амера холодильная среднетемпературнаясборно разборная 3160х3160х2200 мм   18 36 м3  в комплекте с холодильноймашиной с зимним комплектом и выноснымпультом управления     18 36   </v>
      </c>
    </row>
    <row r="4723" spans="1:8" ht="102" x14ac:dyDescent="0.2">
      <c r="A4723" s="31" t="s">
        <v>11299</v>
      </c>
      <c r="B4723" s="27" t="s">
        <v>11300</v>
      </c>
      <c r="C4723" s="27"/>
      <c r="D4723" s="33" t="s">
        <v>14</v>
      </c>
      <c r="E4723" s="34">
        <v>2</v>
      </c>
      <c r="F4723" s="34">
        <v>1300</v>
      </c>
      <c r="G4723" s="10">
        <v>12901259</v>
      </c>
      <c r="H4723" s="30" t="str">
        <f ca="1">IFERROR(__xludf.DUMMYFUNCTION("LOWER(REGEXREPLACE(B4723&amp;"" ""&amp;C4723,""[^а-яa-z0-9 ]"","" ""))")," амера холодильная среднетемпературная среднетемпературнаяс борно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двер"&amp;"и со световым проемом 800х1850 мм     32 31     ")</f>
        <v xml:space="preserve"> амера холодильная среднетемпературная среднетемпературнаяс борно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32 31     </v>
      </c>
    </row>
    <row r="4724" spans="1:8" ht="102" x14ac:dyDescent="0.2">
      <c r="A4724" s="31" t="s">
        <v>11301</v>
      </c>
      <c r="B4724" s="27" t="s">
        <v>11302</v>
      </c>
      <c r="C4724" s="27"/>
      <c r="D4724" s="33" t="s">
        <v>14</v>
      </c>
      <c r="E4724" s="34">
        <v>2</v>
      </c>
      <c r="F4724" s="34">
        <v>1060</v>
      </c>
      <c r="G4724" s="10">
        <v>9707412</v>
      </c>
      <c r="H4724" s="30" t="str">
        <f ca="1">IFERROR(__xludf.DUMMYFUNCTION("LOWER(REGEXREPLACE(B4724&amp;"" ""&amp;C4724,""[^а-яa-z0-9 ]"","" ""))")," амера холодильная среднетемпературная низкотемпературнаясб 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двери"&amp;" со световым проемом 800х1850 мм     19 09     ")</f>
        <v xml:space="preserve"> амера холодильная среднетемпературная низкотемпературнаясб 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 со световым проемом 800х1850 мм     19 09     </v>
      </c>
    </row>
    <row r="4725" spans="1:8" ht="76.5" x14ac:dyDescent="0.2">
      <c r="A4725" s="31" t="s">
        <v>11303</v>
      </c>
      <c r="B4725" s="8" t="s">
        <v>11304</v>
      </c>
      <c r="C4725" s="27"/>
      <c r="D4725" s="33" t="s">
        <v>14</v>
      </c>
      <c r="E4725" s="34">
        <v>2</v>
      </c>
      <c r="F4725" s="34">
        <v>610</v>
      </c>
      <c r="G4725" s="10">
        <v>5481449</v>
      </c>
      <c r="H4725" s="30" t="str">
        <f ca="1">IFERROR(__xludf.DUMMYFUNCTION("LOWER(REGEXREPLACE(B4725&amp;"" ""&amp;C4725,""[^а-яa-z0-9 ]"","" ""))")," амера холодильная среднетемпературнаясборно разборная 1960х3160х2200 мм   11 02 м3  в комплекте с холодильноймашиной с зимним комплектом и выноснымпультом управления     11 02   ")</f>
        <v xml:space="preserve"> амера холодильная среднетемпературнаясборно разборная 1960х3160х2200 мм   11 02 м3  в комплекте с холодильноймашиной с зимним комплектом и выноснымпультом управления     11 02   </v>
      </c>
    </row>
    <row r="4726" spans="1:8" ht="63.75" x14ac:dyDescent="0.2">
      <c r="A4726" s="31" t="s">
        <v>11305</v>
      </c>
      <c r="B4726" s="8" t="s">
        <v>11306</v>
      </c>
      <c r="C4726" s="27"/>
      <c r="D4726" s="33" t="s">
        <v>14</v>
      </c>
      <c r="E4726" s="34">
        <v>2</v>
      </c>
      <c r="F4726" s="34">
        <v>610</v>
      </c>
      <c r="G4726" s="10">
        <v>6377137</v>
      </c>
      <c r="H4726" s="30" t="str">
        <f ca="1">IFERROR(__xludf.DUMMYFUNCTION("LOWER(REGEXREPLACE(B4726&amp;"" ""&amp;C4726,""[^а-яa-z0-9 ]"","" ""))")," амера холодильная низкотемпературнаясборно разборная 1960х3160х2200 мм   11 02 м3  в комплекте с холодильноймашиной с зимним комплектом и выноснымпультом управления     11 02   ")</f>
        <v xml:space="preserve"> амера холодильная низкотемпературнаясборно разборная 1960х3160х2200 мм   11 02 м3  в комплекте с холодильноймашиной с зимним комплектом и выноснымпультом управления     11 02   </v>
      </c>
    </row>
    <row r="4727" spans="1:8" ht="76.5" x14ac:dyDescent="0.2">
      <c r="A4727" s="31" t="s">
        <v>11307</v>
      </c>
      <c r="B4727" s="8" t="s">
        <v>11308</v>
      </c>
      <c r="C4727" s="27"/>
      <c r="D4727" s="33" t="s">
        <v>14</v>
      </c>
      <c r="E4727" s="34">
        <v>2</v>
      </c>
      <c r="F4727" s="34">
        <v>659</v>
      </c>
      <c r="G4727" s="10">
        <v>6275619</v>
      </c>
      <c r="H4727" s="30" t="str">
        <f ca="1">IFERROR(__xludf.DUMMYFUNCTION("LOWER(REGEXREPLACE(B4727&amp;"" ""&amp;C4727,""[^а-яa-z0-9 ]"","" ""))")," амера холодильная среднетемпературнаясборно разборная 2260х3160х2200 мм   12 85 м3  в комплекте с холодильноймашиной с зимним комплектом и выноснымпультом управления     12 85   ")</f>
        <v xml:space="preserve"> амера холодильная среднетемпературнаясборно разборная 2260х3160х2200 мм   12 85 м3  в комплекте с холодильноймашиной с зимним комплектом и выноснымпультом управления     12 85   </v>
      </c>
    </row>
    <row r="4728" spans="1:8" ht="63.75" x14ac:dyDescent="0.2">
      <c r="A4728" s="31" t="s">
        <v>11309</v>
      </c>
      <c r="B4728" s="8" t="s">
        <v>11310</v>
      </c>
      <c r="C4728" s="27"/>
      <c r="D4728" s="33" t="s">
        <v>14</v>
      </c>
      <c r="E4728" s="34">
        <v>2</v>
      </c>
      <c r="F4728" s="34">
        <v>659</v>
      </c>
      <c r="G4728" s="10">
        <v>6870136</v>
      </c>
      <c r="H4728" s="30" t="str">
        <f ca="1">IFERROR(__xludf.DUMMYFUNCTION("LOWER(REGEXREPLACE(B4728&amp;"" ""&amp;C4728,""[^а-яa-z0-9 ]"","" ""))")," амера холодильная низкотемпературнаясборно разборная 2260х3160х2200 мм   12 85 м3  в комплекте с холодильноймашиной с зимним комплектом и выноснымпультом управления     12 85   ")</f>
        <v xml:space="preserve"> амера холодильная низкотемпературнаясборно разборная 2260х3160х2200 мм   12 85 м3  в комплекте с холодильноймашиной с зимним комплектом и выноснымпультом управления     12 85   </v>
      </c>
    </row>
    <row r="4729" spans="1:8" ht="63.75" x14ac:dyDescent="0.2">
      <c r="A4729" s="31" t="s">
        <v>11311</v>
      </c>
      <c r="B4729" s="8" t="s">
        <v>11312</v>
      </c>
      <c r="C4729" s="27"/>
      <c r="D4729" s="33" t="s">
        <v>14</v>
      </c>
      <c r="E4729" s="34">
        <v>2</v>
      </c>
      <c r="F4729" s="34">
        <v>1160</v>
      </c>
      <c r="G4729" s="10">
        <v>9065171</v>
      </c>
      <c r="H4729" s="30" t="str">
        <f ca="1">IFERROR(__xludf.DUMMYFUNCTION("LOWER(REGEXREPLACE(B4729&amp;"" ""&amp;C4729,""[^а-яa-z0-9 ]"","" ""))")," амера холодильная низкотемпературнаясборно разборная 2860х4060х2200 мм   21 48 м3  в комплекте с холодильноймашиной с зимним комплектом и выноснымпультом управления     21 48   ")</f>
        <v xml:space="preserve"> амера холодильная низкотемпературнаясборно разборная 2860х4060х2200 мм   21 48 м3  в комплекте с холодильноймашиной с зимним комплектом и выноснымпультом управления     21 48   </v>
      </c>
    </row>
    <row r="4730" spans="1:8" ht="76.5" x14ac:dyDescent="0.2">
      <c r="A4730" s="31" t="s">
        <v>11313</v>
      </c>
      <c r="B4730" s="8" t="s">
        <v>11314</v>
      </c>
      <c r="C4730" s="27"/>
      <c r="D4730" s="33" t="s">
        <v>14</v>
      </c>
      <c r="E4730" s="34">
        <v>2</v>
      </c>
      <c r="F4730" s="34">
        <v>745</v>
      </c>
      <c r="G4730" s="10">
        <v>6544030</v>
      </c>
      <c r="H4730" s="30" t="str">
        <f ca="1">IFERROR(__xludf.DUMMYFUNCTION("LOWER(REGEXREPLACE(B4730&amp;"" ""&amp;C4730,""[^а-яa-z0-9 ]"","" ""))")," амера холодильная среднетемпературнаясборно разборная 2560х3160х2200 мм   14 69 м3  в комплекте с холодильноймашиной с зимним комплектом и выноснымпультом управления     14 69   ")</f>
        <v xml:space="preserve"> амера холодильная среднетемпературнаясборно разборная 2560х3160х2200 мм   14 69 м3  в комплекте с холодильноймашиной с зимним комплектом и выноснымпультом управления     14 69   </v>
      </c>
    </row>
    <row r="4731" spans="1:8" ht="63.75" x14ac:dyDescent="0.2">
      <c r="A4731" s="31" t="s">
        <v>11315</v>
      </c>
      <c r="B4731" s="27" t="s">
        <v>11316</v>
      </c>
      <c r="C4731" s="27"/>
      <c r="D4731" s="33" t="s">
        <v>14</v>
      </c>
      <c r="E4731" s="34">
        <v>2</v>
      </c>
      <c r="F4731" s="34">
        <v>745</v>
      </c>
      <c r="G4731" s="10">
        <v>7138368</v>
      </c>
      <c r="H4731" s="30" t="str">
        <f ca="1">IFERROR(__xludf.DUMMYFUNCTION("LOWER(REGEXREPLACE(B4731&amp;"" ""&amp;C4731,""[^а-яa-z0-9 ]"","" ""))")," амера холодильнаянизкотемпературнаясборно разб орная 2560х3160х2200 мм   14 69 м3  в комплекте с холодильноймашиной с зимним комплектом и выноснымпультом управления     14 69  ")</f>
        <v xml:space="preserve"> амера холодильнаянизкотемпературнаясборно разб орная 2560х3160х2200 мм   14 69 м3  в комплекте с холодильноймашиной с зимним комплектом и выноснымпультом управления     14 69  </v>
      </c>
    </row>
    <row r="4732" spans="1:8" ht="76.5" x14ac:dyDescent="0.2">
      <c r="A4732" s="31" t="s">
        <v>11317</v>
      </c>
      <c r="B4732" s="8" t="s">
        <v>11318</v>
      </c>
      <c r="C4732" s="27"/>
      <c r="D4732" s="33" t="s">
        <v>14</v>
      </c>
      <c r="E4732" s="34">
        <v>2</v>
      </c>
      <c r="F4732" s="34">
        <v>832</v>
      </c>
      <c r="G4732" s="10">
        <v>6780430</v>
      </c>
      <c r="H4732" s="30" t="str">
        <f ca="1">IFERROR(__xludf.DUMMYFUNCTION("LOWER(REGEXREPLACE(B4732&amp;"" ""&amp;C4732,""[^а-яa-z0-9 ]"","" ""))")," амера холодильная среднетемпературнаясборно разборная 2560х3460х2200 мм   16 16 м3  в комплекте с холодильноймашиной с зимним комплектом и выноснымпультом управления     16 16   ")</f>
        <v xml:space="preserve"> амера холодильная среднетемпературнаясборно разборная 2560х3460х2200 мм   16 16 м3  в комплекте с холодильноймашиной с зимним комплектом и выноснымпультом управления     16 16   </v>
      </c>
    </row>
    <row r="4733" spans="1:8" ht="63.75" x14ac:dyDescent="0.2">
      <c r="A4733" s="31" t="s">
        <v>11319</v>
      </c>
      <c r="B4733" s="8" t="s">
        <v>11320</v>
      </c>
      <c r="C4733" s="27"/>
      <c r="D4733" s="33" t="s">
        <v>14</v>
      </c>
      <c r="E4733" s="34">
        <v>2</v>
      </c>
      <c r="F4733" s="34">
        <v>832</v>
      </c>
      <c r="G4733" s="10">
        <v>7374948</v>
      </c>
      <c r="H4733" s="30" t="str">
        <f ca="1">IFERROR(__xludf.DUMMYFUNCTION("LOWER(REGEXREPLACE(B4733&amp;"" ""&amp;C4733,""[^а-яa-z0-9 ]"","" ""))")," амера холодильная низкотемпературнаясборно разборная 2560х3460х2200 мм   16 16 м3  в комплекте с холодильноймашиной с зимним комплектом и выноснымпультом управления     16 16   ")</f>
        <v xml:space="preserve"> амера холодильная низкотемпературнаясборно разборная 2560х3460х2200 мм   16 16 м3  в комплекте с холодильноймашиной с зимним комплектом и выноснымпультом управления     16 16   </v>
      </c>
    </row>
    <row r="4734" spans="1:8" ht="89.25" x14ac:dyDescent="0.2">
      <c r="A4734" s="31" t="s">
        <v>11321</v>
      </c>
      <c r="B4734" s="27" t="s">
        <v>11322</v>
      </c>
      <c r="C4734" s="27"/>
      <c r="D4734" s="33" t="s">
        <v>14</v>
      </c>
      <c r="E4734" s="34">
        <v>2</v>
      </c>
      <c r="F4734" s="34">
        <v>1160</v>
      </c>
      <c r="G4734" s="10">
        <v>8610672</v>
      </c>
      <c r="H4734" s="30" t="str">
        <f ca="1">IFERROR(__xludf.DUMMYFUNCTION("LOWER(REGEXREPLACE(B4734&amp;"" ""&amp;C4734,""[^а-яa-z0-9 ]"","" ""))")," амера холодильная низкотемпературная среднетемпературнаясб орно разборная 2860х4060х2200 мм   21 48 м3  в комплекте с двумя холодильной морозильноймашинами с зимним комплектом и выноснымпультом управления     21 48     ")</f>
        <v xml:space="preserve"> амера холодильная низкотемпературная среднетемпературнаясб орно разборная 2860х4060х2200 мм   21 48 м3  в комплекте с двумя холодильной морозильноймашинами с зимним комплектом и выноснымпультом управления     21 48     </v>
      </c>
    </row>
    <row r="4735" spans="1:8" ht="38.25" x14ac:dyDescent="0.2">
      <c r="A4735" s="31" t="s">
        <v>11323</v>
      </c>
      <c r="B4735" s="27" t="s">
        <v>11324</v>
      </c>
      <c r="C4735" s="27"/>
      <c r="D4735" s="33" t="s">
        <v>14</v>
      </c>
      <c r="E4735" s="9"/>
      <c r="F4735" s="34">
        <v>132</v>
      </c>
      <c r="G4735" s="10">
        <v>1072700</v>
      </c>
      <c r="H4735" s="30" t="str">
        <f ca="1">IFERROR(__xludf.DUMMYFUNCTION("LOWER(REGEXREPLACE(B4735&amp;"" ""&amp;C4735,""[^а-яa-z0-9 ]"","" ""))")," плит система среднетемпературная    222      10 5  22 5 м3   5    10   855х315х704 мм  1 65 к т  380    ")</f>
        <v xml:space="preserve"> плит система среднетемпературная    222      10 5  22 5 м3   5    10   855х315х704 мм  1 65 к т  380    </v>
      </c>
    </row>
    <row r="4736" spans="1:8" ht="38.25" x14ac:dyDescent="0.2">
      <c r="A4736" s="31" t="s">
        <v>11325</v>
      </c>
      <c r="B4736" s="27" t="s">
        <v>11326</v>
      </c>
      <c r="C4736" s="27"/>
      <c r="D4736" s="33" t="s">
        <v>14</v>
      </c>
      <c r="E4736" s="9"/>
      <c r="F4736" s="34">
        <v>85</v>
      </c>
      <c r="G4736" s="10">
        <v>853776</v>
      </c>
      <c r="H4736" s="30" t="str">
        <f ca="1">IFERROR(__xludf.DUMMYFUNCTION("LOWER(REGEXREPLACE(B4736&amp;"" ""&amp;C4736,""[^а-яa-z0-9 ]"","" ""))")," плит система среднетемпературная    109      3  7 5 м3   5    10   525х315х704 мм  0 6 к т  220    ")</f>
        <v xml:space="preserve"> плит система среднетемпературная    109      3  7 5 м3   5    10   525х315х704 мм  0 6 к т  220    </v>
      </c>
    </row>
    <row r="4737" spans="1:8" ht="38.25" x14ac:dyDescent="0.2">
      <c r="A4737" s="31" t="s">
        <v>11327</v>
      </c>
      <c r="B4737" s="8" t="s">
        <v>11328</v>
      </c>
      <c r="C4737" s="27"/>
      <c r="D4737" s="33" t="s">
        <v>14</v>
      </c>
      <c r="E4737" s="9"/>
      <c r="F4737" s="34">
        <v>203</v>
      </c>
      <c r="G4737" s="10">
        <v>3418393</v>
      </c>
      <c r="H4737" s="30" t="str">
        <f ca="1">IFERROR(__xludf.DUMMYFUNCTION("LOWER(REGEXREPLACE(B4737&amp;"" ""&amp;C4737,""[^а-яa-z0-9 ]"","" ""))")," и блок   1048  холодопроизводительность 4 87 к т    62 м3  1408х455х555 мм  3 к т  380    ")</f>
        <v xml:space="preserve"> и блок   1048  холодопроизводительность 4 87 к т    62 м3  1408х455х555 мм  3 к т  380    </v>
      </c>
    </row>
    <row r="4738" spans="1:8" ht="25.5" x14ac:dyDescent="0.2">
      <c r="A4738" s="31" t="s">
        <v>11329</v>
      </c>
      <c r="B4738" s="27" t="s">
        <v>11330</v>
      </c>
      <c r="C4738" s="27"/>
      <c r="D4738" s="33" t="s">
        <v>14</v>
      </c>
      <c r="E4738" s="9"/>
      <c r="F4738" s="35">
        <v>1.5</v>
      </c>
      <c r="G4738" s="10">
        <v>118696</v>
      </c>
      <c r="H4738" s="30" t="str">
        <f ca="1">IFERROR(__xludf.DUMMYFUNCTION("LOWER(REGEXREPLACE(B4738&amp;"" ""&amp;C4738,""[^а-яa-z0-9 ]"","" ""))")," омлект доработки уличных мм и слитов с    ом  65  т  ")</f>
        <v xml:space="preserve"> омлект доработки уличных мм и слитов с    ом  65  т  </v>
      </c>
    </row>
    <row r="4739" spans="1:8" ht="25.5" x14ac:dyDescent="0.2">
      <c r="A4739" s="31" t="s">
        <v>11331</v>
      </c>
      <c r="B4739" s="27" t="s">
        <v>11332</v>
      </c>
      <c r="C4739" s="27"/>
      <c r="D4739" s="33" t="s">
        <v>14</v>
      </c>
      <c r="E4739" s="9"/>
      <c r="F4739" s="34">
        <v>212</v>
      </c>
      <c r="G4739" s="10">
        <v>1412775</v>
      </c>
      <c r="H4739" s="30" t="str">
        <f ca="1">IFERROR(__xludf.DUMMYFUNCTION("LOWER(REGEXREPLACE(B4739&amp;"" ""&amp;C4739,""[^а-яa-z0-9 ]"","" ""))")," каф холодильный среднетемпературный   114      1400 л ")</f>
        <v xml:space="preserve"> каф холодильный среднетемпературный   114      1400 л </v>
      </c>
    </row>
    <row r="4740" spans="1:8" ht="25.5" x14ac:dyDescent="0.2">
      <c r="A4740" s="31" t="s">
        <v>11333</v>
      </c>
      <c r="B4740" s="27" t="s">
        <v>11334</v>
      </c>
      <c r="C4740" s="27"/>
      <c r="D4740" s="33" t="s">
        <v>14</v>
      </c>
      <c r="E4740" s="9"/>
      <c r="F4740" s="34">
        <v>130</v>
      </c>
      <c r="G4740" s="10">
        <v>819911</v>
      </c>
      <c r="H4740" s="30" t="str">
        <f ca="1">IFERROR(__xludf.DUMMYFUNCTION("LOWER(REGEXREPLACE(B4740&amp;"" ""&amp;C4740,""[^а-яa-z0-9 ]"","" ""))")," итрина холодильная  70    0 9 1 0102 0109     в 0 9д  arboma  юкс  ")</f>
        <v xml:space="preserve"> итрина холодильная  70    0 9 1 0102 0109     в 0 9д  arboma  юкс  </v>
      </c>
    </row>
    <row r="4741" spans="1:8" ht="12.75" x14ac:dyDescent="0.2">
      <c r="A4741" s="31" t="s">
        <v>11335</v>
      </c>
      <c r="B4741" s="27" t="s">
        <v>11336</v>
      </c>
      <c r="C4741" s="27"/>
      <c r="D4741" s="33" t="s">
        <v>14</v>
      </c>
      <c r="E4741" s="9"/>
      <c r="F4741" s="32"/>
      <c r="G4741" s="10"/>
      <c r="H4741" s="30" t="str">
        <f ca="1">IFERROR(__xludf.DUMMYFUNCTION("LOWER(REGEXREPLACE(B4741&amp;"" ""&amp;C4741,""[^а-яa-z0-9 ]"","" ""))")," итрина холодильная ")</f>
        <v xml:space="preserve"> итрина холодильная </v>
      </c>
    </row>
    <row r="4742" spans="1:8" ht="38.25" x14ac:dyDescent="0.2">
      <c r="A4742" s="31" t="s">
        <v>11337</v>
      </c>
      <c r="B4742" s="8" t="s">
        <v>11338</v>
      </c>
      <c r="C4742" s="27"/>
      <c r="D4742" s="33" t="s">
        <v>14</v>
      </c>
      <c r="E4742" s="9"/>
      <c r="F4742" s="34">
        <v>150</v>
      </c>
      <c r="G4742" s="10">
        <v>941189</v>
      </c>
      <c r="H4742" s="30" t="str">
        <f ca="1">IFERROR(__xludf.DUMMYFUNCTION("LOWER(REGEXREPLACE(B4742&amp;"" ""&amp;C4742,""[^а-яa-z0-9 ]"","" ""))")," итрина холодильная  arboma  70    1 3 1           размеры 1300х700х1280 1330 мм  мощность 0 333 к т  напряжение 220   ")</f>
        <v xml:space="preserve"> итрина холодильная  arboma  70    1 3 1           размеры 1300х700х1280 1330 мм  мощность 0 333 к т  напряжение 220   </v>
      </c>
    </row>
    <row r="4743" spans="1:8" ht="38.25" x14ac:dyDescent="0.2">
      <c r="A4743" s="31" t="s">
        <v>11339</v>
      </c>
      <c r="B4743" s="27" t="s">
        <v>11340</v>
      </c>
      <c r="C4743" s="27"/>
      <c r="D4743" s="33" t="s">
        <v>14</v>
      </c>
      <c r="E4743" s="9"/>
      <c r="F4743" s="34">
        <v>130</v>
      </c>
      <c r="G4743" s="10">
        <v>2669638</v>
      </c>
      <c r="H4743" s="30" t="str">
        <f ca="1">IFERROR(__xludf.DUMMYFUNCTION("LOWER(REGEXREPLACE(B4743&amp;"" ""&amp;C4743,""[^а-яa-z0-9 ]"","" ""))")," итрина холодильная демонстрационная    107   размеры 1000х740х1900 мм  мощность 0 825 к т  напряжение 220   ")</f>
        <v xml:space="preserve"> итрина холодильная демонстрационная    107   размеры 1000х740х1900 мм  мощность 0 825 к т  напряжение 220   </v>
      </c>
    </row>
    <row r="4744" spans="1:8" ht="38.25" x14ac:dyDescent="0.2">
      <c r="A4744" s="31" t="s">
        <v>11341</v>
      </c>
      <c r="B4744" s="27" t="s">
        <v>11342</v>
      </c>
      <c r="C4744" s="27"/>
      <c r="D4744" s="33" t="s">
        <v>14</v>
      </c>
      <c r="E4744" s="9"/>
      <c r="F4744" s="34">
        <v>140</v>
      </c>
      <c r="G4744" s="10">
        <v>3077594</v>
      </c>
      <c r="H4744" s="30" t="str">
        <f ca="1">IFERROR(__xludf.DUMMYFUNCTION("LOWER(REGEXREPLACE(B4744&amp;"" ""&amp;C4744,""[^а-яa-z0-9 ]"","" ""))")," итрина холодильная демонстрационная    127   размеры 1200х740х1900 мм  мощность 0 925 к т  напряжение 220   ")</f>
        <v xml:space="preserve"> итрина холодильная демонстрационная    127   размеры 1200х740х1900 мм  мощность 0 925 к т  напряжение 220   </v>
      </c>
    </row>
    <row r="4745" spans="1:8" ht="38.25" x14ac:dyDescent="0.2">
      <c r="A4745" s="31" t="s">
        <v>11343</v>
      </c>
      <c r="B4745" s="27" t="s">
        <v>11344</v>
      </c>
      <c r="C4745" s="27"/>
      <c r="D4745" s="33" t="s">
        <v>14</v>
      </c>
      <c r="E4745" s="9"/>
      <c r="F4745" s="34">
        <v>170</v>
      </c>
      <c r="G4745" s="10">
        <v>3467872</v>
      </c>
      <c r="H4745" s="30" t="str">
        <f ca="1">IFERROR(__xludf.DUMMYFUNCTION("LOWER(REGEXREPLACE(B4745&amp;"" ""&amp;C4745,""[^а-яa-z0-9 ]"","" ""))")," итрина холодильная демонстрационная    157   размеры 1500х740х1900 мм  мощность 1 255 к т  напряжение 220   ")</f>
        <v xml:space="preserve"> итрина холодильная демонстрационная    157   размеры 1500х740х1900 мм  мощность 1 255 к т  напряжение 220   </v>
      </c>
    </row>
    <row r="4746" spans="1:8" ht="38.25" x14ac:dyDescent="0.2">
      <c r="A4746" s="31" t="s">
        <v>11345</v>
      </c>
      <c r="B4746" s="27" t="s">
        <v>11346</v>
      </c>
      <c r="C4746" s="27"/>
      <c r="D4746" s="33" t="s">
        <v>14</v>
      </c>
      <c r="E4746" s="9"/>
      <c r="F4746" s="34">
        <v>196</v>
      </c>
      <c r="G4746" s="10">
        <v>4065058</v>
      </c>
      <c r="H4746" s="30" t="str">
        <f ca="1">IFERROR(__xludf.DUMMYFUNCTION("LOWER(REGEXREPLACE(B4746&amp;"" ""&amp;C4746,""[^а-яa-z0-9 ]"","" ""))")," итрина холодильная демонстрационная    187   куб 1850 л  размеры 1800х740х1900 мм   мощность 1 52 к т  напряжение 220   ")</f>
        <v xml:space="preserve"> итрина холодильная демонстрационная    187   куб 1850 л  размеры 1800х740х1900 мм   мощность 1 52 к т  напряжение 220   </v>
      </c>
    </row>
    <row r="4747" spans="1:8" ht="38.25" x14ac:dyDescent="0.2">
      <c r="A4747" s="31" t="s">
        <v>11347</v>
      </c>
      <c r="B4747" s="27" t="s">
        <v>11348</v>
      </c>
      <c r="C4747" s="27"/>
      <c r="D4747" s="33" t="s">
        <v>14</v>
      </c>
      <c r="E4747" s="9"/>
      <c r="F4747" s="34">
        <v>103</v>
      </c>
      <c r="G4747" s="10">
        <v>2412388</v>
      </c>
      <c r="H4747" s="30" t="str">
        <f ca="1">IFERROR(__xludf.DUMMYFUNCTION("LOWER(REGEXREPLACE(B4747&amp;"" ""&amp;C4747,""[^а-яa-z0-9 ]"","" ""))")," итрина холодильная демонстрационная     220   размеры 494x674x1742 мм  мощность 1 3 к т  напряжение 220   ")</f>
        <v xml:space="preserve"> итрина холодильная демонстрационная     220   размеры 494x674x1742 мм  мощность 1 3 к т  напряжение 220   </v>
      </c>
    </row>
    <row r="4748" spans="1:8" ht="38.25" x14ac:dyDescent="0.2">
      <c r="A4748" s="31" t="s">
        <v>11349</v>
      </c>
      <c r="B4748" s="27" t="s">
        <v>11350</v>
      </c>
      <c r="C4748" s="27"/>
      <c r="D4748" s="33" t="s">
        <v>14</v>
      </c>
      <c r="E4748" s="9"/>
      <c r="F4748" s="34">
        <v>103</v>
      </c>
      <c r="G4748" s="10">
        <v>1380748</v>
      </c>
      <c r="H4748" s="30" t="str">
        <f ca="1">IFERROR(__xludf.DUMMYFUNCTION("LOWER(REGEXREPLACE(B4748&amp;"" ""&amp;C4748,""[^а-яa-z0-9 ]"","" ""))")," итрина холодильная демонстрационная настольная     108   размеры 470x470x870 мм  мощность 0 23 к т  напряжение 220   ")</f>
        <v xml:space="preserve"> итрина холодильная демонстрационная настольная     108   размеры 470x470x870 мм  мощность 0 23 к т  напряжение 220   </v>
      </c>
    </row>
    <row r="4749" spans="1:8" ht="38.25" x14ac:dyDescent="0.2">
      <c r="A4749" s="31" t="s">
        <v>11351</v>
      </c>
      <c r="B4749" s="27" t="s">
        <v>11352</v>
      </c>
      <c r="C4749" s="27"/>
      <c r="D4749" s="33" t="s">
        <v>14</v>
      </c>
      <c r="E4749" s="9"/>
      <c r="F4749" s="34">
        <v>112</v>
      </c>
      <c r="G4749" s="10">
        <v>1135428</v>
      </c>
      <c r="H4749" s="30" t="str">
        <f ca="1">IFERROR(__xludf.DUMMYFUNCTION("LOWER(REGEXREPLACE(B4749&amp;"" ""&amp;C4749,""[^а-яa-z0-9 ]"","" ""))")," итрина холодильная демонстрационная настольная     100   размеры 480х480х1030 мм   мощность 0 2 к т  напряжение 220   ")</f>
        <v xml:space="preserve"> итрина холодильная демонстрационная настольная     100   размеры 480х480х1030 мм   мощность 0 2 к т  напряжение 220   </v>
      </c>
    </row>
    <row r="4750" spans="1:8" ht="38.25" x14ac:dyDescent="0.2">
      <c r="A4750" s="31" t="s">
        <v>11353</v>
      </c>
      <c r="B4750" s="8" t="s">
        <v>11354</v>
      </c>
      <c r="C4750" s="27"/>
      <c r="D4750" s="33" t="s">
        <v>14</v>
      </c>
      <c r="E4750" s="9"/>
      <c r="F4750" s="34">
        <v>150</v>
      </c>
      <c r="G4750" s="10">
        <v>1510950</v>
      </c>
      <c r="H4750" s="30" t="str">
        <f ca="1">IFERROR(__xludf.DUMMYFUNCTION("LOWER(REGEXREPLACE(B4750&amp;"" ""&amp;C4750,""[^а-яa-z0-9 ]"","" ""))")," итрина холодильная кондитерская    1200   размеры 1200х700х1200 мм  мощность 0 35 к т  напряжение 220   ")</f>
        <v xml:space="preserve"> итрина холодильная кондитерская    1200   размеры 1200х700х1200 мм  мощность 0 35 к т  напряжение 220   </v>
      </c>
    </row>
    <row r="4751" spans="1:8" ht="38.25" x14ac:dyDescent="0.2">
      <c r="A4751" s="31" t="s">
        <v>11355</v>
      </c>
      <c r="B4751" s="8" t="s">
        <v>11356</v>
      </c>
      <c r="C4751" s="27"/>
      <c r="D4751" s="33" t="s">
        <v>14</v>
      </c>
      <c r="E4751" s="9"/>
      <c r="F4751" s="34">
        <v>230</v>
      </c>
      <c r="G4751" s="10">
        <v>1561436</v>
      </c>
      <c r="H4751" s="30" t="str">
        <f ca="1">IFERROR(__xludf.DUMMYFUNCTION("LOWER(REGEXREPLACE(B4751&amp;"" ""&amp;C4751,""[^а-яa-z0-9 ]"","" ""))")," итрина холодильная кондитерская    1500   размеры 1500х700х1200 мм  мощность 0 45 к т  напряжение 220   ")</f>
        <v xml:space="preserve"> итрина холодильная кондитерская    1500   размеры 1500х700х1200 мм  мощность 0 45 к т  напряжение 220   </v>
      </c>
    </row>
    <row r="4752" spans="1:8" ht="38.25" x14ac:dyDescent="0.2">
      <c r="A4752" s="31" t="s">
        <v>11357</v>
      </c>
      <c r="B4752" s="8" t="s">
        <v>11358</v>
      </c>
      <c r="C4752" s="27"/>
      <c r="D4752" s="33" t="s">
        <v>14</v>
      </c>
      <c r="E4752" s="9"/>
      <c r="F4752" s="34">
        <v>246</v>
      </c>
      <c r="G4752" s="10">
        <v>2099473</v>
      </c>
      <c r="H4752" s="30" t="str">
        <f ca="1">IFERROR(__xludf.DUMMYFUNCTION("LOWER(REGEXREPLACE(B4752&amp;"" ""&amp;C4752,""[^а-яa-z0-9 ]"","" ""))")," итрина холодильная кондитерская    1800   размеры 1800х700х1200 мм  мощность 0 55 к т  напряжение 220   ")</f>
        <v xml:space="preserve"> итрина холодильная кондитерская    1800   размеры 1800х700х1200 мм  мощность 0 55 к т  напряжение 220   </v>
      </c>
    </row>
    <row r="4753" spans="1:8" ht="38.25" x14ac:dyDescent="0.2">
      <c r="A4753" s="31" t="s">
        <v>11359</v>
      </c>
      <c r="B4753" s="27" t="s">
        <v>11360</v>
      </c>
      <c r="C4753" s="27"/>
      <c r="D4753" s="33" t="s">
        <v>14</v>
      </c>
      <c r="E4753" s="9"/>
      <c r="F4753" s="34">
        <v>150</v>
      </c>
      <c r="G4753" s="10">
        <v>1670573</v>
      </c>
      <c r="H4753" s="30" t="str">
        <f ca="1">IFERROR(__xludf.DUMMYFUNCTION("LOWER(REGEXREPLACE(B4753&amp;"" ""&amp;C4753,""[^а-яa-z0-9 ]"","" ""))")," итрина холодильная кондитерская    1200   размеры 1200х680х1200 мм  мощность 0 35 к т  напряжение 220   ")</f>
        <v xml:space="preserve"> итрина холодильная кондитерская    1200   размеры 1200х680х1200 мм  мощность 0 35 к т  напряжение 220   </v>
      </c>
    </row>
    <row r="4754" spans="1:8" ht="38.25" x14ac:dyDescent="0.2">
      <c r="A4754" s="31" t="s">
        <v>11361</v>
      </c>
      <c r="B4754" s="27" t="s">
        <v>11362</v>
      </c>
      <c r="C4754" s="27"/>
      <c r="D4754" s="33" t="s">
        <v>14</v>
      </c>
      <c r="E4754" s="9"/>
      <c r="F4754" s="34">
        <v>230</v>
      </c>
      <c r="G4754" s="10">
        <v>1777223</v>
      </c>
      <c r="H4754" s="30" t="str">
        <f ca="1">IFERROR(__xludf.DUMMYFUNCTION("LOWER(REGEXREPLACE(B4754&amp;"" ""&amp;C4754,""[^а-яa-z0-9 ]"","" ""))")," итрина холодильная кондитерская    1500   размеры 1500х680х1200 мм  мощность 0 45 к т  напряжение 220   ")</f>
        <v xml:space="preserve"> итрина холодильная кондитерская    1500   размеры 1500х680х1200 мм  мощность 0 45 к т  напряжение 220   </v>
      </c>
    </row>
    <row r="4755" spans="1:8" ht="38.25" x14ac:dyDescent="0.2">
      <c r="A4755" s="31" t="s">
        <v>11363</v>
      </c>
      <c r="B4755" s="27" t="s">
        <v>11364</v>
      </c>
      <c r="C4755" s="27"/>
      <c r="D4755" s="33" t="s">
        <v>14</v>
      </c>
      <c r="E4755" s="9"/>
      <c r="F4755" s="34">
        <v>246</v>
      </c>
      <c r="G4755" s="10">
        <v>2424631</v>
      </c>
      <c r="H4755" s="30" t="str">
        <f ca="1">IFERROR(__xludf.DUMMYFUNCTION("LOWER(REGEXREPLACE(B4755&amp;"" ""&amp;C4755,""[^а-яa-z0-9 ]"","" ""))")," итрина холодильная кондитерская    1800   размеры 1800х680х1200 мм  мощность 0 55 к т  напряжение 220   ")</f>
        <v xml:space="preserve"> итрина холодильная кондитерская    1800   размеры 1800х680х1200 мм  мощность 0 55 к т  напряжение 220   </v>
      </c>
    </row>
    <row r="4756" spans="1:8" ht="38.25" x14ac:dyDescent="0.2">
      <c r="A4756" s="31" t="s">
        <v>11365</v>
      </c>
      <c r="B4756" s="8" t="s">
        <v>11366</v>
      </c>
      <c r="C4756" s="27"/>
      <c r="D4756" s="33" t="s">
        <v>14</v>
      </c>
      <c r="E4756" s="9"/>
      <c r="F4756" s="34">
        <v>150</v>
      </c>
      <c r="G4756" s="10">
        <v>3547625</v>
      </c>
      <c r="H4756" s="30" t="str">
        <f ca="1">IFERROR(__xludf.DUMMYFUNCTION("LOWER(REGEXREPLACE(B4756&amp;"" ""&amp;C4756,""[^а-яa-z0-9 ]"","" ""))")," итрина холодильная кондитерская    1200   размеры 1200х700х2000 мм  мощность 0 55 к т  напряжение 220   ")</f>
        <v xml:space="preserve"> итрина холодильная кондитерская    1200   размеры 1200х700х2000 мм  мощность 0 55 к т  напряжение 220   </v>
      </c>
    </row>
    <row r="4757" spans="1:8" ht="38.25" x14ac:dyDescent="0.2">
      <c r="A4757" s="31" t="s">
        <v>11367</v>
      </c>
      <c r="B4757" s="8" t="s">
        <v>11368</v>
      </c>
      <c r="C4757" s="27"/>
      <c r="D4757" s="33" t="s">
        <v>14</v>
      </c>
      <c r="E4757" s="9"/>
      <c r="F4757" s="34">
        <v>230</v>
      </c>
      <c r="G4757" s="10">
        <v>3843459</v>
      </c>
      <c r="H4757" s="30" t="str">
        <f ca="1">IFERROR(__xludf.DUMMYFUNCTION("LOWER(REGEXREPLACE(B4757&amp;"" ""&amp;C4757,""[^а-яa-z0-9 ]"","" ""))")," итрина холодильная кондитерская    1500   размеры 1500х700х2000 мм  мощность 0 65 к т  напряжение 220   ")</f>
        <v xml:space="preserve"> итрина холодильная кондитерская    1500   размеры 1500х700х2000 мм  мощность 0 65 к т  напряжение 220   </v>
      </c>
    </row>
    <row r="4758" spans="1:8" ht="25.5" x14ac:dyDescent="0.2">
      <c r="A4758" s="31" t="s">
        <v>11369</v>
      </c>
      <c r="B4758" s="27" t="s">
        <v>11370</v>
      </c>
      <c r="C4758" s="27"/>
      <c r="D4758" s="33" t="s">
        <v>14</v>
      </c>
      <c r="E4758" s="9"/>
      <c r="F4758" s="34">
        <v>200</v>
      </c>
      <c r="G4758" s="10">
        <v>628075</v>
      </c>
      <c r="H4758" s="30" t="str">
        <f ca="1">IFERROR(__xludf.DUMMYFUNCTION("LOWER(REGEXREPLACE(B4758&amp;"" ""&amp;C4758,""[^а-яa-z0-9 ]"","" ""))")," итрина морозильная     0 15 0 88   ctava   1500       3002   1480х955х1265  ")</f>
        <v xml:space="preserve"> итрина морозильная     0 15 0 88   ctava   1500       3002   1480х955х1265  </v>
      </c>
    </row>
    <row r="4759" spans="1:8" ht="25.5" x14ac:dyDescent="0.2">
      <c r="A4759" s="31" t="s">
        <v>11371</v>
      </c>
      <c r="B4759" s="27" t="s">
        <v>11372</v>
      </c>
      <c r="C4759" s="27"/>
      <c r="D4759" s="33" t="s">
        <v>14</v>
      </c>
      <c r="E4759" s="9"/>
      <c r="F4759" s="34">
        <v>173</v>
      </c>
      <c r="G4759" s="10">
        <v>730804</v>
      </c>
      <c r="H4759" s="30" t="str">
        <f ca="1">IFERROR(__xludf.DUMMYFUNCTION("LOWER(REGEXREPLACE(B4759&amp;"" ""&amp;C4759,""[^а-яa-z0-9 ]"","" ""))")," итрина морозильная     0 42 0 85   amma 2  1200       3002   1218х1093х1300  ")</f>
        <v xml:space="preserve"> итрина морозильная     0 42 0 85   amma 2  1200       3002   1218х1093х1300  </v>
      </c>
    </row>
    <row r="4760" spans="1:8" ht="25.5" x14ac:dyDescent="0.2">
      <c r="A4760" s="31" t="s">
        <v>11373</v>
      </c>
      <c r="B4760" s="27" t="s">
        <v>11374</v>
      </c>
      <c r="C4760" s="27"/>
      <c r="D4760" s="33" t="s">
        <v>14</v>
      </c>
      <c r="E4760" s="9"/>
      <c r="F4760" s="34">
        <v>203</v>
      </c>
      <c r="G4760" s="10">
        <v>835536</v>
      </c>
      <c r="H4760" s="30" t="str">
        <f ca="1">IFERROR(__xludf.DUMMYFUNCTION("LOWER(REGEXREPLACE(B4760&amp;"" ""&amp;C4760,""[^а-яa-z0-9 ]"","" ""))")," итрина морозильная     0 54 1 10   amma 2  1500       3002   1518х1093х1300  ")</f>
        <v xml:space="preserve"> итрина морозильная     0 54 1 10   amma 2  1500       3002   1518х1093х1300  </v>
      </c>
    </row>
    <row r="4761" spans="1:8" ht="25.5" x14ac:dyDescent="0.2">
      <c r="A4761" s="31" t="s">
        <v>11375</v>
      </c>
      <c r="B4761" s="27" t="s">
        <v>11376</v>
      </c>
      <c r="C4761" s="27"/>
      <c r="D4761" s="33" t="s">
        <v>14</v>
      </c>
      <c r="E4761" s="9"/>
      <c r="F4761" s="34">
        <v>150</v>
      </c>
      <c r="G4761" s="10">
        <v>958929</v>
      </c>
      <c r="H4761" s="30" t="str">
        <f ca="1">IFERROR(__xludf.DUMMYFUNCTION("LOWER(REGEXREPLACE(B4761&amp;"" ""&amp;C4761,""[^а-яa-z0-9 ]"","" ""))")," тол холодильный   3       450 л  1630х705х850 910  ")</f>
        <v xml:space="preserve"> тол холодильный   3       450 л  1630х705х850 910  </v>
      </c>
    </row>
    <row r="4762" spans="1:8" ht="12.75" x14ac:dyDescent="0.2">
      <c r="A4762" s="31" t="s">
        <v>11377</v>
      </c>
      <c r="B4762" s="27" t="s">
        <v>11378</v>
      </c>
      <c r="C4762" s="27"/>
      <c r="D4762" s="33" t="s">
        <v>14</v>
      </c>
      <c r="E4762" s="9"/>
      <c r="F4762" s="32"/>
      <c r="G4762" s="10"/>
      <c r="H4762" s="30" t="str">
        <f ca="1">IFERROR(__xludf.DUMMYFUNCTION("LOWER(REGEXREPLACE(B4762&amp;"" ""&amp;C4762,""[^а-яa-z0-9 ]"","" ""))")," каф холодильный ")</f>
        <v xml:space="preserve"> каф холодильный </v>
      </c>
    </row>
    <row r="4763" spans="1:8" ht="38.25" x14ac:dyDescent="0.2">
      <c r="A4763" s="31" t="s">
        <v>11379</v>
      </c>
      <c r="B4763" s="27" t="s">
        <v>11380</v>
      </c>
      <c r="C4763" s="27"/>
      <c r="D4763" s="33" t="s">
        <v>14</v>
      </c>
      <c r="E4763" s="9"/>
      <c r="F4763" s="34">
        <v>102</v>
      </c>
      <c r="G4763" s="10">
        <v>638810</v>
      </c>
      <c r="H4763" s="30" t="str">
        <f ca="1">IFERROR(__xludf.DUMMYFUNCTION("LOWER(REGEXREPLACE(B4763&amp;"" ""&amp;C4763,""[^а-яa-z0-9 ]"","" ""))")," каф холодильный   105    размеры 697х695х1996 мм  объем 500 л  мощность 0 55 к т  напряжение 220   ")</f>
        <v xml:space="preserve"> каф холодильный   105    размеры 697х695х1996 мм  объем 500 л  мощность 0 55 к т  напряжение 220   </v>
      </c>
    </row>
    <row r="4764" spans="1:8" ht="51" x14ac:dyDescent="0.2">
      <c r="A4764" s="31" t="s">
        <v>11381</v>
      </c>
      <c r="B4764" s="8" t="s">
        <v>11382</v>
      </c>
      <c r="C4764" s="27"/>
      <c r="D4764" s="33" t="s">
        <v>14</v>
      </c>
      <c r="E4764" s="9"/>
      <c r="F4764" s="34">
        <v>114</v>
      </c>
      <c r="G4764" s="10">
        <v>1363091</v>
      </c>
      <c r="H4764" s="30" t="str">
        <f ca="1">IFERROR(__xludf.DUMMYFUNCTION("LOWER(REGEXREPLACE(B4764&amp;"" ""&amp;C4764,""[^а-яa-z0-9 ]"","" ""))")," каф холодильный среднетемпературный   700    размеры 740x830x2010 мм  объем 700 л  мощность 0 305 к т  напряжение 220   ")</f>
        <v xml:space="preserve"> каф холодильный среднетемпературный   700    размеры 740x830x2010 мм  объем 700 л  мощность 0 305 к т  напряжение 220   </v>
      </c>
    </row>
    <row r="4765" spans="1:8" ht="51" x14ac:dyDescent="0.2">
      <c r="A4765" s="31" t="s">
        <v>11383</v>
      </c>
      <c r="B4765" s="8" t="s">
        <v>11384</v>
      </c>
      <c r="C4765" s="27"/>
      <c r="D4765" s="33" t="s">
        <v>14</v>
      </c>
      <c r="E4765" s="9"/>
      <c r="F4765" s="34">
        <v>114</v>
      </c>
      <c r="G4765" s="10">
        <v>1481284</v>
      </c>
      <c r="H4765" s="30" t="str">
        <f ca="1">IFERROR(__xludf.DUMMYFUNCTION("LOWER(REGEXREPLACE(B4765&amp;"" ""&amp;C4765,""[^а-яa-z0-9 ]"","" ""))")," каф холодильный среднетемпературный   700     размеры 740x830x2010 мм  объем 700 л  мощность 0 305 к т  напряжение 220   ")</f>
        <v xml:space="preserve"> каф холодильный среднетемпературный   700     размеры 740x830x2010 мм  объем 700 л  мощность 0 305 к т  напряжение 220   </v>
      </c>
    </row>
    <row r="4766" spans="1:8" ht="38.25" x14ac:dyDescent="0.2">
      <c r="A4766" s="31" t="s">
        <v>11385</v>
      </c>
      <c r="B4766" s="27" t="s">
        <v>11386</v>
      </c>
      <c r="C4766" s="27"/>
      <c r="D4766" s="33" t="s">
        <v>14</v>
      </c>
      <c r="E4766" s="9"/>
      <c r="F4766" s="34">
        <v>114</v>
      </c>
      <c r="G4766" s="10">
        <v>1702983</v>
      </c>
      <c r="H4766" s="30" t="str">
        <f ca="1">IFERROR(__xludf.DUMMYFUNCTION("LOWER(REGEXREPLACE(B4766&amp;"" ""&amp;C4766,""[^а-яa-z0-9 ]"","" ""))")," каф холодильный низкотемпературный   700    размеры 740x830x2010 мм  объем 700 л  мощность 0 65 к т  напряжение 220   ")</f>
        <v xml:space="preserve"> каф холодильный низкотемпературный   700    размеры 740x830x2010 мм  объем 700 л  мощность 0 65 к т  напряжение 220   </v>
      </c>
    </row>
    <row r="4767" spans="1:8" ht="38.25" x14ac:dyDescent="0.2">
      <c r="A4767" s="31" t="s">
        <v>11387</v>
      </c>
      <c r="B4767" s="27" t="s">
        <v>11388</v>
      </c>
      <c r="C4767" s="27"/>
      <c r="D4767" s="33" t="s">
        <v>14</v>
      </c>
      <c r="E4767" s="9"/>
      <c r="F4767" s="34">
        <v>114</v>
      </c>
      <c r="G4767" s="10">
        <v>2022230</v>
      </c>
      <c r="H4767" s="30" t="str">
        <f ca="1">IFERROR(__xludf.DUMMYFUNCTION("LOWER(REGEXREPLACE(B4767&amp;"" ""&amp;C4767,""[^а-яa-z0-9 ]"","" ""))")," каф холодильный низкотемпературный   700     размеры 740x830x2010 мм  объем 700 л  мощность 0 65 к т  напряжение 220   ")</f>
        <v xml:space="preserve"> каф холодильный низкотемпературный   700     размеры 740x830x2010 мм  объем 700 л  мощность 0 65 к т  напряжение 220   </v>
      </c>
    </row>
    <row r="4768" spans="1:8" ht="51" x14ac:dyDescent="0.2">
      <c r="A4768" s="31" t="s">
        <v>11389</v>
      </c>
      <c r="B4768" s="8" t="s">
        <v>11390</v>
      </c>
      <c r="C4768" s="27"/>
      <c r="D4768" s="33" t="s">
        <v>14</v>
      </c>
      <c r="E4768" s="9"/>
      <c r="F4768" s="34">
        <v>186</v>
      </c>
      <c r="G4768" s="10">
        <v>2260490</v>
      </c>
      <c r="H4768" s="30" t="str">
        <f ca="1">IFERROR(__xludf.DUMMYFUNCTION("LOWER(REGEXREPLACE(B4768&amp;"" ""&amp;C4768,""[^а-яa-z0-9 ]"","" ""))")," каф холодильный среднетемпературный   1400    размеры 1480x830x2010 мм  объем 1400 л  мощность 0 508 к т  напряжение 220   ")</f>
        <v xml:space="preserve"> каф холодильный среднетемпературный   1400    размеры 1480x830x2010 мм  объем 1400 л  мощность 0 508 к т  напряжение 220   </v>
      </c>
    </row>
    <row r="4769" spans="1:8" ht="51" x14ac:dyDescent="0.2">
      <c r="A4769" s="31" t="s">
        <v>11391</v>
      </c>
      <c r="B4769" s="8" t="s">
        <v>11392</v>
      </c>
      <c r="C4769" s="27"/>
      <c r="D4769" s="33" t="s">
        <v>14</v>
      </c>
      <c r="E4769" s="9"/>
      <c r="F4769" s="34">
        <v>186</v>
      </c>
      <c r="G4769" s="10">
        <v>2412631</v>
      </c>
      <c r="H4769" s="30" t="str">
        <f ca="1">IFERROR(__xludf.DUMMYFUNCTION("LOWER(REGEXREPLACE(B4769&amp;"" ""&amp;C4769,""[^а-яa-z0-9 ]"","" ""))")," каф холодильный среднетемпературный   1400     размеры 1480x830x2010 мм  объем 1400 л  мощность 0 508 к т  напряжение 220   ")</f>
        <v xml:space="preserve"> каф холодильный среднетемпературный   1400     размеры 1480x830x2010 мм  объем 1400 л  мощность 0 508 к т  напряжение 220   </v>
      </c>
    </row>
    <row r="4770" spans="1:8" ht="38.25" x14ac:dyDescent="0.2">
      <c r="A4770" s="31" t="s">
        <v>11393</v>
      </c>
      <c r="B4770" s="27" t="s">
        <v>11394</v>
      </c>
      <c r="C4770" s="27"/>
      <c r="D4770" s="33" t="s">
        <v>14</v>
      </c>
      <c r="E4770" s="9"/>
      <c r="F4770" s="34">
        <v>186</v>
      </c>
      <c r="G4770" s="10">
        <v>2566343</v>
      </c>
      <c r="H4770" s="30" t="str">
        <f ca="1">IFERROR(__xludf.DUMMYFUNCTION("LOWER(REGEXREPLACE(B4770&amp;"" ""&amp;C4770,""[^а-яa-z0-9 ]"","" ""))")," каф холодильный низкотемпературный   1400    размеры 1480x830x2010 мм  объем 1400 л  мощность 0 7 к т  напряжение 220   ")</f>
        <v xml:space="preserve"> каф холодильный низкотемпературный   1400    размеры 1480x830x2010 мм  объем 1400 л  мощность 0 7 к т  напряжение 220   </v>
      </c>
    </row>
    <row r="4771" spans="1:8" ht="38.25" x14ac:dyDescent="0.2">
      <c r="A4771" s="31" t="s">
        <v>11395</v>
      </c>
      <c r="B4771" s="27" t="s">
        <v>11396</v>
      </c>
      <c r="C4771" s="27"/>
      <c r="D4771" s="33" t="s">
        <v>14</v>
      </c>
      <c r="E4771" s="9"/>
      <c r="F4771" s="34">
        <v>186</v>
      </c>
      <c r="G4771" s="10">
        <v>2968357</v>
      </c>
      <c r="H4771" s="30" t="str">
        <f ca="1">IFERROR(__xludf.DUMMYFUNCTION("LOWER(REGEXREPLACE(B4771&amp;"" ""&amp;C4771,""[^а-яa-z0-9 ]"","" ""))")," каф холодильный низкотемпературный   1400     размеры 1480x830x2010 мм  объем 1400 л  мощность 0 7 к т  напряжение 220   ")</f>
        <v xml:space="preserve"> каф холодильный низкотемпературный   1400     размеры 1480x830x2010 мм  объем 1400 л  мощность 0 7 к т  напряжение 220   </v>
      </c>
    </row>
    <row r="4772" spans="1:8" ht="38.25" x14ac:dyDescent="0.2">
      <c r="A4772" s="31" t="s">
        <v>11397</v>
      </c>
      <c r="B4772" s="27" t="s">
        <v>11398</v>
      </c>
      <c r="C4772" s="27"/>
      <c r="D4772" s="33" t="s">
        <v>14</v>
      </c>
      <c r="E4772" s="9"/>
      <c r="F4772" s="34">
        <v>54</v>
      </c>
      <c r="G4772" s="10">
        <v>402880</v>
      </c>
      <c r="H4772" s="30" t="str">
        <f ca="1">IFERROR(__xludf.DUMMYFUNCTION("LOWER(REGEXREPLACE(B4772&amp;"" ""&amp;C4772,""[^а-яa-z0-9 ]"","" ""))")," каф холодильный        320  размеры 565х600х1829 мм  объем 320 л  напряжание 220    2   8   ")</f>
        <v xml:space="preserve"> каф холодильный        320  размеры 565х600х1829 мм  объем 320 л  напряжание 220    2   8   </v>
      </c>
    </row>
    <row r="4773" spans="1:8" ht="51" x14ac:dyDescent="0.2">
      <c r="A4773" s="31" t="s">
        <v>11399</v>
      </c>
      <c r="B4773" s="27" t="s">
        <v>11400</v>
      </c>
      <c r="C4773" s="27"/>
      <c r="D4773" s="33" t="s">
        <v>14</v>
      </c>
      <c r="E4773" s="34">
        <v>2</v>
      </c>
      <c r="F4773" s="34">
        <v>135</v>
      </c>
      <c r="G4773" s="10">
        <v>530379</v>
      </c>
      <c r="H4773" s="30" t="str">
        <f ca="1">IFERROR(__xludf.DUMMYFUNCTION("LOWER(REGEXREPLACE(B4773&amp;"" ""&amp;C4773,""[^а-яa-z0-9 ]"","" ""))")," каф холодильный крашеный среднетемпературный    0 7  размеры 740х850х2050мм  объем 700л  напряжение 230   мощность 3 77к т   5 5   ")</f>
        <v xml:space="preserve"> каф холодильный крашеный среднетемпературный    0 7  размеры 740х850х2050мм  объем 700л  напряжение 230   мощность 3 77к т   5 5   </v>
      </c>
    </row>
    <row r="4774" spans="1:8" ht="51" x14ac:dyDescent="0.2">
      <c r="A4774" s="31" t="s">
        <v>11401</v>
      </c>
      <c r="B4774" s="27" t="s">
        <v>11402</v>
      </c>
      <c r="C4774" s="27"/>
      <c r="D4774" s="33" t="s">
        <v>14</v>
      </c>
      <c r="E4774" s="34">
        <v>2</v>
      </c>
      <c r="F4774" s="34">
        <v>215</v>
      </c>
      <c r="G4774" s="10">
        <v>759410</v>
      </c>
      <c r="H4774" s="30" t="str">
        <f ca="1">IFERROR(__xludf.DUMMYFUNCTION("LOWER(REGEXREPLACE(B4774&amp;"" ""&amp;C4774,""[^а-яa-z0-9 ]"","" ""))")," каф холодильный крашеный среднетемпературный    1 4  размеры 1485х850х2050мм  объем 1500л  напряжение 220   мощность 4 47к т   5 5   ")</f>
        <v xml:space="preserve"> каф холодильный крашеный среднетемпературный    1 4  размеры 1485х850х2050мм  объем 1500л  напряжение 220   мощность 4 47к т   5 5   </v>
      </c>
    </row>
    <row r="4775" spans="1:8" ht="51" x14ac:dyDescent="0.2">
      <c r="A4775" s="31" t="s">
        <v>11403</v>
      </c>
      <c r="B4775" s="27" t="s">
        <v>11404</v>
      </c>
      <c r="C4775" s="27"/>
      <c r="D4775" s="33" t="s">
        <v>14</v>
      </c>
      <c r="E4775" s="34">
        <v>2</v>
      </c>
      <c r="F4775" s="34">
        <v>155</v>
      </c>
      <c r="G4775" s="10">
        <v>587857</v>
      </c>
      <c r="H4775" s="30" t="str">
        <f ca="1">IFERROR(__xludf.DUMMYFUNCTION("LOWER(REGEXREPLACE(B4775&amp;"" ""&amp;C4775,""[^а-яa-z0-9 ]"","" ""))")," каф холодильный  среднетемпературный    0 7 01  нержавеющая сталь  размеры 740х850х2050мм  объем 700л  напряжение 220   мощность 3 77к т   5 5   ")</f>
        <v xml:space="preserve"> каф холодильный  среднетемпературный    0 7 01  нержавеющая сталь  размеры 740х850х2050мм  объем 700л  напряжение 220   мощность 3 77к т   5 5   </v>
      </c>
    </row>
    <row r="4776" spans="1:8" ht="51" x14ac:dyDescent="0.2">
      <c r="A4776" s="31" t="s">
        <v>11405</v>
      </c>
      <c r="B4776" s="27" t="s">
        <v>11406</v>
      </c>
      <c r="C4776" s="27"/>
      <c r="D4776" s="33" t="s">
        <v>14</v>
      </c>
      <c r="E4776" s="34">
        <v>2</v>
      </c>
      <c r="F4776" s="34">
        <v>220</v>
      </c>
      <c r="G4776" s="10">
        <v>839791</v>
      </c>
      <c r="H4776" s="30" t="str">
        <f ca="1">IFERROR(__xludf.DUMMYFUNCTION("LOWER(REGEXREPLACE(B4776&amp;"" ""&amp;C4776,""[^а-яa-z0-9 ]"","" ""))")," каф холодильный  среднетемпературный    1 4 01  нержавеющая сталь  размеры 1485х850х2050мм  объем 1500л  напряжение 220   мощность 4 47к т   5 5   ")</f>
        <v xml:space="preserve"> каф холодильный  среднетемпературный    1 4 01  нержавеющая сталь  размеры 1485х850х2050мм  объем 1500л  напряжение 220   мощность 4 47к т   5 5   </v>
      </c>
    </row>
    <row r="4777" spans="1:8" ht="51" x14ac:dyDescent="0.2">
      <c r="A4777" s="31" t="s">
        <v>11407</v>
      </c>
      <c r="B4777" s="27" t="s">
        <v>11408</v>
      </c>
      <c r="C4777" s="27"/>
      <c r="D4777" s="33" t="s">
        <v>14</v>
      </c>
      <c r="E4777" s="34">
        <v>2</v>
      </c>
      <c r="F4777" s="34">
        <v>145</v>
      </c>
      <c r="G4777" s="10">
        <v>574572</v>
      </c>
      <c r="H4777" s="30" t="str">
        <f ca="1">IFERROR(__xludf.DUMMYFUNCTION("LOWER(REGEXREPLACE(B4777&amp;"" ""&amp;C4777,""[^а-яa-z0-9 ]"","" ""))")," каф холодильный крашеный низкотемпературный   н 0 7  размеры 740х850х2050мм  объем 700л  напряжение 220   мощность 4 17к т   18   ")</f>
        <v xml:space="preserve"> каф холодильный крашеный низкотемпературный   н 0 7  размеры 740х850х2050мм  объем 700л  напряжение 220   мощность 4 17к т   18   </v>
      </c>
    </row>
    <row r="4778" spans="1:8" ht="51" x14ac:dyDescent="0.2">
      <c r="A4778" s="31" t="s">
        <v>11409</v>
      </c>
      <c r="B4778" s="27" t="s">
        <v>11410</v>
      </c>
      <c r="C4778" s="27"/>
      <c r="D4778" s="33" t="s">
        <v>14</v>
      </c>
      <c r="E4778" s="34">
        <v>2</v>
      </c>
      <c r="F4778" s="34">
        <v>220</v>
      </c>
      <c r="G4778" s="10">
        <v>875115</v>
      </c>
      <c r="H4778" s="30" t="str">
        <f ca="1">IFERROR(__xludf.DUMMYFUNCTION("LOWER(REGEXREPLACE(B4778&amp;"" ""&amp;C4778,""[^а-яa-z0-9 ]"","" ""))")," каф холодильный крашенный низкотемпературный   н 1 4  размеры 1485х850х2050мм  объем 1500л  напряжение 220   мощность 5 57к т   18   ")</f>
        <v xml:space="preserve"> каф холодильный крашенный низкотемпературный   н 1 4  размеры 1485х850х2050мм  объем 1500л  напряжение 220   мощность 5 57к т   18   </v>
      </c>
    </row>
    <row r="4779" spans="1:8" ht="51" x14ac:dyDescent="0.2">
      <c r="A4779" s="31" t="s">
        <v>11411</v>
      </c>
      <c r="B4779" s="27" t="s">
        <v>11412</v>
      </c>
      <c r="C4779" s="27"/>
      <c r="D4779" s="33" t="s">
        <v>14</v>
      </c>
      <c r="E4779" s="34">
        <v>2</v>
      </c>
      <c r="F4779" s="34">
        <v>145</v>
      </c>
      <c r="G4779" s="10">
        <v>641688</v>
      </c>
      <c r="H4779" s="30" t="str">
        <f ca="1">IFERROR(__xludf.DUMMYFUNCTION("LOWER(REGEXREPLACE(B4779&amp;"" ""&amp;C4779,""[^а-яa-z0-9 ]"","" ""))")," каф холодильный низкотемпературный   н 0 7 01  нержавеющая сталь  размеры 740х850х2050мм  объем 700л  напряжение 220   мощность 4 17к т   18   ")</f>
        <v xml:space="preserve"> каф холодильный низкотемпературный   н 0 7 01  нержавеющая сталь  размеры 740х850х2050мм  объем 700л  напряжение 220   мощность 4 17к т   18   </v>
      </c>
    </row>
    <row r="4780" spans="1:8" ht="51" x14ac:dyDescent="0.2">
      <c r="A4780" s="31" t="s">
        <v>11413</v>
      </c>
      <c r="B4780" s="27" t="s">
        <v>11414</v>
      </c>
      <c r="C4780" s="27"/>
      <c r="D4780" s="33" t="s">
        <v>14</v>
      </c>
      <c r="E4780" s="34">
        <v>2</v>
      </c>
      <c r="F4780" s="34">
        <v>220</v>
      </c>
      <c r="G4780" s="10">
        <v>923685</v>
      </c>
      <c r="H4780" s="30" t="str">
        <f ca="1">IFERROR(__xludf.DUMMYFUNCTION("LOWER(REGEXREPLACE(B4780&amp;"" ""&amp;C4780,""[^а-яa-z0-9 ]"","" ""))")," каф холодильный низкотемпературный   н 1 4 01  нержавеющая сталь  размеры 1485х850х2050мм  объем 1500л  напряжение 220   мощность 5 57к т   18   ")</f>
        <v xml:space="preserve"> каф холодильный низкотемпературный   н 1 4 01  нержавеющая сталь  размеры 1485х850х2050мм  объем 1500л  напряжение 220   мощность 5 57к т   18   </v>
      </c>
    </row>
    <row r="4781" spans="1:8" ht="25.5" x14ac:dyDescent="0.2">
      <c r="A4781" s="31" t="s">
        <v>11415</v>
      </c>
      <c r="B4781" s="27" t="s">
        <v>11416</v>
      </c>
      <c r="C4781" s="27"/>
      <c r="D4781" s="33" t="s">
        <v>14</v>
      </c>
      <c r="E4781" s="9"/>
      <c r="F4781" s="34">
        <v>170</v>
      </c>
      <c r="G4781" s="10">
        <v>1043750</v>
      </c>
      <c r="H4781" s="30" t="str">
        <f ca="1">IFERROR(__xludf.DUMMYFUNCTION("LOWER(REGEXREPLACE(B4781&amp;"" ""&amp;C4781,""[^а-яa-z0-9 ]"","" ""))")," тол холодильный   2  pizza     320 л  1200х705х850 1000  ")</f>
        <v xml:space="preserve"> тол холодильный   2  pizza     320 л  1200х705х850 1000  </v>
      </c>
    </row>
    <row r="4782" spans="1:8" ht="25.5" x14ac:dyDescent="0.2">
      <c r="A4782" s="31" t="s">
        <v>11417</v>
      </c>
      <c r="B4782" s="27" t="s">
        <v>11418</v>
      </c>
      <c r="C4782" s="27"/>
      <c r="D4782" s="33" t="s">
        <v>14</v>
      </c>
      <c r="E4782" s="9"/>
      <c r="F4782" s="34">
        <v>200</v>
      </c>
      <c r="G4782" s="10">
        <v>1232143</v>
      </c>
      <c r="H4782" s="30" t="str">
        <f ca="1">IFERROR(__xludf.DUMMYFUNCTION("LOWER(REGEXREPLACE(B4782&amp;"" ""&amp;C4782,""[^а-яa-z0-9 ]"","" ""))")," тол холодильный   3  pizza    1630х705х850 1000  ")</f>
        <v xml:space="preserve"> тол холодильный   3  pizza    1630х705х850 1000  </v>
      </c>
    </row>
    <row r="4783" spans="1:8" ht="12.75" x14ac:dyDescent="0.2">
      <c r="A4783" s="31" t="s">
        <v>11419</v>
      </c>
      <c r="B4783" s="27" t="s">
        <v>11420</v>
      </c>
      <c r="C4783" s="27"/>
      <c r="D4783" s="33" t="s">
        <v>14</v>
      </c>
      <c r="E4783" s="9"/>
      <c r="F4783" s="34">
        <v>50</v>
      </c>
      <c r="G4783" s="10">
        <v>363304</v>
      </c>
      <c r="H4783" s="30" t="str">
        <f ca="1">IFERROR(__xludf.DUMMYFUNCTION("LOWER(REGEXREPLACE(B4783&amp;"" ""&amp;C4783,""[^а-яa-z0-9 ]"","" ""))")," тол холодильный   101  ar  600х520х850  ")</f>
        <v xml:space="preserve"> тол холодильный   101  ar  600х520х850  </v>
      </c>
    </row>
    <row r="4784" spans="1:8" ht="25.5" x14ac:dyDescent="0.2">
      <c r="A4784" s="31" t="s">
        <v>11421</v>
      </c>
      <c r="B4784" s="27" t="s">
        <v>11422</v>
      </c>
      <c r="C4784" s="27"/>
      <c r="D4784" s="33" t="s">
        <v>14</v>
      </c>
      <c r="E4784" s="9"/>
      <c r="F4784" s="34">
        <v>130</v>
      </c>
      <c r="G4784" s="10">
        <v>665179</v>
      </c>
      <c r="H4784" s="30" t="str">
        <f ca="1">IFERROR(__xludf.DUMMYFUNCTION("LOWER(REGEXREPLACE(B4784&amp;"" ""&amp;C4784,""[^а-яa-z0-9 ]"","" ""))")," тол холодильный   2       320 л  1200х705х850 910  ")</f>
        <v xml:space="preserve"> тол холодильный   2       320 л  1200х705х850 910  </v>
      </c>
    </row>
    <row r="4785" spans="1:8" ht="25.5" x14ac:dyDescent="0.2">
      <c r="A4785" s="31" t="s">
        <v>11423</v>
      </c>
      <c r="B4785" s="27" t="s">
        <v>11424</v>
      </c>
      <c r="C4785" s="27"/>
      <c r="D4785" s="33" t="s">
        <v>14</v>
      </c>
      <c r="E4785" s="9"/>
      <c r="F4785" s="34">
        <v>150</v>
      </c>
      <c r="G4785" s="10">
        <v>793750</v>
      </c>
      <c r="H4785" s="30" t="str">
        <f ca="1">IFERROR(__xludf.DUMMYFUNCTION("LOWER(REGEXREPLACE(B4785&amp;"" ""&amp;C4785,""[^а-яa-z0-9 ]"","" ""))")," тол холодильный   3       450 л  1630х705х850 910  ")</f>
        <v xml:space="preserve"> тол холодильный   3       450 л  1630х705х850 910  </v>
      </c>
    </row>
    <row r="4786" spans="1:8" ht="25.5" x14ac:dyDescent="0.2">
      <c r="A4786" s="31" t="s">
        <v>11425</v>
      </c>
      <c r="B4786" s="27" t="s">
        <v>11426</v>
      </c>
      <c r="C4786" s="27"/>
      <c r="D4786" s="33" t="s">
        <v>14</v>
      </c>
      <c r="E4786" s="9"/>
      <c r="F4786" s="34">
        <v>125</v>
      </c>
      <c r="G4786" s="10">
        <v>723214</v>
      </c>
      <c r="H4786" s="30" t="str">
        <f ca="1">IFERROR(__xludf.DUMMYFUNCTION("LOWER(REGEXREPLACE(B4786&amp;"" ""&amp;C4786,""[^а-яa-z0-9 ]"","" ""))")," тол холодильный   2     270 л  1200х605х850 910  ")</f>
        <v xml:space="preserve"> тол холодильный   2     270 л  1200х605х850 910  </v>
      </c>
    </row>
    <row r="4787" spans="1:8" ht="25.5" x14ac:dyDescent="0.2">
      <c r="A4787" s="31" t="s">
        <v>11427</v>
      </c>
      <c r="B4787" s="27" t="s">
        <v>11428</v>
      </c>
      <c r="C4787" s="27"/>
      <c r="D4787" s="33" t="s">
        <v>14</v>
      </c>
      <c r="E4787" s="9"/>
      <c r="F4787" s="34">
        <v>130</v>
      </c>
      <c r="G4787" s="10">
        <v>745536</v>
      </c>
      <c r="H4787" s="30" t="str">
        <f ca="1">IFERROR(__xludf.DUMMYFUNCTION("LOWER(REGEXREPLACE(B4787&amp;"" ""&amp;C4787,""[^а-яa-z0-9 ]"","" ""))")," тол холодильный   2       320 л  1200х705х850 910  ")</f>
        <v xml:space="preserve"> тол холодильный   2       320 л  1200х705х850 910  </v>
      </c>
    </row>
    <row r="4788" spans="1:8" ht="25.5" x14ac:dyDescent="0.2">
      <c r="A4788" s="31" t="s">
        <v>11429</v>
      </c>
      <c r="B4788" s="27" t="s">
        <v>11430</v>
      </c>
      <c r="C4788" s="27"/>
      <c r="D4788" s="33" t="s">
        <v>14</v>
      </c>
      <c r="E4788" s="9"/>
      <c r="F4788" s="34">
        <v>160</v>
      </c>
      <c r="G4788" s="10">
        <v>1043750</v>
      </c>
      <c r="H4788" s="30" t="str">
        <f ca="1">IFERROR(__xludf.DUMMYFUNCTION("LOWER(REGEXREPLACE(B4788&amp;"" ""&amp;C4788,""[^а-яa-z0-9 ]"","" ""))")," тол холодильный   2pizza     270 л  1200х605х850 910  ")</f>
        <v xml:space="preserve"> тол холодильный   2pizza     270 л  1200х605х850 910  </v>
      </c>
    </row>
    <row r="4789" spans="1:8" ht="25.5" x14ac:dyDescent="0.2">
      <c r="A4789" s="31" t="s">
        <v>11431</v>
      </c>
      <c r="B4789" s="27" t="s">
        <v>11432</v>
      </c>
      <c r="C4789" s="27"/>
      <c r="D4789" s="33" t="s">
        <v>14</v>
      </c>
      <c r="E4789" s="9"/>
      <c r="F4789" s="34">
        <v>160</v>
      </c>
      <c r="G4789" s="10">
        <v>1006250</v>
      </c>
      <c r="H4789" s="30" t="str">
        <f ca="1">IFERROR(__xludf.DUMMYFUNCTION("LOWER(REGEXREPLACE(B4789&amp;"" ""&amp;C4789,""[^а-яa-z0-9 ]"","" ""))")," тол холодильный   4     500 л  2060х605х850 910  ")</f>
        <v xml:space="preserve"> тол холодильный   4     500 л  2060х605х850 910  </v>
      </c>
    </row>
    <row r="4790" spans="1:8" ht="12.75" x14ac:dyDescent="0.2">
      <c r="A4790" s="31" t="s">
        <v>11433</v>
      </c>
      <c r="B4790" s="27" t="s">
        <v>11434</v>
      </c>
      <c r="C4790" s="27"/>
      <c r="D4790" s="33" t="s">
        <v>14</v>
      </c>
      <c r="E4790" s="9"/>
      <c r="F4790" s="34">
        <v>80</v>
      </c>
      <c r="G4790" s="10">
        <v>518393</v>
      </c>
      <c r="H4790" s="30" t="str">
        <f ca="1">IFERROR(__xludf.DUMMYFUNCTION("LOWER(REGEXREPLACE(B4790&amp;"" ""&amp;C4790,""[^а-яa-z0-9 ]"","" ""))")," тол холодильный     2 60  1350х600х880  ")</f>
        <v xml:space="preserve"> тол холодильный     2 60  1350х600х880  </v>
      </c>
    </row>
    <row r="4791" spans="1:8" ht="12.75" x14ac:dyDescent="0.2">
      <c r="A4791" s="31" t="s">
        <v>11435</v>
      </c>
      <c r="B4791" s="27" t="s">
        <v>11436</v>
      </c>
      <c r="C4791" s="27"/>
      <c r="D4791" s="33" t="s">
        <v>14</v>
      </c>
      <c r="E4791" s="9"/>
      <c r="F4791" s="32"/>
      <c r="G4791" s="10"/>
      <c r="H4791" s="30" t="str">
        <f ca="1">IFERROR(__xludf.DUMMYFUNCTION("LOWER(REGEXREPLACE(B4791&amp;"" ""&amp;C4791,""[^а-яa-z0-9 ]"","" ""))")," тол холодильный ")</f>
        <v xml:space="preserve"> тол холодильный </v>
      </c>
    </row>
    <row r="4792" spans="1:8" ht="38.25" x14ac:dyDescent="0.2">
      <c r="A4792" s="31" t="s">
        <v>11437</v>
      </c>
      <c r="B4792" s="27" t="s">
        <v>11438</v>
      </c>
      <c r="C4792" s="27"/>
      <c r="D4792" s="33" t="s">
        <v>14</v>
      </c>
      <c r="E4792" s="9"/>
      <c r="F4792" s="34">
        <v>110</v>
      </c>
      <c r="G4792" s="10">
        <v>706122</v>
      </c>
      <c r="H4792" s="30" t="str">
        <f ca="1">IFERROR(__xludf.DUMMYFUNCTION("LOWER(REGEXREPLACE(B4792&amp;"" ""&amp;C4792,""[^а-яa-z0-9 ]"","" ""))")," тол холодильный     4 60  размеры 2200х600х880 мм  объем 515 л  мощность 0 175 к т  напряжение 220   ")</f>
        <v xml:space="preserve"> тол холодильный     4 60  размеры 2200х600х880 мм  объем 515 л  мощность 0 175 к т  напряжение 220   </v>
      </c>
    </row>
    <row r="4793" spans="1:8" ht="51" x14ac:dyDescent="0.2">
      <c r="A4793" s="31" t="s">
        <v>11439</v>
      </c>
      <c r="B4793" s="8" t="s">
        <v>11440</v>
      </c>
      <c r="C4793" s="27"/>
      <c r="D4793" s="33" t="s">
        <v>14</v>
      </c>
      <c r="E4793" s="9"/>
      <c r="F4793" s="34">
        <v>125</v>
      </c>
      <c r="G4793" s="10">
        <v>1205508</v>
      </c>
      <c r="H4793" s="30" t="str">
        <f ca="1">IFERROR(__xludf.DUMMYFUNCTION("LOWER(REGEXREPLACE(B4793&amp;"" ""&amp;C4793,""[^а-яa-z0-9 ]"","" ""))")," тол холодильный среднетемпературный    147    размеры 1360x700x850 мм  объем 282 л  мощность 0 495 к т  напряжение 220   ")</f>
        <v xml:space="preserve"> тол холодильный среднетемпературный    147    размеры 1360x700x850 мм  объем 282 л  мощность 0 495 к т  напряжение 220   </v>
      </c>
    </row>
    <row r="4794" spans="1:8" ht="51" x14ac:dyDescent="0.2">
      <c r="A4794" s="31" t="s">
        <v>11441</v>
      </c>
      <c r="B4794" s="8" t="s">
        <v>11442</v>
      </c>
      <c r="C4794" s="27"/>
      <c r="D4794" s="33" t="s">
        <v>14</v>
      </c>
      <c r="E4794" s="9"/>
      <c r="F4794" s="34">
        <v>125</v>
      </c>
      <c r="G4794" s="10">
        <v>1525656</v>
      </c>
      <c r="H4794" s="30" t="str">
        <f ca="1">IFERROR(__xludf.DUMMYFUNCTION("LOWER(REGEXREPLACE(B4794&amp;"" ""&amp;C4794,""[^а-яa-z0-9 ]"","" ""))")," тол холодильный низкотемпературный    147    размеры 1360x700x850 мм  объем 282 л  мощность 0 675 к т  напряжение 220   ")</f>
        <v xml:space="preserve"> тол холодильный низкотемпературный    147    размеры 1360x700x850 мм  объем 282 л  мощность 0 675 к т  напряжение 220   </v>
      </c>
    </row>
    <row r="4795" spans="1:8" ht="51" x14ac:dyDescent="0.2">
      <c r="A4795" s="31" t="s">
        <v>11443</v>
      </c>
      <c r="B4795" s="8" t="s">
        <v>11444</v>
      </c>
      <c r="C4795" s="27"/>
      <c r="D4795" s="33" t="s">
        <v>14</v>
      </c>
      <c r="E4795" s="9"/>
      <c r="F4795" s="34">
        <v>160</v>
      </c>
      <c r="G4795" s="10">
        <v>1462644</v>
      </c>
      <c r="H4795" s="30" t="str">
        <f ca="1">IFERROR(__xludf.DUMMYFUNCTION("LOWER(REGEXREPLACE(B4795&amp;"" ""&amp;C4795,""[^а-яa-z0-9 ]"","" ""))")," тол холодильный среднетемпературный    187    размеры 1795x700x850 мм  объем 417 л  мощность 0 495 к т  напряжение 220   ")</f>
        <v xml:space="preserve"> тол холодильный среднетемпературный    187    размеры 1795x700x850 мм  объем 417 л  мощность 0 495 к т  напряжение 220   </v>
      </c>
    </row>
    <row r="4796" spans="1:8" ht="38.25" x14ac:dyDescent="0.2">
      <c r="A4796" s="31" t="s">
        <v>11445</v>
      </c>
      <c r="B4796" s="27" t="s">
        <v>11446</v>
      </c>
      <c r="C4796" s="27"/>
      <c r="D4796" s="33" t="s">
        <v>14</v>
      </c>
      <c r="E4796" s="9"/>
      <c r="F4796" s="34">
        <v>160</v>
      </c>
      <c r="G4796" s="10">
        <v>1750414</v>
      </c>
      <c r="H4796" s="30" t="str">
        <f ca="1">IFERROR(__xludf.DUMMYFUNCTION("LOWER(REGEXREPLACE(B4796&amp;"" ""&amp;C4796,""[^а-яa-z0-9 ]"","" ""))")," тол холодильный низкотемпературный    187    размеры 1795x700x850 мм  объем 417 л  мощность 0 85 к т  напряжение 220   ")</f>
        <v xml:space="preserve"> тол холодильный низкотемпературный    187    размеры 1795x700x850 мм  объем 417 л  мощность 0 85 к т  напряжение 220   </v>
      </c>
    </row>
    <row r="4797" spans="1:8" ht="51" x14ac:dyDescent="0.2">
      <c r="A4797" s="31" t="s">
        <v>11447</v>
      </c>
      <c r="B4797" s="8" t="s">
        <v>11448</v>
      </c>
      <c r="C4797" s="27"/>
      <c r="D4797" s="33" t="s">
        <v>14</v>
      </c>
      <c r="E4797" s="9"/>
      <c r="F4797" s="34">
        <v>183</v>
      </c>
      <c r="G4797" s="10">
        <v>1715009</v>
      </c>
      <c r="H4797" s="30" t="str">
        <f ca="1">IFERROR(__xludf.DUMMYFUNCTION("LOWER(REGEXREPLACE(B4797&amp;"" ""&amp;C4797,""[^а-яa-z0-9 ]"","" ""))")," тол холодильный среднетемпературный    227    размеры 2230x700x850 мм  объем 553 л  мощность 0 398 к т  напряжение 220   ")</f>
        <v xml:space="preserve"> тол холодильный среднетемпературный    227    размеры 2230x700x850 мм  объем 553 л  мощность 0 398 к т  напряжение 220   </v>
      </c>
    </row>
    <row r="4798" spans="1:8" ht="38.25" x14ac:dyDescent="0.2">
      <c r="A4798" s="31" t="s">
        <v>11449</v>
      </c>
      <c r="B4798" s="27" t="s">
        <v>11450</v>
      </c>
      <c r="C4798" s="27"/>
      <c r="D4798" s="33" t="s">
        <v>14</v>
      </c>
      <c r="E4798" s="9"/>
      <c r="F4798" s="34">
        <v>183</v>
      </c>
      <c r="G4798" s="10">
        <v>2140672</v>
      </c>
      <c r="H4798" s="30" t="str">
        <f ca="1">IFERROR(__xludf.DUMMYFUNCTION("LOWER(REGEXREPLACE(B4798&amp;"" ""&amp;C4798,""[^а-яa-z0-9 ]"","" ""))")," тол холодильный низкотемпературный    227    размеры 2230x700x850 мм  объем 553 л  мощность 0 9 к т  напряжение 220   ")</f>
        <v xml:space="preserve"> тол холодильный низкотемпературный    227    размеры 2230x700x850 мм  объем 553 л  мощность 0 9 к т  напряжение 220   </v>
      </c>
    </row>
    <row r="4799" spans="1:8" ht="38.25" x14ac:dyDescent="0.2">
      <c r="A4799" s="31" t="s">
        <v>11451</v>
      </c>
      <c r="B4799" s="27" t="s">
        <v>11452</v>
      </c>
      <c r="C4799" s="27"/>
      <c r="D4799" s="33" t="s">
        <v>14</v>
      </c>
      <c r="E4799" s="9"/>
      <c r="F4799" s="34">
        <v>156</v>
      </c>
      <c r="G4799" s="10">
        <v>1472539</v>
      </c>
      <c r="H4799" s="30" t="str">
        <f ca="1">IFERROR(__xludf.DUMMYFUNCTION("LOWER(REGEXREPLACE(B4799&amp;"" ""&amp;C4799,""[^а-яa-z0-9 ]"","" ""))")," тол холодильный среднетемпературный    157    размеры 1360x700x1085 мм  объем 282 л  мощность 0 23 к т  напряжение 220   ")</f>
        <v xml:space="preserve"> тол холодильный среднетемпературный    157    размеры 1360x700x1085 мм  объем 282 л  мощность 0 23 к т  напряжение 220   </v>
      </c>
    </row>
    <row r="4800" spans="1:8" ht="38.25" x14ac:dyDescent="0.2">
      <c r="A4800" s="31" t="s">
        <v>11453</v>
      </c>
      <c r="B4800" s="27" t="s">
        <v>11454</v>
      </c>
      <c r="C4800" s="27"/>
      <c r="D4800" s="33" t="s">
        <v>14</v>
      </c>
      <c r="E4800" s="9"/>
      <c r="F4800" s="34">
        <v>130</v>
      </c>
      <c r="G4800" s="10">
        <v>1646866</v>
      </c>
      <c r="H4800" s="30" t="str">
        <f ca="1">IFERROR(__xludf.DUMMYFUNCTION("LOWER(REGEXREPLACE(B4800&amp;"" ""&amp;C4800,""[^а-яa-z0-9 ]"","" ""))")," тол холодильный среднетемпературный    158    размеры 1360x800x1085 мм  объем 390 л  мощность 0 23 к т  напряжение 220   ")</f>
        <v xml:space="preserve"> тол холодильный среднетемпературный    158    размеры 1360x800x1085 мм  объем 390 л  мощность 0 23 к т  напряжение 220   </v>
      </c>
    </row>
    <row r="4801" spans="1:8" ht="38.25" x14ac:dyDescent="0.2">
      <c r="A4801" s="31" t="s">
        <v>11455</v>
      </c>
      <c r="B4801" s="27" t="s">
        <v>11456</v>
      </c>
      <c r="C4801" s="27"/>
      <c r="D4801" s="33" t="s">
        <v>14</v>
      </c>
      <c r="E4801" s="9"/>
      <c r="F4801" s="34">
        <v>169</v>
      </c>
      <c r="G4801" s="10">
        <v>1697232</v>
      </c>
      <c r="H4801" s="30" t="str">
        <f ca="1">IFERROR(__xludf.DUMMYFUNCTION("LOWER(REGEXREPLACE(B4801&amp;"" ""&amp;C4801,""[^а-яa-z0-9 ]"","" ""))")," тол холодильный среднетемпературный    207    размеры 1795x700x1085 мм  объем 417 л  мощность 0 23 к т  напряжение 220   ")</f>
        <v xml:space="preserve"> тол холодильный среднетемпературный    207    размеры 1795x700x1085 мм  объем 417 л  мощность 0 23 к т  напряжение 220   </v>
      </c>
    </row>
    <row r="4802" spans="1:8" ht="38.25" x14ac:dyDescent="0.2">
      <c r="A4802" s="31" t="s">
        <v>11457</v>
      </c>
      <c r="B4802" s="27" t="s">
        <v>11458</v>
      </c>
      <c r="C4802" s="27"/>
      <c r="D4802" s="33" t="s">
        <v>14</v>
      </c>
      <c r="E4802" s="9"/>
      <c r="F4802" s="34">
        <v>169</v>
      </c>
      <c r="G4802" s="10">
        <v>1871636</v>
      </c>
      <c r="H4802" s="30" t="str">
        <f ca="1">IFERROR(__xludf.DUMMYFUNCTION("LOWER(REGEXREPLACE(B4802&amp;"" ""&amp;C4802,""[^а-яa-z0-9 ]"","" ""))")," тол холодильный среднетемпературный    208    размеры 2020x700x1085 мм  объем 580 л  мощность 0 23 к т  напряжение 220   ")</f>
        <v xml:space="preserve"> тол холодильный среднетемпературный    208    размеры 2020x700x1085 мм  объем 580 л  мощность 0 23 к т  напряжение 220   </v>
      </c>
    </row>
    <row r="4803" spans="1:8" ht="38.25" x14ac:dyDescent="0.2">
      <c r="A4803" s="31" t="s">
        <v>11459</v>
      </c>
      <c r="B4803" s="27" t="s">
        <v>11460</v>
      </c>
      <c r="C4803" s="27"/>
      <c r="D4803" s="33" t="s">
        <v>14</v>
      </c>
      <c r="E4803" s="9"/>
      <c r="F4803" s="34">
        <v>125</v>
      </c>
      <c r="G4803" s="10">
        <v>969930</v>
      </c>
      <c r="H4803" s="30" t="str">
        <f ca="1">IFERROR(__xludf.DUMMYFUNCTION("LOWER(REGEXREPLACE(B4803&amp;"" ""&amp;C4803,""[^а-яa-z0-9 ]"","" ""))")," тол холодильный среднетемпературный    97     размеры 900x700x970 мм  объем 240 л  мощность 0 23 к т  напряжение 220   ")</f>
        <v xml:space="preserve"> тол холодильный среднетемпературный    97     размеры 900x700x970 мм  объем 240 л  мощность 0 23 к т  напряжение 220   </v>
      </c>
    </row>
    <row r="4804" spans="1:8" ht="38.25" x14ac:dyDescent="0.2">
      <c r="A4804" s="31" t="s">
        <v>11461</v>
      </c>
      <c r="B4804" s="27" t="s">
        <v>11462</v>
      </c>
      <c r="C4804" s="27"/>
      <c r="D4804" s="33" t="s">
        <v>14</v>
      </c>
      <c r="E4804" s="9"/>
      <c r="F4804" s="34">
        <v>125</v>
      </c>
      <c r="G4804" s="10">
        <v>1380813</v>
      </c>
      <c r="H4804" s="30" t="str">
        <f ca="1">IFERROR(__xludf.DUMMYFUNCTION("LOWER(REGEXREPLACE(B4804&amp;"" ""&amp;C4804,""[^а-яa-z0-9 ]"","" ""))")," тол холодильный среднетемпературный    147     размеры 1365x700x970 мм  объем 392 л  мощность 0 23 к т  напряжение 220   ")</f>
        <v xml:space="preserve"> тол холодильный среднетемпературный    147     размеры 1365x700x970 мм  объем 392 л  мощность 0 23 к т  напряжение 220   </v>
      </c>
    </row>
    <row r="4805" spans="1:8" ht="38.25" x14ac:dyDescent="0.2">
      <c r="A4805" s="31" t="s">
        <v>11463</v>
      </c>
      <c r="B4805" s="27" t="s">
        <v>11464</v>
      </c>
      <c r="C4805" s="27"/>
      <c r="D4805" s="33" t="s">
        <v>14</v>
      </c>
      <c r="E4805" s="9"/>
      <c r="F4805" s="34">
        <v>50</v>
      </c>
      <c r="G4805" s="10">
        <v>635684</v>
      </c>
      <c r="H4805" s="30" t="str">
        <f ca="1">IFERROR(__xludf.DUMMYFUNCTION("LOWER(REGEXREPLACE(B4805&amp;"" ""&amp;C4805,""[^а-яa-z0-9 ]"","" ""))")," тол холодильный среднетемпературный    65   размеры 600x510x895 мм  объем 126 л  мощность 0 23 к т  напряжение 220   ")</f>
        <v xml:space="preserve"> тол холодильный среднетемпературный    65   размеры 600x510x895 мм  объем 126 л  мощность 0 23 к т  напряжение 220   </v>
      </c>
    </row>
    <row r="4806" spans="1:8" ht="38.25" x14ac:dyDescent="0.2">
      <c r="A4806" s="31" t="s">
        <v>11465</v>
      </c>
      <c r="B4806" s="27" t="s">
        <v>11466</v>
      </c>
      <c r="C4806" s="27"/>
      <c r="D4806" s="33" t="s">
        <v>14</v>
      </c>
      <c r="E4806" s="9"/>
      <c r="F4806" s="34">
        <v>68</v>
      </c>
      <c r="G4806" s="10">
        <v>718504</v>
      </c>
      <c r="H4806" s="30" t="str">
        <f ca="1">IFERROR(__xludf.DUMMYFUNCTION("LOWER(REGEXREPLACE(B4806&amp;"" ""&amp;C4806,""[^а-яa-z0-9 ]"","" ""))")," тол холодильный среднетемпературный    95   размеры 920x510x895 мм  объем 220 л  мощность 0 25 к т  напряжение 220   ")</f>
        <v xml:space="preserve"> тол холодильный среднетемпературный    95   размеры 920x510x895 мм  объем 220 л  мощность 0 25 к т  напряжение 220   </v>
      </c>
    </row>
    <row r="4807" spans="1:8" ht="38.25" x14ac:dyDescent="0.2">
      <c r="A4807" s="31" t="s">
        <v>11467</v>
      </c>
      <c r="B4807" s="27" t="s">
        <v>11468</v>
      </c>
      <c r="C4807" s="27"/>
      <c r="D4807" s="33" t="s">
        <v>14</v>
      </c>
      <c r="E4807" s="9"/>
      <c r="F4807" s="34">
        <v>100</v>
      </c>
      <c r="G4807" s="10">
        <v>901870</v>
      </c>
      <c r="H4807" s="30" t="str">
        <f ca="1">IFERROR(__xludf.DUMMYFUNCTION("LOWER(REGEXREPLACE(B4807&amp;"" ""&amp;C4807,""[^а-яa-z0-9 ]"","" ""))")," тол холодильный среднетемпературный    135   размеры 1335x510x895 мм  объем 300 л  мощность 0 26 к т  напряжение 220   ")</f>
        <v xml:space="preserve"> тол холодильный среднетемпературный    135   размеры 1335x510x895 мм  объем 300 л  мощность 0 26 к т  напряжение 220   </v>
      </c>
    </row>
    <row r="4808" spans="1:8" ht="25.5" x14ac:dyDescent="0.2">
      <c r="A4808" s="31" t="s">
        <v>11469</v>
      </c>
      <c r="B4808" s="27" t="s">
        <v>11470</v>
      </c>
      <c r="C4808" s="27"/>
      <c r="D4808" s="33" t="s">
        <v>14</v>
      </c>
      <c r="E4808" s="9"/>
      <c r="F4808" s="34">
        <v>94</v>
      </c>
      <c r="G4808" s="10">
        <v>764911</v>
      </c>
      <c r="H4808" s="30" t="str">
        <f ca="1">IFERROR(__xludf.DUMMYFUNCTION("LOWER(REGEXREPLACE(B4808&amp;"" ""&amp;C4808,""[^а-яa-z0-9 ]"","" ""))")," каф стол холодильный     0 2 1400  нержавейка    220 л  1393х600х840  ")</f>
        <v xml:space="preserve"> каф стол холодильный     0 2 1400  нержавейка    220 л  1393х600х840  </v>
      </c>
    </row>
    <row r="4809" spans="1:8" ht="12.75" x14ac:dyDescent="0.2">
      <c r="A4809" s="31" t="s">
        <v>11471</v>
      </c>
      <c r="B4809" s="27" t="s">
        <v>11472</v>
      </c>
      <c r="C4809" s="27"/>
      <c r="D4809" s="33" t="s">
        <v>14</v>
      </c>
      <c r="E4809" s="9"/>
      <c r="F4809" s="32"/>
      <c r="G4809" s="10"/>
      <c r="H4809" s="30" t="str">
        <f ca="1">IFERROR(__xludf.DUMMYFUNCTION("LOWER(REGEXREPLACE(B4809&amp;"" ""&amp;C4809,""[^а-яa-z0-9 ]"","" ""))")," ьдогенератор ")</f>
        <v xml:space="preserve"> ьдогенератор </v>
      </c>
    </row>
    <row r="4810" spans="1:8" ht="51" x14ac:dyDescent="0.2">
      <c r="A4810" s="31" t="s">
        <v>11473</v>
      </c>
      <c r="B4810" s="8" t="s">
        <v>11474</v>
      </c>
      <c r="C4810" s="27"/>
      <c r="D4810" s="33" t="s">
        <v>14</v>
      </c>
      <c r="E4810" s="9"/>
      <c r="F4810" s="34">
        <v>31</v>
      </c>
      <c r="G4810" s="10">
        <v>756824</v>
      </c>
      <c r="H4810" s="30" t="str">
        <f ca="1">IFERROR(__xludf.DUMMYFUNCTION("LOWER(REGEXREPLACE(B4810&amp;"" ""&amp;C4810,""[^а-яa-z0-9 ]"","" ""))")," ьдогенератор кубикового льда     356    размеры 398x510x608 мм  производительность 28 кг сутки  мощность 0 24 к т  напряжение 220   ")</f>
        <v xml:space="preserve"> ьдогенератор кубикового льда     356    размеры 398x510x608 мм  производительность 28 кг сутки  мощность 0 24 к т  напряжение 220   </v>
      </c>
    </row>
    <row r="4811" spans="1:8" ht="51" x14ac:dyDescent="0.2">
      <c r="A4811" s="31" t="s">
        <v>11475</v>
      </c>
      <c r="B4811" s="8" t="s">
        <v>11476</v>
      </c>
      <c r="C4811" s="27"/>
      <c r="D4811" s="33" t="s">
        <v>14</v>
      </c>
      <c r="E4811" s="9"/>
      <c r="F4811" s="34">
        <v>64</v>
      </c>
      <c r="G4811" s="10">
        <v>1120507</v>
      </c>
      <c r="H4811" s="30" t="str">
        <f ca="1">IFERROR(__xludf.DUMMYFUNCTION("LOWER(REGEXREPLACE(B4811&amp;"" ""&amp;C4811,""[^а-яa-z0-9 ]"","" ""))")," ьдогенератор кубикового льда     556    размеры 548x572x670 мм  производительность 52 кг сутки  мощность 0 32 к т  напряжение 220   ")</f>
        <v xml:space="preserve"> ьдогенератор кубикового льда     556    размеры 548x572x670 мм  производительность 52 кг сутки  мощность 0 32 к т  напряжение 220   </v>
      </c>
    </row>
    <row r="4812" spans="1:8" ht="51" x14ac:dyDescent="0.2">
      <c r="A4812" s="31" t="s">
        <v>11477</v>
      </c>
      <c r="B4812" s="8" t="s">
        <v>11478</v>
      </c>
      <c r="C4812" s="27"/>
      <c r="D4812" s="33" t="s">
        <v>14</v>
      </c>
      <c r="E4812" s="9"/>
      <c r="F4812" s="34">
        <v>72</v>
      </c>
      <c r="G4812" s="10">
        <v>1377701</v>
      </c>
      <c r="H4812" s="30" t="str">
        <f ca="1">IFERROR(__xludf.DUMMYFUNCTION("LOWER(REGEXREPLACE(B4812&amp;"" ""&amp;C4812,""[^а-яa-z0-9 ]"","" ""))")," ьдогенератор кубикового льда     569    размеры 500x612x910 мм  производительность 80 кг сутки  мощность 0 44 к т  напряжение 220   ")</f>
        <v xml:space="preserve"> ьдогенератор кубикового льда     569    размеры 500x612x910 мм  производительность 80 кг сутки  мощность 0 44 к т  напряжение 220   </v>
      </c>
    </row>
    <row r="4813" spans="1:8" ht="12.75" x14ac:dyDescent="0.2">
      <c r="A4813" s="31" t="s">
        <v>11479</v>
      </c>
      <c r="B4813" s="27" t="s">
        <v>11480</v>
      </c>
      <c r="C4813" s="27"/>
      <c r="D4813" s="33" t="s">
        <v>14</v>
      </c>
      <c r="E4813" s="9"/>
      <c r="F4813" s="32"/>
      <c r="G4813" s="10"/>
      <c r="H4813" s="30" t="str">
        <f ca="1">IFERROR(__xludf.DUMMYFUNCTION("LOWER(REGEXREPLACE(B4813&amp;"" ""&amp;C4813,""[^а-яa-z0-9 ]"","" ""))")," каф морозильный ")</f>
        <v xml:space="preserve"> каф морозильный </v>
      </c>
    </row>
    <row r="4814" spans="1:8" ht="38.25" x14ac:dyDescent="0.2">
      <c r="A4814" s="31" t="s">
        <v>11481</v>
      </c>
      <c r="B4814" s="27" t="s">
        <v>11482</v>
      </c>
      <c r="C4814" s="27"/>
      <c r="D4814" s="33" t="s">
        <v>14</v>
      </c>
      <c r="E4814" s="9"/>
      <c r="F4814" s="34">
        <v>128</v>
      </c>
      <c r="G4814" s="10">
        <v>6326767</v>
      </c>
      <c r="H4814" s="30" t="str">
        <f ca="1">IFERROR(__xludf.DUMMYFUNCTION("LOWER(REGEXREPLACE(B4814&amp;"" ""&amp;C4814,""[^а-яa-z0-9 ]"","" ""))")," каф морозильный шоковой заморозки     101  размеры 790х820х1430 мм  мощность 1 5 к т  напряжение 220   ")</f>
        <v xml:space="preserve"> каф морозильный шоковой заморозки     101  размеры 790х820х1430 мм  мощность 1 5 к т  напряжение 220   </v>
      </c>
    </row>
    <row r="4815" spans="1:8" ht="38.25" x14ac:dyDescent="0.2">
      <c r="A4815" s="31" t="s">
        <v>11483</v>
      </c>
      <c r="B4815" s="27" t="s">
        <v>11484</v>
      </c>
      <c r="C4815" s="27"/>
      <c r="D4815" s="33" t="s">
        <v>14</v>
      </c>
      <c r="E4815" s="9"/>
      <c r="F4815" s="34">
        <v>184</v>
      </c>
      <c r="G4815" s="10">
        <v>10383679</v>
      </c>
      <c r="H4815" s="30" t="str">
        <f ca="1">IFERROR(__xludf.DUMMYFUNCTION("LOWER(REGEXREPLACE(B4815&amp;"" ""&amp;C4815,""[^а-яa-z0-9 ]"","" ""))")," каф морозильный шоковой заморозки     151  размеры 790х820х1800 мм  мощность 1 7 к т  напряжение 220   ")</f>
        <v xml:space="preserve"> каф морозильный шоковой заморозки     151  размеры 790х820х1800 мм  мощность 1 7 к т  напряжение 220   </v>
      </c>
    </row>
    <row r="4816" spans="1:8" ht="12.75" x14ac:dyDescent="0.2">
      <c r="A4816" s="31" t="s">
        <v>11485</v>
      </c>
      <c r="B4816" s="27" t="s">
        <v>11486</v>
      </c>
      <c r="C4816" s="27"/>
      <c r="D4816" s="32"/>
      <c r="E4816" s="9"/>
      <c r="F4816" s="32"/>
      <c r="G4816" s="10"/>
      <c r="H4816" s="30" t="str">
        <f ca="1">IFERROR(__xludf.DUMMYFUNCTION("LOWER(REGEXREPLACE(B4816&amp;"" ""&amp;C4816,""[^а-яa-z0-9 ]"","" ""))")," лебопекарное оборудование ")</f>
        <v xml:space="preserve"> лебопекарное оборудование </v>
      </c>
    </row>
    <row r="4817" spans="1:8" ht="38.25" x14ac:dyDescent="0.2">
      <c r="A4817" s="31" t="s">
        <v>11487</v>
      </c>
      <c r="B4817" s="8" t="s">
        <v>11488</v>
      </c>
      <c r="C4817" s="27"/>
      <c r="D4817" s="33" t="s">
        <v>14</v>
      </c>
      <c r="E4817" s="9"/>
      <c r="F4817" s="34">
        <v>136</v>
      </c>
      <c r="G4817" s="10">
        <v>3158183</v>
      </c>
      <c r="H4817" s="30" t="str">
        <f ca="1">IFERROR(__xludf.DUMMYFUNCTION("LOWER(REGEXREPLACE(B4817&amp;"" ""&amp;C4817,""[^а-яa-z0-9 ]"","" ""))")," ечь конвекционная           10    1   860х957х1163 мм  10 листов 600х400  14 9 к т  380    ")</f>
        <v xml:space="preserve"> ечь конвекционная           10    1   860х957х1163 мм  10 листов 600х400  14 9 к т  380    </v>
      </c>
    </row>
    <row r="4818" spans="1:8" ht="25.5" x14ac:dyDescent="0.2">
      <c r="A4818" s="31" t="s">
        <v>11489</v>
      </c>
      <c r="B4818" s="8" t="s">
        <v>11490</v>
      </c>
      <c r="C4818" s="27"/>
      <c r="D4818" s="33" t="s">
        <v>14</v>
      </c>
      <c r="E4818" s="9"/>
      <c r="F4818" s="34">
        <v>37</v>
      </c>
      <c r="G4818" s="10">
        <v>451365</v>
      </c>
      <c r="H4818" s="30" t="str">
        <f ca="1">IFERROR(__xludf.DUMMYFUNCTION("LOWER(REGEXREPLACE(B4818&amp;"" ""&amp;C4818,""[^а-яa-z0-9 ]"","" ""))")," ечь конвекционная         5004   4 противня 480х345  3 3 к т  600x600x540  ")</f>
        <v xml:space="preserve"> ечь конвекционная         5004   4 противня 480х345  3 3 к т  600x600x540  </v>
      </c>
    </row>
    <row r="4819" spans="1:8" ht="12.75" x14ac:dyDescent="0.2">
      <c r="A4819" s="31" t="s">
        <v>11491</v>
      </c>
      <c r="B4819" s="27" t="s">
        <v>11492</v>
      </c>
      <c r="C4819" s="27"/>
      <c r="D4819" s="33" t="s">
        <v>14</v>
      </c>
      <c r="E4819" s="9"/>
      <c r="F4819" s="32"/>
      <c r="G4819" s="10"/>
      <c r="H4819" s="30" t="str">
        <f ca="1">IFERROR(__xludf.DUMMYFUNCTION("LOWER(REGEXREPLACE(B4819&amp;"" ""&amp;C4819,""[^а-яa-z0-9 ]"","" ""))")," ечь конвекционная ")</f>
        <v xml:space="preserve"> ечь конвекционная </v>
      </c>
    </row>
    <row r="4820" spans="1:8" ht="38.25" x14ac:dyDescent="0.2">
      <c r="A4820" s="31" t="s">
        <v>11493</v>
      </c>
      <c r="B4820" s="8" t="s">
        <v>11494</v>
      </c>
      <c r="C4820" s="27"/>
      <c r="D4820" s="33" t="s">
        <v>14</v>
      </c>
      <c r="E4820" s="9"/>
      <c r="F4820" s="34">
        <v>90</v>
      </c>
      <c r="G4820" s="10">
        <v>1684906</v>
      </c>
      <c r="H4820" s="30" t="str">
        <f ca="1">IFERROR(__xludf.DUMMYFUNCTION("LOWER(REGEXREPLACE(B4820&amp;"" ""&amp;C4820,""[^а-яa-z0-9 ]"","" ""))")," ечь конвекционная           04    1    размеры 860x967x675 мм  мощность 7 4 к т  напряжение 220 380   ")</f>
        <v xml:space="preserve"> ечь конвекционная           04    1    размеры 860x967x675 мм  мощность 7 4 к т  напряжение 220 380   </v>
      </c>
    </row>
    <row r="4821" spans="1:8" ht="38.25" x14ac:dyDescent="0.2">
      <c r="A4821" s="31" t="s">
        <v>11495</v>
      </c>
      <c r="B4821" s="27" t="s">
        <v>11496</v>
      </c>
      <c r="C4821" s="27"/>
      <c r="D4821" s="33" t="s">
        <v>14</v>
      </c>
      <c r="E4821" s="9"/>
      <c r="F4821" s="34">
        <v>39</v>
      </c>
      <c r="G4821" s="10">
        <v>541970</v>
      </c>
      <c r="H4821" s="30" t="str">
        <f ca="1">IFERROR(__xludf.DUMMYFUNCTION("LOWER(REGEXREPLACE(B4821&amp;"" ""&amp;C4821,""[^а-яa-z0-9 ]"","" ""))")," ечь конвекционная     4   размеры 595х600х580 мм  мощность 2 6 к т  напряжение 220   ")</f>
        <v xml:space="preserve"> ечь конвекционная     4   размеры 595х600х580 мм  мощность 2 6 к т  напряжение 220   </v>
      </c>
    </row>
    <row r="4822" spans="1:8" ht="38.25" x14ac:dyDescent="0.2">
      <c r="A4822" s="31" t="s">
        <v>11497</v>
      </c>
      <c r="B4822" s="27" t="s">
        <v>11498</v>
      </c>
      <c r="C4822" s="27"/>
      <c r="D4822" s="33" t="s">
        <v>14</v>
      </c>
      <c r="E4822" s="9"/>
      <c r="F4822" s="34">
        <v>56</v>
      </c>
      <c r="G4822" s="10">
        <v>875171</v>
      </c>
      <c r="H4822" s="30" t="str">
        <f ca="1">IFERROR(__xludf.DUMMYFUNCTION("LOWER(REGEXREPLACE(B4822&amp;"" ""&amp;C4822,""[^а-яa-z0-9 ]"","" ""))")," ечь конвекционная     8   размеры 835х800х580 мм  мощность 6 4 к т  напряжение 220   ")</f>
        <v xml:space="preserve"> ечь конвекционная     8   размеры 835х800х580 мм  мощность 6 4 к т  напряжение 220   </v>
      </c>
    </row>
    <row r="4823" spans="1:8" ht="38.25" x14ac:dyDescent="0.2">
      <c r="A4823" s="31" t="s">
        <v>11499</v>
      </c>
      <c r="B4823" s="27" t="s">
        <v>11500</v>
      </c>
      <c r="C4823" s="27"/>
      <c r="D4823" s="33" t="s">
        <v>14</v>
      </c>
      <c r="E4823" s="9"/>
      <c r="F4823" s="34">
        <v>85</v>
      </c>
      <c r="G4823" s="10">
        <v>481513</v>
      </c>
      <c r="H4823" s="30" t="str">
        <f ca="1">IFERROR(__xludf.DUMMYFUNCTION("LOWER(REGEXREPLACE(B4823&amp;"" ""&amp;C4823,""[^а-яa-z0-9 ]"","" ""))")," ечь конвекционная     12   размеры 1220х815х580 мм  мощность 6 6 к т  напряжение 220   ")</f>
        <v xml:space="preserve"> ечь конвекционная     12   размеры 1220х815х580 мм  мощность 6 6 к т  напряжение 220   </v>
      </c>
    </row>
    <row r="4824" spans="1:8" ht="38.25" x14ac:dyDescent="0.2">
      <c r="A4824" s="31" t="s">
        <v>11501</v>
      </c>
      <c r="B4824" s="27" t="s">
        <v>11502</v>
      </c>
      <c r="C4824" s="27"/>
      <c r="D4824" s="33" t="s">
        <v>14</v>
      </c>
      <c r="E4824" s="9"/>
      <c r="F4824" s="34">
        <v>144</v>
      </c>
      <c r="G4824" s="10">
        <v>892072</v>
      </c>
      <c r="H4824" s="30" t="str">
        <f ca="1">IFERROR(__xludf.DUMMYFUNCTION("LOWER(REGEXREPLACE(B4824&amp;"" ""&amp;C4824,""[^а-яa-z0-9 ]"","" ""))")," ечь конвекционная     24   размеры 1220х815х1260 мм  мощность 13 2 к т  напряжение 380   ")</f>
        <v xml:space="preserve"> ечь конвекционная     24   размеры 1220х815х1260 мм  мощность 13 2 к т  напряжение 380   </v>
      </c>
    </row>
    <row r="4825" spans="1:8" ht="38.25" x14ac:dyDescent="0.2">
      <c r="A4825" s="31" t="s">
        <v>11503</v>
      </c>
      <c r="B4825" s="27" t="s">
        <v>11504</v>
      </c>
      <c r="C4825" s="27"/>
      <c r="D4825" s="33" t="s">
        <v>14</v>
      </c>
      <c r="E4825" s="9"/>
      <c r="F4825" s="34">
        <v>208</v>
      </c>
      <c r="G4825" s="10">
        <v>1318878</v>
      </c>
      <c r="H4825" s="30" t="str">
        <f ca="1">IFERROR(__xludf.DUMMYFUNCTION("LOWER(REGEXREPLACE(B4825&amp;"" ""&amp;C4825,""[^а-яa-z0-9 ]"","" ""))")," ечь конвекционная     36   размеры 1220х815х1530 мм  мощность 19 5 к т  напряжение 380   ")</f>
        <v xml:space="preserve"> ечь конвекционная     36   размеры 1220х815х1530 мм  мощность 19 5 к т  напряжение 380   </v>
      </c>
    </row>
    <row r="4826" spans="1:8" ht="38.25" x14ac:dyDescent="0.2">
      <c r="A4826" s="31" t="s">
        <v>11505</v>
      </c>
      <c r="B4826" s="27" t="s">
        <v>11506</v>
      </c>
      <c r="C4826" s="27"/>
      <c r="D4826" s="33" t="s">
        <v>14</v>
      </c>
      <c r="E4826" s="9"/>
      <c r="F4826" s="34">
        <v>80</v>
      </c>
      <c r="G4826" s="10">
        <v>1583954</v>
      </c>
      <c r="H4826" s="30" t="str">
        <f ca="1">IFERROR(__xludf.DUMMYFUNCTION("LOWER(REGEXREPLACE(B4826&amp;"" ""&amp;C4826,""[^а-яa-z0-9 ]"","" ""))")," ечь конвекционная     210   размеры 1220х820х1490 мм  мощность 8 6 к т  напряжение 380   ")</f>
        <v xml:space="preserve"> ечь конвекционная     210   размеры 1220х820х1490 мм  мощность 8 6 к т  напряжение 380   </v>
      </c>
    </row>
    <row r="4827" spans="1:8" ht="38.25" x14ac:dyDescent="0.2">
      <c r="A4827" s="31" t="s">
        <v>11507</v>
      </c>
      <c r="B4827" s="27" t="s">
        <v>11508</v>
      </c>
      <c r="C4827" s="27"/>
      <c r="D4827" s="33" t="s">
        <v>14</v>
      </c>
      <c r="E4827" s="9"/>
      <c r="F4827" s="34">
        <v>230</v>
      </c>
      <c r="G4827" s="10">
        <v>2106540</v>
      </c>
      <c r="H4827" s="30" t="str">
        <f ca="1">IFERROR(__xludf.DUMMYFUNCTION("LOWER(REGEXREPLACE(B4827&amp;"" ""&amp;C4827,""[^а-яa-z0-9 ]"","" ""))")," ечь конвекционная     408   размеры 1220х820х1880 мм  мощность 15 2 к т  напряжение 380   ")</f>
        <v xml:space="preserve"> ечь конвекционная     408   размеры 1220х820х1880 мм  мощность 15 2 к т  напряжение 380   </v>
      </c>
    </row>
    <row r="4828" spans="1:8" ht="38.25" x14ac:dyDescent="0.2">
      <c r="A4828" s="31" t="s">
        <v>11509</v>
      </c>
      <c r="B4828" s="27" t="s">
        <v>11510</v>
      </c>
      <c r="C4828" s="27"/>
      <c r="D4828" s="33" t="s">
        <v>14</v>
      </c>
      <c r="E4828" s="9"/>
      <c r="F4828" s="34">
        <v>96</v>
      </c>
      <c r="G4828" s="10">
        <v>1801164</v>
      </c>
      <c r="H4828" s="30" t="str">
        <f ca="1">IFERROR(__xludf.DUMMYFUNCTION("LOWER(REGEXREPLACE(B4828&amp;"" ""&amp;C4828,""[^а-яa-z0-9 ]"","" ""))")," ечь конвекционная конвейерная для пиццы     18  размеры 1560х750х360 мм  мощность 10 3 к т  напряжение 380   ")</f>
        <v xml:space="preserve"> ечь конвекционная конвейерная для пиццы     18  размеры 1560х750х360 мм  мощность 10 3 к т  напряжение 380   </v>
      </c>
    </row>
    <row r="4829" spans="1:8" ht="51" x14ac:dyDescent="0.2">
      <c r="A4829" s="31" t="s">
        <v>11511</v>
      </c>
      <c r="B4829" s="27" t="s">
        <v>11512</v>
      </c>
      <c r="C4829" s="27"/>
      <c r="D4829" s="33" t="s">
        <v>14</v>
      </c>
      <c r="E4829" s="34">
        <v>2</v>
      </c>
      <c r="F4829" s="34">
        <v>115</v>
      </c>
      <c r="G4829" s="10">
        <v>870295</v>
      </c>
      <c r="H4829" s="30" t="str">
        <f ca="1">IFERROR(__xludf.DUMMYFUNCTION("LOWER(REGEXREPLACE(B4829&amp;"" ""&amp;C4829,""[^а-яa-z0-9 ]"","" ""))")," ечь конвекционная     6  6 уровней  400х600 мм  нерж  камера  эл механика  пароувлажнение  регулировка влажности  реверс  без противней  10 5к т  ")</f>
        <v xml:space="preserve"> ечь конвекционная     6  6 уровней  400х600 мм  нерж  камера  эл механика  пароувлажнение  регулировка влажности  реверс  без противней  10 5к т  </v>
      </c>
    </row>
    <row r="4830" spans="1:8" ht="51" x14ac:dyDescent="0.2">
      <c r="A4830" s="31" t="s">
        <v>11513</v>
      </c>
      <c r="B4830" s="27" t="s">
        <v>11514</v>
      </c>
      <c r="C4830" s="27"/>
      <c r="D4830" s="33" t="s">
        <v>14</v>
      </c>
      <c r="E4830" s="34">
        <v>2</v>
      </c>
      <c r="F4830" s="34">
        <v>150</v>
      </c>
      <c r="G4830" s="10">
        <v>1117697</v>
      </c>
      <c r="H4830" s="30" t="str">
        <f ca="1">IFERROR(__xludf.DUMMYFUNCTION("LOWER(REGEXREPLACE(B4830&amp;"" ""&amp;C4830,""[^а-яa-z0-9 ]"","" ""))")," ечь конвекционная     10  10 уровней  400х600 мм  нерж  камера  эл механика  пароувлажнение  регулировка влажности  реверс  без противней  15 85к т  ")</f>
        <v xml:space="preserve"> ечь конвекционная     10  10 уровней  400х600 мм  нерж  камера  эл механика  пароувлажнение  регулировка влажности  реверс  без противней  15 85к т  </v>
      </c>
    </row>
    <row r="4831" spans="1:8" ht="38.25" x14ac:dyDescent="0.2">
      <c r="A4831" s="31" t="s">
        <v>11515</v>
      </c>
      <c r="B4831" s="8" t="s">
        <v>11516</v>
      </c>
      <c r="C4831" s="27"/>
      <c r="D4831" s="33" t="s">
        <v>14</v>
      </c>
      <c r="E4831" s="9"/>
      <c r="F4831" s="34">
        <v>45</v>
      </c>
      <c r="G4831" s="10">
        <v>879473</v>
      </c>
      <c r="H4831" s="30" t="str">
        <f ca="1">IFERROR(__xludf.DUMMYFUNCTION("LOWER(REGEXREPLACE(B4831&amp;"" ""&amp;C4831,""[^а-яa-z0-9 ]"","" ""))")," каф расстоечный            12      860х978х798 мм  2 3 к т  220    12 уровней  ")</f>
        <v xml:space="preserve"> каф расстоечный            12      860х978х798 мм  2 3 к т  220    12 уровней  </v>
      </c>
    </row>
    <row r="4832" spans="1:8" ht="25.5" x14ac:dyDescent="0.2">
      <c r="A4832" s="31" t="s">
        <v>11517</v>
      </c>
      <c r="B4832" s="27" t="s">
        <v>11518</v>
      </c>
      <c r="C4832" s="27"/>
      <c r="D4832" s="33" t="s">
        <v>14</v>
      </c>
      <c r="E4832" s="9"/>
      <c r="F4832" s="34">
        <v>37</v>
      </c>
      <c r="G4832" s="10">
        <v>513857</v>
      </c>
      <c r="H4832" s="30" t="str">
        <f ca="1">IFERROR(__xludf.DUMMYFUNCTION("LOWER(REGEXREPLACE(B4832&amp;"" ""&amp;C4832,""[^а-яa-z0-9 ]"","" ""))"),"  каф расстоечный          193   800х759х774 мм  1 2 к т  220    8 уровней   ")</f>
        <v xml:space="preserve">  каф расстоечный          193   800х759х774 мм  1 2 к т  220    8 уровней   </v>
      </c>
    </row>
    <row r="4833" spans="1:8" ht="12.75" x14ac:dyDescent="0.2">
      <c r="A4833" s="31" t="s">
        <v>11519</v>
      </c>
      <c r="B4833" s="27" t="s">
        <v>11520</v>
      </c>
      <c r="C4833" s="27"/>
      <c r="D4833" s="33" t="s">
        <v>14</v>
      </c>
      <c r="E4833" s="9"/>
      <c r="F4833" s="32"/>
      <c r="G4833" s="10"/>
      <c r="H4833" s="30" t="str">
        <f ca="1">IFERROR(__xludf.DUMMYFUNCTION("LOWER(REGEXREPLACE(B4833&amp;"" ""&amp;C4833,""[^а-яa-z0-9 ]"","" ""))")," каф расстоечный ")</f>
        <v xml:space="preserve"> каф расстоечный </v>
      </c>
    </row>
    <row r="4834" spans="1:8" ht="38.25" x14ac:dyDescent="0.2">
      <c r="A4834" s="31" t="s">
        <v>11521</v>
      </c>
      <c r="B4834" s="27" t="s">
        <v>11522</v>
      </c>
      <c r="C4834" s="27"/>
      <c r="D4834" s="33" t="s">
        <v>14</v>
      </c>
      <c r="E4834" s="9"/>
      <c r="F4834" s="34">
        <v>51</v>
      </c>
      <c r="G4834" s="10">
        <v>324229</v>
      </c>
      <c r="H4834" s="30" t="str">
        <f ca="1">IFERROR(__xludf.DUMMYFUNCTION("LOWER(REGEXREPLACE(B4834&amp;"" ""&amp;C4834,""[^а-яa-z0-9 ]"","" ""))")," каф расстоечный    930 8  размеры 600х600х930 мм  мощность 2 к т  напряжение 220   ")</f>
        <v xml:space="preserve"> каф расстоечный    930 8  размеры 600х600х930 мм  мощность 2 к т  напряжение 220   </v>
      </c>
    </row>
    <row r="4835" spans="1:8" ht="25.5" x14ac:dyDescent="0.2">
      <c r="A4835" s="31" t="s">
        <v>11523</v>
      </c>
      <c r="B4835" s="27" t="s">
        <v>11524</v>
      </c>
      <c r="C4835" s="27"/>
      <c r="D4835" s="33" t="s">
        <v>14</v>
      </c>
      <c r="E4835" s="9"/>
      <c r="F4835" s="34">
        <v>34</v>
      </c>
      <c r="G4835" s="10">
        <v>820636</v>
      </c>
      <c r="H4835" s="30" t="str">
        <f ca="1">IFERROR(__xludf.DUMMYFUNCTION("LOWER(REGEXREPLACE(B4835&amp;"" ""&amp;C4835,""[^а-яa-z0-9 ]"","" ""))")," каф расстоечный    10   размеры 1200х815х940 мм  мощность 2 8 к т  напряжение 220   ")</f>
        <v xml:space="preserve"> каф расстоечный    10   размеры 1200х815х940 мм  мощность 2 8 к т  напряжение 220   </v>
      </c>
    </row>
    <row r="4836" spans="1:8" ht="25.5" x14ac:dyDescent="0.2">
      <c r="A4836" s="31" t="s">
        <v>11525</v>
      </c>
      <c r="B4836" s="27" t="s">
        <v>11526</v>
      </c>
      <c r="C4836" s="27"/>
      <c r="D4836" s="33" t="s">
        <v>14</v>
      </c>
      <c r="E4836" s="9"/>
      <c r="F4836" s="34">
        <v>26</v>
      </c>
      <c r="G4836" s="10">
        <v>352478</v>
      </c>
      <c r="H4836" s="30" t="str">
        <f ca="1">IFERROR(__xludf.DUMMYFUNCTION("LOWER(REGEXREPLACE(B4836&amp;"" ""&amp;C4836,""[^а-яa-z0-9 ]"","" ""))")," каф расстоечный    6   размеры 590х690х910 мм  мощность 1 4 к т  напряжение 220   ")</f>
        <v xml:space="preserve"> каф расстоечный    6   размеры 590х690х910 мм  мощность 1 4 к т  напряжение 220   </v>
      </c>
    </row>
    <row r="4837" spans="1:8" ht="25.5" x14ac:dyDescent="0.2">
      <c r="A4837" s="31" t="s">
        <v>11527</v>
      </c>
      <c r="B4837" s="27" t="s">
        <v>11528</v>
      </c>
      <c r="C4837" s="27"/>
      <c r="D4837" s="33" t="s">
        <v>14</v>
      </c>
      <c r="E4837" s="9"/>
      <c r="F4837" s="34">
        <v>37</v>
      </c>
      <c r="G4837" s="10">
        <v>495698</v>
      </c>
      <c r="H4837" s="30" t="str">
        <f ca="1">IFERROR(__xludf.DUMMYFUNCTION("LOWER(REGEXREPLACE(B4837&amp;"" ""&amp;C4837,""[^а-яa-z0-9 ]"","" ""))")," каф расстоечный    13  размеры 490х690х1660 мм   мощность 2 6 к т  напряжение 220   ")</f>
        <v xml:space="preserve"> каф расстоечный    13  размеры 490х690х1660 мм   мощность 2 6 к т  напряжение 220   </v>
      </c>
    </row>
    <row r="4838" spans="1:8" ht="25.5" x14ac:dyDescent="0.2">
      <c r="A4838" s="31" t="s">
        <v>11529</v>
      </c>
      <c r="B4838" s="27" t="s">
        <v>11530</v>
      </c>
      <c r="C4838" s="27"/>
      <c r="D4838" s="33" t="s">
        <v>14</v>
      </c>
      <c r="E4838" s="9"/>
      <c r="F4838" s="34">
        <v>52</v>
      </c>
      <c r="G4838" s="10">
        <v>623251</v>
      </c>
      <c r="H4838" s="30" t="str">
        <f ca="1">IFERROR(__xludf.DUMMYFUNCTION("LOWER(REGEXREPLACE(B4838&amp;"" ""&amp;C4838,""[^а-яa-z0-9 ]"","" ""))")," каф расстоечный    26  размеры 1000х690х1660 мм   мощность 2 8 к т  напряжение 220   ")</f>
        <v xml:space="preserve"> каф расстоечный    26  размеры 1000х690х1660 мм   мощность 2 8 к т  напряжение 220   </v>
      </c>
    </row>
    <row r="4839" spans="1:8" ht="38.25" x14ac:dyDescent="0.2">
      <c r="A4839" s="31" t="s">
        <v>11531</v>
      </c>
      <c r="B4839" s="27" t="s">
        <v>11532</v>
      </c>
      <c r="C4839" s="27"/>
      <c r="D4839" s="33" t="s">
        <v>14</v>
      </c>
      <c r="E4839" s="34">
        <v>2</v>
      </c>
      <c r="F4839" s="34">
        <v>70</v>
      </c>
      <c r="G4839" s="10">
        <v>313770</v>
      </c>
      <c r="H4839" s="30" t="str">
        <f ca="1">IFERROR(__xludf.DUMMYFUNCTION("LOWER(REGEXREPLACE(B4839&amp;"" ""&amp;C4839,""[^а-яa-z0-9 ]"","" ""))")," каф расстоечный     8  8 уровней 400х600 мм  под конвекц печи     4  камера нерж  без противней  1 2к т  ")</f>
        <v xml:space="preserve"> каф расстоечный     8  8 уровней 400х600 мм  под конвекц печи     4  камера нерж  без противней  1 2к т  </v>
      </c>
    </row>
    <row r="4840" spans="1:8" ht="38.25" x14ac:dyDescent="0.2">
      <c r="A4840" s="31" t="s">
        <v>11533</v>
      </c>
      <c r="B4840" s="27" t="s">
        <v>11534</v>
      </c>
      <c r="C4840" s="27"/>
      <c r="D4840" s="33" t="s">
        <v>14</v>
      </c>
      <c r="E4840" s="34">
        <v>2</v>
      </c>
      <c r="F4840" s="34">
        <v>90</v>
      </c>
      <c r="G4840" s="10">
        <v>433065</v>
      </c>
      <c r="H4840" s="30" t="str">
        <f ca="1">IFERROR(__xludf.DUMMYFUNCTION("LOWER(REGEXREPLACE(B4840&amp;"" ""&amp;C4840,""[^а-яa-z0-9 ]"","" ""))")," каф расстоечный     12  6 уровней 600х800мм  под конвекц печи     6      10  камера нерж  без противней  1 6к т  ")</f>
        <v xml:space="preserve"> каф расстоечный     12  6 уровней 600х800мм  под конвекц печи     6      10  камера нерж  без противней  1 6к т  </v>
      </c>
    </row>
    <row r="4841" spans="1:8" ht="25.5" x14ac:dyDescent="0.2">
      <c r="A4841" s="31" t="s">
        <v>11535</v>
      </c>
      <c r="B4841" s="27" t="s">
        <v>11536</v>
      </c>
      <c r="C4841" s="27"/>
      <c r="D4841" s="33" t="s">
        <v>14</v>
      </c>
      <c r="E4841" s="9"/>
      <c r="F4841" s="34">
        <v>105</v>
      </c>
      <c r="G4841" s="10">
        <v>1354396</v>
      </c>
      <c r="H4841" s="30" t="str">
        <f ca="1">IFERROR(__xludf.DUMMYFUNCTION("LOWER(REGEXREPLACE(B4841&amp;"" ""&amp;C4841,""[^а-яa-z0-9 ]"","" ""))")," естомес спиральный          40  480х825х730 мм  1 5 к т  220    41 л  ")</f>
        <v xml:space="preserve"> естомес спиральный          40  480х825х730 мм  1 5 к т  220    41 л  </v>
      </c>
    </row>
    <row r="4842" spans="1:8" ht="38.25" x14ac:dyDescent="0.2">
      <c r="A4842" s="31" t="s">
        <v>11537</v>
      </c>
      <c r="B4842" s="8" t="s">
        <v>11538</v>
      </c>
      <c r="C4842" s="27"/>
      <c r="D4842" s="33" t="s">
        <v>14</v>
      </c>
      <c r="E4842" s="9"/>
      <c r="F4842" s="34">
        <v>45</v>
      </c>
      <c r="G4842" s="10">
        <v>521944</v>
      </c>
      <c r="H4842" s="30" t="str">
        <f ca="1">IFERROR(__xludf.DUMMYFUNCTION("LOWER(REGEXREPLACE(B4842&amp;"" ""&amp;C4842,""[^а-яa-z0-9 ]"","" ""))")," ашина тестомесильная спиральная            10 1   290x590x580 мм  дежа на 10 л  ")</f>
        <v xml:space="preserve"> ашина тестомесильная спиральная            10 1   290x590x580 мм  дежа на 10 л  </v>
      </c>
    </row>
    <row r="4843" spans="1:8" ht="25.5" x14ac:dyDescent="0.2">
      <c r="A4843" s="31" t="s">
        <v>11539</v>
      </c>
      <c r="B4843" s="27" t="s">
        <v>11540</v>
      </c>
      <c r="C4843" s="27"/>
      <c r="D4843" s="33" t="s">
        <v>14</v>
      </c>
      <c r="E4843" s="9"/>
      <c r="F4843" s="34">
        <v>120</v>
      </c>
      <c r="G4843" s="10">
        <v>307838</v>
      </c>
      <c r="H4843" s="30" t="str">
        <f ca="1">IFERROR(__xludf.DUMMYFUNCTION("LOWER(REGEXREPLACE(B4843&amp;"" ""&amp;C4843,""[^а-яa-z0-9 ]"","" ""))")," ашина тестомесильная   30  750х435х900 мм  34 л  до 90 кг ч  150 200 об мин  1 5 к т  220    ")</f>
        <v xml:space="preserve"> ашина тестомесильная   30  750х435х900 мм  34 л  до 90 кг ч  150 200 об мин  1 5 к т  220    </v>
      </c>
    </row>
    <row r="4844" spans="1:8" ht="38.25" x14ac:dyDescent="0.2">
      <c r="A4844" s="31" t="s">
        <v>11541</v>
      </c>
      <c r="B4844" s="27" t="s">
        <v>11542</v>
      </c>
      <c r="C4844" s="27"/>
      <c r="D4844" s="33" t="s">
        <v>14</v>
      </c>
      <c r="E4844" s="9"/>
      <c r="F4844" s="34">
        <v>102</v>
      </c>
      <c r="G4844" s="10">
        <v>414828</v>
      </c>
      <c r="H4844" s="30" t="str">
        <f ca="1">IFERROR(__xludf.DUMMYFUNCTION("LOWER(REGEXREPLACE(B4844&amp;"" ""&amp;C4844,""[^а-яa-z0-9 ]"","" ""))")," естомес горизонтальный для крутого теста  ищ ех    15   637х470х 683 мм  220    1 5 к т  39 л  ")</f>
        <v xml:space="preserve"> естомес горизонтальный для крутого теста  ищ ех    15   637х470х 683 мм  220    1 5 к т  39 л  </v>
      </c>
    </row>
    <row r="4845" spans="1:8" ht="12.75" x14ac:dyDescent="0.2">
      <c r="A4845" s="31" t="s">
        <v>11543</v>
      </c>
      <c r="B4845" s="27" t="s">
        <v>11544</v>
      </c>
      <c r="C4845" s="27"/>
      <c r="D4845" s="33" t="s">
        <v>14</v>
      </c>
      <c r="E4845" s="9"/>
      <c r="F4845" s="32"/>
      <c r="G4845" s="10"/>
      <c r="H4845" s="30" t="str">
        <f ca="1">IFERROR(__xludf.DUMMYFUNCTION("LOWER(REGEXREPLACE(B4845&amp;"" ""&amp;C4845,""[^а-яa-z0-9 ]"","" ""))")," естомес ")</f>
        <v xml:space="preserve"> естомес </v>
      </c>
    </row>
    <row r="4846" spans="1:8" ht="38.25" x14ac:dyDescent="0.2">
      <c r="A4846" s="31" t="s">
        <v>11545</v>
      </c>
      <c r="B4846" s="27" t="s">
        <v>11546</v>
      </c>
      <c r="C4846" s="27"/>
      <c r="D4846" s="33" t="s">
        <v>14</v>
      </c>
      <c r="E4846" s="9"/>
      <c r="F4846" s="34">
        <v>85</v>
      </c>
      <c r="G4846" s="10">
        <v>434382</v>
      </c>
      <c r="H4846" s="30" t="str">
        <f ca="1">IFERROR(__xludf.DUMMYFUNCTION("LOWER(REGEXREPLACE(B4846&amp;"" ""&amp;C4846,""[^а-яa-z0-9 ]"","" ""))")," естомес             25    размеры 820x605x735 мм  мощность 1 5 к т  напряжение 220   ")</f>
        <v xml:space="preserve"> естомес             25    размеры 820x605x735 мм  мощность 1 5 к т  напряжение 220   </v>
      </c>
    </row>
    <row r="4847" spans="1:8" ht="25.5" x14ac:dyDescent="0.2">
      <c r="A4847" s="31" t="s">
        <v>11547</v>
      </c>
      <c r="B4847" s="27" t="s">
        <v>11548</v>
      </c>
      <c r="C4847" s="27"/>
      <c r="D4847" s="33" t="s">
        <v>14</v>
      </c>
      <c r="E4847" s="9"/>
      <c r="F4847" s="34">
        <v>90</v>
      </c>
      <c r="G4847" s="10">
        <v>876506</v>
      </c>
      <c r="H4847" s="30" t="str">
        <f ca="1">IFERROR(__xludf.DUMMYFUNCTION("LOWER(REGEXREPLACE(B4847&amp;"" ""&amp;C4847,""[^а-яa-z0-9 ]"","" ""))")," естомес спиральный  20  размеры 730х390х900 мм  мощность 1 5 к т  напряжение 220   ")</f>
        <v xml:space="preserve"> естомес спиральный  20  размеры 730х390х900 мм  мощность 1 5 к т  напряжение 220   </v>
      </c>
    </row>
    <row r="4848" spans="1:8" ht="25.5" x14ac:dyDescent="0.2">
      <c r="A4848" s="31" t="s">
        <v>11549</v>
      </c>
      <c r="B4848" s="27" t="s">
        <v>11550</v>
      </c>
      <c r="C4848" s="27"/>
      <c r="D4848" s="33" t="s">
        <v>14</v>
      </c>
      <c r="E4848" s="9"/>
      <c r="F4848" s="34">
        <v>100</v>
      </c>
      <c r="G4848" s="10">
        <v>965735</v>
      </c>
      <c r="H4848" s="30" t="str">
        <f ca="1">IFERROR(__xludf.DUMMYFUNCTION("LOWER(REGEXREPLACE(B4848&amp;"" ""&amp;C4848,""[^а-яa-z0-9 ]"","" ""))")," естомес спиральный  30  размеры 750х435х900 мм  мощность 1 5 к т  напряжение 380   ")</f>
        <v xml:space="preserve"> естомес спиральный  30  размеры 750х435х900 мм  мощность 1 5 к т  напряжение 380   </v>
      </c>
    </row>
    <row r="4849" spans="1:8" ht="25.5" x14ac:dyDescent="0.2">
      <c r="A4849" s="31" t="s">
        <v>11551</v>
      </c>
      <c r="B4849" s="27" t="s">
        <v>11552</v>
      </c>
      <c r="C4849" s="27"/>
      <c r="D4849" s="33" t="s">
        <v>14</v>
      </c>
      <c r="E4849" s="9"/>
      <c r="F4849" s="34">
        <v>170</v>
      </c>
      <c r="G4849" s="10">
        <v>1611636</v>
      </c>
      <c r="H4849" s="30" t="str">
        <f ca="1">IFERROR(__xludf.DUMMYFUNCTION("LOWER(REGEXREPLACE(B4849&amp;"" ""&amp;C4849,""[^а-яa-z0-9 ]"","" ""))")," естомес спиральный  50  размеры 840х480х1000 мм  мощность 3 к т  напряжение 380   ")</f>
        <v xml:space="preserve"> естомес спиральный  50  размеры 840х480х1000 мм  мощность 3 к т  напряжение 380   </v>
      </c>
    </row>
    <row r="4850" spans="1:8" ht="38.25" x14ac:dyDescent="0.2">
      <c r="A4850" s="31" t="s">
        <v>11553</v>
      </c>
      <c r="B4850" s="27" t="s">
        <v>11554</v>
      </c>
      <c r="C4850" s="27"/>
      <c r="D4850" s="33" t="s">
        <v>14</v>
      </c>
      <c r="E4850" s="9"/>
      <c r="F4850" s="34">
        <v>170</v>
      </c>
      <c r="G4850" s="10">
        <v>4188233</v>
      </c>
      <c r="H4850" s="30" t="str">
        <f ca="1">IFERROR(__xludf.DUMMYFUNCTION("LOWER(REGEXREPLACE(B4850&amp;"" ""&amp;C4850,""[^а-яa-z0-9 ]"","" ""))")," естомес спиральный  80  размеры 1000х560х1380 мм  мощность 3 к т  напряжение 380   ")</f>
        <v xml:space="preserve"> естомес спиральный  80  размеры 1000х560х1380 мм  мощность 3 к т  напряжение 380   </v>
      </c>
    </row>
    <row r="4851" spans="1:8" ht="38.25" x14ac:dyDescent="0.2">
      <c r="A4851" s="31" t="s">
        <v>11555</v>
      </c>
      <c r="B4851" s="27" t="s">
        <v>11556</v>
      </c>
      <c r="C4851" s="27"/>
      <c r="D4851" s="33" t="s">
        <v>14</v>
      </c>
      <c r="E4851" s="9"/>
      <c r="F4851" s="34">
        <v>170</v>
      </c>
      <c r="G4851" s="10">
        <v>6561707</v>
      </c>
      <c r="H4851" s="30" t="str">
        <f ca="1">IFERROR(__xludf.DUMMYFUNCTION("LOWER(REGEXREPLACE(B4851&amp;"" ""&amp;C4851,""[^а-яa-z0-9 ]"","" ""))")," естомес спиральный  130  размеры 1160х730х1380 мм  мощность 6 05 к т  напряжение 380   ")</f>
        <v xml:space="preserve"> естомес спиральный  130  размеры 1160х730х1380 мм  мощность 6 05 к т  напряжение 380   </v>
      </c>
    </row>
    <row r="4852" spans="1:8" ht="38.25" x14ac:dyDescent="0.2">
      <c r="A4852" s="31" t="s">
        <v>11557</v>
      </c>
      <c r="B4852" s="27" t="s">
        <v>11558</v>
      </c>
      <c r="C4852" s="27"/>
      <c r="D4852" s="33" t="s">
        <v>14</v>
      </c>
      <c r="E4852" s="9"/>
      <c r="F4852" s="35">
        <v>72.5</v>
      </c>
      <c r="G4852" s="10">
        <v>1390149</v>
      </c>
      <c r="H4852" s="30" t="str">
        <f ca="1">IFERROR(__xludf.DUMMYFUNCTION("LOWER(REGEXREPLACE(B4852&amp;"" ""&amp;C4852,""[^а-яa-z0-9 ]"","" ""))")," естомес спиральный   20 2s  размеры 350х660х630 мм  мощность 0 92 к т  напряжение 380   ")</f>
        <v xml:space="preserve"> естомес спиральный   20 2s  размеры 350х660х630 мм  мощность 0 92 к т  напряжение 380   </v>
      </c>
    </row>
    <row r="4853" spans="1:8" ht="38.25" x14ac:dyDescent="0.2">
      <c r="A4853" s="31" t="s">
        <v>11559</v>
      </c>
      <c r="B4853" s="27" t="s">
        <v>11560</v>
      </c>
      <c r="C4853" s="27"/>
      <c r="D4853" s="33" t="s">
        <v>14</v>
      </c>
      <c r="E4853" s="9"/>
      <c r="F4853" s="34">
        <v>104</v>
      </c>
      <c r="G4853" s="10">
        <v>1800306</v>
      </c>
      <c r="H4853" s="30" t="str">
        <f ca="1">IFERROR(__xludf.DUMMYFUNCTION("LOWER(REGEXREPLACE(B4853&amp;"" ""&amp;C4853,""[^а-яa-z0-9 ]"","" ""))")," естомес спиральный   30 2s  размеры 440х830х720 мм  мощность 1 98 к т  напряжение 380   ")</f>
        <v xml:space="preserve"> естомес спиральный   30 2s  размеры 440х830х720 мм  мощность 1 98 к т  напряжение 380   </v>
      </c>
    </row>
    <row r="4854" spans="1:8" ht="38.25" x14ac:dyDescent="0.2">
      <c r="A4854" s="31" t="s">
        <v>11561</v>
      </c>
      <c r="B4854" s="27" t="s">
        <v>11562</v>
      </c>
      <c r="C4854" s="27"/>
      <c r="D4854" s="33" t="s">
        <v>14</v>
      </c>
      <c r="E4854" s="9"/>
      <c r="F4854" s="34">
        <v>107</v>
      </c>
      <c r="G4854" s="10">
        <v>1867984</v>
      </c>
      <c r="H4854" s="30" t="str">
        <f ca="1">IFERROR(__xludf.DUMMYFUNCTION("LOWER(REGEXREPLACE(B4854&amp;"" ""&amp;C4854,""[^а-яa-z0-9 ]"","" ""))")," естомес спиральный   50 2s  размеры 470х850х720 мм  мощность 1 98 к т  напряжение 380   ")</f>
        <v xml:space="preserve"> естомес спиральный   50 2s  размеры 470х850х720 мм  мощность 1 98 к т  напряжение 380   </v>
      </c>
    </row>
    <row r="4855" spans="1:8" ht="38.25" x14ac:dyDescent="0.2">
      <c r="A4855" s="31" t="s">
        <v>11563</v>
      </c>
      <c r="B4855" s="27" t="s">
        <v>11564</v>
      </c>
      <c r="C4855" s="27"/>
      <c r="D4855" s="33" t="s">
        <v>14</v>
      </c>
      <c r="E4855" s="9"/>
      <c r="F4855" s="35">
        <v>89.5</v>
      </c>
      <c r="G4855" s="10">
        <v>1700925</v>
      </c>
      <c r="H4855" s="30" t="str">
        <f ca="1">IFERROR(__xludf.DUMMYFUNCTION("LOWER(REGEXREPLACE(B4855&amp;"" ""&amp;C4855,""[^а-яa-z0-9 ]"","" ""))")," естомес спиральный   20 2s  размеры 370х680х640 мм  мощность 0 92 к т  напряжение 380   ")</f>
        <v xml:space="preserve"> естомес спиральный   20 2s  размеры 370х680х640 мм  мощность 0 92 к т  напряжение 380   </v>
      </c>
    </row>
    <row r="4856" spans="1:8" ht="38.25" x14ac:dyDescent="0.2">
      <c r="A4856" s="31" t="s">
        <v>11565</v>
      </c>
      <c r="B4856" s="27" t="s">
        <v>11566</v>
      </c>
      <c r="C4856" s="27"/>
      <c r="D4856" s="33" t="s">
        <v>14</v>
      </c>
      <c r="E4856" s="9"/>
      <c r="F4856" s="34">
        <v>125</v>
      </c>
      <c r="G4856" s="10">
        <v>2030443</v>
      </c>
      <c r="H4856" s="30" t="str">
        <f ca="1">IFERROR(__xludf.DUMMYFUNCTION("LOWER(REGEXREPLACE(B4856&amp;"" ""&amp;C4856,""[^а-яa-z0-9 ]"","" ""))")," естомес спиральный   30 2s  размеры 460х840х730 мм  мощность 0 92 к т  напряжение 380   ")</f>
        <v xml:space="preserve"> естомес спиральный   30 2s  размеры 460х840х730 мм  мощность 0 92 к т  напряжение 380   </v>
      </c>
    </row>
    <row r="4857" spans="1:8" ht="38.25" x14ac:dyDescent="0.2">
      <c r="A4857" s="31" t="s">
        <v>11567</v>
      </c>
      <c r="B4857" s="27" t="s">
        <v>11568</v>
      </c>
      <c r="C4857" s="27"/>
      <c r="D4857" s="33" t="s">
        <v>14</v>
      </c>
      <c r="E4857" s="9"/>
      <c r="F4857" s="34">
        <v>129</v>
      </c>
      <c r="G4857" s="10">
        <v>2120590</v>
      </c>
      <c r="H4857" s="30" t="str">
        <f ca="1">IFERROR(__xludf.DUMMYFUNCTION("LOWER(REGEXREPLACE(B4857&amp;"" ""&amp;C4857,""[^а-яa-z0-9 ]"","" ""))")," естомес спиральный   50 2s  размеры 490х860х730 мм  мощность 1 98 к т  напряжение 380   ")</f>
        <v xml:space="preserve"> естомес спиральный   50 2s  размеры 490х860х730 мм  мощность 1 98 к т  напряжение 380   </v>
      </c>
    </row>
    <row r="4858" spans="1:8" ht="63.75" x14ac:dyDescent="0.2">
      <c r="A4858" s="31" t="s">
        <v>11569</v>
      </c>
      <c r="B4858" s="8" t="s">
        <v>11570</v>
      </c>
      <c r="C4858" s="27"/>
      <c r="D4858" s="33" t="s">
        <v>14</v>
      </c>
      <c r="E4858" s="34">
        <v>2</v>
      </c>
      <c r="F4858" s="34">
        <v>120</v>
      </c>
      <c r="G4858" s="10">
        <v>662786</v>
      </c>
      <c r="H4858" s="30" t="str">
        <f ca="1">IFERROR(__xludf.DUMMYFUNCTION("LOWER(REGEXREPLACE(B4858&amp;"" ""&amp;C4858,""[^а-яa-z0-9 ]"","" ""))")," естомес спиральный     20   1   1 скорость  несъемная дежа 20 л  неподъемная траверса  60 кг ч  э механическая панель  450х760х630 мм  1 2 к т  400   ременно цепной привод  ")</f>
        <v xml:space="preserve"> естомес спиральный     20   1   1 скорость  несъемная дежа 20 л  неподъемная траверса  60 кг ч  э механическая панель  450х760х630 мм  1 2 к т  400   ременно цепной привод  </v>
      </c>
    </row>
    <row r="4859" spans="1:8" ht="63.75" x14ac:dyDescent="0.2">
      <c r="A4859" s="31" t="s">
        <v>11571</v>
      </c>
      <c r="B4859" s="8" t="s">
        <v>11572</v>
      </c>
      <c r="C4859" s="27"/>
      <c r="D4859" s="33" t="s">
        <v>14</v>
      </c>
      <c r="E4859" s="34">
        <v>2</v>
      </c>
      <c r="F4859" s="34">
        <v>165</v>
      </c>
      <c r="G4859" s="10">
        <v>996771</v>
      </c>
      <c r="H4859" s="30" t="str">
        <f ca="1">IFERROR(__xludf.DUMMYFUNCTION("LOWER(REGEXREPLACE(B4859&amp;"" ""&amp;C4859,""[^а-яa-z0-9 ]"","" ""))")," естомес спиральный     40   2   2 скорости  несъемная дежа 40 л  неподъемная траверса  э механическая панель управления  150 кг ч  555х840х 1100 1150 мм  1 6 2 6 к т  400   ременно цепной привод  ")</f>
        <v xml:space="preserve"> естомес спиральный     40   2   2 скорости  несъемная дежа 40 л  неподъемная траверса  э механическая панель управления  150 кг ч  555х840х 1100 1150 мм  1 6 2 6 к т  400   ременно цепной привод  </v>
      </c>
    </row>
    <row r="4860" spans="1:8" ht="76.5" x14ac:dyDescent="0.2">
      <c r="A4860" s="31" t="s">
        <v>11573</v>
      </c>
      <c r="B4860" s="8" t="s">
        <v>11574</v>
      </c>
      <c r="C4860" s="27"/>
      <c r="D4860" s="33" t="s">
        <v>14</v>
      </c>
      <c r="E4860" s="34">
        <v>2</v>
      </c>
      <c r="F4860" s="34">
        <v>270</v>
      </c>
      <c r="G4860" s="10">
        <v>1453737</v>
      </c>
      <c r="H4860" s="30" t="str">
        <f ca="1">IFERROR(__xludf.DUMMYFUNCTION("LOWER(REGEXREPLACE(B4860&amp;"" ""&amp;C4860,""[^а-яa-z0-9 ]"","" ""))")," естомес спиральный     60   2   2 скорости  таймер  несъемная дежа 60 л  неподъемная траверса  программируемая панель управления  270 кг ч  680х930х 1230 1260 мм  2 3 3 7 к т  400   ременно цепной привод  на колесах  ")</f>
        <v xml:space="preserve"> естомес спиральный     60   2   2 скорости  таймер  несъемная дежа 60 л  неподъемная траверса  программируемая панель управления  270 кг ч  680х930х 1230 1260 мм  2 3 3 7 к т  400   ременно цепной привод  на колесах  </v>
      </c>
    </row>
    <row r="4861" spans="1:8" ht="38.25" x14ac:dyDescent="0.2">
      <c r="A4861" s="31" t="s">
        <v>11575</v>
      </c>
      <c r="B4861" s="27" t="s">
        <v>11576</v>
      </c>
      <c r="C4861" s="27"/>
      <c r="D4861" s="33" t="s">
        <v>14</v>
      </c>
      <c r="E4861" s="9"/>
      <c r="F4861" s="35">
        <v>7.8</v>
      </c>
      <c r="G4861" s="10">
        <v>89255</v>
      </c>
      <c r="H4861" s="30" t="str">
        <f ca="1">IFERROR(__xludf.DUMMYFUNCTION("LOWER(REGEXREPLACE(B4861&amp;"" ""&amp;C4861,""[^а-яa-z0-9 ]"","" ""))")," иксер планетарный             5      368x227x350 мм  220    0 8 к   объем дежи 5 л  6 скоростей   1 пульс  ")</f>
        <v xml:space="preserve"> иксер планетарный             5      368x227x350 мм  220    0 8 к   объем дежи 5 л  6 скоростей   1 пульс  </v>
      </c>
    </row>
    <row r="4862" spans="1:8" ht="25.5" x14ac:dyDescent="0.2">
      <c r="A4862" s="31" t="s">
        <v>11577</v>
      </c>
      <c r="B4862" s="8" t="s">
        <v>11578</v>
      </c>
      <c r="C4862" s="27"/>
      <c r="D4862" s="33" t="s">
        <v>14</v>
      </c>
      <c r="E4862" s="9"/>
      <c r="F4862" s="34">
        <v>52</v>
      </c>
      <c r="G4862" s="10">
        <v>265043</v>
      </c>
      <c r="H4862" s="30" t="str">
        <f ca="1">IFERROR(__xludf.DUMMYFUNCTION("LOWER(REGEXREPLACE(B4862&amp;"" ""&amp;C4862,""[^а-яa-z0-9 ]"","" ""))")," иксер планетарный  10  460х350х630 мм  10 л  170 340 об мин  0 37 к т  220    ")</f>
        <v xml:space="preserve"> иксер планетарный  10  460х350х630 мм  10 л  170 340 об мин  0 37 к т  220    </v>
      </c>
    </row>
    <row r="4863" spans="1:8" ht="25.5" x14ac:dyDescent="0.2">
      <c r="A4863" s="31" t="s">
        <v>11579</v>
      </c>
      <c r="B4863" s="8" t="s">
        <v>11580</v>
      </c>
      <c r="C4863" s="27"/>
      <c r="D4863" s="33" t="s">
        <v>14</v>
      </c>
      <c r="E4863" s="9"/>
      <c r="F4863" s="34">
        <v>86</v>
      </c>
      <c r="G4863" s="10">
        <v>749267</v>
      </c>
      <c r="H4863" s="30" t="str">
        <f ca="1">IFERROR(__xludf.DUMMYFUNCTION("LOWER(REGEXREPLACE(B4863&amp;"" ""&amp;C4863,""[^а-яa-z0-9 ]"","" ""))")," укопросеиватель     600   1070х1000х1010 мм  600 кг час  0 325 к т  ")</f>
        <v xml:space="preserve"> укопросеиватель     600   1070х1000х1010 мм  600 кг час  0 325 к т  </v>
      </c>
    </row>
    <row r="4864" spans="1:8" ht="25.5" x14ac:dyDescent="0.2">
      <c r="A4864" s="31" t="s">
        <v>11581</v>
      </c>
      <c r="B4864" s="8" t="s">
        <v>11582</v>
      </c>
      <c r="C4864" s="27"/>
      <c r="D4864" s="33" t="s">
        <v>14</v>
      </c>
      <c r="E4864" s="9"/>
      <c r="F4864" s="35">
        <v>35.5</v>
      </c>
      <c r="G4864" s="10">
        <v>332887</v>
      </c>
      <c r="H4864" s="30" t="str">
        <f ca="1">IFERROR(__xludf.DUMMYFUNCTION("LOWER(REGEXREPLACE(B4864&amp;"" ""&amp;C4864,""[^а-яa-z0-9 ]"","" ""))")," укопросеиватель вибрационный     150  390х570х825 мм  150 кг ч  0 25 к т  380    ")</f>
        <v xml:space="preserve"> укопросеиватель вибрационный     150  390х570х825 мм  150 кг ч  0 25 к т  380    </v>
      </c>
    </row>
    <row r="4865" spans="1:8" ht="25.5" x14ac:dyDescent="0.2">
      <c r="A4865" s="31" t="s">
        <v>11583</v>
      </c>
      <c r="B4865" s="8" t="s">
        <v>11584</v>
      </c>
      <c r="C4865" s="27"/>
      <c r="D4865" s="33" t="s">
        <v>14</v>
      </c>
      <c r="E4865" s="9"/>
      <c r="F4865" s="34">
        <v>80</v>
      </c>
      <c r="G4865" s="10">
        <v>1342834</v>
      </c>
      <c r="H4865" s="30" t="str">
        <f ca="1">IFERROR(__xludf.DUMMYFUNCTION("LOWER(REGEXREPLACE(B4865&amp;"" ""&amp;C4865,""[^а-яa-z0-9 ]"","" ""))")," ечь подовая            02      860x1150x400 мм  5 4 к т  380    ")</f>
        <v xml:space="preserve"> ечь подовая            02      860x1150x400 мм  5 4 к т  380    </v>
      </c>
    </row>
    <row r="4866" spans="1:8" ht="25.5" x14ac:dyDescent="0.2">
      <c r="A4866" s="31" t="s">
        <v>11585</v>
      </c>
      <c r="B4866" s="8" t="s">
        <v>11586</v>
      </c>
      <c r="C4866" s="27"/>
      <c r="D4866" s="33" t="s">
        <v>14</v>
      </c>
      <c r="E4866" s="9"/>
      <c r="F4866" s="34">
        <v>101</v>
      </c>
      <c r="G4866" s="10">
        <v>2032554</v>
      </c>
      <c r="H4866" s="30" t="str">
        <f ca="1">IFERROR(__xludf.DUMMYFUNCTION("LOWER(REGEXREPLACE(B4866&amp;"" ""&amp;C4866,""[^а-яa-z0-9 ]"","" ""))")," ечь подовая  esto  talia    4   1140х1130х500 мм  6 9 к т  1 секц  380  т  ")</f>
        <v xml:space="preserve"> ечь подовая  esto  talia    4   1140х1130х500 мм  6 9 к т  1 секц  380  т  </v>
      </c>
    </row>
    <row r="4867" spans="1:8" ht="38.25" x14ac:dyDescent="0.2">
      <c r="A4867" s="31" t="s">
        <v>11587</v>
      </c>
      <c r="B4867" s="8" t="s">
        <v>11588</v>
      </c>
      <c r="C4867" s="27"/>
      <c r="D4867" s="33" t="s">
        <v>14</v>
      </c>
      <c r="E4867" s="9"/>
      <c r="F4867" s="34">
        <v>30</v>
      </c>
      <c r="G4867" s="10">
        <v>687863</v>
      </c>
      <c r="H4867" s="30" t="str">
        <f ca="1">IFERROR(__xludf.DUMMYFUNCTION("LOWER(REGEXREPLACE(B4867&amp;"" ""&amp;C4867,""[^а-яa-z0-9 ]"","" ""))")," ашина тестораскаточная настольная     500  700х370х430 мм  420  т  230    120 кг ч  ")</f>
        <v xml:space="preserve"> ашина тестораскаточная настольная     500  700х370х430 мм  420  т  230    120 кг ч  </v>
      </c>
    </row>
    <row r="4868" spans="1:8" ht="12.75" x14ac:dyDescent="0.2">
      <c r="A4868" s="31" t="s">
        <v>11589</v>
      </c>
      <c r="B4868" s="27" t="s">
        <v>11590</v>
      </c>
      <c r="C4868" s="27"/>
      <c r="D4868" s="33" t="s">
        <v>14</v>
      </c>
      <c r="E4868" s="9"/>
      <c r="F4868" s="32"/>
      <c r="G4868" s="10"/>
      <c r="H4868" s="30" t="str">
        <f ca="1">IFERROR(__xludf.DUMMYFUNCTION("LOWER(REGEXREPLACE(B4868&amp;"" ""&amp;C4868,""[^а-яa-z0-9 ]"","" ""))")," ашина тестораскаточная ")</f>
        <v xml:space="preserve"> ашина тестораскаточная </v>
      </c>
    </row>
    <row r="4869" spans="1:8" ht="38.25" x14ac:dyDescent="0.2">
      <c r="A4869" s="31" t="s">
        <v>11591</v>
      </c>
      <c r="B4869" s="27" t="s">
        <v>11592</v>
      </c>
      <c r="C4869" s="27"/>
      <c r="D4869" s="33" t="s">
        <v>14</v>
      </c>
      <c r="E4869" s="9"/>
      <c r="F4869" s="34">
        <v>51</v>
      </c>
      <c r="G4869" s="10">
        <v>625479</v>
      </c>
      <c r="H4869" s="30" t="str">
        <f ca="1">IFERROR(__xludf.DUMMYFUNCTION("LOWER(REGEXREPLACE(B4869&amp;"" ""&amp;C4869,""[^а-яa-z0-9 ]"","" ""))")," ашина тестораскаточная настольная  ищ ех     2  размеры 645х500х420 440 мм  мощность 0 25 к т  напряжение 220   ")</f>
        <v xml:space="preserve"> ашина тестораскаточная настольная  ищ ех     2  размеры 645х500х420 440 мм  мощность 0 25 к т  напряжение 220   </v>
      </c>
    </row>
    <row r="4870" spans="1:8" ht="38.25" x14ac:dyDescent="0.2">
      <c r="A4870" s="31" t="s">
        <v>11593</v>
      </c>
      <c r="B4870" s="27" t="s">
        <v>11594</v>
      </c>
      <c r="C4870" s="27"/>
      <c r="D4870" s="33" t="s">
        <v>14</v>
      </c>
      <c r="E4870" s="9"/>
      <c r="F4870" s="34">
        <v>37</v>
      </c>
      <c r="G4870" s="10">
        <v>1031387</v>
      </c>
      <c r="H4870" s="30" t="str">
        <f ca="1">IFERROR(__xludf.DUMMYFUNCTION("LOWER(REGEXREPLACE(B4870&amp;"" ""&amp;C4870,""[^а-яa-z0-9 ]"","" ""))")," ашина тестораскаточная     30  размеры 530х480х560 мм  мощность 0 37 к т  напряжение 220   ")</f>
        <v xml:space="preserve"> ашина тестораскаточная     30  размеры 530х480х560 мм  мощность 0 37 к т  напряжение 220   </v>
      </c>
    </row>
    <row r="4871" spans="1:8" ht="38.25" x14ac:dyDescent="0.2">
      <c r="A4871" s="31" t="s">
        <v>11595</v>
      </c>
      <c r="B4871" s="27" t="s">
        <v>11596</v>
      </c>
      <c r="C4871" s="27"/>
      <c r="D4871" s="33" t="s">
        <v>14</v>
      </c>
      <c r="E4871" s="9"/>
      <c r="F4871" s="34">
        <v>220</v>
      </c>
      <c r="G4871" s="10">
        <v>2965850</v>
      </c>
      <c r="H4871" s="30" t="str">
        <f ca="1">IFERROR(__xludf.DUMMYFUNCTION("LOWER(REGEXREPLACE(B4871&amp;"" ""&amp;C4871,""[^а-яa-z0-9 ]"","" ""))")," ашина тестораскаточная   520  размеры 2550х1000х1280 мм  мощность 0 75 к т  напряжение 220   ")</f>
        <v xml:space="preserve"> ашина тестораскаточная   520  размеры 2550х1000х1280 мм  мощность 0 75 к т  напряжение 220   </v>
      </c>
    </row>
    <row r="4872" spans="1:8" ht="38.25" x14ac:dyDescent="0.2">
      <c r="A4872" s="31" t="s">
        <v>11597</v>
      </c>
      <c r="B4872" s="27" t="s">
        <v>11598</v>
      </c>
      <c r="C4872" s="27"/>
      <c r="D4872" s="33" t="s">
        <v>14</v>
      </c>
      <c r="E4872" s="9"/>
      <c r="F4872" s="34">
        <v>260</v>
      </c>
      <c r="G4872" s="10">
        <v>4155238</v>
      </c>
      <c r="H4872" s="30" t="str">
        <f ca="1">IFERROR(__xludf.DUMMYFUNCTION("LOWER(REGEXREPLACE(B4872&amp;"" ""&amp;C4872,""[^а-яa-z0-9 ]"","" ""))")," ашина тестораскаточная   630  размеры 3480х1110х1280 мм  мощность 0 75 к т  напряжение 220   ")</f>
        <v xml:space="preserve"> ашина тестораскаточная   630  размеры 3480х1110х1280 мм  мощность 0 75 к т  напряжение 220   </v>
      </c>
    </row>
    <row r="4873" spans="1:8" ht="12.75" x14ac:dyDescent="0.2">
      <c r="A4873" s="31" t="s">
        <v>11599</v>
      </c>
      <c r="B4873" s="27" t="s">
        <v>11600</v>
      </c>
      <c r="C4873" s="27"/>
      <c r="D4873" s="33" t="s">
        <v>14</v>
      </c>
      <c r="E4873" s="9"/>
      <c r="F4873" s="32"/>
      <c r="G4873" s="10">
        <v>535714</v>
      </c>
      <c r="H4873" s="30" t="str">
        <f ca="1">IFERROR(__xludf.DUMMYFUNCTION("LOWER(REGEXREPLACE(B4873&amp;"" ""&amp;C4873,""[^а-яa-z0-9 ]"","" ""))")," каф для хлеба    1200 480 1800  7 уровней ")</f>
        <v xml:space="preserve"> каф для хлеба    1200 480 1800  7 уровней </v>
      </c>
    </row>
    <row r="4874" spans="1:8" ht="12.75" x14ac:dyDescent="0.2">
      <c r="A4874" s="31" t="s">
        <v>11601</v>
      </c>
      <c r="B4874" s="27" t="s">
        <v>11602</v>
      </c>
      <c r="C4874" s="27"/>
      <c r="D4874" s="32"/>
      <c r="E4874" s="9"/>
      <c r="F4874" s="32"/>
      <c r="G4874" s="10"/>
      <c r="H4874" s="30" t="str">
        <f ca="1">IFERROR(__xludf.DUMMYFUNCTION("LOWER(REGEXREPLACE(B4874&amp;"" ""&amp;C4874,""[^а-яa-z0-9 ]"","" ""))")," осудомоечное оборудование ")</f>
        <v xml:space="preserve"> осудомоечное оборудование </v>
      </c>
    </row>
    <row r="4875" spans="1:8" ht="51" x14ac:dyDescent="0.2">
      <c r="A4875" s="31" t="s">
        <v>11603</v>
      </c>
      <c r="B4875" s="27" t="s">
        <v>11604</v>
      </c>
      <c r="C4875" s="27" t="s">
        <v>11605</v>
      </c>
      <c r="D4875" s="33" t="s">
        <v>14</v>
      </c>
      <c r="E4875" s="9"/>
      <c r="F4875" s="34">
        <v>415</v>
      </c>
      <c r="G4875" s="10">
        <v>3878053</v>
      </c>
      <c r="H4875" s="30" t="str">
        <f ca="1">IFERROR(__xludf.DUMMYFUNCTION("LOWER(REGEXREPLACE(B4875&amp;"" ""&amp;C4875,""[^а-яa-z0-9 ]"","" ""))")," ашина посудомоечная туннельная     2000  еплообменник  сушка  2000 тарелок час  3 программы мойки  2 дозатора  моющий  ополаскивающий   насос мойки  мощность 34 4 к т  напряжение 400    азмеры  2230х920х2179мм   евосторонняя или правосторонняя загрузка п"&amp;"осуды по согласованию с заказчиком")</f>
        <v xml:space="preserve"> ашина посудомоечная туннельная     2000  еплообменник  сушка  2000 тарелок час  3 программы мойки  2 дозатора  моющий  ополаскивающий   насос мойки  мощность 34 4 к т  напряжение 400    азмеры  2230х920х2179мм   евосторонняя или правосторонняя загрузка посуды по согласованию с заказчиком</v>
      </c>
    </row>
    <row r="4876" spans="1:8" ht="51" x14ac:dyDescent="0.2">
      <c r="A4876" s="31" t="s">
        <v>11606</v>
      </c>
      <c r="B4876" s="27" t="s">
        <v>11607</v>
      </c>
      <c r="C4876" s="27" t="s">
        <v>11608</v>
      </c>
      <c r="D4876" s="33" t="s">
        <v>14</v>
      </c>
      <c r="E4876" s="9"/>
      <c r="F4876" s="34">
        <v>307</v>
      </c>
      <c r="G4876" s="10">
        <v>2349796</v>
      </c>
      <c r="H4876" s="30" t="str">
        <f ca="1">IFERROR(__xludf.DUMMYFUNCTION("LOWER(REGEXREPLACE(B4876&amp;"" ""&amp;C4876,""[^а-яa-z0-9 ]"","" ""))")," ашина посудомоечная туннельная     1700 1700 тарелок час  3 программы мойки  2 дозатора  моющий  ополаскивающий   насос мойки  мощность 26 5 к т  напряжение 400    азмеры  1595х770х1695мм   евосторонняя или правосторонняя загрузка посуды по согласованию "&amp;"с заказчиком")</f>
        <v xml:space="preserve"> ашина посудомоечная туннельная     1700 1700 тарелок час  3 программы мойки  2 дозатора  моющий  ополаскивающий   насос мойки  мощность 26 5 к т  напряжение 400    азмеры  1595х770х1695мм   евосторонняя или правосторонняя загрузка посуды по согласованию с заказчиком</v>
      </c>
    </row>
    <row r="4877" spans="1:8" ht="51" x14ac:dyDescent="0.2">
      <c r="A4877" s="31" t="s">
        <v>11609</v>
      </c>
      <c r="B4877" s="8" t="s">
        <v>11610</v>
      </c>
      <c r="C4877" s="27"/>
      <c r="D4877" s="33" t="s">
        <v>14</v>
      </c>
      <c r="E4877" s="9"/>
      <c r="F4877" s="34">
        <v>230</v>
      </c>
      <c r="G4877" s="10">
        <v>3664569</v>
      </c>
      <c r="H4877" s="30" t="str">
        <f ca="1">IFERROR(__xludf.DUMMYFUNCTION("LOWER(REGEXREPLACE(B4877&amp;"" ""&amp;C4877,""[^а-яa-z0-9 ]"","" ""))")," ашина посудомоечная туннельная      1700    левая  1700 тар ч  2 дозатора  моющий и ополаскивающий   2 насоса  26 5 к т  380    1595х770х1965 2120 мм  ")</f>
        <v xml:space="preserve"> ашина посудомоечная туннельная      1700    левая  1700 тар ч  2 дозатора  моющий и ополаскивающий   2 насоса  26 5 к т  380    1595х770х1965 2120 мм  </v>
      </c>
    </row>
    <row r="4878" spans="1:8" ht="25.5" x14ac:dyDescent="0.2">
      <c r="A4878" s="31" t="s">
        <v>11611</v>
      </c>
      <c r="B4878" s="27" t="s">
        <v>11612</v>
      </c>
      <c r="C4878" s="27"/>
      <c r="D4878" s="33" t="s">
        <v>14</v>
      </c>
      <c r="E4878" s="9"/>
      <c r="F4878" s="34">
        <v>36</v>
      </c>
      <c r="G4878" s="10">
        <v>260638</v>
      </c>
      <c r="H4878" s="30" t="str">
        <f ca="1">IFERROR(__xludf.DUMMYFUNCTION("LOWER(REGEXREPLACE(B4878&amp;"" ""&amp;C4878,""[^а-яa-z0-9 ]"","" ""))")," тол для посудомоечной машины для грязной посуды    п    1200х720х850 1020 мм ")</f>
        <v xml:space="preserve"> тол для посудомоечной машины для грязной посуды    п    1200х720х850 1020 мм </v>
      </c>
    </row>
    <row r="4879" spans="1:8" ht="12.75" x14ac:dyDescent="0.2">
      <c r="A4879" s="31" t="s">
        <v>11613</v>
      </c>
      <c r="B4879" s="27" t="s">
        <v>11614</v>
      </c>
      <c r="C4879" s="27"/>
      <c r="D4879" s="33" t="s">
        <v>68</v>
      </c>
      <c r="E4879" s="9"/>
      <c r="F4879" s="34">
        <v>59</v>
      </c>
      <c r="G4879" s="10"/>
      <c r="H4879" s="30" t="str">
        <f ca="1">IFERROR(__xludf.DUMMYFUNCTION("LOWER(REGEXREPLACE(B4879&amp;"" ""&amp;C4879,""[^а-яa-z0-9 ]"","" ""))")," тол предмоечный ")</f>
        <v xml:space="preserve"> тол предмоечный </v>
      </c>
    </row>
    <row r="4880" spans="1:8" ht="38.25" x14ac:dyDescent="0.2">
      <c r="A4880" s="31" t="s">
        <v>11615</v>
      </c>
      <c r="B4880" s="27" t="s">
        <v>11616</v>
      </c>
      <c r="C4880" s="27"/>
      <c r="D4880" s="33" t="s">
        <v>68</v>
      </c>
      <c r="E4880" s="34">
        <v>2</v>
      </c>
      <c r="F4880" s="34">
        <v>59</v>
      </c>
      <c r="G4880" s="10">
        <v>381447</v>
      </c>
      <c r="H4880" s="30" t="str">
        <f ca="1">IFERROR(__xludf.DUMMYFUNCTION("LOWER(REGEXREPLACE(B4880&amp;"" ""&amp;C4880,""[^а-яa-z0-9 ]"","" ""))")," тол предмоечный      7 4  1304х725 мм  душ стойка  мойка цельнотянутая 400х400х250  для туннельных машин     ")</f>
        <v xml:space="preserve"> тол предмоечный      7 4  1304х725 мм  душ стойка  мойка цельнотянутая 400х400х250  для туннельных машин     </v>
      </c>
    </row>
    <row r="4881" spans="1:8" ht="38.25" x14ac:dyDescent="0.2">
      <c r="A4881" s="31" t="s">
        <v>11617</v>
      </c>
      <c r="B4881" s="27" t="s">
        <v>11618</v>
      </c>
      <c r="C4881" s="27"/>
      <c r="D4881" s="33" t="s">
        <v>68</v>
      </c>
      <c r="E4881" s="34">
        <v>2</v>
      </c>
      <c r="F4881" s="34">
        <v>40</v>
      </c>
      <c r="G4881" s="10">
        <v>309239</v>
      </c>
      <c r="H4881" s="30" t="str">
        <f ca="1">IFERROR(__xludf.DUMMYFUNCTION("LOWER(REGEXREPLACE(B4881&amp;"" ""&amp;C4881,""[^а-яa-z0-9 ]"","" ""))")," тол предмоечный      7 1  1166х724 мм  душ стойка  мойка цельнотянутая 400х400х250мм  для фронтальных машин     500 ")</f>
        <v xml:space="preserve"> тол предмоечный      7 1  1166х724 мм  душ стойка  мойка цельнотянутая 400х400х250мм  для фронтальных машин     500 </v>
      </c>
    </row>
    <row r="4882" spans="1:8" ht="38.25" x14ac:dyDescent="0.2">
      <c r="A4882" s="31" t="s">
        <v>11619</v>
      </c>
      <c r="B4882" s="27" t="s">
        <v>11620</v>
      </c>
      <c r="C4882" s="27"/>
      <c r="D4882" s="33" t="s">
        <v>68</v>
      </c>
      <c r="E4882" s="34">
        <v>2</v>
      </c>
      <c r="F4882" s="34">
        <v>30</v>
      </c>
      <c r="G4882" s="10">
        <v>207644</v>
      </c>
      <c r="H4882" s="30" t="str">
        <f ca="1">IFERROR(__xludf.DUMMYFUNCTION("LOWER(REGEXREPLACE(B4882&amp;"" ""&amp;C4882,""[^а-яa-z0-9 ]"","" ""))")," тол предмоечный      6 1  572x795 мм  душ  мойка цельнотянутая 400х400х250мм  для купольных машин     ")</f>
        <v xml:space="preserve"> тол предмоечный      6 1  572x795 мм  душ  мойка цельнотянутая 400х400х250мм  для купольных машин     </v>
      </c>
    </row>
    <row r="4883" spans="1:8" ht="38.25" x14ac:dyDescent="0.2">
      <c r="A4883" s="31" t="s">
        <v>11621</v>
      </c>
      <c r="B4883" s="27" t="s">
        <v>11622</v>
      </c>
      <c r="C4883" s="27"/>
      <c r="D4883" s="33" t="s">
        <v>68</v>
      </c>
      <c r="E4883" s="34">
        <v>2</v>
      </c>
      <c r="F4883" s="34">
        <v>65</v>
      </c>
      <c r="G4883" s="10">
        <v>379983</v>
      </c>
      <c r="H4883" s="30" t="str">
        <f ca="1">IFERROR(__xludf.DUMMYFUNCTION("LOWER(REGEXREPLACE(B4883&amp;"" ""&amp;C4883,""[^а-яa-z0-9 ]"","" ""))")," тол предмоечный      6 5  1512x702 мм  душ стойка  сбор отходов  мойка цельнотянутая 400х400х250мм  для купольных машин     ")</f>
        <v xml:space="preserve"> тол предмоечный      6 5  1512x702 мм  душ стойка  сбор отходов  мойка цельнотянутая 400х400х250мм  для купольных машин     </v>
      </c>
    </row>
    <row r="4884" spans="1:8" ht="51" x14ac:dyDescent="0.2">
      <c r="A4884" s="31" t="s">
        <v>11623</v>
      </c>
      <c r="B4884" s="27" t="s">
        <v>11624</v>
      </c>
      <c r="C4884" s="27"/>
      <c r="D4884" s="33" t="s">
        <v>68</v>
      </c>
      <c r="E4884" s="34">
        <v>2</v>
      </c>
      <c r="F4884" s="34">
        <v>60</v>
      </c>
      <c r="G4884" s="10">
        <v>419703</v>
      </c>
      <c r="H4884" s="30" t="str">
        <f ca="1">IFERROR(__xludf.DUMMYFUNCTION("LOWER(REGEXREPLACE(B4884&amp;"" ""&amp;C4884,""[^а-яa-z0-9 ]"","" ""))")," тол предмоечный      6 7   1712x702 мм  душ стойка  сбор отходов  направл  на 4 кассеты  мойка цельнотянутая 400х400х250мм  для купольных машин     ")</f>
        <v xml:space="preserve"> тол предмоечный      6 7   1712x702 мм  душ стойка  сбор отходов  направл  на 4 кассеты  мойка цельнотянутая 400х400х250мм  для купольных машин     </v>
      </c>
    </row>
    <row r="4885" spans="1:8" ht="38.25" x14ac:dyDescent="0.2">
      <c r="A4885" s="31" t="s">
        <v>11625</v>
      </c>
      <c r="B4885" s="27" t="s">
        <v>11626</v>
      </c>
      <c r="C4885" s="27"/>
      <c r="D4885" s="33" t="s">
        <v>68</v>
      </c>
      <c r="E4885" s="34">
        <v>2</v>
      </c>
      <c r="F4885" s="34">
        <v>60</v>
      </c>
      <c r="G4885" s="10">
        <v>406456</v>
      </c>
      <c r="H4885" s="30" t="str">
        <f ca="1">IFERROR(__xludf.DUMMYFUNCTION("LOWER(REGEXREPLACE(B4885&amp;"" ""&amp;C4885,""[^а-яa-z0-9 ]"","" ""))")," тол предмоечный      7 7   1715х705  для посудомоечных машин     и     с душирующим устройством ")</f>
        <v xml:space="preserve"> тол предмоечный      7 7   1715х705  для посудомоечных машин     и     с душирующим устройством </v>
      </c>
    </row>
    <row r="4886" spans="1:8" ht="51" x14ac:dyDescent="0.2">
      <c r="A4886" s="31" t="s">
        <v>11627</v>
      </c>
      <c r="B4886" s="27" t="s">
        <v>11628</v>
      </c>
      <c r="C4886" s="27" t="s">
        <v>11629</v>
      </c>
      <c r="D4886" s="33" t="s">
        <v>14</v>
      </c>
      <c r="E4886" s="34">
        <v>2</v>
      </c>
      <c r="F4886" s="34">
        <v>41</v>
      </c>
      <c r="G4886" s="10">
        <v>406855</v>
      </c>
      <c r="H4886" s="30" t="str">
        <f ca="1">IFERROR(__xludf.DUMMYFUNCTION("LOWER(REGEXREPLACE(B4886&amp;"" ""&amp;C4886,""[^а-яa-z0-9 ]"","" ""))")," тол предмоечный      13 7 8 5    размеры 1300х700х850 1000  мм  полностью из нержавеющей стали  азмеры ванны 400х400х250 мм   тол изготовлен полностью из нержавеющей стали      430   борка стола возможна как в левом так и в правом исполнении   толешница "&amp;"усилена листом      16 мм ")</f>
        <v xml:space="preserve"> тол предмоечный      13 7 8 5    размеры 1300х700х850 1000  мм  полностью из нержавеющей стали  азмеры ванны 400х400х250 мм   тол изготовлен полностью из нержавеющей стали      430   борка стола возможна как в левом так и в правом исполнении   толешница усилена листом      16 мм </v>
      </c>
    </row>
    <row r="4887" spans="1:8" ht="76.5" x14ac:dyDescent="0.2">
      <c r="A4887" s="31" t="s">
        <v>11630</v>
      </c>
      <c r="B4887" s="27" t="s">
        <v>11631</v>
      </c>
      <c r="C4887" s="27" t="s">
        <v>11632</v>
      </c>
      <c r="D4887" s="33" t="s">
        <v>14</v>
      </c>
      <c r="E4887" s="34">
        <v>2</v>
      </c>
      <c r="F4887" s="34">
        <v>43</v>
      </c>
      <c r="G4887" s="10">
        <v>390264</v>
      </c>
      <c r="H4887" s="30" t="str">
        <f ca="1">IFERROR(__xludf.DUMMYFUNCTION("LOWER(REGEXREPLACE(B4887&amp;"" ""&amp;C4887,""[^а-яa-z0-9 ]"","" ""))")," тол предмоечный      12 7 10  размеры 1200х700х850  1000  мм  полностью из нержавеющей стали  азмеры ванны 400х400х250 мм   тол изготовлен полностью из нержавеющей стали       430   тол оснащен направляющими для хранения кассет размерами 500х500 мм    ос"&amp;"новании стола расположена полка из нержавеющей стали  усиленная ребром жесткости для расположения на ней различных предметов   борка стола возможна как в левом так и в правом исполнении   толешница усилена листом      16 мм ")</f>
        <v xml:space="preserve"> тол предмоечный      12 7 10  размеры 1200х700х850  1000  мм  полностью из нержавеющей стали  азмеры ванны 400х400х250 мм   тол изготовлен полностью из нержавеющей стали       430   тол оснащен направляющими для хранения кассет размерами 500х500 мм    основании стола расположена полка из нержавеющей стали  усиленная ребром жесткости для расположения на ней различных предметов   борка стола возможна как в левом так и в правом исполнении   толешница усилена листом      16 мм </v>
      </c>
    </row>
    <row r="4888" spans="1:8" ht="12.75" x14ac:dyDescent="0.2">
      <c r="A4888" s="31" t="s">
        <v>11633</v>
      </c>
      <c r="B4888" s="27" t="s">
        <v>11634</v>
      </c>
      <c r="C4888" s="27"/>
      <c r="D4888" s="33" t="s">
        <v>14</v>
      </c>
      <c r="E4888" s="9"/>
      <c r="F4888" s="32"/>
      <c r="G4888" s="10"/>
      <c r="H4888" s="30" t="str">
        <f ca="1">IFERROR(__xludf.DUMMYFUNCTION("LOWER(REGEXREPLACE(B4888&amp;"" ""&amp;C4888,""[^а-яa-z0-9 ]"","" ""))")," тол раздаточный для чистой посуды ")</f>
        <v xml:space="preserve"> тол раздаточный для чистой посуды </v>
      </c>
    </row>
    <row r="4889" spans="1:8" ht="25.5" x14ac:dyDescent="0.2">
      <c r="A4889" s="31" t="s">
        <v>11635</v>
      </c>
      <c r="B4889" s="27" t="s">
        <v>11636</v>
      </c>
      <c r="C4889" s="27"/>
      <c r="D4889" s="33" t="s">
        <v>14</v>
      </c>
      <c r="E4889" s="34">
        <v>2</v>
      </c>
      <c r="F4889" s="34">
        <v>16</v>
      </c>
      <c r="G4889" s="10">
        <v>91583</v>
      </c>
      <c r="H4889" s="30" t="str">
        <f ca="1">IFERROR(__xludf.DUMMYFUNCTION("LOWER(REGEXREPLACE(B4889&amp;"" ""&amp;C4889,""[^а-яa-z0-9 ]"","" ""))")," тол раздаточный      6 1  612x611 мм  для чистой посуды  для купольных машин     ")</f>
        <v xml:space="preserve"> тол раздаточный      6 1  612x611 мм  для чистой посуды  для купольных машин     </v>
      </c>
    </row>
    <row r="4890" spans="1:8" ht="25.5" x14ac:dyDescent="0.2">
      <c r="A4890" s="31" t="s">
        <v>11637</v>
      </c>
      <c r="B4890" s="27" t="s">
        <v>11638</v>
      </c>
      <c r="C4890" s="27"/>
      <c r="D4890" s="33" t="s">
        <v>14</v>
      </c>
      <c r="E4890" s="34">
        <v>2</v>
      </c>
      <c r="F4890" s="34">
        <v>26</v>
      </c>
      <c r="G4890" s="10">
        <v>123734</v>
      </c>
      <c r="H4890" s="30" t="str">
        <f ca="1">IFERROR(__xludf.DUMMYFUNCTION("LOWER(REGEXREPLACE(B4890&amp;"" ""&amp;C4890,""[^а-яa-z0-9 ]"","" ""))")," тол раздаточный      6 5  1062x611 мм  для чистой посуды  для купольных машин     ")</f>
        <v xml:space="preserve"> тол раздаточный      6 5  1062x611 мм  для чистой посуды  для купольных машин     </v>
      </c>
    </row>
    <row r="4891" spans="1:8" ht="38.25" x14ac:dyDescent="0.2">
      <c r="A4891" s="31" t="s">
        <v>11639</v>
      </c>
      <c r="B4891" s="27" t="s">
        <v>11640</v>
      </c>
      <c r="C4891" s="27" t="s">
        <v>11641</v>
      </c>
      <c r="D4891" s="33" t="s">
        <v>14</v>
      </c>
      <c r="E4891" s="34">
        <v>2</v>
      </c>
      <c r="F4891" s="34">
        <v>12</v>
      </c>
      <c r="G4891" s="10">
        <v>146124</v>
      </c>
      <c r="H4891" s="30" t="str">
        <f ca="1">IFERROR(__xludf.DUMMYFUNCTION("LOWER(REGEXREPLACE(B4891&amp;"" ""&amp;C4891,""[^а-яa-z0-9 ]"","" ""))")," тол раздаточный      6 6    размеры 612х611х940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трубы"&amp;" 40х40 нерж сталь ")</f>
        <v xml:space="preserve"> тол раздаточный      6 6    размеры 612х611х940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v>
      </c>
    </row>
    <row r="4892" spans="1:8" ht="38.25" x14ac:dyDescent="0.2">
      <c r="A4892" s="31" t="s">
        <v>11642</v>
      </c>
      <c r="B4892" s="27" t="s">
        <v>11643</v>
      </c>
      <c r="C4892" s="27" t="s">
        <v>11641</v>
      </c>
      <c r="D4892" s="33" t="s">
        <v>14</v>
      </c>
      <c r="E4892" s="34">
        <v>2</v>
      </c>
      <c r="F4892" s="34">
        <v>13</v>
      </c>
      <c r="G4892" s="10">
        <v>152768</v>
      </c>
      <c r="H4892" s="30" t="str">
        <f ca="1">IFERROR(__xludf.DUMMYFUNCTION("LOWER(REGEXREPLACE(B4892&amp;"" ""&amp;C4892,""[^а-яa-z0-9 ]"","" ""))")," тол раздаточный      6 2    размеры 704х635х940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трубы"&amp;" 40х40 нерж сталь ")</f>
        <v xml:space="preserve"> тол раздаточный      6 2    размеры 704х635х940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v>
      </c>
    </row>
    <row r="4893" spans="1:8" ht="51" x14ac:dyDescent="0.2">
      <c r="A4893" s="31" t="s">
        <v>11644</v>
      </c>
      <c r="B4893" s="27" t="s">
        <v>11645</v>
      </c>
      <c r="C4893" s="27" t="s">
        <v>11641</v>
      </c>
      <c r="D4893" s="33" t="s">
        <v>14</v>
      </c>
      <c r="E4893" s="34">
        <v>2</v>
      </c>
      <c r="F4893" s="34">
        <v>20</v>
      </c>
      <c r="G4893" s="10">
        <v>179356</v>
      </c>
      <c r="H4893" s="30" t="str">
        <f ca="1">IFERROR(__xludf.DUMMYFUNCTION("LOWER(REGEXREPLACE(B4893&amp;"" ""&amp;C4893,""[^а-яa-z0-9 ]"","" ""))")," тол раздаточный      10 6    размеры 1062х611х940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тру"&amp;"бы 40х40 нерж сталь ")</f>
        <v xml:space="preserve"> тол раздаточный      10 6    размеры 1062х611х940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v>
      </c>
    </row>
    <row r="4894" spans="1:8" ht="63.75" x14ac:dyDescent="0.2">
      <c r="A4894" s="31" t="s">
        <v>11646</v>
      </c>
      <c r="B4894" s="8" t="s">
        <v>11647</v>
      </c>
      <c r="C4894" s="27" t="s">
        <v>10939</v>
      </c>
      <c r="D4894" s="33" t="s">
        <v>14</v>
      </c>
      <c r="E4894" s="34">
        <v>2</v>
      </c>
      <c r="F4894" s="34">
        <v>21</v>
      </c>
      <c r="G4894" s="10">
        <v>164753</v>
      </c>
      <c r="H4894" s="30" t="str">
        <f ca="1">IFERROR(__xludf.DUMMYFUNCTION("LOWER(REGEXREPLACE(B4894&amp;"" ""&amp;C4894,""[^а-яa-z0-9 ]"","" ""))")," тол для чистой посуды с бортом     8 7    борт не менее 40 мм  размеры 800х700х850 мм  столешница и сплошная нижняя  полка из нержавеющей стали 0 8 мм  усиленная     16 мм  плошная нижняя полка усиленная ребрами жесткости  подступ под коммуникации 100 мм"&amp;"  4 ножки труба 40х40 мм из нержавеющей стали  толщиной не менее 1 2 мм  4 регулируемые по высоте опоры ")</f>
        <v xml:space="preserve"> тол для чистой посуды с бортом     8 7    борт не менее 40 мм  размеры 800х700х850 мм  столешница и сплошная нижняя  полка из нержавеющей стали 0 8 мм  усиленная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v>
      </c>
    </row>
    <row r="4895" spans="1:8" ht="25.5" x14ac:dyDescent="0.2">
      <c r="A4895" s="31" t="s">
        <v>11648</v>
      </c>
      <c r="B4895" s="27" t="s">
        <v>11649</v>
      </c>
      <c r="C4895" s="27"/>
      <c r="D4895" s="33" t="s">
        <v>14</v>
      </c>
      <c r="E4895" s="9"/>
      <c r="F4895" s="34">
        <v>31</v>
      </c>
      <c r="G4895" s="10">
        <v>296620</v>
      </c>
      <c r="H4895" s="30" t="str">
        <f ca="1">IFERROR(__xludf.DUMMYFUNCTION("LOWER(REGEXREPLACE(B4895&amp;"" ""&amp;C4895,""[^а-яa-z0-9 ]"","" ""))")," тол для чистой посуды        430    361 1200 760     ")</f>
        <v xml:space="preserve"> тол для чистой посуды        430    361 1200 760     </v>
      </c>
    </row>
    <row r="4896" spans="1:8" ht="38.25" x14ac:dyDescent="0.2">
      <c r="A4896" s="31" t="s">
        <v>11650</v>
      </c>
      <c r="B4896" s="8" t="s">
        <v>11651</v>
      </c>
      <c r="C4896" s="27"/>
      <c r="D4896" s="33" t="s">
        <v>14</v>
      </c>
      <c r="E4896" s="9"/>
      <c r="F4896" s="34">
        <v>55</v>
      </c>
      <c r="G4896" s="10">
        <v>607874</v>
      </c>
      <c r="H4896" s="30" t="str">
        <f ca="1">IFERROR(__xludf.DUMMYFUNCTION("LOWER(REGEXREPLACE(B4896&amp;"" ""&amp;C4896,""[^а-яa-z0-9 ]"","" ""))")," таканомоечная машина  i  hief    640         490x570x780 мм  400х400 мм корз   доз  ополаск   ")</f>
        <v xml:space="preserve"> таканомоечная машина  i  hief    640         490x570x780 мм  400х400 мм корз   доз  ополаск   </v>
      </c>
    </row>
    <row r="4897" spans="1:8" ht="38.25" x14ac:dyDescent="0.2">
      <c r="A4897" s="31" t="s">
        <v>11652</v>
      </c>
      <c r="B4897" s="8" t="s">
        <v>11653</v>
      </c>
      <c r="C4897" s="27"/>
      <c r="D4897" s="33" t="s">
        <v>14</v>
      </c>
      <c r="E4897" s="9"/>
      <c r="F4897" s="34">
        <v>34</v>
      </c>
      <c r="G4897" s="10">
        <v>608741</v>
      </c>
      <c r="H4897" s="30" t="str">
        <f ca="1">IFERROR(__xludf.DUMMYFUNCTION("LOWER(REGEXREPLACE(B4897&amp;"" ""&amp;C4897,""[^а-яa-z0-9 ]"","" ""))")," ашина стаканомоечная  pach   400 фронтальная  436х535х670  220    3 5 к т  30 кас ч  ")</f>
        <v xml:space="preserve"> ашина стаканомоечная  pach   400 фронтальная  436х535х670  220    3 5 к т  30 кас ч  </v>
      </c>
    </row>
    <row r="4898" spans="1:8" ht="38.25" x14ac:dyDescent="0.2">
      <c r="A4898" s="31" t="s">
        <v>11654</v>
      </c>
      <c r="B4898" s="27" t="s">
        <v>11655</v>
      </c>
      <c r="C4898" s="27"/>
      <c r="D4898" s="33" t="s">
        <v>14</v>
      </c>
      <c r="E4898" s="9"/>
      <c r="F4898" s="34">
        <v>100</v>
      </c>
      <c r="G4898" s="10">
        <v>1305951</v>
      </c>
      <c r="H4898" s="30" t="str">
        <f ca="1">IFERROR(__xludf.DUMMYFUNCTION("LOWER(REGEXREPLACE(B4898&amp;"" ""&amp;C4898,""[^а-яa-z0-9 ]"","" ""))")," ашина посудомоечная универсальная     700 01 без столов загрузки и разгрузки  600x800x1400 мм  16 3 к т  380    масса 100 кг  ")</f>
        <v xml:space="preserve"> ашина посудомоечная универсальная     700 01 без столов загрузки и разгрузки  600x800x1400 мм  16 3 к т  380    масса 100 кг  </v>
      </c>
    </row>
    <row r="4899" spans="1:8" ht="12.75" x14ac:dyDescent="0.2">
      <c r="A4899" s="31" t="s">
        <v>11656</v>
      </c>
      <c r="B4899" s="27" t="s">
        <v>11657</v>
      </c>
      <c r="C4899" s="27"/>
      <c r="D4899" s="33" t="s">
        <v>14</v>
      </c>
      <c r="E4899" s="9"/>
      <c r="F4899" s="32"/>
      <c r="G4899" s="10"/>
      <c r="H4899" s="30" t="str">
        <f ca="1">IFERROR(__xludf.DUMMYFUNCTION("LOWER(REGEXREPLACE(B4899&amp;"" ""&amp;C4899,""[^а-яa-z0-9 ]"","" ""))")," ашина посудомоечная ")</f>
        <v xml:space="preserve"> ашина посудомоечная </v>
      </c>
    </row>
    <row r="4900" spans="1:8" ht="51" x14ac:dyDescent="0.2">
      <c r="A4900" s="31" t="s">
        <v>11658</v>
      </c>
      <c r="B4900" s="8" t="s">
        <v>11659</v>
      </c>
      <c r="C4900" s="27"/>
      <c r="D4900" s="33" t="s">
        <v>14</v>
      </c>
      <c r="E4900" s="9"/>
      <c r="F4900" s="34">
        <v>95</v>
      </c>
      <c r="G4900" s="10">
        <v>1091670</v>
      </c>
      <c r="H4900" s="30" t="str">
        <f ca="1">IFERROR(__xludf.DUMMYFUNCTION("LOWER(REGEXREPLACE(B4900&amp;"" ""&amp;C4900,""[^а-яa-z0-9 ]"","" ""))")," ашина посудомоечная  i  hief    1000         размеры 660x810x1390 1800  мм  мощность 9 75 к т  напряжение 380   ")</f>
        <v xml:space="preserve"> ашина посудомоечная  i  hief    1000         размеры 660x810x1390 1800  мм  мощность 9 75 к т  напряжение 380   </v>
      </c>
    </row>
    <row r="4901" spans="1:8" ht="38.25" x14ac:dyDescent="0.2">
      <c r="A4901" s="31" t="s">
        <v>11660</v>
      </c>
      <c r="B4901" s="27" t="s">
        <v>11661</v>
      </c>
      <c r="C4901" s="27"/>
      <c r="D4901" s="33" t="s">
        <v>14</v>
      </c>
      <c r="E4901" s="9"/>
      <c r="F4901" s="34">
        <v>200</v>
      </c>
      <c r="G4901" s="10">
        <v>9366819</v>
      </c>
      <c r="H4901" s="30" t="str">
        <f ca="1">IFERROR(__xludf.DUMMYFUNCTION("LOWER(REGEXREPLACE(B4901&amp;"" ""&amp;C4901,""[^а-яa-z0-9 ]"","" ""))")," ашина посудомоечная конвейерная   180  размеры 1500x810x1630 мм  мощность 36 к т   напряжение 380   ")</f>
        <v xml:space="preserve"> ашина посудомоечная конвейерная   180  размеры 1500x810x1630 мм  мощность 36 к т   напряжение 380   </v>
      </c>
    </row>
    <row r="4902" spans="1:8" ht="153" x14ac:dyDescent="0.2">
      <c r="A4902" s="31" t="s">
        <v>11662</v>
      </c>
      <c r="B4902" s="8" t="s">
        <v>11663</v>
      </c>
      <c r="C4902" s="27" t="s">
        <v>11664</v>
      </c>
      <c r="D4902" s="33" t="s">
        <v>68</v>
      </c>
      <c r="E4902" s="34">
        <v>2</v>
      </c>
      <c r="F4902" s="34">
        <v>405</v>
      </c>
      <c r="G4902" s="10">
        <v>15082127</v>
      </c>
      <c r="H4902" s="30" t="str">
        <f ca="1">IFERROR(__xludf.DUMMYFUNCTION("LOWER(REGEXREPLACE(B4902&amp;"" ""&amp;C4902,""[^а-яa-z0-9 ]"","" ""))")," ашина конвейерная посудомоечная типа  mpero     3000   роизводительность 3000 тарелок в час  напряжение 380   мощность 48 к т   азмер  2561x837x2000 мм    комплекте с душирующим устройством со смесителем типа        03 2шт   столом предмоечным  с двухсек"&amp;"ционной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основ"&amp;"ная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50"&amp;"0х500 для тарелок 10 шт   ассета типа        01 500х500 для стаканов 10 шт   ассета типа        01 для приборов 5 шт ")</f>
        <v xml:space="preserve"> ашина конвейерная посудомоечная типа  mpero     3000   роизводительность 3000 тарелок в час  напряжение 380   мощность 48 к т   азмер  2561x837x2000 мм    комплекте с душирующим устройством со смесителем типа        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 шт   ассета типа        01 500х500 для стаканов 10 шт   ассета типа        01 для приборов 5 шт </v>
      </c>
    </row>
    <row r="4903" spans="1:8" ht="127.5" x14ac:dyDescent="0.2">
      <c r="A4903" s="31" t="s">
        <v>11665</v>
      </c>
      <c r="B4903" s="8" t="s">
        <v>11666</v>
      </c>
      <c r="C4903" s="27" t="s">
        <v>11667</v>
      </c>
      <c r="D4903" s="33" t="s">
        <v>68</v>
      </c>
      <c r="E4903" s="34">
        <v>2</v>
      </c>
      <c r="F4903" s="34">
        <v>112</v>
      </c>
      <c r="G4903" s="10">
        <v>4078696</v>
      </c>
      <c r="H4903" s="30" t="str">
        <f ca="1">IFERROR(__xludf.DUMMYFUNCTION("LOWER(REGEXREPLACE(B4903&amp;"" ""&amp;C4903,""[^а-яa-z0-9 ]"","" ""))")," ашина посудомоечная купольная типа  mpero     1000     апряжение 380     ощность 6 55 к т   азмер  695х765х1485 мм    комплекте с душирующим устройством со смесителем типа        03  столом предмоечным  с цельнотянутой мойкой  типа         75150 1      р"&amp;"аздаточным столом типа         75120     1200х750х890мм  помпой  дренажный насос для принудительного слива воды   икл мойки 60 90 120 180 сек   озатор моющего средства   озатор ополаскивающего средства   одель оснащена встроенным термостатом  датчиком без"&amp;"опасности магнитной двери и регулируемыми по высоте ножками   орпус выполнен из нержавеющей стали   азмер  ширина  695 мм  глубина 765 мм  высота 1485 мм   ассета типа        01 500х500 для тарелок 5 шт   ассета типа        01 500х500 для стаканов 5 шт   "&amp;"ассета типа        01 для приборов 2 шт ")</f>
        <v xml:space="preserve"> ашина посудомоечная купольная типа  mpero     1000     апряжение 380     ощность 6 55 к т   азмер  695х765х1485 мм    комплекте с душирующим устройством со смесителем типа        03  столом предмоечным  с цельнотянутой мойкой  типа         75150 1      раздаточным столом типа         75120     1200х750х890мм  помпой  дренажный насос для принудительного слива воды   икл мойки 60 90 120 180 сек   озатор моющего средства   озатор ополаскивающего средства   одель оснащена встроенным термостатом  датчиком безопасности магнитной двери и регулируемыми по высоте ножками   орпус выполнен из нержавеющей стали   азмер  ширина  695 мм  глубина 765 мм  высота 1485 мм   ассета типа        01 500х500 для тарелок 5 шт   ассета типа        01 500х500 для стаканов 5 шт   ассета типа        01 для приборов 2 шт </v>
      </c>
    </row>
    <row r="4904" spans="1:8" ht="102" x14ac:dyDescent="0.2">
      <c r="A4904" s="31" t="s">
        <v>11668</v>
      </c>
      <c r="B4904" s="27" t="s">
        <v>11669</v>
      </c>
      <c r="C4904" s="27" t="s">
        <v>11670</v>
      </c>
      <c r="D4904" s="33" t="s">
        <v>68</v>
      </c>
      <c r="E4904" s="34">
        <v>2</v>
      </c>
      <c r="F4904" s="34">
        <v>64</v>
      </c>
      <c r="G4904" s="10">
        <v>2390460</v>
      </c>
      <c r="H4904" s="30" t="str">
        <f ca="1">IFERROR(__xludf.DUMMYFUNCTION("LOWER(REGEXREPLACE(B4904&amp;"" ""&amp;C4904,""[^а-яa-z0-9 ]"","" ""))")," ашина посудомоечная фронтальная типа  mpero     500   апряжение 220     ощность 6 к т   азмер  590х700х820мм    комплекте с душирующим устройством со смесителем типа        03  столом предмоечным  с цельнотянутой мойкой  типа         75150 1      раздато"&amp;"чным столом типа         75120     1200х750х890мм  икл мойки  мин   1 5 2  3   озатор моющего средства    озатор ополаскивающего средства   азмеры  х х    590х700х820мм   орпус выполнен из нержавеющей стали   ассета типа        01 500х500 для тарелок 3шт "&amp;"  ассета типа        01 500х500 для стаканов 3 шт   ассета типа        01 для приборов 2шт ")</f>
        <v xml:space="preserve"> ашина посудомоечная фронтальная типа  mpero     500   апряжение 220     ощность 6 к т   азмер  590х700х820мм    комплекте с душирующим устройством со смесителем типа        03  столом предмоечным  с цельнотянутой мойкой  типа         75150 1      раздаточным столом типа         75120     1200х750х890мм  икл мойки  мин   1 5 2  3   озатор моющего средства    озатор ополаскивающего средства   азмеры  х х    590х700х820мм   орпус выполнен из нержавеющей стали   ассета типа        01 500х500 для тарелок 3шт   ассета типа        01 500х500 для стаканов 3 шт   ассета типа        01 для приборов 2шт </v>
      </c>
    </row>
    <row r="4905" spans="1:8" ht="165.75" x14ac:dyDescent="0.2">
      <c r="A4905" s="31" t="s">
        <v>11671</v>
      </c>
      <c r="B4905" s="8" t="s">
        <v>11672</v>
      </c>
      <c r="C4905" s="27" t="s">
        <v>11664</v>
      </c>
      <c r="D4905" s="33" t="s">
        <v>68</v>
      </c>
      <c r="E4905" s="34">
        <v>2</v>
      </c>
      <c r="F4905" s="34">
        <v>317</v>
      </c>
      <c r="G4905" s="10">
        <v>12754003</v>
      </c>
      <c r="H4905" s="30" t="str">
        <f ca="1">IFERROR(__xludf.DUMMYFUNCTION("LOWER(REGEXREPLACE(B4905&amp;"" ""&amp;C4905,""[^а-яa-z0-9 ]"","" ""))")," ашина конвейерная посудомоечная правая типа  mpero     2000         роизводительность 2000 тарелок в час  напряжение 380   мощность 48 к т   азмер  1900x837x2000 мм    комплекте с душирующим устройством со смесителем типа        03 2шт   столом предмоечн"&amp;"ым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редварительная"&amp;"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типа"&amp;"        01 500х500 для тарелок 10 шт   ассета типа        01 500х500 для стаканов 10 шт   ассета типа        01 для приборов 5 шт ")</f>
        <v xml:space="preserve"> ашина конвейерная посудомоечная правая типа  mpero     2000         роизводительность 2000 тарелок в час  напряжение 380   мощность 48 к т   азмер  1900x837x2000 мм    комплекте с душирующим устройством со смесителем типа        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 шт   ассета типа        01 500х500 для стаканов 10 шт   ассета типа        01 для приборов 5 шт </v>
      </c>
    </row>
    <row r="4906" spans="1:8" ht="153" x14ac:dyDescent="0.2">
      <c r="A4906" s="31" t="s">
        <v>11673</v>
      </c>
      <c r="B4906" s="8" t="s">
        <v>11674</v>
      </c>
      <c r="C4906" s="27" t="s">
        <v>11675</v>
      </c>
      <c r="D4906" s="33" t="s">
        <v>68</v>
      </c>
      <c r="E4906" s="34">
        <v>2</v>
      </c>
      <c r="F4906" s="34">
        <v>317</v>
      </c>
      <c r="G4906" s="10">
        <v>12754003</v>
      </c>
      <c r="H4906" s="30" t="str">
        <f ca="1">IFERROR(__xludf.DUMMYFUNCTION("LOWER(REGEXREPLACE(B4906&amp;"" ""&amp;C4906,""[^а-яa-z0-9 ]"","" ""))")," ашина конвейерная посудомоечная левая типа  mpero     2000         роизводительность 2000 тарелок в час  напряжение 380   мощность 48 к т   азмер 1900x837x2000мм    комплекте с душирующим устройством со смесителем типа        03 2шт   столом предмоечным "&amp;"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75120     1200х750х890мм  измельчителем пищевых отходов  редварительная "&amp;"мойка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"&amp;"       01 500х500 для тарелок 10шт   ассета типа        01 500х500 для стаканов 10шт   ассета типа        01 для приборов 5шт ")</f>
        <v xml:space="preserve"> ашина конвейерная посудомоечная левая типа  mpero     2000         роизводительность 2000 тарелок в час  напряжение 380   мощность 48 к т   азмер 1900x837x2000мм    комплекте с душирующим устройством со смесителем типа        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10шт   ассета типа        01 500х500 для стаканов 10шт   ассета типа        01 для приборов 5шт </v>
      </c>
    </row>
    <row r="4907" spans="1:8" ht="51" x14ac:dyDescent="0.2">
      <c r="A4907" s="31" t="s">
        <v>11676</v>
      </c>
      <c r="B4907" s="27" t="s">
        <v>11677</v>
      </c>
      <c r="C4907" s="27"/>
      <c r="D4907" s="33" t="s">
        <v>14</v>
      </c>
      <c r="E4907" s="34">
        <v>2</v>
      </c>
      <c r="F4907" s="34">
        <v>75</v>
      </c>
      <c r="G4907" s="10">
        <v>680275</v>
      </c>
      <c r="H4907" s="30" t="str">
        <f ca="1">IFERROR(__xludf.DUMMYFUNCTION("LOWER(REGEXREPLACE(B4907&amp;"" ""&amp;C4907,""[^а-яa-z0-9 ]"","" ""))")," ашина посудомоечная  фронтальная     500   500 тарелок час  2 программы мойки  1 дозатор  ополаскивающий   насос мойки  6 7к т  400   ")</f>
        <v xml:space="preserve"> ашина посудомоечная  фронтальная     500   500 тарелок час  2 программы мойки  1 дозатор  ополаскивающий   насос мойки  6 7к т  400   </v>
      </c>
    </row>
    <row r="4908" spans="1:8" ht="51" x14ac:dyDescent="0.2">
      <c r="A4908" s="31" t="s">
        <v>11678</v>
      </c>
      <c r="B4908" s="8" t="s">
        <v>11679</v>
      </c>
      <c r="C4908" s="27"/>
      <c r="D4908" s="33" t="s">
        <v>14</v>
      </c>
      <c r="E4908" s="34">
        <v>2</v>
      </c>
      <c r="F4908" s="34">
        <v>127</v>
      </c>
      <c r="G4908" s="10">
        <v>1148517</v>
      </c>
      <c r="H4908" s="30" t="str">
        <f ca="1">IFERROR(__xludf.DUMMYFUNCTION("LOWER(REGEXREPLACE(B4908&amp;"" ""&amp;C4908,""[^а-яa-z0-9 ]"","" ""))")," ашина посудомоечная купольная     700   700 тарелок час  2 программы мойки  2 дозатора  моющий  ополаскивающий   насос мойки  насос ополаскивания  10 5к т  400   ")</f>
        <v xml:space="preserve"> ашина посудомоечная купольная     700   700 тарелок час  2 программы мойки  2 дозатора  моющий  ополаскивающий   насос мойки  насос ополаскивания  10 5к т  400   </v>
      </c>
    </row>
    <row r="4909" spans="1:8" ht="51" x14ac:dyDescent="0.2">
      <c r="A4909" s="31" t="s">
        <v>11680</v>
      </c>
      <c r="B4909" s="8" t="s">
        <v>11681</v>
      </c>
      <c r="C4909" s="27"/>
      <c r="D4909" s="33" t="s">
        <v>14</v>
      </c>
      <c r="E4909" s="34">
        <v>2</v>
      </c>
      <c r="F4909" s="34">
        <v>120</v>
      </c>
      <c r="G4909" s="10">
        <v>1042518</v>
      </c>
      <c r="H4909" s="30" t="str">
        <f ca="1">IFERROR(__xludf.DUMMYFUNCTION("LOWER(REGEXREPLACE(B4909&amp;"" ""&amp;C4909,""[^а-яa-z0-9 ]"","" ""))")," ашина посудомоечная купольная     700  01  700 тарелок час  2 программы мойки  1 дозатор  ополаскивающий   насос мойки  10 5к т  400   ")</f>
        <v xml:space="preserve"> ашина посудомоечная купольная     700  01  700 тарелок час  2 программы мойки  1 дозатор  ополаскивающий   насос мойки  10 5к т  400   </v>
      </c>
    </row>
    <row r="4910" spans="1:8" ht="63.75" x14ac:dyDescent="0.2">
      <c r="A4910" s="31" t="s">
        <v>11682</v>
      </c>
      <c r="B4910" s="8" t="s">
        <v>11683</v>
      </c>
      <c r="C4910" s="27"/>
      <c r="D4910" s="33" t="s">
        <v>14</v>
      </c>
      <c r="E4910" s="34">
        <v>2</v>
      </c>
      <c r="F4910" s="34">
        <v>127</v>
      </c>
      <c r="G4910" s="10">
        <v>1192672</v>
      </c>
      <c r="H4910" s="30" t="str">
        <f ca="1">IFERROR(__xludf.DUMMYFUNCTION("LOWER(REGEXREPLACE(B4910&amp;"" ""&amp;C4910,""[^а-яa-z0-9 ]"","" ""))")," ашина посудомоечная купольная     1100   1100 тарелок час  3 программы мойки  2 дозатора  моющий  ополаскивающий   насос мойки  насос ополаскивания  13 5к т  400   ")</f>
        <v xml:space="preserve"> ашина посудомоечная купольная     1100   1100 тарелок час  3 программы мойки  2 дозатора  моющий  ополаскивающий   насос мойки  насос ополаскивания  13 5к т  400   </v>
      </c>
    </row>
    <row r="4911" spans="1:8" ht="63.75" x14ac:dyDescent="0.2">
      <c r="A4911" s="31" t="s">
        <v>11684</v>
      </c>
      <c r="B4911" s="8" t="s">
        <v>11685</v>
      </c>
      <c r="C4911" s="27"/>
      <c r="D4911" s="33" t="s">
        <v>14</v>
      </c>
      <c r="E4911" s="34">
        <v>2</v>
      </c>
      <c r="F4911" s="34">
        <v>290</v>
      </c>
      <c r="G4911" s="10">
        <v>2791708</v>
      </c>
      <c r="H4911" s="30" t="str">
        <f ca="1">IFERROR(__xludf.DUMMYFUNCTION("LOWER(REGEXREPLACE(B4911&amp;"" ""&amp;C4911,""[^а-яa-z0-9 ]"","" ""))")," ашина посудомоечная туннельная     1700 01  теплообменник  1700 тарелок час  3 программы мойки  2 дозатора  моющий  ополаскивающий   насос мойки  26 7 к т  400   ")</f>
        <v xml:space="preserve"> ашина посудомоечная туннельная     1700 01  теплообменник  1700 тарелок час  3 программы мойки  2 дозатора  моющий  ополаскивающий   насос мойки  26 7 к т  400   </v>
      </c>
    </row>
    <row r="4912" spans="1:8" ht="25.5" x14ac:dyDescent="0.2">
      <c r="A4912" s="31" t="s">
        <v>11686</v>
      </c>
      <c r="B4912" s="27" t="s">
        <v>11687</v>
      </c>
      <c r="C4912" s="27"/>
      <c r="D4912" s="33" t="s">
        <v>14</v>
      </c>
      <c r="E4912" s="9"/>
      <c r="F4912" s="34">
        <v>270</v>
      </c>
      <c r="G4912" s="10">
        <v>2558346</v>
      </c>
      <c r="H4912" s="30" t="str">
        <f ca="1">IFERROR(__xludf.DUMMYFUNCTION("LOWER(REGEXREPLACE(B4912&amp;"" ""&amp;C4912,""[^а-яa-z0-9 ]"","" ""))")," ашина котломоечная     65 65  камера 650х785х650 мм  19 шт час  4 цикла  2 дозатора  ")</f>
        <v xml:space="preserve"> ашина котломоечная     65 65  камера 650х785х650 мм  19 шт час  4 цикла  2 дозатора  </v>
      </c>
    </row>
    <row r="4913" spans="1:8" ht="12.75" x14ac:dyDescent="0.2">
      <c r="A4913" s="31" t="s">
        <v>11688</v>
      </c>
      <c r="B4913" s="27" t="s">
        <v>11689</v>
      </c>
      <c r="C4913" s="27"/>
      <c r="D4913" s="33" t="s">
        <v>14</v>
      </c>
      <c r="E4913" s="9"/>
      <c r="F4913" s="35">
        <v>9.5</v>
      </c>
      <c r="G4913" s="10">
        <v>81035</v>
      </c>
      <c r="H4913" s="30" t="str">
        <f ca="1">IFERROR(__xludf.DUMMYFUNCTION("LOWER(REGEXREPLACE(B4913&amp;"" ""&amp;C4913,""[^а-яa-z0-9 ]"","" ""))")," одоумягчитель   12 3 4       211103  ")</f>
        <v xml:space="preserve"> одоумягчитель   12 3 4       211103  </v>
      </c>
    </row>
    <row r="4914" spans="1:8" ht="12.75" x14ac:dyDescent="0.2">
      <c r="A4914" s="31" t="s">
        <v>11690</v>
      </c>
      <c r="B4914" s="27" t="s">
        <v>11691</v>
      </c>
      <c r="C4914" s="27"/>
      <c r="D4914" s="33" t="s">
        <v>14</v>
      </c>
      <c r="E4914" s="9"/>
      <c r="F4914" s="32"/>
      <c r="G4914" s="10"/>
      <c r="H4914" s="30" t="str">
        <f ca="1">IFERROR(__xludf.DUMMYFUNCTION("LOWER(REGEXREPLACE(B4914&amp;"" ""&amp;C4914,""[^а-яa-z0-9 ]"","" ""))")," стройство душирующее ")</f>
        <v xml:space="preserve"> стройство душирующее </v>
      </c>
    </row>
    <row r="4915" spans="1:8" ht="63.75" x14ac:dyDescent="0.2">
      <c r="A4915" s="31" t="s">
        <v>11692</v>
      </c>
      <c r="B4915" s="8" t="s">
        <v>11693</v>
      </c>
      <c r="C4915" s="27"/>
      <c r="D4915" s="33" t="s">
        <v>14</v>
      </c>
      <c r="E4915" s="34">
        <v>2</v>
      </c>
      <c r="F4915" s="34">
        <v>5</v>
      </c>
      <c r="G4915" s="10">
        <v>253393</v>
      </c>
      <c r="H4915" s="30" t="str">
        <f ca="1">IFERROR(__xludf.DUMMYFUNCTION("LOWER(REGEXREPLACE(B4915&amp;"" ""&amp;C4915,""[^а-яa-z0-9 ]"","" ""))")," стройство душирующее с гусаком   ертикальное положение  крепление на раковину  выполнено полностью из нержавеющей стали   абариты  750х250х69мм ")</f>
        <v xml:space="preserve"> стройство душирующее с гусаком   ертикальное положение  крепление на раковину  выполнено полностью из нержавеющей стали   абариты  750х250х69мм </v>
      </c>
    </row>
    <row r="4916" spans="1:8" ht="255" x14ac:dyDescent="0.2">
      <c r="A4916" s="31" t="s">
        <v>11694</v>
      </c>
      <c r="B4916" s="27" t="s">
        <v>11695</v>
      </c>
      <c r="C4916" s="27" t="s">
        <v>11696</v>
      </c>
      <c r="D4916" s="33" t="s">
        <v>14</v>
      </c>
      <c r="E4916" s="34">
        <v>2</v>
      </c>
      <c r="F4916" s="37">
        <v>5.5670000000000002</v>
      </c>
      <c r="G4916" s="10">
        <v>242186</v>
      </c>
      <c r="H4916" s="30" t="str">
        <f ca="1">IFERROR(__xludf.DUMMYFUNCTION("LOWER(REGEXREPLACE(B4916&amp;"" ""&amp;C4916,""[^а-яa-z0-9 ]"","" ""))")," стройство душирующее со смесителем двухвентильным и вертикальной трубкой  рофессиональная кухонная колонна с моноблочным смесителем и поворотным изливом для установки на столешницу   меситель с изливом и керамической головкой с поворотом на четверть обор"&amp;"ота   меситель с керамической головкой с поворотом на четверть оборота  гибкими подводками и обратными клапанами   се креп жные элементы включены  1   ромированная пружина из нержавеющей стали      304  2   ибкий шланг с внутренней трубкой из полиэтилена "&amp;"сшитого полиэтилена        сеткой из нержавеющей стали и пластиковой оболочкой  двойным креплением скобами и поворотными гайками   дюйма  3   уш с автоматическим закрытием и кольцом для непрерывной работы  ручкой из технополимера и системой защиты от ожог"&amp;"ов  4   поры из хромированной латуни  регулируемые по высоте  5   ромированное покрытие согласно    248  6   ерамическая головка с поворотом на   оборота  7   ластиковый аэратор  22x1 с защитой от известкового налета и хромированной крышкой  8   снащен ги"&amp;"бкими подводками длиной 35 см   10x1      дюйма   9   еталлический крепежный комплект в форме подковы и обратные клапаны  10   аксимальная температура  80     11   аксимальная рекомендуемая температура  65     12   аксимальное давление  10 бар  13   инима"&amp;"льное давление  0 5 бар  14   екомендуемое давление  1 3 бар ")</f>
        <v xml:space="preserve"> стройство душирующее со смесителем двухвентильным и вертикальной трубкой  рофессиональная кухонная колонна с моноблочным смесителем и поворотным изливом для установки на столешницу   меситель с изливом и керамической головкой с поворотом на четверть оборота   меситель с керамической головкой с поворотом на четверть оборота  гибкими подводками и обратными клапанами   се креп жные элементы включены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поворотными гайками   дюйма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ерамическая головка с поворотом на   оборота  7   ластиковый аэратор  22x1 с защитой от известкового налета и хромированной крышкой  8   снащен гибкими подводками длиной 35 см   10x1      дюйма   9   еталлический крепежный комплект в форме подковы и обратные клапаны  10   аксимальная температура  80     11   аксимальная рекомендуемая температура  65     12   аксимальное давление  10 бар  13   инимальное давление  0 5 бар  14   екомендуемое давление  1 3 бар </v>
      </c>
    </row>
    <row r="4917" spans="1:8" ht="204" x14ac:dyDescent="0.2">
      <c r="A4917" s="31" t="s">
        <v>11697</v>
      </c>
      <c r="B4917" s="27" t="s">
        <v>11698</v>
      </c>
      <c r="C4917" s="27" t="s">
        <v>11699</v>
      </c>
      <c r="D4917" s="33" t="s">
        <v>14</v>
      </c>
      <c r="E4917" s="34">
        <v>2</v>
      </c>
      <c r="F4917" s="37">
        <v>3.7189999999999999</v>
      </c>
      <c r="G4917" s="10">
        <v>169953</v>
      </c>
      <c r="H4917" s="30" t="str">
        <f ca="1">IFERROR(__xludf.DUMMYFUNCTION("LOWER(REGEXREPLACE(B4917&amp;"" ""&amp;C4917,""[^а-яa-z0-9 ]"","" ""))")," стройство душирующее со смесителем двухвентильным  рофессиональная кухонная колонна с моноблочным смесителем для установки на столешницу   меситель с керамической головкой на   оборота  гибкими подводками и обратными клапанами   се креп жные элементы вкл"&amp;"ючены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гайками"&amp;"   дюйма  3   уш с автоматическим закрытием и кольцом для непрерывной работы  ручкой из технополимера и системой защиты от ожогов  4   егулируемые по высоте опоры из хромированной латуни  5   ромированное покрытие согласно    248  6   ерамическая головка "&amp;"с поворотом на   оборота  7   снащена гибкими соединениями длиной 35 см   10x1      дюйма   8   еталлический комплект креплений в форме подковы и обратные клапаны  9   аксимальная температура  80     10   аксимальная рекомендуемая температура  65     11  "&amp;" аксимальное давление  10 бар  12   инимальное давление  0 5 бар  13   екомендуемое давление  1   3 бар ")</f>
        <v xml:space="preserve"> стройство душирующее со смесителем двухвентильным  рофессиональная кухонная колонна с моноблочным смесителем для установки на столешницу   меситель с керамической головкой на   оборота  гибкими подводками и обратными клапанами   се креп жные элементы включены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ручкой из технополимера и системой защиты от ожогов  4   егулируемые по высоте опоры из хромированной латуни  5   ромированное покрытие согласно    248  6   ерамическая головка с поворотом на   оборота  7   снащена гибкими соединениями длиной 35 см   10x1      дюйма   8   еталлический комплект креплений в форме подковы и обратные клапаны  9   аксимальная температура  80     10   аксимальная рекомендуемая температура  65     11   аксимальное давление  10 бар  12   инимальное давление  0 5 бар  13   екомендуемое давление  1   3 бар </v>
      </c>
    </row>
    <row r="4918" spans="1:8" ht="204" x14ac:dyDescent="0.2">
      <c r="A4918" s="31" t="s">
        <v>11700</v>
      </c>
      <c r="B4918" s="27" t="s">
        <v>11701</v>
      </c>
      <c r="C4918" s="27" t="s">
        <v>11702</v>
      </c>
      <c r="D4918" s="33" t="s">
        <v>14</v>
      </c>
      <c r="E4918" s="34">
        <v>2</v>
      </c>
      <c r="F4918" s="37">
        <v>3.6880000000000002</v>
      </c>
      <c r="G4918" s="10">
        <v>186130</v>
      </c>
      <c r="H4918" s="30" t="str">
        <f ca="1">IFERROR(__xludf.DUMMYFUNCTION("LOWER(REGEXREPLACE(B4918&amp;"" ""&amp;C4918,""[^а-яa-z0-9 ]"","" ""))")," стройство душирующее со смесителем однорычажным  рофессиональная кухонная колонна с однорычажным смесителем для установки на столешницу   меситель с керамическим картриджем  40  гибкими подводками и обратными клапанами   се креп жные элементы включены в "&amp;"комплект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дюйма"&amp;"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есшумный керамический картр"&amp;"идж  40 со свободным потоком  7   снащен гибкими подводками длиной 35 см   10x1      дюйма  8   еталлический комплект крепления в форме подковы и обратные клапаны  9   аксимальная температура  80     10   аксимальная рекомендуемая температура  65     11  "&amp;" аксимальное давление  10 бар  12   инимальное давление  0 5 бар  13   екомендуемое давление  1   3 бар ")</f>
        <v xml:space="preserve"> стройство душирующее со смесителем однорычажным  рофессиональная кухонная колонна с однорычажным смесителем для установки на столешницу   меситель с керамическим картриджем  40  гибкими подводками и обратными клапанами   се креп жные элементы включены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есшумный керамический картридж  40 со свободным потоком  7   снащен гибкими подводками длиной 35 см   10x1      дюйма  8   еталлический комплект крепления в форме подковы и обратные клапаны  9   аксимальная температура  80     10   аксимальная рекомендуемая температура  65     11   аксимальное давление  10 бар  12   инимальное давление  0 5 бар  13   екомендуемое давление  1   3 бар </v>
      </c>
    </row>
    <row r="4919" spans="1:8" ht="242.25" x14ac:dyDescent="0.2">
      <c r="A4919" s="31" t="s">
        <v>11703</v>
      </c>
      <c r="B4919" s="27" t="s">
        <v>11704</v>
      </c>
      <c r="C4919" s="27" t="s">
        <v>11705</v>
      </c>
      <c r="D4919" s="33" t="s">
        <v>14</v>
      </c>
      <c r="E4919" s="34">
        <v>2</v>
      </c>
      <c r="F4919" s="37">
        <v>4.1920000000000002</v>
      </c>
      <c r="G4919" s="10">
        <v>203885</v>
      </c>
      <c r="H4919" s="30" t="str">
        <f ca="1">IFERROR(__xludf.DUMMYFUNCTION("LOWER(REGEXREPLACE(B4919&amp;"" ""&amp;C4919,""[^а-яa-z0-9 ]"","" ""))")," стройство душирующее со смесителем однорычажным и медицинской ручкой  рофессиональная кухонная колонна с однорычажным смесителем  медицинской ручкой и поворотным изливом для установки на столешницу   меситель с керамическим картриджем  40  гибкими подвод"&amp;"ками и обратными клапанами   злив оснащен керамической головкой с поворотом на четверть оборота   се креп жные элементы включены в комплект  1   ромированная пружина из нержавеющей стали      304  2   ибкий шланг с внутренней трубкой из сшитого полиэтилен"&amp;"а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рукояткой из технополимера и системой защиты от ожогов  4   поры и"&amp;"з хромированной латуни  регулируемые по высоте  5   ромированное покрытие согласно    248  6   ерамическая головка с поворотом на   оборота  7   есшумный керамический картридж  40 со свободным потоком  8   снащен гибкими подводками длиной 35 см   10x1    "&amp;"  дюйма   9   еталлический промежуточный шланг с фиксаторами  10   ластиковый аэратор  22x1 с защитой от известкового налета  11   аксимальная температура  80     12   акс  рекомендуемая температура  65     13   аксимальное давление  10 бар  14   инимальн"&amp;"ое давление  0 5 бар  15   екомендуемое давление  1 3 бар ")</f>
        <v xml:space="preserve"> стройство душирующее со смесителем однорычажным и медицинской ручкой  рофессиональная кухонная колонна с однорычажным смесителем  медицинской ручкой и поворотным изливом для установки на столешницу   меситель с керамическим картриджем  40  гибкими подводками и обратными клапанами   злив оснащен керамической головкой с поворотом на четверть оборота   се креп жные элементы включены в комплект  1   ромированная пружина из нержавеющей стали      304  2   ибкий шланг с внутренней трубкой из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рукояткой из технополимера и системой защиты от ожогов  4   поры из хромированной латуни  регулируемые по высоте  5   ромированное покрытие согласно    248  6   ерамическая головка с поворотом на   оборота  7   есшумный керамический картридж  40 со свободным потоком  8   снащен гибкими подводками длиной 35 см   10x1      дюйма   9   еталлический промежуточный шланг с фиксаторами  10   ластиковый аэратор  22x1 с защитой от известкового налета  11   аксимальная температура  80     12   акс  рекомендуемая температура  65     13   аксимальное давление  10 бар  14   инимальное давление  0 5 бар  15   екомендуемое давление  1 3 бар </v>
      </c>
    </row>
    <row r="4920" spans="1:8" ht="12.75" x14ac:dyDescent="0.2">
      <c r="A4920" s="31" t="s">
        <v>11706</v>
      </c>
      <c r="B4920" s="27" t="s">
        <v>11707</v>
      </c>
      <c r="C4920" s="27"/>
      <c r="D4920" s="33" t="s">
        <v>14</v>
      </c>
      <c r="E4920" s="9"/>
      <c r="F4920" s="32"/>
      <c r="G4920" s="10"/>
      <c r="H4920" s="30" t="str">
        <f ca="1">IFERROR(__xludf.DUMMYFUNCTION("LOWER(REGEXREPLACE(B4920&amp;"" ""&amp;C4920,""[^а-яa-z0-9 ]"","" ""))")," тол для грязной посуды ")</f>
        <v xml:space="preserve"> тол для грязной посуды </v>
      </c>
    </row>
    <row r="4921" spans="1:8" ht="76.5" x14ac:dyDescent="0.2">
      <c r="A4921" s="31" t="s">
        <v>11708</v>
      </c>
      <c r="B4921" s="8" t="s">
        <v>11709</v>
      </c>
      <c r="C4921" s="27" t="s">
        <v>11710</v>
      </c>
      <c r="D4921" s="33" t="s">
        <v>14</v>
      </c>
      <c r="E4921" s="34">
        <v>2</v>
      </c>
      <c r="F4921" s="34">
        <v>50</v>
      </c>
      <c r="G4921" s="10">
        <v>539688</v>
      </c>
      <c r="H4921" s="30" t="str">
        <f ca="1">IFERROR(__xludf.DUMMYFUNCTION("LOWER(REGEXREPLACE(B4921&amp;"" ""&amp;C4921,""[^а-яa-z0-9 ]"","" ""))")," тол для грязной посуды с бортом     18 7    размеры 1800х700х850 мм  нержавеющая сталь   тол оснащен моечной ванной  отверстием для сбора крупных отходов  направляющими для хранения посудомоечных корзин и регулируемыми по высоте ножками  ез смесителя   т"&amp;"олешница усилена листом     16 мм   утем несложного монтажа можно установить стол как в левом  так и в правом исполнении")</f>
        <v xml:space="preserve"> тол для грязной посуды с бортом     18 7    размеры 1800х700х850 мм  нержавеющая сталь   тол оснащен моечной ванной  отверстием для сбора крупных отходов  направляющими для хранения посудомоечных корзин и регулируемыми по высоте ножками  ез смесителя   толешница усилена листом     16 мм   утем несложного монтажа можно установить стол как в левом  так и в правом исполнении</v>
      </c>
    </row>
    <row r="4922" spans="1:8" ht="12.75" x14ac:dyDescent="0.2">
      <c r="A4922" s="31" t="s">
        <v>11711</v>
      </c>
      <c r="B4922" s="27" t="s">
        <v>11712</v>
      </c>
      <c r="C4922" s="27"/>
      <c r="D4922" s="32"/>
      <c r="E4922" s="9"/>
      <c r="F4922" s="32"/>
      <c r="G4922" s="10"/>
      <c r="H4922" s="30" t="str">
        <f ca="1">IFERROR(__xludf.DUMMYFUNCTION("LOWER(REGEXREPLACE(B4922&amp;"" ""&amp;C4922,""[^а-яa-z0-9 ]"","" ""))")," лектромеханическое оборудование ")</f>
        <v xml:space="preserve"> лектромеханическое оборудование </v>
      </c>
    </row>
    <row r="4923" spans="1:8" ht="25.5" x14ac:dyDescent="0.2">
      <c r="A4923" s="31" t="s">
        <v>11713</v>
      </c>
      <c r="B4923" s="27" t="s">
        <v>11714</v>
      </c>
      <c r="C4923" s="27"/>
      <c r="D4923" s="33" t="s">
        <v>14</v>
      </c>
      <c r="E4923" s="9"/>
      <c r="F4923" s="35">
        <v>77.5</v>
      </c>
      <c r="G4923" s="10">
        <v>990038</v>
      </c>
      <c r="H4923" s="30" t="str">
        <f ca="1">IFERROR(__xludf.DUMMYFUNCTION("LOWER(REGEXREPLACE(B4923&amp;"" ""&amp;C4923,""[^а-яa-z0-9 ]"","" ""))")," леборезка            300   1050х560х590 мм  300 бат час  облицовка  0 37 к т  380    ")</f>
        <v xml:space="preserve"> леборезка            300   1050х560х590 мм  300 бат час  облицовка  0 37 к т  380    </v>
      </c>
    </row>
    <row r="4924" spans="1:8" ht="12.75" x14ac:dyDescent="0.2">
      <c r="A4924" s="31" t="s">
        <v>11715</v>
      </c>
      <c r="B4924" s="27" t="s">
        <v>11716</v>
      </c>
      <c r="C4924" s="27"/>
      <c r="D4924" s="33" t="s">
        <v>14</v>
      </c>
      <c r="E4924" s="9"/>
      <c r="F4924" s="34">
        <v>80</v>
      </c>
      <c r="G4924" s="10"/>
      <c r="H4924" s="30" t="str">
        <f ca="1">IFERROR(__xludf.DUMMYFUNCTION("LOWER(REGEXREPLACE(B4924&amp;"" ""&amp;C4924,""[^а-яa-z0-9 ]"","" ""))")," леборезка ")</f>
        <v xml:space="preserve"> леборезка </v>
      </c>
    </row>
    <row r="4925" spans="1:8" ht="38.25" x14ac:dyDescent="0.2">
      <c r="A4925" s="31" t="s">
        <v>11717</v>
      </c>
      <c r="B4925" s="27" t="s">
        <v>11718</v>
      </c>
      <c r="C4925" s="27"/>
      <c r="D4925" s="33" t="s">
        <v>14</v>
      </c>
      <c r="E4925" s="9"/>
      <c r="F4925" s="34">
        <v>80</v>
      </c>
      <c r="G4925" s="10">
        <v>453023</v>
      </c>
      <c r="H4925" s="30" t="str">
        <f ca="1">IFERROR(__xludf.DUMMYFUNCTION("LOWER(REGEXREPLACE(B4925&amp;"" ""&amp;C4925,""[^а-яa-z0-9 ]"","" ""))")," леборезка  urakan         12  размеры 650x660x760 мм  мощность 0 25 к т  напряжение 220   ")</f>
        <v xml:space="preserve"> леборезка  urakan         12  размеры 650x660x760 мм  мощность 0 25 к т  напряжение 220   </v>
      </c>
    </row>
    <row r="4926" spans="1:8" ht="38.25" x14ac:dyDescent="0.2">
      <c r="A4926" s="31" t="s">
        <v>11719</v>
      </c>
      <c r="B4926" s="27" t="s">
        <v>11720</v>
      </c>
      <c r="C4926" s="27"/>
      <c r="D4926" s="33" t="s">
        <v>14</v>
      </c>
      <c r="E4926" s="9"/>
      <c r="F4926" s="34">
        <v>26</v>
      </c>
      <c r="G4926" s="10">
        <v>687596</v>
      </c>
      <c r="H4926" s="30" t="str">
        <f ca="1">IFERROR(__xludf.DUMMYFUNCTION("LOWER(REGEXREPLACE(B4926&amp;"" ""&amp;C4926,""[^а-яa-z0-9 ]"","" ""))")," леборезка настольная   31   размеры 650x770x770 мм  мощность 0 37 к т  напряжение 220   ")</f>
        <v xml:space="preserve"> леборезка настольная   31   размеры 650x770x770 мм  мощность 0 37 к т  напряжение 220   </v>
      </c>
    </row>
    <row r="4927" spans="1:8" ht="12.75" x14ac:dyDescent="0.2">
      <c r="A4927" s="31" t="s">
        <v>11721</v>
      </c>
      <c r="B4927" s="27" t="s">
        <v>11722</v>
      </c>
      <c r="C4927" s="27"/>
      <c r="D4927" s="33" t="s">
        <v>14</v>
      </c>
      <c r="E4927" s="9"/>
      <c r="F4927" s="35">
        <v>5.6</v>
      </c>
      <c r="G4927" s="10">
        <v>409341</v>
      </c>
      <c r="H4927" s="30" t="str">
        <f ca="1">IFERROR(__xludf.DUMMYFUNCTION("LOWER(REGEXREPLACE(B4927&amp;"" ""&amp;C4927,""[^а-яa-z0-9 ]"","" ""))")," иксер     250  ombi 34300   промышленный  ")</f>
        <v xml:space="preserve"> иксер     250  ombi 34300   промышленный  </v>
      </c>
    </row>
    <row r="4928" spans="1:8" ht="38.25" x14ac:dyDescent="0.2">
      <c r="A4928" s="31" t="s">
        <v>11723</v>
      </c>
      <c r="B4928" s="8" t="s">
        <v>11724</v>
      </c>
      <c r="C4928" s="27"/>
      <c r="D4928" s="33" t="s">
        <v>14</v>
      </c>
      <c r="E4928" s="9"/>
      <c r="F4928" s="35">
        <v>1.5</v>
      </c>
      <c r="G4928" s="10">
        <v>202804</v>
      </c>
      <c r="H4928" s="30" t="str">
        <f ca="1">IFERROR(__xludf.DUMMYFUNCTION("LOWER(REGEXREPLACE(B4928&amp;"" ""&amp;C4928,""[^а-яa-z0-9 ]"","" ""))")," иксер                      34900 34950  1500 14000 об мин  полностью из нержавеющей стали 165 мм  ")</f>
        <v xml:space="preserve"> иксер                      34900 34950  1500 14000 об мин  полностью из нержавеющей стали 165 мм  </v>
      </c>
    </row>
    <row r="4929" spans="1:8" ht="12.75" x14ac:dyDescent="0.2">
      <c r="A4929" s="31" t="s">
        <v>11725</v>
      </c>
      <c r="B4929" s="27" t="s">
        <v>3555</v>
      </c>
      <c r="C4929" s="27"/>
      <c r="D4929" s="33" t="s">
        <v>14</v>
      </c>
      <c r="E4929" s="9"/>
      <c r="F4929" s="32"/>
      <c r="G4929" s="10"/>
      <c r="H4929" s="30" t="str">
        <f ca="1">IFERROR(__xludf.DUMMYFUNCTION("LOWER(REGEXREPLACE(B4929&amp;"" ""&amp;C4929,""[^а-яa-z0-9 ]"","" ""))")," иксер ")</f>
        <v xml:space="preserve"> иксер </v>
      </c>
    </row>
    <row r="4930" spans="1:8" ht="38.25" x14ac:dyDescent="0.2">
      <c r="A4930" s="31" t="s">
        <v>11726</v>
      </c>
      <c r="B4930" s="27" t="s">
        <v>11727</v>
      </c>
      <c r="C4930" s="27"/>
      <c r="D4930" s="33" t="s">
        <v>14</v>
      </c>
      <c r="E4930" s="9"/>
      <c r="F4930" s="34">
        <v>5</v>
      </c>
      <c r="G4930" s="10">
        <v>680041</v>
      </c>
      <c r="H4930" s="30" t="str">
        <f ca="1">IFERROR(__xludf.DUMMYFUNCTION("LOWER(REGEXREPLACE(B4930&amp;"" ""&amp;C4930,""[^а-яa-z0-9 ]"","" ""))")," иксер  lectrolux  rofessional   6565 600384  размеры 138x120x965 мм  мощность 0 65 к т  напряжение 220   ")</f>
        <v xml:space="preserve"> иксер  lectrolux  rofessional   6565 600384  размеры 138x120x965 мм  мощность 0 65 к т  напряжение 220   </v>
      </c>
    </row>
    <row r="4931" spans="1:8" ht="25.5" x14ac:dyDescent="0.2">
      <c r="A4931" s="31" t="s">
        <v>11728</v>
      </c>
      <c r="B4931" s="8" t="s">
        <v>11729</v>
      </c>
      <c r="C4931" s="27"/>
      <c r="D4931" s="33" t="s">
        <v>14</v>
      </c>
      <c r="E4931" s="9"/>
      <c r="F4931" s="34">
        <v>13</v>
      </c>
      <c r="G4931" s="10">
        <v>430207</v>
      </c>
      <c r="H4931" s="30" t="str">
        <f ca="1">IFERROR(__xludf.DUMMYFUNCTION("LOWER(REGEXREPLACE(B4931&amp;"" ""&amp;C4931,""[^а-яa-z0-9 ]"","" ""))")," иксер     7  размеры 480х280х440 мм  мощность 0 75 к т  напряжение 220   ")</f>
        <v xml:space="preserve"> иксер     7  размеры 480х280х440 мм  мощность 0 75 к т  напряжение 220   </v>
      </c>
    </row>
    <row r="4932" spans="1:8" ht="25.5" x14ac:dyDescent="0.2">
      <c r="A4932" s="31" t="s">
        <v>11730</v>
      </c>
      <c r="B4932" s="8" t="s">
        <v>11731</v>
      </c>
      <c r="C4932" s="27"/>
      <c r="D4932" s="33" t="s">
        <v>14</v>
      </c>
      <c r="E4932" s="9"/>
      <c r="F4932" s="34">
        <v>13</v>
      </c>
      <c r="G4932" s="10">
        <v>352676</v>
      </c>
      <c r="H4932" s="30" t="str">
        <f ca="1">IFERROR(__xludf.DUMMYFUNCTION("LOWER(REGEXREPLACE(B4932&amp;"" ""&amp;C4932,""[^а-яa-z0-9 ]"","" ""))")," иксер  5   размеры 380х240х375 мм  мощность 0 5 к т  напряжение 220   ")</f>
        <v xml:space="preserve"> иксер  5   размеры 380х240х375 мм  мощность 0 5 к т  напряжение 220   </v>
      </c>
    </row>
    <row r="4933" spans="1:8" ht="25.5" x14ac:dyDescent="0.2">
      <c r="A4933" s="31" t="s">
        <v>11732</v>
      </c>
      <c r="B4933" s="8" t="s">
        <v>11733</v>
      </c>
      <c r="C4933" s="27"/>
      <c r="D4933" s="33" t="s">
        <v>14</v>
      </c>
      <c r="E4933" s="9"/>
      <c r="F4933" s="35">
        <v>13.3</v>
      </c>
      <c r="G4933" s="10">
        <v>380340</v>
      </c>
      <c r="H4933" s="30" t="str">
        <f ca="1">IFERROR(__xludf.DUMMYFUNCTION("LOWER(REGEXREPLACE(B4933&amp;"" ""&amp;C4933,""[^а-яa-z0-9 ]"","" ""))")," иксер  7   размеры 380х240х405 мм  мощность 0 5 к т напряжение 220   ")</f>
        <v xml:space="preserve"> иксер  7   размеры 380х240х405 мм  мощность 0 5 к т напряжение 220   </v>
      </c>
    </row>
    <row r="4934" spans="1:8" ht="25.5" x14ac:dyDescent="0.2">
      <c r="A4934" s="31" t="s">
        <v>11734</v>
      </c>
      <c r="B4934" s="8" t="s">
        <v>11735</v>
      </c>
      <c r="C4934" s="27"/>
      <c r="D4934" s="33" t="s">
        <v>14</v>
      </c>
      <c r="E4934" s="9"/>
      <c r="F4934" s="34">
        <v>15</v>
      </c>
      <c r="G4934" s="10">
        <v>481133</v>
      </c>
      <c r="H4934" s="30" t="str">
        <f ca="1">IFERROR(__xludf.DUMMYFUNCTION("LOWER(REGEXREPLACE(B4934&amp;"" ""&amp;C4934,""[^а-яa-z0-9 ]"","" ""))")," иксер  10   размеры 390х260х445 мм  мощность 0 5 к т  напряжение 220   ")</f>
        <v xml:space="preserve"> иксер  10   размеры 390х260х445 мм  мощность 0 5 к т  напряжение 220   </v>
      </c>
    </row>
    <row r="4935" spans="1:8" ht="38.25" x14ac:dyDescent="0.2">
      <c r="A4935" s="31" t="s">
        <v>11736</v>
      </c>
      <c r="B4935" s="27" t="s">
        <v>11737</v>
      </c>
      <c r="C4935" s="27"/>
      <c r="D4935" s="33" t="s">
        <v>14</v>
      </c>
      <c r="E4935" s="9"/>
      <c r="F4935" s="34">
        <v>56</v>
      </c>
      <c r="G4935" s="10">
        <v>651142</v>
      </c>
      <c r="H4935" s="30" t="str">
        <f ca="1">IFERROR(__xludf.DUMMYFUNCTION("LOWER(REGEXREPLACE(B4935&amp;"" ""&amp;C4935,""[^а-яa-z0-9 ]"","" ""))")," иксер  10  с защитой для рук  размеры 450х366х606 мм  мощность 0 72 к т  напряжение 220   ")</f>
        <v xml:space="preserve"> иксер  10  с защитой для рук  размеры 450х366х606 мм  мощность 0 72 к т  напряжение 220   </v>
      </c>
    </row>
    <row r="4936" spans="1:8" ht="38.25" x14ac:dyDescent="0.2">
      <c r="A4936" s="31" t="s">
        <v>11738</v>
      </c>
      <c r="B4936" s="27" t="s">
        <v>11739</v>
      </c>
      <c r="C4936" s="27"/>
      <c r="D4936" s="33" t="s">
        <v>14</v>
      </c>
      <c r="E4936" s="9"/>
      <c r="F4936" s="34">
        <v>78</v>
      </c>
      <c r="G4936" s="10">
        <v>763550</v>
      </c>
      <c r="H4936" s="30" t="str">
        <f ca="1">IFERROR(__xludf.DUMMYFUNCTION("LOWER(REGEXREPLACE(B4936&amp;"" ""&amp;C4936,""[^а-яa-z0-9 ]"","" ""))")," иксер  20  с защитой для рук  размеры 520х420х760 мм  мощность 1 1 к т  напряжение 220   ")</f>
        <v xml:space="preserve"> иксер  20  с защитой для рук  размеры 520х420х760 мм  мощность 1 1 к т  напряжение 220   </v>
      </c>
    </row>
    <row r="4937" spans="1:8" ht="38.25" x14ac:dyDescent="0.2">
      <c r="A4937" s="31" t="s">
        <v>11740</v>
      </c>
      <c r="B4937" s="27" t="s">
        <v>11741</v>
      </c>
      <c r="C4937" s="27"/>
      <c r="D4937" s="33" t="s">
        <v>14</v>
      </c>
      <c r="E4937" s="9"/>
      <c r="F4937" s="34">
        <v>86</v>
      </c>
      <c r="G4937" s="10">
        <v>904774</v>
      </c>
      <c r="H4937" s="30" t="str">
        <f ca="1">IFERROR(__xludf.DUMMYFUNCTION("LOWER(REGEXREPLACE(B4937&amp;"" ""&amp;C4937,""[^а-яa-z0-9 ]"","" ""))")," иксер  30  с защитой для рук  размеры 545х440х882 мм  мощность 1 5 к т  напряжение 220  т  ")</f>
        <v xml:space="preserve"> иксер  30  с защитой для рук  размеры 545х440х882 мм  мощность 1 5 к т  напряжение 220  т  </v>
      </c>
    </row>
    <row r="4938" spans="1:8" ht="38.25" x14ac:dyDescent="0.2">
      <c r="A4938" s="31" t="s">
        <v>11742</v>
      </c>
      <c r="B4938" s="27" t="s">
        <v>11743</v>
      </c>
      <c r="C4938" s="27"/>
      <c r="D4938" s="33" t="s">
        <v>14</v>
      </c>
      <c r="E4938" s="9"/>
      <c r="F4938" s="34">
        <v>150</v>
      </c>
      <c r="G4938" s="10">
        <v>1933240</v>
      </c>
      <c r="H4938" s="30" t="str">
        <f ca="1">IFERROR(__xludf.DUMMYFUNCTION("LOWER(REGEXREPLACE(B4938&amp;"" ""&amp;C4938,""[^а-яa-z0-9 ]"","" ""))")," иксер  40  с защитой для рук  размеры 620х630х1011 мм  мощность 2 к т  напряжение 220   ")</f>
        <v xml:space="preserve"> иксер  40  с защитой для рук  размеры 620х630х1011 мм  мощность 2 к т  напряжение 220   </v>
      </c>
    </row>
    <row r="4939" spans="1:8" ht="38.25" x14ac:dyDescent="0.2">
      <c r="A4939" s="31" t="s">
        <v>11744</v>
      </c>
      <c r="B4939" s="27" t="s">
        <v>11745</v>
      </c>
      <c r="C4939" s="27"/>
      <c r="D4939" s="33" t="s">
        <v>14</v>
      </c>
      <c r="E4939" s="9"/>
      <c r="F4939" s="34">
        <v>330</v>
      </c>
      <c r="G4939" s="10">
        <v>3929591</v>
      </c>
      <c r="H4939" s="30" t="str">
        <f ca="1">IFERROR(__xludf.DUMMYFUNCTION("LOWER(REGEXREPLACE(B4939&amp;"" ""&amp;C4939,""[^а-яa-z0-9 ]"","" ""))")," иксер  60  с защитой для рук  размеры 724х625х1300 мм  мощность 2 5 к т  напряжение 380   ")</f>
        <v xml:space="preserve"> иксер  60  с защитой для рук  размеры 724х625х1300 мм  мощность 2 5 к т  напряжение 380   </v>
      </c>
    </row>
    <row r="4940" spans="1:8" ht="38.25" x14ac:dyDescent="0.2">
      <c r="A4940" s="31" t="s">
        <v>11746</v>
      </c>
      <c r="B4940" s="27" t="s">
        <v>11747</v>
      </c>
      <c r="C4940" s="27"/>
      <c r="D4940" s="33" t="s">
        <v>14</v>
      </c>
      <c r="E4940" s="9"/>
      <c r="F4940" s="34">
        <v>550</v>
      </c>
      <c r="G4940" s="10">
        <v>7916205</v>
      </c>
      <c r="H4940" s="30" t="str">
        <f ca="1">IFERROR(__xludf.DUMMYFUNCTION("LOWER(REGEXREPLACE(B4940&amp;"" ""&amp;C4940,""[^а-яa-z0-9 ]"","" ""))")," иксер  80  с защитой для рук  размеры 1205х740х1620 мм  мощность 4 к т  напряжение 380   ")</f>
        <v xml:space="preserve"> иксер  80  с защитой для рук  размеры 1205х740х1620 мм  мощность 4 к т  напряжение 380   </v>
      </c>
    </row>
    <row r="4941" spans="1:8" ht="38.25" x14ac:dyDescent="0.2">
      <c r="A4941" s="31" t="s">
        <v>11748</v>
      </c>
      <c r="B4941" s="27" t="s">
        <v>11749</v>
      </c>
      <c r="C4941" s="27"/>
      <c r="D4941" s="33" t="s">
        <v>14</v>
      </c>
      <c r="E4941" s="9"/>
      <c r="F4941" s="35">
        <v>7.9</v>
      </c>
      <c r="G4941" s="10">
        <v>1374384</v>
      </c>
      <c r="H4941" s="30" t="str">
        <f ca="1">IFERROR(__xludf.DUMMYFUNCTION("LOWER(REGEXREPLACE(B4941&amp;"" ""&amp;C4941,""[^а-яa-z0-9 ]"","" ""))")," иксер ручной    350  ombi  ltra  размеры 125х125х805 мм   мощность 0 44 к т  напряжение 220   ")</f>
        <v xml:space="preserve"> иксер ручной    350  ombi  ltra  размеры 125х125х805 мм   мощность 0 44 к т  напряжение 220   </v>
      </c>
    </row>
    <row r="4942" spans="1:8" ht="38.25" x14ac:dyDescent="0.2">
      <c r="A4942" s="31" t="s">
        <v>11750</v>
      </c>
      <c r="B4942" s="27" t="s">
        <v>11751</v>
      </c>
      <c r="C4942" s="27"/>
      <c r="D4942" s="33" t="s">
        <v>14</v>
      </c>
      <c r="E4942" s="9"/>
      <c r="F4942" s="34">
        <v>13</v>
      </c>
      <c r="G4942" s="10">
        <v>381868</v>
      </c>
      <c r="H4942" s="30" t="str">
        <f ca="1">IFERROR(__xludf.DUMMYFUNCTION("LOWER(REGEXREPLACE(B4942&amp;"" ""&amp;C4942,""[^а-яa-z0-9 ]"","" ""))")," лайсер  usso 25         промышленный   480х363х365 мм  диаметр ножа 250 мм  0 14 к т  220    ")</f>
        <v xml:space="preserve"> лайсер  usso 25         промышленный   480х363х365 мм  диаметр ножа 250 мм  0 14 к т  220    </v>
      </c>
    </row>
    <row r="4943" spans="1:8" ht="25.5" x14ac:dyDescent="0.2">
      <c r="A4943" s="31" t="s">
        <v>11752</v>
      </c>
      <c r="B4943" s="8" t="s">
        <v>11753</v>
      </c>
      <c r="C4943" s="27"/>
      <c r="D4943" s="33" t="s">
        <v>14</v>
      </c>
      <c r="E4943" s="9"/>
      <c r="F4943" s="34">
        <v>15</v>
      </c>
      <c r="G4943" s="10">
        <v>204654</v>
      </c>
      <c r="H4943" s="30" t="str">
        <f ca="1">IFERROR(__xludf.DUMMYFUNCTION("LOWER(REGEXREPLACE(B4943&amp;"" ""&amp;C4943,""[^а-яa-z0-9 ]"","" ""))")," лайсер  iloma    220     470x410x310 мм  диаметр ножа 220 мм  0 12 к т  220    ")</f>
        <v xml:space="preserve"> лайсер  iloma    220     470x410x310 мм  диаметр ножа 220 мм  0 12 к т  220    </v>
      </c>
    </row>
    <row r="4944" spans="1:8" ht="25.5" x14ac:dyDescent="0.2">
      <c r="A4944" s="31" t="s">
        <v>11754</v>
      </c>
      <c r="B4944" s="8" t="s">
        <v>11755</v>
      </c>
      <c r="C4944" s="27"/>
      <c r="D4944" s="33" t="s">
        <v>14</v>
      </c>
      <c r="E4944" s="9"/>
      <c r="F4944" s="34">
        <v>18</v>
      </c>
      <c r="G4944" s="10">
        <v>203171</v>
      </c>
      <c r="H4944" s="30" t="str">
        <f ca="1">IFERROR(__xludf.DUMMYFUNCTION("LOWER(REGEXREPLACE(B4944&amp;"" ""&amp;C4944,""[^а-яa-z0-9 ]"","" ""))")," лайсер  urakan       250  470х400х370 мм  диаметр ножа 250 мм  0 15 к т  220    ")</f>
        <v xml:space="preserve"> лайсер  urakan       250  470х400х370 мм  диаметр ножа 250 мм  0 15 к т  220    </v>
      </c>
    </row>
    <row r="4945" spans="1:8" ht="25.5" x14ac:dyDescent="0.2">
      <c r="A4945" s="31" t="s">
        <v>11756</v>
      </c>
      <c r="B4945" s="8" t="s">
        <v>11757</v>
      </c>
      <c r="C4945" s="27"/>
      <c r="D4945" s="33" t="s">
        <v>14</v>
      </c>
      <c r="E4945" s="9"/>
      <c r="F4945" s="35">
        <v>17.600000000000001</v>
      </c>
      <c r="G4945" s="10">
        <v>975275</v>
      </c>
      <c r="H4945" s="30" t="str">
        <f ca="1">IFERROR(__xludf.DUMMYFUNCTION("LOWER(REGEXREPLACE(B4945&amp;"" ""&amp;C4945,""[^а-яa-z0-9 ]"","" ""))")," вощерезка   50  24440 промышленная  390х310х610 мм  375 об мин  ")</f>
        <v xml:space="preserve"> вощерезка   50  24440 промышленная  390х310х610 мм  375 об мин  </v>
      </c>
    </row>
    <row r="4946" spans="1:8" ht="12.75" x14ac:dyDescent="0.2">
      <c r="A4946" s="31" t="s">
        <v>11758</v>
      </c>
      <c r="B4946" s="27" t="s">
        <v>11759</v>
      </c>
      <c r="C4946" s="27"/>
      <c r="D4946" s="33" t="s">
        <v>14</v>
      </c>
      <c r="E4946" s="9"/>
      <c r="F4946" s="32"/>
      <c r="G4946" s="10">
        <v>564561</v>
      </c>
      <c r="H4946" s="30" t="str">
        <f ca="1">IFERROR(__xludf.DUMMYFUNCTION("LOWER(REGEXREPLACE(B4946&amp;"" ""&amp;C4946,""[^а-яa-z0-9 ]"","" ""))")," абор 8 ножей 1933   ")</f>
        <v xml:space="preserve"> абор 8 ножей 1933   </v>
      </c>
    </row>
    <row r="4947" spans="1:8" ht="38.25" x14ac:dyDescent="0.2">
      <c r="A4947" s="31" t="s">
        <v>11760</v>
      </c>
      <c r="B4947" s="8" t="s">
        <v>11761</v>
      </c>
      <c r="C4947" s="27"/>
      <c r="D4947" s="33" t="s">
        <v>14</v>
      </c>
      <c r="E4947" s="9"/>
      <c r="F4947" s="34">
        <v>25</v>
      </c>
      <c r="G4947" s="10">
        <v>327770</v>
      </c>
      <c r="H4947" s="30" t="str">
        <f ca="1">IFERROR(__xludf.DUMMYFUNCTION("LOWER(REGEXREPLACE(B4947&amp;"" ""&amp;C4947,""[^а-яa-z0-9 ]"","" ""))")," вощерезка                  600x240x590  ручн загр  100 300 кг ч  5 дисков  ломтики 2 и 4 мм  ")</f>
        <v xml:space="preserve"> вощерезка                  600x240x590  ручн загр  100 300 кг ч  5 дисков  ломтики 2 и 4 мм  </v>
      </c>
    </row>
    <row r="4948" spans="1:8" ht="12.75" x14ac:dyDescent="0.2">
      <c r="A4948" s="31" t="s">
        <v>11762</v>
      </c>
      <c r="B4948" s="27" t="s">
        <v>11763</v>
      </c>
      <c r="C4948" s="27"/>
      <c r="D4948" s="33" t="s">
        <v>14</v>
      </c>
      <c r="E4948" s="9"/>
      <c r="F4948" s="32"/>
      <c r="G4948" s="10"/>
      <c r="H4948" s="30" t="str">
        <f ca="1">IFERROR(__xludf.DUMMYFUNCTION("LOWER(REGEXREPLACE(B4948&amp;"" ""&amp;C4948,""[^а-яa-z0-9 ]"","" ""))")," ашина овощерезательная ")</f>
        <v xml:space="preserve"> ашина овощерезательная </v>
      </c>
    </row>
    <row r="4949" spans="1:8" ht="25.5" x14ac:dyDescent="0.2">
      <c r="A4949" s="31" t="s">
        <v>11764</v>
      </c>
      <c r="B4949" s="27" t="s">
        <v>11765</v>
      </c>
      <c r="C4949" s="27" t="s">
        <v>11766</v>
      </c>
      <c r="D4949" s="33" t="s">
        <v>14</v>
      </c>
      <c r="E4949" s="9"/>
      <c r="F4949" s="34">
        <v>14</v>
      </c>
      <c r="G4949" s="10">
        <v>471605</v>
      </c>
      <c r="H4949" s="30" t="str">
        <f ca="1">IFERROR(__xludf.DUMMYFUNCTION("LOWER(REGEXREPLACE(B4949&amp;"" ""&amp;C4949,""[^а-яa-z0-9 ]"","" ""))")," ашина овощерезательная  мощность 0 4 к т  напряжение 230    ашина овощерезательная электрическая  мощность 0 4 к т  напряжение 220    набор дисков в комплекте ")</f>
        <v xml:space="preserve"> ашина овощерезательная  мощность 0 4 к т  напряжение 230    ашина овощерезательная электрическая  мощность 0 4 к т  напряжение 220    набор дисков в комплекте </v>
      </c>
    </row>
    <row r="4950" spans="1:8" ht="38.25" x14ac:dyDescent="0.2">
      <c r="A4950" s="31" t="s">
        <v>11767</v>
      </c>
      <c r="B4950" s="27" t="s">
        <v>11768</v>
      </c>
      <c r="C4950" s="27"/>
      <c r="D4950" s="33" t="s">
        <v>14</v>
      </c>
      <c r="E4950" s="9"/>
      <c r="F4950" s="34">
        <v>26</v>
      </c>
      <c r="G4950" s="10">
        <v>819475</v>
      </c>
      <c r="H4950" s="30" t="str">
        <f ca="1">IFERROR(__xludf.DUMMYFUNCTION("LOWER(REGEXREPLACE(B4950&amp;"" ""&amp;C4950,""[^а-яa-z0-9 ]"","" ""))")," ашина овощерезательная     300  размеры 560х290х560 мм  мощность 0 55 к т  напряжение 220   ")</f>
        <v xml:space="preserve"> ашина овощерезательная     300  размеры 560х290х560 мм  мощность 0 55 к т  напряжение 220   </v>
      </c>
    </row>
    <row r="4951" spans="1:8" ht="25.5" x14ac:dyDescent="0.2">
      <c r="A4951" s="31" t="s">
        <v>11769</v>
      </c>
      <c r="B4951" s="27" t="s">
        <v>11770</v>
      </c>
      <c r="C4951" s="27"/>
      <c r="D4951" s="33" t="s">
        <v>14</v>
      </c>
      <c r="E4951" s="9"/>
      <c r="F4951" s="34">
        <v>31</v>
      </c>
      <c r="G4951" s="10">
        <v>388563</v>
      </c>
      <c r="H4951" s="30" t="str">
        <f ca="1">IFERROR(__xludf.DUMMYFUNCTION("LOWER(REGEXREPLACE(B4951&amp;"" ""&amp;C4951,""[^а-яa-z0-9 ]"","" ""))")," ашина овощерезательная     50  250 кг ч  0 5 к т  400   ")</f>
        <v xml:space="preserve"> ашина овощерезательная     50  250 кг ч  0 5 к т  400   </v>
      </c>
    </row>
    <row r="4952" spans="1:8" ht="38.25" x14ac:dyDescent="0.2">
      <c r="A4952" s="31" t="s">
        <v>11771</v>
      </c>
      <c r="B4952" s="27" t="s">
        <v>11772</v>
      </c>
      <c r="C4952" s="27"/>
      <c r="D4952" s="33" t="s">
        <v>14</v>
      </c>
      <c r="E4952" s="9"/>
      <c r="F4952" s="34">
        <v>48</v>
      </c>
      <c r="G4952" s="10">
        <v>404595</v>
      </c>
      <c r="H4952" s="30" t="str">
        <f ca="1">IFERROR(__xludf.DUMMYFUNCTION("LOWER(REGEXREPLACE(B4952&amp;"" ""&amp;C4952,""[^а-яa-z0-9 ]"","" ""))"),"    150   ашина картофелеочистительная  650х410х835 мм  150 кг ч  загрузка 7 кг  0 75 к т  380    ")</f>
        <v xml:space="preserve">    150   ашина картофелеочистительная  650х410х835 мм  150 кг ч  загрузка 7 кг  0 75 к т  380    </v>
      </c>
    </row>
    <row r="4953" spans="1:8" ht="51" x14ac:dyDescent="0.2">
      <c r="A4953" s="31" t="s">
        <v>11773</v>
      </c>
      <c r="B4953" s="8" t="s">
        <v>11774</v>
      </c>
      <c r="C4953" s="27"/>
      <c r="D4953" s="33" t="s">
        <v>14</v>
      </c>
      <c r="E4953" s="9"/>
      <c r="F4953" s="34">
        <v>49</v>
      </c>
      <c r="G4953" s="10">
        <v>518728</v>
      </c>
      <c r="H4953" s="30" t="str">
        <f ca="1">IFERROR(__xludf.DUMMYFUNCTION("LOWER(REGEXREPLACE(B4953&amp;"" ""&amp;C4953,""[^а-яa-z0-9 ]"","" ""))"),"    300   ашина картофелеочистительная  650x410x870 мм  загрузка не более 10 кг  300 кг ч  0 75 к т  380    ")</f>
        <v xml:space="preserve">    300   ашина картофелеочистительная  650x410x870 мм  загрузка не более 10 кг  300 кг ч  0 75 к т  380    </v>
      </c>
    </row>
    <row r="4954" spans="1:8" ht="12.75" x14ac:dyDescent="0.2">
      <c r="A4954" s="31" t="s">
        <v>11775</v>
      </c>
      <c r="B4954" s="27" t="s">
        <v>11776</v>
      </c>
      <c r="C4954" s="27"/>
      <c r="D4954" s="33" t="s">
        <v>14</v>
      </c>
      <c r="E4954" s="9"/>
      <c r="F4954" s="32"/>
      <c r="G4954" s="10"/>
      <c r="H4954" s="30" t="str">
        <f ca="1">IFERROR(__xludf.DUMMYFUNCTION("LOWER(REGEXREPLACE(B4954&amp;"" ""&amp;C4954,""[^а-яa-z0-9 ]"","" ""))")," ашина картофелеочистительная ")</f>
        <v xml:space="preserve"> ашина картофелеочистительная </v>
      </c>
    </row>
    <row r="4955" spans="1:8" ht="38.25" x14ac:dyDescent="0.2">
      <c r="A4955" s="31" t="s">
        <v>11777</v>
      </c>
      <c r="B4955" s="27" t="s">
        <v>11778</v>
      </c>
      <c r="C4955" s="27" t="s">
        <v>11779</v>
      </c>
      <c r="D4955" s="33" t="s">
        <v>14</v>
      </c>
      <c r="E4955" s="9"/>
      <c r="F4955" s="34">
        <v>46</v>
      </c>
      <c r="G4955" s="10">
        <v>436424</v>
      </c>
      <c r="H4955" s="30" t="str">
        <f ca="1">IFERROR(__xludf.DUMMYFUNCTION("LOWER(REGEXREPLACE(B4955&amp;"" ""&amp;C4955,""[^а-яa-z0-9 ]"","" ""))")," ашина картофелеочистительная  производительность не менее 150кг ч  мощность 0 37 к т  напряжение 380    роизводительность не менее 150кг ч  мощность 0 37 к т  напряжение 380    материал корпуса нержавеющая сталь ")</f>
        <v xml:space="preserve"> ашина картофелеочистительная  производительность не менее 150кг ч  мощность 0 37 к т  напряжение 380    роизводительность не менее 150кг ч  мощность 0 37 к т  напряжение 380    материал корпуса нержавеющая сталь </v>
      </c>
    </row>
    <row r="4956" spans="1:8" ht="38.25" x14ac:dyDescent="0.2">
      <c r="A4956" s="31" t="s">
        <v>11780</v>
      </c>
      <c r="B4956" s="27" t="s">
        <v>11781</v>
      </c>
      <c r="C4956" s="27"/>
      <c r="D4956" s="33" t="s">
        <v>14</v>
      </c>
      <c r="E4956" s="9"/>
      <c r="F4956" s="35">
        <v>58.4</v>
      </c>
      <c r="G4956" s="10">
        <v>988272</v>
      </c>
      <c r="H4956" s="30" t="str">
        <f ca="1">IFERROR(__xludf.DUMMYFUNCTION("LOWER(REGEXREPLACE(B4956&amp;"" ""&amp;C4956,""[^а-яa-z0-9 ]"","" ""))")," ашина картофелеочистительная     15  размеры 476х646х1243 мм  мощность 0 75 к т  напряжение 220   ")</f>
        <v xml:space="preserve"> ашина картофелеочистительная     15  размеры 476х646х1243 мм  мощность 0 75 к т  напряжение 220   </v>
      </c>
    </row>
    <row r="4957" spans="1:8" ht="38.25" x14ac:dyDescent="0.2">
      <c r="A4957" s="31" t="s">
        <v>11782</v>
      </c>
      <c r="B4957" s="27" t="s">
        <v>11783</v>
      </c>
      <c r="C4957" s="27"/>
      <c r="D4957" s="33" t="s">
        <v>14</v>
      </c>
      <c r="E4957" s="9"/>
      <c r="F4957" s="34">
        <v>65</v>
      </c>
      <c r="G4957" s="10">
        <v>1109687</v>
      </c>
      <c r="H4957" s="30" t="str">
        <f ca="1">IFERROR(__xludf.DUMMYFUNCTION("LOWER(REGEXREPLACE(B4957&amp;"" ""&amp;C4957,""[^а-яa-z0-9 ]"","" ""))")," ашина картофелеочистительная     20  размеры 536х676х1273 мм  мощность 0 95 к т  напряжение 220   ")</f>
        <v xml:space="preserve"> ашина картофелеочистительная     20  размеры 536х676х1273 мм  мощность 0 95 к т  напряжение 220   </v>
      </c>
    </row>
    <row r="4958" spans="1:8" ht="25.5" x14ac:dyDescent="0.2">
      <c r="A4958" s="31" t="s">
        <v>11784</v>
      </c>
      <c r="B4958" s="27" t="s">
        <v>11785</v>
      </c>
      <c r="C4958" s="27"/>
      <c r="D4958" s="33" t="s">
        <v>14</v>
      </c>
      <c r="E4958" s="34">
        <v>2</v>
      </c>
      <c r="F4958" s="34">
        <v>60</v>
      </c>
      <c r="G4958" s="10">
        <v>379963</v>
      </c>
      <c r="H4958" s="30" t="str">
        <f ca="1">IFERROR(__xludf.DUMMYFUNCTION("LOWER(REGEXREPLACE(B4958&amp;"" ""&amp;C4958,""[^а-яa-z0-9 ]"","" ""))")," ашина картофелеочистительная     150  150 кг ч  10 кг  обработка 2 мин  0 75 к т  400   ")</f>
        <v xml:space="preserve"> ашина картофелеочистительная     150  150 кг ч  10 кг  обработка 2 мин  0 75 к т  400   </v>
      </c>
    </row>
    <row r="4959" spans="1:8" ht="25.5" x14ac:dyDescent="0.2">
      <c r="A4959" s="31" t="s">
        <v>11786</v>
      </c>
      <c r="B4959" s="27" t="s">
        <v>11787</v>
      </c>
      <c r="C4959" s="27"/>
      <c r="D4959" s="33" t="s">
        <v>14</v>
      </c>
      <c r="E4959" s="34">
        <v>2</v>
      </c>
      <c r="F4959" s="34">
        <v>65</v>
      </c>
      <c r="G4959" s="10">
        <v>402060</v>
      </c>
      <c r="H4959" s="30" t="str">
        <f ca="1">IFERROR(__xludf.DUMMYFUNCTION("LOWER(REGEXREPLACE(B4959&amp;"" ""&amp;C4959,""[^а-яa-z0-9 ]"","" ""))")," ашина картофелеочистительная     300  300 кг ч  17 кг  обработка 2 мин  0 75 к т  400   ")</f>
        <v xml:space="preserve"> ашина картофелеочистительная     300  300 кг ч  17 кг  обработка 2 мин  0 75 к т  400   </v>
      </c>
    </row>
    <row r="4960" spans="1:8" ht="25.5" x14ac:dyDescent="0.2">
      <c r="A4960" s="31" t="s">
        <v>11788</v>
      </c>
      <c r="B4960" s="27" t="s">
        <v>11789</v>
      </c>
      <c r="C4960" s="27"/>
      <c r="D4960" s="33" t="s">
        <v>14</v>
      </c>
      <c r="E4960" s="9"/>
      <c r="F4960" s="34">
        <v>45</v>
      </c>
      <c r="G4960" s="10">
        <v>475416</v>
      </c>
      <c r="H4960" s="30" t="str">
        <f ca="1">IFERROR(__xludf.DUMMYFUNCTION("LOWER(REGEXREPLACE(B4960&amp;"" ""&amp;C4960,""[^а-яa-z0-9 ]"","" ""))"),"    600   ясорубка  560х510х420 мм  600 кг ч  2 75 к т  380    ")</f>
        <v xml:space="preserve">    600   ясорубка  560х510х420 мм  600 кг ч  2 75 к т  380    </v>
      </c>
    </row>
    <row r="4961" spans="1:8" ht="25.5" x14ac:dyDescent="0.2">
      <c r="A4961" s="31" t="s">
        <v>11790</v>
      </c>
      <c r="B4961" s="27" t="s">
        <v>11791</v>
      </c>
      <c r="C4961" s="27"/>
      <c r="D4961" s="33" t="s">
        <v>14</v>
      </c>
      <c r="E4961" s="9"/>
      <c r="F4961" s="34">
        <v>55</v>
      </c>
      <c r="G4961" s="10">
        <v>404263</v>
      </c>
      <c r="H4961" s="30" t="str">
        <f ca="1">IFERROR(__xludf.DUMMYFUNCTION("LOWER(REGEXREPLACE(B4961&amp;"" ""&amp;C4961,""[^а-яa-z0-9 ]"","" ""))")," ясорубка настольная   400      05   676х310х445 мм  400 кг ч  1 5 к т  380    ")</f>
        <v xml:space="preserve"> ясорубка настольная   400      05   676х310х445 мм  400 кг ч  1 5 к т  380    </v>
      </c>
    </row>
    <row r="4962" spans="1:8" ht="38.25" x14ac:dyDescent="0.2">
      <c r="A4962" s="31" t="s">
        <v>11792</v>
      </c>
      <c r="B4962" s="8" t="s">
        <v>11793</v>
      </c>
      <c r="C4962" s="27"/>
      <c r="D4962" s="33" t="s">
        <v>14</v>
      </c>
      <c r="E4962" s="9"/>
      <c r="F4962" s="34">
        <v>32</v>
      </c>
      <c r="G4962" s="10">
        <v>258941</v>
      </c>
      <c r="H4962" s="30" t="str">
        <f ca="1">IFERROR(__xludf.DUMMYFUNCTION("LOWER(REGEXREPLACE(B4962&amp;"" ""&amp;C4962,""[^а-яa-z0-9 ]"","" ""))")," ясорубка настольная     150  535х415х490  150 кг ч  1 05 к т  380    полный унгер  ")</f>
        <v xml:space="preserve"> ясорубка настольная     150  535х415х490  150 кг ч  1 05 к т  380    полный унгер  </v>
      </c>
    </row>
    <row r="4963" spans="1:8" ht="25.5" x14ac:dyDescent="0.2">
      <c r="A4963" s="31" t="s">
        <v>11794</v>
      </c>
      <c r="B4963" s="27" t="s">
        <v>11795</v>
      </c>
      <c r="C4963" s="27"/>
      <c r="D4963" s="33" t="s">
        <v>14</v>
      </c>
      <c r="E4963" s="9"/>
      <c r="F4963" s="34">
        <v>37</v>
      </c>
      <c r="G4963" s="10">
        <v>604152</v>
      </c>
      <c r="H4963" s="30" t="str">
        <f ca="1">IFERROR(__xludf.DUMMYFUNCTION("LOWER(REGEXREPLACE(B4963&amp;"" ""&amp;C4963,""[^а-яa-z0-9 ]"","" ""))")," ила для мяса    1550  3  23153402    промышленная  ")</f>
        <v xml:space="preserve"> ила для мяса    1550  3  23153402    промышленная  </v>
      </c>
    </row>
    <row r="4964" spans="1:8" ht="25.5" x14ac:dyDescent="0.2">
      <c r="A4964" s="31" t="s">
        <v>11796</v>
      </c>
      <c r="B4964" s="27" t="s">
        <v>11797</v>
      </c>
      <c r="C4964" s="27"/>
      <c r="D4964" s="33" t="s">
        <v>14</v>
      </c>
      <c r="E4964" s="9"/>
      <c r="F4964" s="35">
        <v>32.9</v>
      </c>
      <c r="G4964" s="10">
        <v>415909</v>
      </c>
      <c r="H4964" s="30" t="str">
        <f ca="1">IFERROR(__xludf.DUMMYFUNCTION("LOWER(REGEXREPLACE(B4964&amp;"" ""&amp;C4964,""[^а-яa-z0-9 ]"","" ""))")," ила для резки мяса     1650  470х490х865 мм  200 кг час  0 75 к т  220    ")</f>
        <v xml:space="preserve"> ила для резки мяса     1650  470х490х865 мм  200 кг час  0 75 к т  220    </v>
      </c>
    </row>
    <row r="4965" spans="1:8" ht="12.75" x14ac:dyDescent="0.2">
      <c r="A4965" s="31" t="s">
        <v>11798</v>
      </c>
      <c r="B4965" s="27" t="s">
        <v>11799</v>
      </c>
      <c r="C4965" s="27"/>
      <c r="D4965" s="33" t="s">
        <v>14</v>
      </c>
      <c r="E4965" s="9"/>
      <c r="F4965" s="32"/>
      <c r="G4965" s="10"/>
      <c r="H4965" s="30" t="str">
        <f ca="1">IFERROR(__xludf.DUMMYFUNCTION("LOWER(REGEXREPLACE(B4965&amp;"" ""&amp;C4965,""[^а-яa-z0-9 ]"","" ""))")," ила для резки мяса ")</f>
        <v xml:space="preserve"> ила для резки мяса </v>
      </c>
    </row>
    <row r="4966" spans="1:8" ht="25.5" x14ac:dyDescent="0.2">
      <c r="A4966" s="31" t="s">
        <v>11800</v>
      </c>
      <c r="B4966" s="27" t="s">
        <v>11801</v>
      </c>
      <c r="C4966" s="27"/>
      <c r="D4966" s="33" t="s">
        <v>14</v>
      </c>
      <c r="E4966" s="9"/>
      <c r="F4966" s="34">
        <v>35</v>
      </c>
      <c r="G4966" s="10">
        <v>415858</v>
      </c>
      <c r="H4966" s="30" t="str">
        <f ca="1">IFERROR(__xludf.DUMMYFUNCTION("LOWER(REGEXREPLACE(B4966&amp;"" ""&amp;C4966,""[^а-яa-z0-9 ]"","" ""))")," ила для резки мяса  размеры 470x480x850 мм  мощность 0 75 к т  напряжение 220   ")</f>
        <v xml:space="preserve"> ила для резки мяса  размеры 470x480x850 мм  мощность 0 75 к т  напряжение 220   </v>
      </c>
    </row>
    <row r="4967" spans="1:8" ht="38.25" x14ac:dyDescent="0.2">
      <c r="A4967" s="31" t="s">
        <v>11802</v>
      </c>
      <c r="B4967" s="27" t="s">
        <v>11803</v>
      </c>
      <c r="C4967" s="27" t="s">
        <v>11803</v>
      </c>
      <c r="D4967" s="33" t="s">
        <v>14</v>
      </c>
      <c r="E4967" s="9"/>
      <c r="F4967" s="35">
        <v>35.700000000000003</v>
      </c>
      <c r="G4967" s="10">
        <v>842804</v>
      </c>
      <c r="H4967" s="30" t="str">
        <f ca="1">IFERROR(__xludf.DUMMYFUNCTION("LOWER(REGEXREPLACE(B4967&amp;"" ""&amp;C4967,""[^а-яa-z0-9 ]"","" ""))")," ила для резки мяса настольная  размеры 551х566х1023 мм  мощность 0 75 к т  напряжение 220    ила для резки мяса настольная  размеры 551х566х1023 мм  мощность 0 75 к т  напряжение 220  ")</f>
        <v xml:space="preserve"> ила для резки мяса настольная  размеры 551х566х1023 мм  мощность 0 75 к т  напряжение 220    ила для резки мяса настольная  размеры 551х566х1023 мм  мощность 0 75 к т  напряжение 220  </v>
      </c>
    </row>
    <row r="4968" spans="1:8" ht="38.25" x14ac:dyDescent="0.2">
      <c r="A4968" s="31" t="s">
        <v>11804</v>
      </c>
      <c r="B4968" s="27" t="s">
        <v>11805</v>
      </c>
      <c r="C4968" s="27"/>
      <c r="D4968" s="33" t="s">
        <v>14</v>
      </c>
      <c r="E4968" s="9"/>
      <c r="F4968" s="34">
        <v>45</v>
      </c>
      <c r="G4968" s="10">
        <v>817604</v>
      </c>
      <c r="H4968" s="30" t="str">
        <f ca="1">IFERROR(__xludf.DUMMYFUNCTION("LOWER(REGEXREPLACE(B4968&amp;"" ""&amp;C4968,""[^а-яa-z0-9 ]"","" ""))")," ила для резки мяса настольная  размеры 525х470х850 мм  мощность 0 65 к т  напряжение 220   ")</f>
        <v xml:space="preserve"> ила для резки мяса настольная  размеры 525х470х850 мм  мощность 0 65 к т  напряжение 220   </v>
      </c>
    </row>
    <row r="4969" spans="1:8" ht="38.25" x14ac:dyDescent="0.2">
      <c r="A4969" s="31" t="s">
        <v>11806</v>
      </c>
      <c r="B4969" s="27" t="s">
        <v>11807</v>
      </c>
      <c r="C4969" s="27"/>
      <c r="D4969" s="33" t="s">
        <v>14</v>
      </c>
      <c r="E4969" s="9"/>
      <c r="F4969" s="34">
        <v>78</v>
      </c>
      <c r="G4969" s="10">
        <v>1068169</v>
      </c>
      <c r="H4969" s="30" t="str">
        <f ca="1">IFERROR(__xludf.DUMMYFUNCTION("LOWER(REGEXREPLACE(B4969&amp;"" ""&amp;C4969,""[^а-яa-z0-9 ]"","" ""))")," ила для резки мяса настольная  размеры 590х570х1040 мм  мощность 1 5 к т  напряжение 220   ")</f>
        <v xml:space="preserve"> ила для резки мяса настольная  размеры 590х570х1040 мм  мощность 1 5 к т  напряжение 220   </v>
      </c>
    </row>
    <row r="4970" spans="1:8" ht="12.75" x14ac:dyDescent="0.2">
      <c r="A4970" s="31" t="s">
        <v>11808</v>
      </c>
      <c r="B4970" s="27" t="s">
        <v>11809</v>
      </c>
      <c r="C4970" s="27"/>
      <c r="D4970" s="33" t="s">
        <v>14</v>
      </c>
      <c r="E4970" s="9"/>
      <c r="F4970" s="32"/>
      <c r="G4970" s="10"/>
      <c r="H4970" s="30" t="str">
        <f ca="1">IFERROR(__xludf.DUMMYFUNCTION("LOWER(REGEXREPLACE(B4970&amp;"" ""&amp;C4970,""[^а-яa-z0-9 ]"","" ""))")," ясорубка ")</f>
        <v xml:space="preserve"> ясорубка </v>
      </c>
    </row>
    <row r="4971" spans="1:8" ht="25.5" x14ac:dyDescent="0.2">
      <c r="A4971" s="31" t="s">
        <v>11810</v>
      </c>
      <c r="B4971" s="27" t="s">
        <v>11811</v>
      </c>
      <c r="C4971" s="27" t="s">
        <v>11811</v>
      </c>
      <c r="D4971" s="33" t="s">
        <v>14</v>
      </c>
      <c r="E4971" s="9"/>
      <c r="F4971" s="34">
        <v>47</v>
      </c>
      <c r="G4971" s="10">
        <v>473560</v>
      </c>
      <c r="H4971" s="30" t="str">
        <f ca="1">IFERROR(__xludf.DUMMYFUNCTION("LOWER(REGEXREPLACE(B4971&amp;"" ""&amp;C4971,""[^а-яa-z0-9 ]"","" ""))")," ясорубка  производительность не менее 300 кг ч  мощность 1 5 к т  напряжение 380    ясорубка  производительность не менее 300 кг ч  мощность 1 5 к т  напряжение 380  ")</f>
        <v xml:space="preserve"> ясорубка  производительность не менее 300 кг ч  мощность 1 5 к т  напряжение 380    ясорубка  производительность не менее 300 кг ч  мощность 1 5 к т  напряжение 380  </v>
      </c>
    </row>
    <row r="4972" spans="1:8" ht="38.25" x14ac:dyDescent="0.2">
      <c r="A4972" s="31" t="s">
        <v>11812</v>
      </c>
      <c r="B4972" s="27" t="s">
        <v>11813</v>
      </c>
      <c r="C4972" s="27"/>
      <c r="D4972" s="33" t="s">
        <v>14</v>
      </c>
      <c r="E4972" s="9"/>
      <c r="F4972" s="34">
        <v>27</v>
      </c>
      <c r="G4972" s="10">
        <v>315174</v>
      </c>
      <c r="H4972" s="30" t="str">
        <f ca="1">IFERROR(__xludf.DUMMYFUNCTION("LOWER(REGEXREPLACE(B4972&amp;"" ""&amp;C4972,""[^а-яa-z0-9 ]"","" ""))")," ясорубка    12  размеры 400х190х410 мм  производительность 120 кг ч  мощность 0 55 к т  напряжение 220   ")</f>
        <v xml:space="preserve"> ясорубка    12  размеры 400х190х410 мм  производительность 120 кг ч  мощность 0 55 к т  напряжение 220   </v>
      </c>
    </row>
    <row r="4973" spans="1:8" ht="38.25" x14ac:dyDescent="0.2">
      <c r="A4973" s="31" t="s">
        <v>11814</v>
      </c>
      <c r="B4973" s="27" t="s">
        <v>11815</v>
      </c>
      <c r="C4973" s="27"/>
      <c r="D4973" s="33" t="s">
        <v>14</v>
      </c>
      <c r="E4973" s="9"/>
      <c r="F4973" s="34">
        <v>35</v>
      </c>
      <c r="G4973" s="10">
        <v>429162</v>
      </c>
      <c r="H4973" s="30" t="str">
        <f ca="1">IFERROR(__xludf.DUMMYFUNCTION("LOWER(REGEXREPLACE(B4973&amp;"" ""&amp;C4973,""[^а-яa-z0-9 ]"","" ""))")," ясорубка    22  размеры 410х240х450 мм  производительность 220 кг ч  мощность 0 75 к т  напряжение 220   ")</f>
        <v xml:space="preserve"> ясорубка    22  размеры 410х240х450 мм  производительность 220 кг ч  мощность 0 75 к т  напряжение 220   </v>
      </c>
    </row>
    <row r="4974" spans="1:8" ht="38.25" x14ac:dyDescent="0.2">
      <c r="A4974" s="31" t="s">
        <v>11816</v>
      </c>
      <c r="B4974" s="27" t="s">
        <v>11817</v>
      </c>
      <c r="C4974" s="27"/>
      <c r="D4974" s="33" t="s">
        <v>14</v>
      </c>
      <c r="E4974" s="9"/>
      <c r="F4974" s="34">
        <v>76</v>
      </c>
      <c r="G4974" s="10">
        <v>872344</v>
      </c>
      <c r="H4974" s="30" t="str">
        <f ca="1">IFERROR(__xludf.DUMMYFUNCTION("LOWER(REGEXREPLACE(B4974&amp;"" ""&amp;C4974,""[^а-яa-z0-9 ]"","" ""))")," ясорубка    32  размеры 530х270х500 мм  производительность 320 кг ч  мощность 1 5 к т  напряжение 220   ")</f>
        <v xml:space="preserve"> ясорубка    32  размеры 530х270х500 мм  производительность 320 кг ч  мощность 1 5 к т  напряжение 220   </v>
      </c>
    </row>
    <row r="4975" spans="1:8" ht="38.25" x14ac:dyDescent="0.2">
      <c r="A4975" s="31" t="s">
        <v>11818</v>
      </c>
      <c r="B4975" s="27" t="s">
        <v>11819</v>
      </c>
      <c r="C4975" s="27"/>
      <c r="D4975" s="33" t="s">
        <v>14</v>
      </c>
      <c r="E4975" s="9"/>
      <c r="F4975" s="34">
        <v>107</v>
      </c>
      <c r="G4975" s="10">
        <v>1609472</v>
      </c>
      <c r="H4975" s="30" t="str">
        <f ca="1">IFERROR(__xludf.DUMMYFUNCTION("LOWER(REGEXREPLACE(B4975&amp;"" ""&amp;C4975,""[^а-яa-z0-9 ]"","" ""))")," ясорубка    42  размеры 530х1020х950 мм  производительность 630 кг ч  мощность 4 к т  напряжение 380   ")</f>
        <v xml:space="preserve"> ясорубка    42  размеры 530х1020х950 мм  производительность 630 кг ч  мощность 4 к т  напряжение 380   </v>
      </c>
    </row>
    <row r="4976" spans="1:8" ht="38.25" x14ac:dyDescent="0.2">
      <c r="A4976" s="31" t="s">
        <v>11820</v>
      </c>
      <c r="B4976" s="27" t="s">
        <v>11821</v>
      </c>
      <c r="C4976" s="27"/>
      <c r="D4976" s="33" t="s">
        <v>14</v>
      </c>
      <c r="E4976" s="9"/>
      <c r="F4976" s="34">
        <v>438</v>
      </c>
      <c r="G4976" s="10">
        <v>2795417</v>
      </c>
      <c r="H4976" s="30" t="str">
        <f ca="1">IFERROR(__xludf.DUMMYFUNCTION("LOWER(REGEXREPLACE(B4976&amp;"" ""&amp;C4976,""[^а-яa-z0-9 ]"","" ""))")," ясорубка    52  размеры 800х1350х1220 мм  производительность 1300 кг ч  мощность 5 5 к т  напряжение 380   ")</f>
        <v xml:space="preserve"> ясорубка    52  размеры 800х1350х1220 мм  производительность 1300 кг ч  мощность 5 5 к т  напряжение 380   </v>
      </c>
    </row>
    <row r="4977" spans="1:8" ht="38.25" x14ac:dyDescent="0.2">
      <c r="A4977" s="31" t="s">
        <v>11822</v>
      </c>
      <c r="B4977" s="27" t="s">
        <v>11823</v>
      </c>
      <c r="C4977" s="27"/>
      <c r="D4977" s="33" t="s">
        <v>14</v>
      </c>
      <c r="E4977" s="34">
        <v>2</v>
      </c>
      <c r="F4977" s="34">
        <v>62</v>
      </c>
      <c r="G4977" s="10">
        <v>485943</v>
      </c>
      <c r="H4977" s="30" t="str">
        <f ca="1">IFERROR(__xludf.DUMMYFUNCTION("LOWER(REGEXREPLACE(B4977&amp;"" ""&amp;C4977,""[^а-яa-z0-9 ]"","" ""))")," ясорубка электрическая     300  300 кг ч  полный унгер  реверс  250 об мин  690х420х472 мм  1 5 к т  400    вся нерж   ")</f>
        <v xml:space="preserve"> ясорубка электрическая     300  300 кг ч  полный унгер  реверс  250 об мин  690х420х472 мм  1 5 к т  400    вся нерж   </v>
      </c>
    </row>
    <row r="4978" spans="1:8" ht="12.75" x14ac:dyDescent="0.2">
      <c r="A4978" s="31" t="s">
        <v>11824</v>
      </c>
      <c r="B4978" s="27" t="s">
        <v>11825</v>
      </c>
      <c r="C4978" s="27"/>
      <c r="D4978" s="33" t="s">
        <v>14</v>
      </c>
      <c r="E4978" s="9"/>
      <c r="F4978" s="35">
        <v>15.5</v>
      </c>
      <c r="G4978" s="10"/>
      <c r="H4978" s="30" t="str">
        <f ca="1">IFERROR(__xludf.DUMMYFUNCTION("LOWER(REGEXREPLACE(B4978&amp;"" ""&amp;C4978,""[^а-яa-z0-9 ]"","" ""))")," лайсер ")</f>
        <v xml:space="preserve"> лайсер </v>
      </c>
    </row>
    <row r="4979" spans="1:8" ht="38.25" x14ac:dyDescent="0.2">
      <c r="A4979" s="31" t="s">
        <v>11826</v>
      </c>
      <c r="B4979" s="27" t="s">
        <v>11827</v>
      </c>
      <c r="C4979" s="27"/>
      <c r="D4979" s="33" t="s">
        <v>14</v>
      </c>
      <c r="E4979" s="9"/>
      <c r="F4979" s="35">
        <v>15.5</v>
      </c>
      <c r="G4979" s="10">
        <v>370432</v>
      </c>
      <c r="H4979" s="30" t="str">
        <f ca="1">IFERROR(__xludf.DUMMYFUNCTION("LOWER(REGEXREPLACE(B4979&amp;"" ""&amp;C4979,""[^а-яa-z0-9 ]"","" ""))")," лайсер полуавтоматический       250      размеры 530х480х390 мм  мощность 0 14 к т  напряжение 220   ")</f>
        <v xml:space="preserve"> лайсер полуавтоматический       250      размеры 530х480х390 мм  мощность 0 14 к т  напряжение 220   </v>
      </c>
    </row>
    <row r="4980" spans="1:8" ht="38.25" x14ac:dyDescent="0.2">
      <c r="A4980" s="31" t="s">
        <v>11828</v>
      </c>
      <c r="B4980" s="27" t="s">
        <v>11829</v>
      </c>
      <c r="C4980" s="27"/>
      <c r="D4980" s="33" t="s">
        <v>14</v>
      </c>
      <c r="E4980" s="9"/>
      <c r="F4980" s="35">
        <v>14.4</v>
      </c>
      <c r="G4980" s="10">
        <v>336134</v>
      </c>
      <c r="H4980" s="30" t="str">
        <f ca="1">IFERROR(__xludf.DUMMYFUNCTION("LOWER(REGEXREPLACE(B4980&amp;"" ""&amp;C4980,""[^а-яa-z0-9 ]"","" ""))")," лайсер полуавтоматический     220   размеры 575х465х415 мм  мощность 0 12 к т  напряжение 220   ")</f>
        <v xml:space="preserve"> лайсер полуавтоматический     220   размеры 575х465х415 мм  мощность 0 12 к т  напряжение 220   </v>
      </c>
    </row>
    <row r="4981" spans="1:8" ht="38.25" x14ac:dyDescent="0.2">
      <c r="A4981" s="31" t="s">
        <v>11830</v>
      </c>
      <c r="B4981" s="27" t="s">
        <v>11831</v>
      </c>
      <c r="C4981" s="27"/>
      <c r="D4981" s="33" t="s">
        <v>14</v>
      </c>
      <c r="E4981" s="9"/>
      <c r="F4981" s="35">
        <v>15.5</v>
      </c>
      <c r="G4981" s="10">
        <v>376800</v>
      </c>
      <c r="H4981" s="30" t="str">
        <f ca="1">IFERROR(__xludf.DUMMYFUNCTION("LOWER(REGEXREPLACE(B4981&amp;"" ""&amp;C4981,""[^а-яa-z0-9 ]"","" ""))")," лайсер полуавтоматический     250   размеры 575х465х510 мм  мощность 0 15 к т  напряжение 220   ")</f>
        <v xml:space="preserve"> лайсер полуавтоматический     250   размеры 575х465х510 мм  мощность 0 15 к т  напряжение 220   </v>
      </c>
    </row>
    <row r="4982" spans="1:8" ht="38.25" x14ac:dyDescent="0.2">
      <c r="A4982" s="31" t="s">
        <v>11832</v>
      </c>
      <c r="B4982" s="27" t="s">
        <v>11833</v>
      </c>
      <c r="C4982" s="27"/>
      <c r="D4982" s="33" t="s">
        <v>14</v>
      </c>
      <c r="E4982" s="9"/>
      <c r="F4982" s="35">
        <v>22.2</v>
      </c>
      <c r="G4982" s="10">
        <v>515458</v>
      </c>
      <c r="H4982" s="30" t="str">
        <f ca="1">IFERROR(__xludf.DUMMYFUNCTION("LOWER(REGEXREPLACE(B4982&amp;"" ""&amp;C4982,""[^а-яa-z0-9 ]"","" ""))")," лайсер полуавтоматический     300   размеры 615х525х510 мм  мощность 0 25 к т  напряжение 220   ")</f>
        <v xml:space="preserve"> лайсер полуавтоматический     300   размеры 615х525х510 мм  мощность 0 25 к т  напряжение 220   </v>
      </c>
    </row>
    <row r="4983" spans="1:8" ht="12.75" x14ac:dyDescent="0.2">
      <c r="A4983" s="31" t="s">
        <v>11834</v>
      </c>
      <c r="B4983" s="27" t="s">
        <v>11835</v>
      </c>
      <c r="C4983" s="27"/>
      <c r="D4983" s="33" t="s">
        <v>14</v>
      </c>
      <c r="E4983" s="9"/>
      <c r="F4983" s="32"/>
      <c r="G4983" s="10"/>
      <c r="H4983" s="30" t="str">
        <f ca="1">IFERROR(__xludf.DUMMYFUNCTION("LOWER(REGEXREPLACE(B4983&amp;"" ""&amp;C4983,""[^а-яa-z0-9 ]"","" ""))")," воскоп ")</f>
        <v xml:space="preserve"> воскоп </v>
      </c>
    </row>
    <row r="4984" spans="1:8" ht="25.5" x14ac:dyDescent="0.2">
      <c r="A4984" s="31" t="s">
        <v>11836</v>
      </c>
      <c r="B4984" s="27" t="s">
        <v>11837</v>
      </c>
      <c r="C4984" s="27"/>
      <c r="D4984" s="33" t="s">
        <v>14</v>
      </c>
      <c r="E4984" s="9"/>
      <c r="F4984" s="35">
        <v>0.5</v>
      </c>
      <c r="G4984" s="10">
        <v>59991</v>
      </c>
      <c r="H4984" s="30" t="str">
        <f ca="1">IFERROR(__xludf.DUMMYFUNCTION("LOWER(REGEXREPLACE(B4984&amp;"" ""&amp;C4984,""[^а-яa-z0-9 ]"","" ""))")," воскоп  прибор контроля качества яиц   на 10шт    ощность 0 06 к т    10 ")</f>
        <v xml:space="preserve"> воскоп  прибор контроля качества яиц   на 10шт    ощность 0 06 к т    10 </v>
      </c>
    </row>
    <row r="4985" spans="1:8" ht="12.75" x14ac:dyDescent="0.2">
      <c r="A4985" s="31" t="s">
        <v>11838</v>
      </c>
      <c r="B4985" s="27" t="s">
        <v>11839</v>
      </c>
      <c r="C4985" s="27"/>
      <c r="D4985" s="33" t="s">
        <v>14</v>
      </c>
      <c r="E4985" s="9"/>
      <c r="F4985" s="32"/>
      <c r="G4985" s="10"/>
      <c r="H4985" s="30" t="str">
        <f ca="1">IFERROR(__xludf.DUMMYFUNCTION("LOWER(REGEXREPLACE(B4985&amp;"" ""&amp;C4985,""[^а-яa-z0-9 ]"","" ""))")," уттер ")</f>
        <v xml:space="preserve"> уттер </v>
      </c>
    </row>
    <row r="4986" spans="1:8" ht="25.5" x14ac:dyDescent="0.2">
      <c r="A4986" s="31" t="s">
        <v>11840</v>
      </c>
      <c r="B4986" s="27" t="s">
        <v>11841</v>
      </c>
      <c r="C4986" s="27"/>
      <c r="D4986" s="33" t="s">
        <v>14</v>
      </c>
      <c r="E4986" s="9"/>
      <c r="F4986" s="35">
        <v>19.8</v>
      </c>
      <c r="G4986" s="10">
        <v>477112</v>
      </c>
      <c r="H4986" s="30" t="str">
        <f ca="1">IFERROR(__xludf.DUMMYFUNCTION("LOWER(REGEXREPLACE(B4986&amp;"" ""&amp;C4986,""[^а-яa-z0-9 ]"","" ""))")," уттер настольный    9  размеры 570х385х460 мм  мощность 1 8 к т  напряжение 220   ")</f>
        <v xml:space="preserve"> уттер настольный    9  размеры 570х385х460 мм  мощность 1 8 к т  напряжение 220   </v>
      </c>
    </row>
    <row r="4987" spans="1:8" ht="25.5" x14ac:dyDescent="0.2">
      <c r="A4987" s="31" t="s">
        <v>11842</v>
      </c>
      <c r="B4987" s="27" t="s">
        <v>11843</v>
      </c>
      <c r="C4987" s="27"/>
      <c r="D4987" s="33" t="s">
        <v>14</v>
      </c>
      <c r="E4987" s="9"/>
      <c r="F4987" s="35">
        <v>21.4</v>
      </c>
      <c r="G4987" s="10">
        <v>539103</v>
      </c>
      <c r="H4987" s="30" t="str">
        <f ca="1">IFERROR(__xludf.DUMMYFUNCTION("LOWER(REGEXREPLACE(B4987&amp;"" ""&amp;C4987,""[^а-яa-z0-9 ]"","" ""))")," уттер настольный    12  размеры 570х385х525 мм  мощность 2 к т  напряжение 220   ")</f>
        <v xml:space="preserve"> уттер настольный    12  размеры 570х385х525 мм  мощность 2 к т  напряжение 220   </v>
      </c>
    </row>
    <row r="4988" spans="1:8" ht="12.75" x14ac:dyDescent="0.2">
      <c r="A4988" s="31" t="s">
        <v>11844</v>
      </c>
      <c r="B4988" s="27" t="s">
        <v>11845</v>
      </c>
      <c r="C4988" s="27"/>
      <c r="D4988" s="33" t="s">
        <v>14</v>
      </c>
      <c r="E4988" s="9"/>
      <c r="F4988" s="32"/>
      <c r="G4988" s="10"/>
      <c r="H4988" s="30" t="str">
        <f ca="1">IFERROR(__xludf.DUMMYFUNCTION("LOWER(REGEXREPLACE(B4988&amp;"" ""&amp;C4988,""[^а-яa-z0-9 ]"","" ""))")," ыротерка ")</f>
        <v xml:space="preserve"> ыротерка </v>
      </c>
    </row>
    <row r="4989" spans="1:8" ht="25.5" x14ac:dyDescent="0.2">
      <c r="A4989" s="31" t="s">
        <v>11846</v>
      </c>
      <c r="B4989" s="27" t="s">
        <v>11847</v>
      </c>
      <c r="C4989" s="27"/>
      <c r="D4989" s="33" t="s">
        <v>14</v>
      </c>
      <c r="E4989" s="9"/>
      <c r="F4989" s="34">
        <v>16</v>
      </c>
      <c r="G4989" s="10">
        <v>734393</v>
      </c>
      <c r="H4989" s="30" t="str">
        <f ca="1">IFERROR(__xludf.DUMMYFUNCTION("LOWER(REGEXREPLACE(B4989&amp;"" ""&amp;C4989,""[^а-яa-z0-9 ]"","" ""))")," ыротерка    55    размеры 500х315х550 мм  мощность 0 75 к т  напряжение 220   ")</f>
        <v xml:space="preserve"> ыротерка    55    размеры 500х315х550 мм  мощность 0 75 к т  напряжение 220   </v>
      </c>
    </row>
    <row r="4990" spans="1:8" ht="12.75" x14ac:dyDescent="0.2">
      <c r="A4990" s="31" t="s">
        <v>11848</v>
      </c>
      <c r="B4990" s="27" t="s">
        <v>11849</v>
      </c>
      <c r="C4990" s="27"/>
      <c r="D4990" s="33" t="s">
        <v>14</v>
      </c>
      <c r="E4990" s="9"/>
      <c r="F4990" s="32"/>
      <c r="G4990" s="10"/>
      <c r="H4990" s="30" t="str">
        <f ca="1">IFERROR(__xludf.DUMMYFUNCTION("LOWER(REGEXREPLACE(B4990&amp;"" ""&amp;C4990,""[^а-яa-z0-9 ]"","" ""))")," ашина для пасты  лапши  ")</f>
        <v xml:space="preserve"> ашина для пасты  лапши  </v>
      </c>
    </row>
    <row r="4991" spans="1:8" ht="38.25" x14ac:dyDescent="0.2">
      <c r="A4991" s="31" t="s">
        <v>11850</v>
      </c>
      <c r="B4991" s="27" t="s">
        <v>11851</v>
      </c>
      <c r="C4991" s="27"/>
      <c r="D4991" s="33" t="s">
        <v>14</v>
      </c>
      <c r="E4991" s="9"/>
      <c r="F4991" s="35">
        <v>22.5</v>
      </c>
      <c r="G4991" s="10">
        <v>253690</v>
      </c>
      <c r="H4991" s="30" t="str">
        <f ca="1">IFERROR(__xludf.DUMMYFUNCTION("LOWER(REGEXREPLACE(B4991&amp;"" ""&amp;C4991,""[^а-яa-z0-9 ]"","" ""))")," ашина для пасты  лапши      240  размеры 450х325х405 мм  мощность 0 75 к т  напряжение 220   ")</f>
        <v xml:space="preserve"> ашина для пасты  лапши      240  размеры 450х325х405 мм  мощность 0 75 к т  напряжение 220   </v>
      </c>
    </row>
    <row r="4992" spans="1:8" ht="12.75" x14ac:dyDescent="0.2">
      <c r="A4992" s="31" t="s">
        <v>11852</v>
      </c>
      <c r="B4992" s="27" t="s">
        <v>11853</v>
      </c>
      <c r="C4992" s="27"/>
      <c r="D4992" s="32"/>
      <c r="E4992" s="9"/>
      <c r="F4992" s="32"/>
      <c r="G4992" s="10"/>
      <c r="H4992" s="30" t="str">
        <f ca="1">IFERROR(__xludf.DUMMYFUNCTION("LOWER(REGEXREPLACE(B4992&amp;"" ""&amp;C4992,""[^а-яa-z0-9 ]"","" ""))")," есовое оборудование ")</f>
        <v xml:space="preserve"> есовое оборудование </v>
      </c>
    </row>
    <row r="4993" spans="1:8" ht="25.5" x14ac:dyDescent="0.2">
      <c r="A4993" s="31" t="s">
        <v>11854</v>
      </c>
      <c r="B4993" s="27" t="s">
        <v>11855</v>
      </c>
      <c r="C4993" s="27" t="s">
        <v>11856</v>
      </c>
      <c r="D4993" s="33" t="s">
        <v>14</v>
      </c>
      <c r="E4993" s="9"/>
      <c r="F4993" s="35">
        <v>2.7</v>
      </c>
      <c r="G4993" s="10">
        <v>108516</v>
      </c>
      <c r="H4993" s="30" t="str">
        <f ca="1">IFERROR(__xludf.DUMMYFUNCTION("LOWER(REGEXREPLACE(B4993&amp;"" ""&amp;C4993,""[^а-яa-z0-9 ]"","" ""))")," есы порционные  наибольший предел взвешивания до 10 кг  азмеры не менее 287х260х137мм   ощность 0 025 к т  напряжение 220     аибольший предел взвешивания до 10 кг ")</f>
        <v xml:space="preserve"> есы порционные  наибольший предел взвешивания до 10 кг  азмеры не менее 287х260х137мм   ощность 0 025 к т  напряжение 220     аибольший предел взвешивания до 10 кг </v>
      </c>
    </row>
    <row r="4994" spans="1:8" ht="25.5" x14ac:dyDescent="0.2">
      <c r="A4994" s="31" t="s">
        <v>11857</v>
      </c>
      <c r="B4994" s="27" t="s">
        <v>11858</v>
      </c>
      <c r="C4994" s="27" t="s">
        <v>11859</v>
      </c>
      <c r="D4994" s="33" t="s">
        <v>14</v>
      </c>
      <c r="E4994" s="9"/>
      <c r="F4994" s="35">
        <v>2.7</v>
      </c>
      <c r="G4994" s="10">
        <v>61620</v>
      </c>
      <c r="H4994" s="30" t="str">
        <f ca="1">IFERROR(__xludf.DUMMYFUNCTION("LOWER(REGEXREPLACE(B4994&amp;"" ""&amp;C4994,""[^а-яa-z0-9 ]"","" ""))")," есы порционные  наибольший предел взвешивания до 5 кг  азмеры не менее 287х260х137мм   ощность 0 025 к т  напряжение 220     аибольший предел взвешивания до 5 кг ")</f>
        <v xml:space="preserve"> есы порционные  наибольший предел взвешивания до 5 кг  азмеры не менее 287х260х137мм   ощность 0 025 к т  напряжение 220     аибольший предел взвешивания до 5 кг </v>
      </c>
    </row>
    <row r="4995" spans="1:8" ht="25.5" x14ac:dyDescent="0.2">
      <c r="A4995" s="31" t="s">
        <v>11860</v>
      </c>
      <c r="B4995" s="27" t="s">
        <v>11861</v>
      </c>
      <c r="C4995" s="27" t="s">
        <v>11862</v>
      </c>
      <c r="D4995" s="33" t="s">
        <v>14</v>
      </c>
      <c r="E4995" s="9"/>
      <c r="F4995" s="34">
        <v>12</v>
      </c>
      <c r="G4995" s="10">
        <v>243256</v>
      </c>
      <c r="H4995" s="30" t="str">
        <f ca="1">IFERROR(__xludf.DUMMYFUNCTION("LOWER(REGEXREPLACE(B4995&amp;"" ""&amp;C4995,""[^а-яa-z0-9 ]"","" ""))")," есы напольные  наибольший предел взвешивания до 200 кг  азмеры не менее 420х655х710 мм   апряжение 220    мощность 0 4 к т  идкокристаллический дисплей на стойке ")</f>
        <v xml:space="preserve"> есы напольные  наибольший предел взвешивания до 200 кг  азмеры не менее 420х655х710 мм   апряжение 220    мощность 0 4 к т  идкокристаллический дисплей на стойке </v>
      </c>
    </row>
    <row r="4996" spans="1:8" ht="25.5" x14ac:dyDescent="0.2">
      <c r="A4996" s="31" t="s">
        <v>11863</v>
      </c>
      <c r="B4996" s="27" t="s">
        <v>11864</v>
      </c>
      <c r="C4996" s="27"/>
      <c r="D4996" s="33" t="s">
        <v>14</v>
      </c>
      <c r="E4996" s="9"/>
      <c r="F4996" s="34">
        <v>17</v>
      </c>
      <c r="G4996" s="10">
        <v>105084</v>
      </c>
      <c r="H4996" s="30" t="str">
        <f ca="1">IFERROR(__xludf.DUMMYFUNCTION("LOWER(REGEXREPLACE(B4996&amp;"" ""&amp;C4996,""[^а-яa-z0-9 ]"","" ""))")," есы      335      300 50  600х460               ")</f>
        <v xml:space="preserve"> есы      335      300 50  600х460               </v>
      </c>
    </row>
    <row r="4997" spans="1:8" ht="25.5" x14ac:dyDescent="0.2">
      <c r="A4997" s="31" t="s">
        <v>11865</v>
      </c>
      <c r="B4997" s="27" t="s">
        <v>11866</v>
      </c>
      <c r="C4997" s="27"/>
      <c r="D4997" s="33" t="s">
        <v>14</v>
      </c>
      <c r="E4997" s="9"/>
      <c r="F4997" s="34">
        <v>10</v>
      </c>
      <c r="G4997" s="10">
        <v>56669</v>
      </c>
      <c r="H4997" s="30" t="str">
        <f ca="1">IFERROR(__xludf.DUMMYFUNCTION("LOWER(REGEXREPLACE(B4997&amp;"" ""&amp;C4997,""[^а-яa-z0-9 ]"","" ""))")," есы напольные товарные  ор    836  150 20  450х600   ектор ")</f>
        <v xml:space="preserve"> есы напольные товарные  ор    836  150 20  450х600   ектор </v>
      </c>
    </row>
    <row r="4998" spans="1:8" ht="12.75" x14ac:dyDescent="0.2">
      <c r="A4998" s="31" t="s">
        <v>11867</v>
      </c>
      <c r="B4998" s="27" t="s">
        <v>11868</v>
      </c>
      <c r="C4998" s="27"/>
      <c r="D4998" s="32"/>
      <c r="E4998" s="9"/>
      <c r="F4998" s="32"/>
      <c r="G4998" s="10"/>
      <c r="H4998" s="30" t="str">
        <f ca="1">IFERROR(__xludf.DUMMYFUNCTION("LOWER(REGEXREPLACE(B4998&amp;"" ""&amp;C4998,""[^а-яa-z0-9 ]"","" ""))")," арное оборудование ")</f>
        <v xml:space="preserve"> арное оборудование </v>
      </c>
    </row>
    <row r="4999" spans="1:8" ht="38.25" x14ac:dyDescent="0.2">
      <c r="A4999" s="31" t="s">
        <v>11869</v>
      </c>
      <c r="B4999" s="27" t="s">
        <v>11870</v>
      </c>
      <c r="C4999" s="27"/>
      <c r="D4999" s="33" t="s">
        <v>14</v>
      </c>
      <c r="E4999" s="9"/>
      <c r="F4999" s="35">
        <v>7.8</v>
      </c>
      <c r="G4999" s="10">
        <v>119573</v>
      </c>
      <c r="H4999" s="30" t="str">
        <f ca="1">IFERROR(__xludf.DUMMYFUNCTION("LOWER(REGEXREPLACE(B4999&amp;"" ""&amp;C4999,""[^а-яa-z0-9 ]"","" ""))")," ипятильник электрический накопительный     30  размеры 306х306х605 мм  объем 30 л  мощность 3 к т  напряжение 220   ")</f>
        <v xml:space="preserve"> ипятильник электрический накопительный     30  размеры 306х306х605 мм  объем 30 л  мощность 3 к т  напряжение 220   </v>
      </c>
    </row>
    <row r="5000" spans="1:8" ht="12.75" x14ac:dyDescent="0.2">
      <c r="A5000" s="31" t="s">
        <v>11871</v>
      </c>
      <c r="B5000" s="27" t="s">
        <v>11872</v>
      </c>
      <c r="C5000" s="27"/>
      <c r="D5000" s="33" t="s">
        <v>14</v>
      </c>
      <c r="E5000" s="9"/>
      <c r="F5000" s="32"/>
      <c r="G5000" s="10"/>
      <c r="H5000" s="30" t="str">
        <f ca="1">IFERROR(__xludf.DUMMYFUNCTION("LOWER(REGEXREPLACE(B5000&amp;"" ""&amp;C5000,""[^а-яa-z0-9 ]"","" ""))")," ипятильник электрический ")</f>
        <v xml:space="preserve"> ипятильник электрический </v>
      </c>
    </row>
    <row r="5001" spans="1:8" ht="38.25" x14ac:dyDescent="0.2">
      <c r="A5001" s="31" t="s">
        <v>11873</v>
      </c>
      <c r="B5001" s="27" t="s">
        <v>11874</v>
      </c>
      <c r="C5001" s="27"/>
      <c r="D5001" s="33" t="s">
        <v>14</v>
      </c>
      <c r="E5001" s="9"/>
      <c r="F5001" s="34">
        <v>6</v>
      </c>
      <c r="G5001" s="10">
        <v>83424</v>
      </c>
      <c r="H5001" s="30" t="str">
        <f ca="1">IFERROR(__xludf.DUMMYFUNCTION("LOWER(REGEXREPLACE(B5001&amp;"" ""&amp;C5001,""[^а-яa-z0-9 ]"","" ""))")," ипятильник электрический накопительный     15  размеры 306х306х385 мм  объем 15 л  мощность 3 к т  напряжение 220   ")</f>
        <v xml:space="preserve"> ипятильник электрический накопительный     15  размеры 306х306х385 мм  объем 15 л  мощность 3 к т  напряжение 220   </v>
      </c>
    </row>
    <row r="5002" spans="1:8" ht="38.25" x14ac:dyDescent="0.2">
      <c r="A5002" s="31" t="s">
        <v>11875</v>
      </c>
      <c r="B5002" s="27" t="s">
        <v>11876</v>
      </c>
      <c r="C5002" s="27"/>
      <c r="D5002" s="33" t="s">
        <v>14</v>
      </c>
      <c r="E5002" s="9"/>
      <c r="F5002" s="35">
        <v>2.7</v>
      </c>
      <c r="G5002" s="10">
        <v>70319</v>
      </c>
      <c r="H5002" s="30" t="str">
        <f ca="1">IFERROR(__xludf.DUMMYFUNCTION("LOWER(REGEXREPLACE(B5002&amp;"" ""&amp;C5002,""[^а-яa-z0-9 ]"","" ""))")," ипятильник электрический    10   размеры 280х310х395 мм  объем 10 л  мощность 2 к т  напряжение 220   ")</f>
        <v xml:space="preserve"> ипятильник электрический    10   размеры 280х310х395 мм  объем 10 л  мощность 2 к т  напряжение 220   </v>
      </c>
    </row>
    <row r="5003" spans="1:8" ht="38.25" x14ac:dyDescent="0.2">
      <c r="A5003" s="31" t="s">
        <v>11877</v>
      </c>
      <c r="B5003" s="27" t="s">
        <v>11878</v>
      </c>
      <c r="C5003" s="27"/>
      <c r="D5003" s="33" t="s">
        <v>14</v>
      </c>
      <c r="E5003" s="9"/>
      <c r="F5003" s="35">
        <v>3.6</v>
      </c>
      <c r="G5003" s="10">
        <v>80654</v>
      </c>
      <c r="H5003" s="30" t="str">
        <f ca="1">IFERROR(__xludf.DUMMYFUNCTION("LOWER(REGEXREPLACE(B5003&amp;"" ""&amp;C5003,""[^а-яa-z0-9 ]"","" ""))")," ипятильник электрический    20   размеры 265х265х550 мм  объем 20 л  мощность 2 5 к т  напряжение 220   ")</f>
        <v xml:space="preserve"> ипятильник электрический    20   размеры 265х265х550 мм  объем 20 л  мощность 2 5 к т  напряжение 220   </v>
      </c>
    </row>
    <row r="5004" spans="1:8" ht="38.25" x14ac:dyDescent="0.2">
      <c r="A5004" s="31" t="s">
        <v>11879</v>
      </c>
      <c r="B5004" s="27" t="s">
        <v>11880</v>
      </c>
      <c r="C5004" s="27" t="s">
        <v>11881</v>
      </c>
      <c r="D5004" s="33" t="s">
        <v>14</v>
      </c>
      <c r="E5004" s="9"/>
      <c r="F5004" s="35">
        <v>4.2</v>
      </c>
      <c r="G5004" s="10">
        <v>90988</v>
      </c>
      <c r="H5004" s="30" t="str">
        <f ca="1">IFERROR(__xludf.DUMMYFUNCTION("LOWER(REGEXREPLACE(B5004&amp;"" ""&amp;C5004,""[^а-яa-z0-9 ]"","" ""))")," ипятильник электрический  объем 30л  ип накопительный   азмеры не менее 380х380х410 мм   ощность 3 к т  напряжение 220     бъем 30 л   орпус выполнен из нержавеющей стали  ручки с покрытием из термопластика ")</f>
        <v xml:space="preserve"> ипятильник электрический  объем 30л  ип накопительный   азмеры не менее 380х380х410 мм   ощность 3 к т  напряжение 220     бъем 30 л   орпус выполнен из нержавеющей стали  ручки с покрытием из термопластика </v>
      </c>
    </row>
    <row r="5005" spans="1:8" ht="38.25" x14ac:dyDescent="0.2">
      <c r="A5005" s="31" t="s">
        <v>11882</v>
      </c>
      <c r="B5005" s="27" t="s">
        <v>11883</v>
      </c>
      <c r="C5005" s="27" t="s">
        <v>11884</v>
      </c>
      <c r="D5005" s="33" t="s">
        <v>14</v>
      </c>
      <c r="E5005" s="9"/>
      <c r="F5005" s="35">
        <v>4.5999999999999996</v>
      </c>
      <c r="G5005" s="10">
        <v>101321</v>
      </c>
      <c r="H5005" s="30" t="str">
        <f ca="1">IFERROR(__xludf.DUMMYFUNCTION("LOWER(REGEXREPLACE(B5005&amp;"" ""&amp;C5005,""[^а-яa-z0-9 ]"","" ""))")," ипятильник электрический накопительный  объем 40л  мощность 3 к т  напряжение 220    ипятильник электрический накопительный   азмеры не менее 390х390х503 мм   орпус выполнен из нержавеющей стали  ручки из термоизоляционного материала ")</f>
        <v xml:space="preserve"> ипятильник электрический накопительный  объем 40л  мощность 3 к т  напряжение 220    ипятильник электрический накопительный   азмеры не менее 390х390х503 мм   орпус выполнен из нержавеющей стали  ручки из термоизоляционного материала </v>
      </c>
    </row>
    <row r="5006" spans="1:8" ht="38.25" x14ac:dyDescent="0.2">
      <c r="A5006" s="31" t="s">
        <v>11885</v>
      </c>
      <c r="B5006" s="27" t="s">
        <v>11886</v>
      </c>
      <c r="C5006" s="27"/>
      <c r="D5006" s="33" t="s">
        <v>14</v>
      </c>
      <c r="E5006" s="9"/>
      <c r="F5006" s="35">
        <v>2.2999999999999998</v>
      </c>
      <c r="G5006" s="10">
        <v>63616</v>
      </c>
      <c r="H5006" s="30" t="str">
        <f ca="1">IFERROR(__xludf.DUMMYFUNCTION("LOWER(REGEXREPLACE(B5006&amp;"" ""&amp;C5006,""[^а-яa-z0-9 ]"","" ""))")," ипятильник электрический    10   двойные стенки   размеры 270х270х450 мм  объем 10 л  мощность 2 к т  напряжение 220   ")</f>
        <v xml:space="preserve"> ипятильник электрический    10   двойные стенки   размеры 270х270х450 мм  объем 10 л  мощность 2 к т  напряжение 220   </v>
      </c>
    </row>
    <row r="5007" spans="1:8" ht="38.25" x14ac:dyDescent="0.2">
      <c r="A5007" s="31" t="s">
        <v>11887</v>
      </c>
      <c r="B5007" s="27" t="s">
        <v>11888</v>
      </c>
      <c r="C5007" s="27"/>
      <c r="D5007" s="33" t="s">
        <v>14</v>
      </c>
      <c r="E5007" s="9"/>
      <c r="F5007" s="35">
        <v>2.7</v>
      </c>
      <c r="G5007" s="10">
        <v>68051</v>
      </c>
      <c r="H5007" s="30" t="str">
        <f ca="1">IFERROR(__xludf.DUMMYFUNCTION("LOWER(REGEXREPLACE(B5007&amp;"" ""&amp;C5007,""[^а-яa-z0-9 ]"","" ""))")," ипятильник электрический    10   двойные стенки  размеры 270х270х550 мм  объем 20 л  мощность 2 к т  напряжение 220   ")</f>
        <v xml:space="preserve"> ипятильник электрический    10   двойные стенки  размеры 270х270х550 мм  объем 20 л  мощность 2 к т  напряжение 220   </v>
      </c>
    </row>
    <row r="5008" spans="1:8" ht="38.25" x14ac:dyDescent="0.2">
      <c r="A5008" s="31" t="s">
        <v>11889</v>
      </c>
      <c r="B5008" s="27" t="s">
        <v>11890</v>
      </c>
      <c r="C5008" s="27"/>
      <c r="D5008" s="33" t="s">
        <v>14</v>
      </c>
      <c r="E5008" s="9"/>
      <c r="F5008" s="36">
        <v>2.75</v>
      </c>
      <c r="G5008" s="10">
        <v>72873</v>
      </c>
      <c r="H5008" s="30" t="str">
        <f ca="1">IFERROR(__xludf.DUMMYFUNCTION("LOWER(REGEXREPLACE(B5008&amp;"" ""&amp;C5008,""[^а-яa-z0-9 ]"","" ""))")," ипятильник электрический    10   двойные стенки  размеры 320х320х550 мм  объем 30 л  мощность 2 к т  напряжение 220   ")</f>
        <v xml:space="preserve"> ипятильник электрический    10   двойные стенки  размеры 320х320х550 мм  объем 30 л  мощность 2 к т  напряжение 220   </v>
      </c>
    </row>
    <row r="5009" spans="1:8" ht="38.25" x14ac:dyDescent="0.2">
      <c r="A5009" s="31" t="s">
        <v>11891</v>
      </c>
      <c r="B5009" s="27" t="s">
        <v>11892</v>
      </c>
      <c r="C5009" s="27"/>
      <c r="D5009" s="33" t="s">
        <v>14</v>
      </c>
      <c r="E5009" s="9"/>
      <c r="F5009" s="36">
        <v>3.33</v>
      </c>
      <c r="G5009" s="10">
        <v>80911</v>
      </c>
      <c r="H5009" s="30" t="str">
        <f ca="1">IFERROR(__xludf.DUMMYFUNCTION("LOWER(REGEXREPLACE(B5009&amp;"" ""&amp;C5009,""[^а-яa-z0-9 ]"","" ""))")," ипятильник электрический    10   двойные стенки  размеры 320х320х600 мм  объем 40 л  мощность 2 5 к т  напряжение 220   ")</f>
        <v xml:space="preserve"> ипятильник электрический    10   двойные стенки  размеры 320х320х600 мм  объем 40 л  мощность 2 5 к т  напряжение 220   </v>
      </c>
    </row>
    <row r="5010" spans="1:8" ht="38.25" x14ac:dyDescent="0.2">
      <c r="A5010" s="31" t="s">
        <v>11893</v>
      </c>
      <c r="B5010" s="27" t="s">
        <v>11894</v>
      </c>
      <c r="C5010" s="27"/>
      <c r="D5010" s="33" t="s">
        <v>14</v>
      </c>
      <c r="E5010" s="9"/>
      <c r="F5010" s="35">
        <v>8.5</v>
      </c>
      <c r="G5010" s="10">
        <v>361404</v>
      </c>
      <c r="H5010" s="30" t="str">
        <f ca="1">IFERROR(__xludf.DUMMYFUNCTION("LOWER(REGEXREPLACE(B5010&amp;"" ""&amp;C5010,""[^а-яa-z0-9 ]"","" ""))")," ипятильник электрический     20   размеры 190х280х690мм  объем 20 л  мощность 3 к т  напряжение 220   ")</f>
        <v xml:space="preserve"> ипятильник электрический     20   размеры 190х280х690мм  объем 20 л  мощность 3 к т  напряжение 220   </v>
      </c>
    </row>
    <row r="5011" spans="1:8" ht="38.25" x14ac:dyDescent="0.2">
      <c r="A5011" s="31" t="s">
        <v>11895</v>
      </c>
      <c r="B5011" s="27" t="s">
        <v>11896</v>
      </c>
      <c r="C5011" s="27"/>
      <c r="D5011" s="33" t="s">
        <v>14</v>
      </c>
      <c r="E5011" s="9"/>
      <c r="F5011" s="34">
        <v>9</v>
      </c>
      <c r="G5011" s="10">
        <v>382836</v>
      </c>
      <c r="H5011" s="30" t="str">
        <f ca="1">IFERROR(__xludf.DUMMYFUNCTION("LOWER(REGEXREPLACE(B5011&amp;"" ""&amp;C5011,""[^а-яa-z0-9 ]"","" ""))")," ипятильник электрический     30   размеры 190х340х740мм  объем 30 л  мощность 3 к т  напряжение 220   ")</f>
        <v xml:space="preserve"> ипятильник электрический     30   размеры 190х340х740мм  объем 30 л  мощность 3 к т  напряжение 220   </v>
      </c>
    </row>
    <row r="5012" spans="1:8" ht="38.25" x14ac:dyDescent="0.2">
      <c r="A5012" s="31" t="s">
        <v>11897</v>
      </c>
      <c r="B5012" s="27" t="s">
        <v>11898</v>
      </c>
      <c r="C5012" s="27"/>
      <c r="D5012" s="33" t="s">
        <v>14</v>
      </c>
      <c r="E5012" s="9"/>
      <c r="F5012" s="34">
        <v>9</v>
      </c>
      <c r="G5012" s="10">
        <v>476679</v>
      </c>
      <c r="H5012" s="30" t="str">
        <f ca="1">IFERROR(__xludf.DUMMYFUNCTION("LOWER(REGEXREPLACE(B5012&amp;"" ""&amp;C5012,""[^а-яa-z0-9 ]"","" ""))")," ипятильник электрический     40   размеры 450х300х680мм  объем 40 л  мощность 3 к т  напряжение 220   ")</f>
        <v xml:space="preserve"> ипятильник электрический     40   размеры 450х300х680мм  объем 40 л  мощность 3 к т  напряжение 220   </v>
      </c>
    </row>
    <row r="5013" spans="1:8" ht="38.25" x14ac:dyDescent="0.2">
      <c r="A5013" s="31" t="s">
        <v>11899</v>
      </c>
      <c r="B5013" s="27" t="s">
        <v>11900</v>
      </c>
      <c r="C5013" s="27"/>
      <c r="D5013" s="33" t="s">
        <v>14</v>
      </c>
      <c r="E5013" s="9"/>
      <c r="F5013" s="34">
        <v>13</v>
      </c>
      <c r="G5013" s="10">
        <v>534887</v>
      </c>
      <c r="H5013" s="30" t="str">
        <f ca="1">IFERROR(__xludf.DUMMYFUNCTION("LOWER(REGEXREPLACE(B5013&amp;"" ""&amp;C5013,""[^а-яa-z0-9 ]"","" ""))")," ипятильник электрический     60   размеры 450х340х680мм  объем 60 л  мощность 6 к т  напряжение 380   ")</f>
        <v xml:space="preserve"> ипятильник электрический     60   размеры 450х340х680мм  объем 60 л  мощность 6 к т  напряжение 380   </v>
      </c>
    </row>
    <row r="5014" spans="1:8" ht="51" x14ac:dyDescent="0.2">
      <c r="A5014" s="31" t="s">
        <v>11901</v>
      </c>
      <c r="B5014" s="27" t="s">
        <v>11902</v>
      </c>
      <c r="C5014" s="27"/>
      <c r="D5014" s="33" t="s">
        <v>14</v>
      </c>
      <c r="E5014" s="34">
        <v>2</v>
      </c>
      <c r="F5014" s="34">
        <v>20</v>
      </c>
      <c r="G5014" s="10">
        <v>225267</v>
      </c>
      <c r="H5014" s="30" t="str">
        <f ca="1">IFERROR(__xludf.DUMMYFUNCTION("LOWER(REGEXREPLACE(B5014&amp;"" ""&amp;C5014,""[^а-яa-z0-9 ]"","" ""))")," ипятильник электрический проточный  прямоугольный      50  размеры 355х685х391мм  производительность 50л час  мощность 6 6к т  напряжение 380  ")</f>
        <v xml:space="preserve"> ипятильник электрический проточный  прямоугольный      50  размеры 355х685х391мм  производительность 50л час  мощность 6 6к т  напряжение 380  </v>
      </c>
    </row>
    <row r="5015" spans="1:8" ht="51" x14ac:dyDescent="0.2">
      <c r="A5015" s="31" t="s">
        <v>11903</v>
      </c>
      <c r="B5015" s="27" t="s">
        <v>11904</v>
      </c>
      <c r="C5015" s="27"/>
      <c r="D5015" s="33" t="s">
        <v>14</v>
      </c>
      <c r="E5015" s="34">
        <v>2</v>
      </c>
      <c r="F5015" s="34">
        <v>21</v>
      </c>
      <c r="G5015" s="10">
        <v>247348</v>
      </c>
      <c r="H5015" s="30" t="str">
        <f ca="1">IFERROR(__xludf.DUMMYFUNCTION("LOWER(REGEXREPLACE(B5015&amp;"" ""&amp;C5015,""[^а-яa-z0-9 ]"","" ""))")," ипятильник электрический проточный  прямоугольный      100  размеры 355х685х391мм  производительность 100л час  мощность 13 2к т  напряжение 380  ")</f>
        <v xml:space="preserve"> ипятильник электрический проточный  прямоугольный      100  размеры 355х685х391мм  производительность 100л час  мощность 13 2к т  напряжение 380  </v>
      </c>
    </row>
    <row r="5016" spans="1:8" ht="63.75" x14ac:dyDescent="0.2">
      <c r="A5016" s="31" t="s">
        <v>11905</v>
      </c>
      <c r="B5016" s="8" t="s">
        <v>11906</v>
      </c>
      <c r="C5016" s="27"/>
      <c r="D5016" s="33" t="s">
        <v>14</v>
      </c>
      <c r="E5016" s="34">
        <v>2</v>
      </c>
      <c r="F5016" s="34">
        <v>8</v>
      </c>
      <c r="G5016" s="10">
        <v>110418</v>
      </c>
      <c r="H5016" s="30" t="str">
        <f ca="1">IFERROR(__xludf.DUMMYFUNCTION("LOWER(REGEXREPLACE(B5016&amp;"" ""&amp;C5016,""[^а-яa-z0-9 ]"","" ""))")," ипятильник электрический непрерывного действия     50 100  размеры 300х250х470мм  производительность 50 100л час  мощность 6 12к т  напряжение 380   2 режима работы ")</f>
        <v xml:space="preserve"> ипятильник электрический непрерывного действия     50 100  размеры 300х250х470мм  производительность 50 100л час  мощность 6 12к т  напряжение 380   2 режима работы </v>
      </c>
    </row>
    <row r="5017" spans="1:8" ht="38.25" x14ac:dyDescent="0.2">
      <c r="A5017" s="31" t="s">
        <v>11907</v>
      </c>
      <c r="B5017" s="8" t="s">
        <v>11908</v>
      </c>
      <c r="C5017" s="27"/>
      <c r="D5017" s="33" t="s">
        <v>14</v>
      </c>
      <c r="E5017" s="9"/>
      <c r="F5017" s="35">
        <v>17.3</v>
      </c>
      <c r="G5017" s="10">
        <v>61097</v>
      </c>
      <c r="H5017" s="30" t="str">
        <f ca="1">IFERROR(__xludf.DUMMYFUNCTION("LOWER(REGEXREPLACE(B5017&amp;"" ""&amp;C5017,""[^а-яa-z0-9 ]"","" ""))")," одонагреватель накопительный  aranterm    50        50     455х445х558 мм  1 5 к т  50 л  ")</f>
        <v xml:space="preserve"> одонагреватель накопительный  aranterm    50        50     455х445х558 мм  1 5 к т  50 л  </v>
      </c>
    </row>
    <row r="5018" spans="1:8" ht="25.5" x14ac:dyDescent="0.2">
      <c r="A5018" s="31" t="s">
        <v>11909</v>
      </c>
      <c r="B5018" s="27" t="s">
        <v>11910</v>
      </c>
      <c r="C5018" s="27"/>
      <c r="D5018" s="33" t="s">
        <v>14</v>
      </c>
      <c r="E5018" s="9"/>
      <c r="F5018" s="35">
        <v>22.4</v>
      </c>
      <c r="G5018" s="10">
        <v>69476</v>
      </c>
      <c r="H5018" s="30" t="str">
        <f ca="1">IFERROR(__xludf.DUMMYFUNCTION("LOWER(REGEXREPLACE(B5018&amp;"" ""&amp;C5018,""[^а-яa-z0-9 ]"","" ""))")," одонагреватель накопительный  aranterm    80        80     455х445х798 мм  80 л  1 5 к т  ")</f>
        <v xml:space="preserve"> одонагреватель накопительный  aranterm    80        80     455х445х798 мм  80 л  1 5 к т  </v>
      </c>
    </row>
    <row r="5019" spans="1:8" ht="25.5" x14ac:dyDescent="0.2">
      <c r="A5019" s="31" t="s">
        <v>11911</v>
      </c>
      <c r="B5019" s="8" t="s">
        <v>11912</v>
      </c>
      <c r="C5019" s="27"/>
      <c r="D5019" s="33" t="s">
        <v>14</v>
      </c>
      <c r="E5019" s="9"/>
      <c r="F5019" s="35">
        <v>3.9</v>
      </c>
      <c r="G5019" s="10">
        <v>55733</v>
      </c>
      <c r="H5019" s="30" t="str">
        <f ca="1">IFERROR(__xludf.DUMMYFUNCTION("LOWER(REGEXREPLACE(B5019&amp;"" ""&amp;C5019,""[^а-яa-z0-9 ]"","" ""))")," оковыжималка       180  308x220x350 мм  0 18 к т  220    ")</f>
        <v xml:space="preserve"> оковыжималка       180  308x220x350 мм  0 18 к т  220    </v>
      </c>
    </row>
    <row r="5020" spans="1:8" ht="25.5" x14ac:dyDescent="0.2">
      <c r="A5020" s="31" t="s">
        <v>11913</v>
      </c>
      <c r="B5020" s="27" t="s">
        <v>11914</v>
      </c>
      <c r="C5020" s="27"/>
      <c r="D5020" s="33" t="s">
        <v>14</v>
      </c>
      <c r="E5020" s="9"/>
      <c r="F5020" s="34">
        <v>3</v>
      </c>
      <c r="G5020" s="10">
        <v>183221</v>
      </c>
      <c r="H5020" s="30" t="str">
        <f ca="1">IFERROR(__xludf.DUMMYFUNCTION("LOWER(REGEXREPLACE(B5020&amp;"" ""&amp;C5020,""[^а-яa-z0-9 ]"","" ""))")," оковыжималка          1      210х210х280 мм  320 об мин  0 15 к т  220    ")</f>
        <v xml:space="preserve"> оковыжималка          1      210х210х280 мм  320 об мин  0 15 к т  220    </v>
      </c>
    </row>
    <row r="5021" spans="1:8" ht="12.75" x14ac:dyDescent="0.2">
      <c r="A5021" s="31" t="s">
        <v>11915</v>
      </c>
      <c r="B5021" s="27" t="s">
        <v>11916</v>
      </c>
      <c r="C5021" s="27"/>
      <c r="D5021" s="33" t="s">
        <v>14</v>
      </c>
      <c r="E5021" s="9"/>
      <c r="F5021" s="32"/>
      <c r="G5021" s="10"/>
      <c r="H5021" s="30" t="str">
        <f ca="1">IFERROR(__xludf.DUMMYFUNCTION("LOWER(REGEXREPLACE(B5021&amp;"" ""&amp;C5021,""[^а-яa-z0-9 ]"","" ""))")," ипятильник кофеварка ")</f>
        <v xml:space="preserve"> ипятильник кофеварка </v>
      </c>
    </row>
    <row r="5022" spans="1:8" ht="38.25" x14ac:dyDescent="0.2">
      <c r="A5022" s="31" t="s">
        <v>11917</v>
      </c>
      <c r="B5022" s="27" t="s">
        <v>11918</v>
      </c>
      <c r="C5022" s="27"/>
      <c r="D5022" s="33" t="s">
        <v>14</v>
      </c>
      <c r="E5022" s="9"/>
      <c r="F5022" s="35">
        <v>3.7</v>
      </c>
      <c r="G5022" s="10">
        <v>85694</v>
      </c>
      <c r="H5022" s="30" t="str">
        <f ca="1">IFERROR(__xludf.DUMMYFUNCTION("LOWER(REGEXREPLACE(B5022&amp;"" ""&amp;C5022,""[^а-яa-z0-9 ]"","" ""))")," ипятильник кофеварка    06   размеры 300х300х480 мм  объем 6 л  мощность 1 2 к т  напряжение 220   ")</f>
        <v xml:space="preserve"> ипятильник кофеварка    06   размеры 300х300х480 мм  объем 6 л  мощность 1 2 к т  напряжение 220   </v>
      </c>
    </row>
    <row r="5023" spans="1:8" ht="38.25" x14ac:dyDescent="0.2">
      <c r="A5023" s="31" t="s">
        <v>11919</v>
      </c>
      <c r="B5023" s="27" t="s">
        <v>11920</v>
      </c>
      <c r="C5023" s="27"/>
      <c r="D5023" s="33" t="s">
        <v>14</v>
      </c>
      <c r="E5023" s="9"/>
      <c r="F5023" s="36">
        <v>3.96</v>
      </c>
      <c r="G5023" s="10">
        <v>90987</v>
      </c>
      <c r="H5023" s="30" t="str">
        <f ca="1">IFERROR(__xludf.DUMMYFUNCTION("LOWER(REGEXREPLACE(B5023&amp;"" ""&amp;C5023,""[^а-яa-z0-9 ]"","" ""))")," ипятильник кофеварка    10   размеры 340х340х490 мм  объем 10 л  мощность 1 5 к т  напряжение 220   ")</f>
        <v xml:space="preserve"> ипятильник кофеварка    10   размеры 340х340х490 мм  объем 10 л  мощность 1 5 к т  напряжение 220   </v>
      </c>
    </row>
    <row r="5024" spans="1:8" ht="38.25" x14ac:dyDescent="0.2">
      <c r="A5024" s="31" t="s">
        <v>11921</v>
      </c>
      <c r="B5024" s="27" t="s">
        <v>11922</v>
      </c>
      <c r="C5024" s="27"/>
      <c r="D5024" s="33" t="s">
        <v>14</v>
      </c>
      <c r="E5024" s="9"/>
      <c r="F5024" s="35">
        <v>4.5999999999999996</v>
      </c>
      <c r="G5024" s="10">
        <v>96281</v>
      </c>
      <c r="H5024" s="30" t="str">
        <f ca="1">IFERROR(__xludf.DUMMYFUNCTION("LOWER(REGEXREPLACE(B5024&amp;"" ""&amp;C5024,""[^а-яa-z0-9 ]"","" ""))")," ипятильник кофеварка    15   размеры 340х340х600 мм  объем 15 л  мощность 1 5 к т  напряжение 220   ")</f>
        <v xml:space="preserve"> ипятильник кофеварка    15   размеры 340х340х600 мм  объем 15 л  мощность 1 5 к т  напряжение 220   </v>
      </c>
    </row>
    <row r="5025" spans="1:8" ht="12.75" x14ac:dyDescent="0.2">
      <c r="A5025" s="31" t="s">
        <v>11923</v>
      </c>
      <c r="B5025" s="27" t="s">
        <v>11924</v>
      </c>
      <c r="C5025" s="27"/>
      <c r="D5025" s="33" t="s">
        <v>14</v>
      </c>
      <c r="E5025" s="9"/>
      <c r="F5025" s="32"/>
      <c r="G5025" s="10"/>
      <c r="H5025" s="30" t="str">
        <f ca="1">IFERROR(__xludf.DUMMYFUNCTION("LOWER(REGEXREPLACE(B5025&amp;"" ""&amp;C5025,""[^а-яa-z0-9 ]"","" ""))")," окоохладитель ")</f>
        <v xml:space="preserve"> окоохладитель </v>
      </c>
    </row>
    <row r="5026" spans="1:8" ht="38.25" x14ac:dyDescent="0.2">
      <c r="A5026" s="31" t="s">
        <v>11925</v>
      </c>
      <c r="B5026" s="27" t="s">
        <v>11926</v>
      </c>
      <c r="C5026" s="27"/>
      <c r="D5026" s="33" t="s">
        <v>14</v>
      </c>
      <c r="E5026" s="9"/>
      <c r="F5026" s="34">
        <v>23</v>
      </c>
      <c r="G5026" s="10">
        <v>428686</v>
      </c>
      <c r="H5026" s="30" t="str">
        <f ca="1">IFERROR(__xludf.DUMMYFUNCTION("LOWER(REGEXREPLACE(B5026&amp;"" ""&amp;C5026,""[^а-яa-z0-9 ]"","" ""))")," окоохладитель    161   размеры 265х375х700мм  объем 16 л  мощность 0 18 к т  напряжение 220   ")</f>
        <v xml:space="preserve"> окоохладитель    161   размеры 265х375х700мм  объем 16 л  мощность 0 18 к т  напряжение 220   </v>
      </c>
    </row>
    <row r="5027" spans="1:8" ht="38.25" x14ac:dyDescent="0.2">
      <c r="A5027" s="31" t="s">
        <v>11927</v>
      </c>
      <c r="B5027" s="27" t="s">
        <v>11928</v>
      </c>
      <c r="C5027" s="27"/>
      <c r="D5027" s="33" t="s">
        <v>14</v>
      </c>
      <c r="E5027" s="9"/>
      <c r="F5027" s="34">
        <v>28</v>
      </c>
      <c r="G5027" s="10">
        <v>541028</v>
      </c>
      <c r="H5027" s="30" t="str">
        <f ca="1">IFERROR(__xludf.DUMMYFUNCTION("LOWER(REGEXREPLACE(B5027&amp;"" ""&amp;C5027,""[^а-яa-z0-9 ]"","" ""))")," окоохладитель    162   размеры 420х450х680мм  объем 16 л  мощность 0 235 к т  напряжение 220   ")</f>
        <v xml:space="preserve"> окоохладитель    162   размеры 420х450х680мм  объем 16 л  мощность 0 235 к т  напряжение 220   </v>
      </c>
    </row>
    <row r="5028" spans="1:8" ht="38.25" x14ac:dyDescent="0.2">
      <c r="A5028" s="31" t="s">
        <v>11929</v>
      </c>
      <c r="B5028" s="27" t="s">
        <v>11930</v>
      </c>
      <c r="C5028" s="27"/>
      <c r="D5028" s="33" t="s">
        <v>14</v>
      </c>
      <c r="E5028" s="9"/>
      <c r="F5028" s="34">
        <v>32</v>
      </c>
      <c r="G5028" s="10">
        <v>711600</v>
      </c>
      <c r="H5028" s="30" t="str">
        <f ca="1">IFERROR(__xludf.DUMMYFUNCTION("LOWER(REGEXREPLACE(B5028&amp;"" ""&amp;C5028,""[^а-яa-z0-9 ]"","" ""))")," окоохладитель    163   размеры 820х450х680мм  объем 16 л  мощность 0 33 к т  напряжение 220   ")</f>
        <v xml:space="preserve"> окоохладитель    163   размеры 820х450х680мм  объем 16 л  мощность 0 33 к т  напряжение 220   </v>
      </c>
    </row>
    <row r="5029" spans="1:8" ht="12.75" x14ac:dyDescent="0.2">
      <c r="A5029" s="31" t="s">
        <v>11931</v>
      </c>
      <c r="B5029" s="27" t="s">
        <v>11932</v>
      </c>
      <c r="C5029" s="27"/>
      <c r="D5029" s="32"/>
      <c r="E5029" s="9"/>
      <c r="F5029" s="32"/>
      <c r="G5029" s="10"/>
      <c r="H5029" s="30" t="str">
        <f ca="1">IFERROR(__xludf.DUMMYFUNCTION("LOWER(REGEXREPLACE(B5029&amp;"" ""&amp;C5029,""[^а-яa-z0-9 ]"","" ""))")," анитарно гигиеническое оборудование ")</f>
        <v xml:space="preserve"> анитарно гигиеническое оборудование </v>
      </c>
    </row>
    <row r="5030" spans="1:8" ht="25.5" x14ac:dyDescent="0.2">
      <c r="A5030" s="31" t="s">
        <v>11933</v>
      </c>
      <c r="B5030" s="8" t="s">
        <v>11934</v>
      </c>
      <c r="C5030" s="27" t="s">
        <v>11935</v>
      </c>
      <c r="D5030" s="33" t="s">
        <v>14</v>
      </c>
      <c r="E5030" s="9"/>
      <c r="F5030" s="35">
        <v>8.5</v>
      </c>
      <c r="G5030" s="10">
        <v>162831</v>
      </c>
      <c r="H5030" s="30" t="str">
        <f ca="1">IFERROR(__xludf.DUMMYFUNCTION("LOWER(REGEXREPLACE(B5030&amp;"" ""&amp;C5030,""[^а-яa-z0-9 ]"","" ""))")," терилизатор для ножей  мощность 0 03 к т  напряжение 220    не менее 18 ножей  терилизатор для ножей  мощность 0 03 к т  напряжение 220    не менее 18 ножей")</f>
        <v xml:space="preserve"> терилизатор для ножей  мощность 0 03 к т  напряжение 220    не менее 18 ножей  терилизатор для ножей  мощность 0 03 к т  напряжение 220    не менее 18 ножей</v>
      </c>
    </row>
    <row r="5031" spans="1:8" ht="25.5" x14ac:dyDescent="0.2">
      <c r="A5031" s="31" t="s">
        <v>11936</v>
      </c>
      <c r="B5031" s="8" t="s">
        <v>11937</v>
      </c>
      <c r="C5031" s="27"/>
      <c r="D5031" s="33" t="s">
        <v>14</v>
      </c>
      <c r="E5031" s="9"/>
      <c r="F5031" s="34">
        <v>24</v>
      </c>
      <c r="G5031" s="10">
        <v>155520</v>
      </c>
      <c r="H5031" s="30" t="str">
        <f ca="1">IFERROR(__xludf.DUMMYFUNCTION("LOWER(REGEXREPLACE(B5031&amp;"" ""&amp;C5031,""[^а-яa-z0-9 ]"","" ""))")," терилизатор ножей     1 18 02 1  465х145х605 мм  8  т  220    ")</f>
        <v xml:space="preserve"> терилизатор ножей     1 18 02 1  465х145х605 мм  8  т  220    </v>
      </c>
    </row>
    <row r="5032" spans="1:8" ht="25.5" x14ac:dyDescent="0.2">
      <c r="A5032" s="31" t="s">
        <v>11938</v>
      </c>
      <c r="B5032" s="8" t="s">
        <v>11939</v>
      </c>
      <c r="C5032" s="27"/>
      <c r="D5032" s="33" t="s">
        <v>14</v>
      </c>
      <c r="E5032" s="9"/>
      <c r="F5032" s="35">
        <v>4.3</v>
      </c>
      <c r="G5032" s="10">
        <v>71370</v>
      </c>
      <c r="H5032" s="30" t="str">
        <f ca="1">IFERROR(__xludf.DUMMYFUNCTION("LOWER(REGEXREPLACE(B5032&amp;"" ""&amp;C5032,""[^а-яa-z0-9 ]"","" ""))")," змельчитель отходов                370   235x235x405 мм  220    0 37 к т  ")</f>
        <v xml:space="preserve"> змельчитель отходов                370   235x235x405 мм  220    0 37 к т  </v>
      </c>
    </row>
    <row r="5033" spans="1:8" ht="25.5" x14ac:dyDescent="0.2">
      <c r="A5033" s="31" t="s">
        <v>11940</v>
      </c>
      <c r="B5033" s="8" t="s">
        <v>11941</v>
      </c>
      <c r="C5033" s="27"/>
      <c r="D5033" s="33" t="s">
        <v>14</v>
      </c>
      <c r="E5033" s="9"/>
      <c r="F5033" s="34">
        <v>5</v>
      </c>
      <c r="G5033" s="10">
        <v>87115</v>
      </c>
      <c r="H5033" s="30" t="str">
        <f ca="1">IFERROR(__xludf.DUMMYFUNCTION("LOWER(REGEXREPLACE(B5033&amp;"" ""&amp;C5033,""[^а-яa-z0-9 ]"","" ""))")," змельчитель отходов                450   235x235x405 мм  220    0 45 к т  ")</f>
        <v xml:space="preserve"> змельчитель отходов                450   235x235x405 мм  220    0 45 к т  </v>
      </c>
    </row>
    <row r="5034" spans="1:8" ht="12.75" x14ac:dyDescent="0.2">
      <c r="A5034" s="31" t="s">
        <v>11942</v>
      </c>
      <c r="B5034" s="27" t="s">
        <v>11943</v>
      </c>
      <c r="C5034" s="27"/>
      <c r="D5034" s="32"/>
      <c r="E5034" s="9"/>
      <c r="F5034" s="32"/>
      <c r="G5034" s="10"/>
      <c r="H5034" s="30" t="str">
        <f ca="1">IFERROR(__xludf.DUMMYFUNCTION("LOWER(REGEXREPLACE(B5034&amp;"" ""&amp;C5034,""[^а-яa-z0-9 ]"","" ""))")," инии раздачи ")</f>
        <v xml:space="preserve"> инии раздачи </v>
      </c>
    </row>
    <row r="5035" spans="1:8" ht="25.5" x14ac:dyDescent="0.2">
      <c r="A5035" s="31" t="s">
        <v>11944</v>
      </c>
      <c r="B5035" s="27" t="s">
        <v>11945</v>
      </c>
      <c r="C5035" s="27"/>
      <c r="D5035" s="33" t="s">
        <v>14</v>
      </c>
      <c r="E5035" s="9"/>
      <c r="F5035" s="34">
        <v>78</v>
      </c>
      <c r="G5035" s="10">
        <v>94286</v>
      </c>
      <c r="H5035" s="30" t="str">
        <f ca="1">IFERROR(__xludf.DUMMYFUNCTION("LOWER(REGEXREPLACE(B5035&amp;"" ""&amp;C5035,""[^а-яa-z0-9 ]"","" ""))")," рилавок холодильный        70       1120х705 1030х1240  ")</f>
        <v xml:space="preserve"> рилавок холодильный        70       1120х705 1030х1240  </v>
      </c>
    </row>
    <row r="5036" spans="1:8" ht="25.5" x14ac:dyDescent="0.2">
      <c r="A5036" s="31" t="s">
        <v>11946</v>
      </c>
      <c r="B5036" s="27" t="s">
        <v>11947</v>
      </c>
      <c r="C5036" s="27"/>
      <c r="D5036" s="33" t="s">
        <v>14</v>
      </c>
      <c r="E5036" s="9"/>
      <c r="F5036" s="34">
        <v>101</v>
      </c>
      <c r="G5036" s="10">
        <v>943750</v>
      </c>
      <c r="H5036" s="30" t="str">
        <f ca="1">IFERROR(__xludf.DUMMYFUNCTION("LOWER(REGEXREPLACE(B5036&amp;"" ""&amp;C5036,""[^а-яa-z0-9 ]"","" ""))")," рилавок холодильный        70   01     1500х705 1030х1240  ")</f>
        <v xml:space="preserve"> рилавок холодильный        70   01     1500х705 1030х1240  </v>
      </c>
    </row>
    <row r="5037" spans="1:8" ht="25.5" x14ac:dyDescent="0.2">
      <c r="A5037" s="31" t="s">
        <v>11948</v>
      </c>
      <c r="B5037" s="27" t="s">
        <v>11949</v>
      </c>
      <c r="C5037" s="27"/>
      <c r="D5037" s="33" t="s">
        <v>14</v>
      </c>
      <c r="E5037" s="9"/>
      <c r="F5037" s="34">
        <v>101</v>
      </c>
      <c r="G5037" s="10">
        <v>676200</v>
      </c>
      <c r="H5037" s="30" t="str">
        <f ca="1">IFERROR(__xludf.DUMMYFUNCTION("LOWER(REGEXREPLACE(B5037&amp;"" ""&amp;C5037,""[^а-яa-z0-9 ]"","" ""))")," рилавок холодильный        70   02     1120х705 1030х1240  ")</f>
        <v xml:space="preserve"> рилавок холодильный        70   02     1120х705 1030х1240  </v>
      </c>
    </row>
    <row r="5038" spans="1:8" ht="25.5" x14ac:dyDescent="0.2">
      <c r="A5038" s="31" t="s">
        <v>11950</v>
      </c>
      <c r="B5038" s="27" t="s">
        <v>11951</v>
      </c>
      <c r="C5038" s="27"/>
      <c r="D5038" s="33" t="s">
        <v>14</v>
      </c>
      <c r="E5038" s="9"/>
      <c r="F5038" s="34">
        <v>121</v>
      </c>
      <c r="G5038" s="10">
        <v>991071</v>
      </c>
      <c r="H5038" s="30" t="str">
        <f ca="1">IFERROR(__xludf.DUMMYFUNCTION("LOWER(REGEXREPLACE(B5038&amp;"" ""&amp;C5038,""[^а-яa-z0-9 ]"","" ""))")," рилавок холодильный        70   03     1500х705 1030х1240  ")</f>
        <v xml:space="preserve"> рилавок холодильный        70   03     1500х705 1030х1240  </v>
      </c>
    </row>
    <row r="5039" spans="1:8" ht="89.25" x14ac:dyDescent="0.2">
      <c r="A5039" s="31" t="s">
        <v>11952</v>
      </c>
      <c r="B5039" s="27" t="s">
        <v>11953</v>
      </c>
      <c r="C5039" s="27" t="s">
        <v>11954</v>
      </c>
      <c r="D5039" s="33" t="s">
        <v>14</v>
      </c>
      <c r="E5039" s="9"/>
      <c r="F5039" s="34">
        <v>155</v>
      </c>
      <c r="G5039" s="10">
        <v>1464014</v>
      </c>
      <c r="H5039" s="30" t="str">
        <f ca="1">IFERROR(__xludf.DUMMYFUNCTION("LOWER(REGEXREPLACE(B5039&amp;"" ""&amp;C5039,""[^а-яa-z0-9 ]"","" ""))")," рилавок витрина холодильный  размеры не менее 1120х705 1030х1720мм  емпературный режим холодильного отсека от 5 до 15      апряжение 220    ощность 0 67 к т   азмеры не менее 1120х705 1030х1720мм   онструкция выполнена из нержавеющей стали   снащена регу"&amp;"лируемыми по высоте ножками   ринудительная циркуляция охлажденного воздуха и лампа подсветки в холодильной витрине  6 полок решеток   низу расположен шкаф для хранения кухонного инвентаря   аправляющие для подносов входят в комплект поставки ")</f>
        <v xml:space="preserve"> рилавок витрина холодильный  размеры не менее 1120х705 1030х1720мм  емпературный режим холодильного отсека от 5 до 15      апряжение 220    ощность 0 67 к т   азмеры не менее 1120х705 1030х1720мм   онструкция выполнена из нержавеющей стали   снащена регулируемыми по высоте ножками   ринудительная циркуляция охлажденного воздуха и лампа подсветки в холодильной витрине  6 полок решеток   низу расположен шкаф для хранения кухонного инвентаря   аправляющие для подносов входят в комплект поставки </v>
      </c>
    </row>
    <row r="5040" spans="1:8" ht="25.5" x14ac:dyDescent="0.2">
      <c r="A5040" s="31" t="s">
        <v>11955</v>
      </c>
      <c r="B5040" s="27" t="s">
        <v>11956</v>
      </c>
      <c r="C5040" s="27"/>
      <c r="D5040" s="33" t="s">
        <v>14</v>
      </c>
      <c r="E5040" s="9"/>
      <c r="F5040" s="34">
        <v>180</v>
      </c>
      <c r="G5040" s="10">
        <v>2203571</v>
      </c>
      <c r="H5040" s="30" t="str">
        <f ca="1">IFERROR(__xludf.DUMMYFUNCTION("LOWER(REGEXREPLACE(B5040&amp;"" ""&amp;C5040,""[^а-яa-z0-9 ]"","" ""))")," рилавок витрина холодильный        70     01    вся нерж   1500х705 1030х1720  ")</f>
        <v xml:space="preserve"> рилавок витрина холодильный        70     01    вся нерж   1500х705 1030х1720  </v>
      </c>
    </row>
    <row r="5041" spans="1:8" ht="25.5" x14ac:dyDescent="0.2">
      <c r="A5041" s="31" t="s">
        <v>11957</v>
      </c>
      <c r="B5041" s="27" t="s">
        <v>11958</v>
      </c>
      <c r="C5041" s="27"/>
      <c r="D5041" s="33" t="s">
        <v>14</v>
      </c>
      <c r="E5041" s="9"/>
      <c r="F5041" s="34">
        <v>170</v>
      </c>
      <c r="G5041" s="10">
        <v>1577548</v>
      </c>
      <c r="H5041" s="30" t="str">
        <f ca="1">IFERROR(__xludf.DUMMYFUNCTION("LOWER(REGEXREPLACE(B5041&amp;"" ""&amp;C5041,""[^а-яa-z0-9 ]"","" ""))")," рилавок витрина холодильный        70     02     1120х705 1030х1720  ")</f>
        <v xml:space="preserve"> рилавок витрина холодильный        70     02     1120х705 1030х1720  </v>
      </c>
    </row>
    <row r="5042" spans="1:8" ht="25.5" x14ac:dyDescent="0.2">
      <c r="A5042" s="31" t="s">
        <v>11959</v>
      </c>
      <c r="B5042" s="27" t="s">
        <v>11960</v>
      </c>
      <c r="C5042" s="27"/>
      <c r="D5042" s="33" t="s">
        <v>14</v>
      </c>
      <c r="E5042" s="9"/>
      <c r="F5042" s="34">
        <v>201</v>
      </c>
      <c r="G5042" s="10">
        <v>2234821</v>
      </c>
      <c r="H5042" s="30" t="str">
        <f ca="1">IFERROR(__xludf.DUMMYFUNCTION("LOWER(REGEXREPLACE(B5042&amp;"" ""&amp;C5042,""[^а-яa-z0-9 ]"","" ""))")," рилавок витрина холодильный        70     03     1500х705 1030х1240  ")</f>
        <v xml:space="preserve"> рилавок витрина холодильный        70     03     1500х705 1030х1240  </v>
      </c>
    </row>
    <row r="5043" spans="1:8" ht="12.75" x14ac:dyDescent="0.2">
      <c r="A5043" s="31" t="s">
        <v>11961</v>
      </c>
      <c r="B5043" s="27" t="s">
        <v>11962</v>
      </c>
      <c r="C5043" s="27"/>
      <c r="D5043" s="33" t="s">
        <v>14</v>
      </c>
      <c r="E5043" s="9"/>
      <c r="F5043" s="32"/>
      <c r="G5043" s="10"/>
      <c r="H5043" s="30" t="str">
        <f ca="1">IFERROR(__xludf.DUMMYFUNCTION("LOWER(REGEXREPLACE(B5043&amp;"" ""&amp;C5043,""[^а-яa-z0-9 ]"","" ""))")," рилавок витрина холодильный ")</f>
        <v xml:space="preserve"> рилавок витрина холодильный </v>
      </c>
    </row>
    <row r="5044" spans="1:8" ht="25.5" x14ac:dyDescent="0.2">
      <c r="A5044" s="31" t="s">
        <v>11963</v>
      </c>
      <c r="B5044" s="27" t="s">
        <v>11964</v>
      </c>
      <c r="C5044" s="27"/>
      <c r="D5044" s="33" t="s">
        <v>14</v>
      </c>
      <c r="E5044" s="9"/>
      <c r="F5044" s="34">
        <v>212</v>
      </c>
      <c r="G5044" s="10">
        <v>2240129</v>
      </c>
      <c r="H5044" s="30" t="str">
        <f ca="1">IFERROR(__xludf.DUMMYFUNCTION("LOWER(REGEXREPLACE(B5044&amp;"" ""&amp;C5044,""[^а-яa-z0-9 ]"","" ""))")," рилавок витрина холодильный        70     01     1500х755 1080х1720  ")</f>
        <v xml:space="preserve"> рилавок витрина холодильный        70     01     1500х755 1080х1720  </v>
      </c>
    </row>
    <row r="5045" spans="1:8" ht="38.25" x14ac:dyDescent="0.2">
      <c r="A5045" s="31" t="s">
        <v>11965</v>
      </c>
      <c r="B5045" s="27" t="s">
        <v>11966</v>
      </c>
      <c r="C5045" s="27"/>
      <c r="D5045" s="33" t="s">
        <v>14</v>
      </c>
      <c r="E5045" s="9"/>
      <c r="F5045" s="34">
        <v>180</v>
      </c>
      <c r="G5045" s="10">
        <v>2712048</v>
      </c>
      <c r="H5045" s="30" t="str">
        <f ca="1">IFERROR(__xludf.DUMMYFUNCTION("LOWER(REGEXREPLACE(B5045&amp;"" ""&amp;C5045,""[^а-яa-z0-9 ]"","" ""))")," рилавок витрина холодильный 1500х700 1000 х1800   ощность 3 25к т  с подсветкой         70     01    ")</f>
        <v xml:space="preserve"> рилавок витрина холодильный 1500х700 1000 х1800   ощность 3 25к т  с подсветкой         70     01    </v>
      </c>
    </row>
    <row r="5046" spans="1:8" ht="51" x14ac:dyDescent="0.2">
      <c r="A5046" s="31" t="s">
        <v>11967</v>
      </c>
      <c r="B5046" s="8" t="s">
        <v>11968</v>
      </c>
      <c r="C5046" s="27"/>
      <c r="D5046" s="33" t="s">
        <v>14</v>
      </c>
      <c r="E5046" s="34">
        <v>2</v>
      </c>
      <c r="F5046" s="36">
        <v>64.760000000000005</v>
      </c>
      <c r="G5046" s="10">
        <v>407429</v>
      </c>
      <c r="H5046" s="30" t="str">
        <f ca="1">IFERROR(__xludf.DUMMYFUNCTION("LOWER(REGEXREPLACE(B5046&amp;"" ""&amp;C5046,""[^а-яa-z0-9 ]"","" ""))")," иния холодного сервиса           1 1 3 120   ержавеющая сталь   бъем  3   1 1 150  220   50 ц  1 к т   азмер  1200x700x850 1300мм ")</f>
        <v xml:space="preserve"> иния холодного сервиса           1 1 3 120   ержавеющая сталь   бъем  3   1 1 150  220   50 ц  1 к т   азмер  1200x700x850 1300мм </v>
      </c>
    </row>
    <row r="5047" spans="1:8" ht="51" x14ac:dyDescent="0.2">
      <c r="A5047" s="31" t="s">
        <v>11969</v>
      </c>
      <c r="B5047" s="8" t="s">
        <v>11970</v>
      </c>
      <c r="C5047" s="27"/>
      <c r="D5047" s="33" t="s">
        <v>14</v>
      </c>
      <c r="E5047" s="34">
        <v>2</v>
      </c>
      <c r="F5047" s="36">
        <v>75.91</v>
      </c>
      <c r="G5047" s="10">
        <v>438222</v>
      </c>
      <c r="H5047" s="30" t="str">
        <f ca="1">IFERROR(__xludf.DUMMYFUNCTION("LOWER(REGEXREPLACE(B5047&amp;"" ""&amp;C5047,""[^а-яa-z0-9 ]"","" ""))")," иния холодного сервиса           1 1 4 150   ержавеющая сталь   бъем  3   1 1 150  220   50 ц  1 к т   азмер  1500x700x850 1300мм ")</f>
        <v xml:space="preserve"> иния холодного сервиса           1 1 4 150   ержавеющая сталь   бъем  3   1 1 150  220   50 ц  1 к т   азмер  1500x700x850 1300мм </v>
      </c>
    </row>
    <row r="5048" spans="1:8" ht="51" x14ac:dyDescent="0.2">
      <c r="A5048" s="31" t="s">
        <v>11971</v>
      </c>
      <c r="B5048" s="8" t="s">
        <v>11972</v>
      </c>
      <c r="C5048" s="27"/>
      <c r="D5048" s="33" t="s">
        <v>14</v>
      </c>
      <c r="E5048" s="34">
        <v>2</v>
      </c>
      <c r="F5048" s="36">
        <v>88.49</v>
      </c>
      <c r="G5048" s="10">
        <v>470372</v>
      </c>
      <c r="H5048" s="30" t="str">
        <f ca="1">IFERROR(__xludf.DUMMYFUNCTION("LOWER(REGEXREPLACE(B5048&amp;"" ""&amp;C5048,""[^а-яa-z0-9 ]"","" ""))")," иния холодного сервиса           1 1 5 180   ержавеющая сталь   бъем  3   1 1 150  220   50 ц  1 к т   азмер  1800x700x850 1350мм ")</f>
        <v xml:space="preserve"> иния холодного сервиса           1 1 5 180   ержавеющая сталь   бъем  3   1 1 150  220   50 ц  1 к т   азмер  1800x700x850 1350мм </v>
      </c>
    </row>
    <row r="5049" spans="1:8" ht="51" x14ac:dyDescent="0.2">
      <c r="A5049" s="31" t="s">
        <v>11973</v>
      </c>
      <c r="B5049" s="27" t="s">
        <v>11974</v>
      </c>
      <c r="C5049" s="27"/>
      <c r="D5049" s="33" t="s">
        <v>14</v>
      </c>
      <c r="E5049" s="34">
        <v>2</v>
      </c>
      <c r="F5049" s="36">
        <v>186.22</v>
      </c>
      <c r="G5049" s="10">
        <v>716072</v>
      </c>
      <c r="H5049" s="30" t="str">
        <f ca="1">IFERROR(__xludf.DUMMYFUNCTION("LOWER(REGEXREPLACE(B5049&amp;"" ""&amp;C5049,""[^а-яa-z0-9 ]"","" ""))")," иния холодного сервиса       120 70   ержавеющая сталь  3 стеклянные полки  холодильный шкаф  с ползунком для подноса  220   50 ц  1к т   азмер  1200x700x850 1615мм ")</f>
        <v xml:space="preserve"> иния холодного сервиса       120 70   ержавеющая сталь  3 стеклянные полки  холодильный шкаф  с ползунком для подноса  220   50 ц  1к т   азмер  1200x700x850 1615мм </v>
      </c>
    </row>
    <row r="5050" spans="1:8" ht="51" x14ac:dyDescent="0.2">
      <c r="A5050" s="31" t="s">
        <v>11975</v>
      </c>
      <c r="B5050" s="27" t="s">
        <v>11976</v>
      </c>
      <c r="C5050" s="27"/>
      <c r="D5050" s="33" t="s">
        <v>14</v>
      </c>
      <c r="E5050" s="34">
        <v>2</v>
      </c>
      <c r="F5050" s="36">
        <v>208.46</v>
      </c>
      <c r="G5050" s="10">
        <v>756369</v>
      </c>
      <c r="H5050" s="30" t="str">
        <f ca="1">IFERROR(__xludf.DUMMYFUNCTION("LOWER(REGEXREPLACE(B5050&amp;"" ""&amp;C5050,""[^а-яa-z0-9 ]"","" ""))")," иния холодного сервиса       140 70   ержавеющая сталь  3 стеклянные полки  холодильный шкаф  с ползунком для подноса  220   50 ц  1к т   азмер  1400x700x850 1615мм ")</f>
        <v xml:space="preserve"> иния холодного сервиса       140 70   ержавеющая сталь  3 стеклянные полки  холодильный шкаф  с ползунком для подноса  220   50 ц  1к т   азмер  1400x700x850 1615мм </v>
      </c>
    </row>
    <row r="5051" spans="1:8" ht="89.25" x14ac:dyDescent="0.2">
      <c r="A5051" s="31" t="s">
        <v>11977</v>
      </c>
      <c r="B5051" s="27" t="s">
        <v>11978</v>
      </c>
      <c r="C5051" s="27"/>
      <c r="D5051" s="33" t="s">
        <v>14</v>
      </c>
      <c r="E5051" s="34">
        <v>2</v>
      </c>
      <c r="F5051" s="34">
        <v>150</v>
      </c>
      <c r="G5051" s="10">
        <v>2332950</v>
      </c>
      <c r="H5051" s="30" t="str">
        <f ca="1">IFERROR(__xludf.DUMMYFUNCTION("LOWER(REGEXREPLACE(B5051&amp;"" ""&amp;C5051,""[^а-яa-z0-9 ]"","" ""))")," итрина для холодных закусок      1 00  размеры 1500х700х1800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направляющие"&amp;" для подносов входят в комплект ")</f>
        <v xml:space="preserve"> итрина для холодных закусок      1 00  размеры 1500х700х1800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 для подносов входят в комплект </v>
      </c>
    </row>
    <row r="5052" spans="1:8" ht="89.25" x14ac:dyDescent="0.2">
      <c r="A5052" s="31" t="s">
        <v>11979</v>
      </c>
      <c r="B5052" s="27" t="s">
        <v>11980</v>
      </c>
      <c r="C5052" s="27"/>
      <c r="D5052" s="33" t="s">
        <v>14</v>
      </c>
      <c r="E5052" s="34">
        <v>2</v>
      </c>
      <c r="F5052" s="34">
        <v>120</v>
      </c>
      <c r="G5052" s="10">
        <v>1926251</v>
      </c>
      <c r="H5052" s="30" t="str">
        <f ca="1">IFERROR(__xludf.DUMMYFUNCTION("LOWER(REGEXREPLACE(B5052&amp;"" ""&amp;C5052,""[^а-яa-z0-9 ]"","" ""))")," итрина для холодных закусок      1 01  размеры 1120х700х1720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направляющи"&amp;"е для подносов ввходят в комплект ")</f>
        <v xml:space="preserve"> итрина для холодных закусок      1 01  размеры 1120х700х1720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 для подносов ввходят в комплект </v>
      </c>
    </row>
    <row r="5053" spans="1:8" ht="89.25" x14ac:dyDescent="0.2">
      <c r="A5053" s="31" t="s">
        <v>11981</v>
      </c>
      <c r="B5053" s="8" t="s">
        <v>11982</v>
      </c>
      <c r="C5053" s="27"/>
      <c r="D5053" s="33" t="s">
        <v>14</v>
      </c>
      <c r="E5053" s="34">
        <v>2</v>
      </c>
      <c r="F5053" s="34">
        <v>80</v>
      </c>
      <c r="G5053" s="10">
        <v>1084826</v>
      </c>
      <c r="H5053" s="30" t="str">
        <f ca="1">IFERROR(__xludf.DUMMYFUNCTION("LOWER(REGEXREPLACE(B5053&amp;"" ""&amp;C5053,""[^а-яa-z0-9 ]"","" ""))")," рилавок холодильный низкотемпературный      1 00  размеры 1500х700х1230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"&amp;"комплект ")</f>
        <v xml:space="preserve"> рилавок холодильный низкотемпературный      1 00  размеры 1500х700х1230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комплект </v>
      </c>
    </row>
    <row r="5054" spans="1:8" ht="89.25" x14ac:dyDescent="0.2">
      <c r="A5054" s="31" t="s">
        <v>11983</v>
      </c>
      <c r="B5054" s="8" t="s">
        <v>11984</v>
      </c>
      <c r="C5054" s="27"/>
      <c r="D5054" s="33" t="s">
        <v>14</v>
      </c>
      <c r="E5054" s="34">
        <v>2</v>
      </c>
      <c r="F5054" s="34">
        <v>70</v>
      </c>
      <c r="G5054" s="10">
        <v>896658</v>
      </c>
      <c r="H5054" s="30" t="str">
        <f ca="1">IFERROR(__xludf.DUMMYFUNCTION("LOWER(REGEXREPLACE(B5054&amp;"" ""&amp;C5054,""[^а-яa-z0-9 ]"","" ""))")," рилавок холодильный низкотемпературный      1 01  размеры 1120х700х1220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"&amp;"комплект ")</f>
        <v xml:space="preserve"> рилавок холодильный низкотемпературный      1 01  размеры 1120х700х1220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комплект </v>
      </c>
    </row>
    <row r="5055" spans="1:8" ht="25.5" x14ac:dyDescent="0.2">
      <c r="A5055" s="31" t="s">
        <v>11985</v>
      </c>
      <c r="B5055" s="27" t="s">
        <v>11986</v>
      </c>
      <c r="C5055" s="27"/>
      <c r="D5055" s="33" t="s">
        <v>14</v>
      </c>
      <c r="E5055" s="9"/>
      <c r="F5055" s="34">
        <v>80</v>
      </c>
      <c r="G5055" s="10">
        <v>502500</v>
      </c>
      <c r="H5055" s="30" t="str">
        <f ca="1">IFERROR(__xludf.DUMMYFUNCTION("LOWER(REGEXREPLACE(B5055&amp;"" ""&amp;C5055,""[^а-яa-z0-9 ]"","" ""))")," рилавок для горячих напитков     70   03  1500х705 1030х870  ")</f>
        <v xml:space="preserve"> рилавок для горячих напитков     70   03  1500х705 1030х870  </v>
      </c>
    </row>
    <row r="5056" spans="1:8" ht="25.5" x14ac:dyDescent="0.2">
      <c r="A5056" s="31" t="s">
        <v>11987</v>
      </c>
      <c r="B5056" s="27" t="s">
        <v>11988</v>
      </c>
      <c r="C5056" s="27"/>
      <c r="D5056" s="33" t="s">
        <v>14</v>
      </c>
      <c r="E5056" s="9"/>
      <c r="F5056" s="34">
        <v>75</v>
      </c>
      <c r="G5056" s="10">
        <v>331407</v>
      </c>
      <c r="H5056" s="30" t="str">
        <f ca="1">IFERROR(__xludf.DUMMYFUNCTION("LOWER(REGEXREPLACE(B5056&amp;"" ""&amp;C5056,""[^а-яa-z0-9 ]"","" ""))")," рилавок для горячих напитков     70    1120х705 1030х1485  ")</f>
        <v xml:space="preserve"> рилавок для горячих напитков     70    1120х705 1030х1485  </v>
      </c>
    </row>
    <row r="5057" spans="1:8" ht="25.5" x14ac:dyDescent="0.2">
      <c r="A5057" s="31" t="s">
        <v>11989</v>
      </c>
      <c r="B5057" s="27" t="s">
        <v>11990</v>
      </c>
      <c r="C5057" s="27"/>
      <c r="D5057" s="33" t="s">
        <v>14</v>
      </c>
      <c r="E5057" s="9"/>
      <c r="F5057" s="34">
        <v>102</v>
      </c>
      <c r="G5057" s="10">
        <v>775821</v>
      </c>
      <c r="H5057" s="30" t="str">
        <f ca="1">IFERROR(__xludf.DUMMYFUNCTION("LOWER(REGEXREPLACE(B5057&amp;"" ""&amp;C5057,""[^а-яa-z0-9 ]"","" ""))")," рилавок тепловой     70   02  1500х705 1030х869  ")</f>
        <v xml:space="preserve"> рилавок тепловой     70   02  1500х705 1030х869  </v>
      </c>
    </row>
    <row r="5058" spans="1:8" ht="25.5" x14ac:dyDescent="0.2">
      <c r="A5058" s="31" t="s">
        <v>11991</v>
      </c>
      <c r="B5058" s="27" t="s">
        <v>11992</v>
      </c>
      <c r="C5058" s="27"/>
      <c r="D5058" s="33" t="s">
        <v>14</v>
      </c>
      <c r="E5058" s="9"/>
      <c r="F5058" s="34">
        <v>34</v>
      </c>
      <c r="G5058" s="10">
        <v>282967</v>
      </c>
      <c r="H5058" s="30" t="str">
        <f ca="1">IFERROR(__xludf.DUMMYFUNCTION("LOWER(REGEXREPLACE(B5058&amp;"" ""&amp;C5058,""[^а-яa-z0-9 ]"","" ""))")," рилавок для столовых приборов      70    630х675х1340  ")</f>
        <v xml:space="preserve"> рилавок для столовых приборов      70    630х675х1340  </v>
      </c>
    </row>
    <row r="5059" spans="1:8" ht="12.75" x14ac:dyDescent="0.2">
      <c r="A5059" s="31" t="s">
        <v>11993</v>
      </c>
      <c r="B5059" s="27" t="s">
        <v>11994</v>
      </c>
      <c r="C5059" s="27"/>
      <c r="D5059" s="33" t="s">
        <v>14</v>
      </c>
      <c r="E5059" s="9"/>
      <c r="F5059" s="32"/>
      <c r="G5059" s="10"/>
      <c r="H5059" s="30" t="str">
        <f ca="1">IFERROR(__xludf.DUMMYFUNCTION("LOWER(REGEXREPLACE(B5059&amp;"" ""&amp;C5059,""[^а-яa-z0-9 ]"","" ""))")," рилавок для столовых приборов ")</f>
        <v xml:space="preserve"> рилавок для столовых приборов </v>
      </c>
    </row>
    <row r="5060" spans="1:8" ht="38.25" x14ac:dyDescent="0.2">
      <c r="A5060" s="31" t="s">
        <v>11995</v>
      </c>
      <c r="B5060" s="27" t="s">
        <v>11994</v>
      </c>
      <c r="C5060" s="27" t="s">
        <v>11996</v>
      </c>
      <c r="D5060" s="33" t="s">
        <v>14</v>
      </c>
      <c r="E5060" s="9"/>
      <c r="F5060" s="34">
        <v>40</v>
      </c>
      <c r="G5060" s="10">
        <v>270834</v>
      </c>
      <c r="H5060" s="30" t="str">
        <f ca="1">IFERROR(__xludf.DUMMYFUNCTION("LOWER(REGEXREPLACE(B5060&amp;"" ""&amp;C5060,""[^а-яa-z0-9 ]"","" ""))")," рилавок для столовых приборов  рилавок для столовых приборов и подносов  4 стакана для столовых приборов   егулируемые по высоте ножки   онструкция выполнена из нержавеющей стали   азмеры не менее 630х675х1242мм")</f>
        <v xml:space="preserve"> рилавок для столовых приборов  рилавок для столовых приборов и подносов  4 стакана для столовых приборов   егулируемые по высоте ножки   онструкция выполнена из нержавеющей стали   азмеры не менее 630х675х1242мм</v>
      </c>
    </row>
    <row r="5061" spans="1:8" ht="38.25" x14ac:dyDescent="0.2">
      <c r="A5061" s="31" t="s">
        <v>11997</v>
      </c>
      <c r="B5061" s="27" t="s">
        <v>11998</v>
      </c>
      <c r="C5061" s="27"/>
      <c r="D5061" s="33" t="s">
        <v>14</v>
      </c>
      <c r="E5061" s="9"/>
      <c r="F5061" s="34">
        <v>40</v>
      </c>
      <c r="G5061" s="10">
        <v>386449</v>
      </c>
      <c r="H5061" s="30" t="str">
        <f ca="1">IFERROR(__xludf.DUMMYFUNCTION("LOWER(REGEXREPLACE(B5061&amp;"" ""&amp;C5061,""[^а-яa-z0-9 ]"","" ""))")," рилавок для столовых приборов из нержавеющей стали 700х770х1220 с подсветкой       70   ")</f>
        <v xml:space="preserve"> рилавок для столовых приборов из нержавеющей стали 700х770х1220 с подсветкой       70   </v>
      </c>
    </row>
    <row r="5062" spans="1:8" ht="51" x14ac:dyDescent="0.2">
      <c r="A5062" s="31" t="s">
        <v>11999</v>
      </c>
      <c r="B5062" s="8" t="s">
        <v>12000</v>
      </c>
      <c r="C5062" s="27"/>
      <c r="D5062" s="33" t="s">
        <v>14</v>
      </c>
      <c r="E5062" s="34">
        <v>2</v>
      </c>
      <c r="F5062" s="36">
        <v>32.06</v>
      </c>
      <c r="G5062" s="10">
        <v>152520</v>
      </c>
      <c r="H5062" s="30" t="str">
        <f ca="1">IFERROR(__xludf.DUMMYFUNCTION("LOWER(REGEXREPLACE(B5062&amp;"" ""&amp;C5062,""[^а-яa-z0-9 ]"","" ""))")," рилавок для столовых приборов       70 70   ержавеющая сталь    3 ячейками для ножей  ложек и вилок   азмер  700x700x1250мм ")</f>
        <v xml:space="preserve"> рилавок для столовых приборов       70 70   ержавеющая сталь    3 ячейками для ножей  ложек и вилок   азмер  700x700x1250мм </v>
      </c>
    </row>
    <row r="5063" spans="1:8" ht="76.5" x14ac:dyDescent="0.2">
      <c r="A5063" s="31" t="s">
        <v>12001</v>
      </c>
      <c r="B5063" s="8" t="s">
        <v>12002</v>
      </c>
      <c r="C5063" s="27"/>
      <c r="D5063" s="33" t="s">
        <v>14</v>
      </c>
      <c r="E5063" s="34">
        <v>2</v>
      </c>
      <c r="F5063" s="34">
        <v>21</v>
      </c>
      <c r="G5063" s="10">
        <v>385747</v>
      </c>
      <c r="H5063" s="30" t="str">
        <f ca="1">IFERROR(__xludf.DUMMYFUNCTION("LOWER(REGEXREPLACE(B5063&amp;"" ""&amp;C5063,""[^а-яa-z0-9 ]"","" ""))")," рилавок для столовых приборов      1 00  размеры 700х700х1225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f>
        <v xml:space="preserve"> рилавок для столовых приборов      1 00  размеры 700х700х1225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v>
      </c>
    </row>
    <row r="5064" spans="1:8" ht="76.5" x14ac:dyDescent="0.2">
      <c r="A5064" s="31" t="s">
        <v>12003</v>
      </c>
      <c r="B5064" s="8" t="s">
        <v>12004</v>
      </c>
      <c r="C5064" s="27"/>
      <c r="D5064" s="33" t="s">
        <v>14</v>
      </c>
      <c r="E5064" s="34">
        <v>2</v>
      </c>
      <c r="F5064" s="34">
        <v>23</v>
      </c>
      <c r="G5064" s="10">
        <v>408441</v>
      </c>
      <c r="H5064" s="30" t="str">
        <f ca="1">IFERROR(__xludf.DUMMYFUNCTION("LOWER(REGEXREPLACE(B5064&amp;"" ""&amp;C5064,""[^а-яa-z0-9 ]"","" ""))")," рилавок для столовых приборов      1 01  размеры 700х770х1225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f>
        <v xml:space="preserve"> рилавок для столовых приборов      1 01  размеры 700х770х1225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v>
      </c>
    </row>
    <row r="5065" spans="1:8" ht="76.5" x14ac:dyDescent="0.2">
      <c r="A5065" s="31" t="s">
        <v>12005</v>
      </c>
      <c r="B5065" s="8" t="s">
        <v>12006</v>
      </c>
      <c r="C5065" s="27"/>
      <c r="D5065" s="33" t="s">
        <v>14</v>
      </c>
      <c r="E5065" s="34">
        <v>2</v>
      </c>
      <c r="F5065" s="34">
        <v>20</v>
      </c>
      <c r="G5065" s="10">
        <v>389904</v>
      </c>
      <c r="H5065" s="30" t="str">
        <f ca="1">IFERROR(__xludf.DUMMYFUNCTION("LOWER(REGEXREPLACE(B5065&amp;"" ""&amp;C5065,""[^а-яa-z0-9 ]"","" ""))")," рилавок для столовых приборов      1 02  размеры 630х674х1242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f>
        <v xml:space="preserve"> рилавок для столовых приборов      1 02  размеры 630х674х1242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v>
      </c>
    </row>
    <row r="5066" spans="1:8" ht="38.25" x14ac:dyDescent="0.2">
      <c r="A5066" s="31" t="s">
        <v>12007</v>
      </c>
      <c r="B5066" s="8" t="s">
        <v>12008</v>
      </c>
      <c r="C5066" s="27"/>
      <c r="D5066" s="33" t="s">
        <v>14</v>
      </c>
      <c r="E5066" s="9"/>
      <c r="F5066" s="34">
        <v>90</v>
      </c>
      <c r="G5066" s="10">
        <v>486837</v>
      </c>
      <c r="H5066" s="30" t="str">
        <f ca="1">IFERROR(__xludf.DUMMYFUNCTION("LOWER(REGEXREPLACE(B5066&amp;"" ""&amp;C5066,""[^а-яa-z0-9 ]"","" ""))")," рилавок для горячих напитков     70   01 нейтральный стол  две полки  1500х705 1030х1485 мм  ")</f>
        <v xml:space="preserve"> рилавок для горячих напитков     70   01 нейтральный стол  две полки  1500х705 1030х1485 мм  </v>
      </c>
    </row>
    <row r="5067" spans="1:8" ht="12.75" x14ac:dyDescent="0.2">
      <c r="A5067" s="31" t="s">
        <v>12009</v>
      </c>
      <c r="B5067" s="27" t="s">
        <v>12010</v>
      </c>
      <c r="C5067" s="27"/>
      <c r="D5067" s="33" t="s">
        <v>14</v>
      </c>
      <c r="E5067" s="9"/>
      <c r="F5067" s="32"/>
      <c r="G5067" s="10"/>
      <c r="H5067" s="30" t="str">
        <f ca="1">IFERROR(__xludf.DUMMYFUNCTION("LOWER(REGEXREPLACE(B5067&amp;"" ""&amp;C5067,""[^а-яa-z0-9 ]"","" ""))")," рилавок для горячих напитков ")</f>
        <v xml:space="preserve"> рилавок для горячих напитков </v>
      </c>
    </row>
    <row r="5068" spans="1:8" ht="25.5" x14ac:dyDescent="0.2">
      <c r="A5068" s="31" t="s">
        <v>12011</v>
      </c>
      <c r="B5068" s="27" t="s">
        <v>12012</v>
      </c>
      <c r="C5068" s="27"/>
      <c r="D5068" s="33" t="s">
        <v>14</v>
      </c>
      <c r="E5068" s="9"/>
      <c r="F5068" s="34">
        <v>66</v>
      </c>
      <c r="G5068" s="10">
        <v>348518</v>
      </c>
      <c r="H5068" s="30" t="str">
        <f ca="1">IFERROR(__xludf.DUMMYFUNCTION("LOWER(REGEXREPLACE(B5068&amp;"" ""&amp;C5068,""[^а-яa-z0-9 ]"","" ""))")," рилавок для горячих напитков     70   02  1120х705 1030х870  ")</f>
        <v xml:space="preserve"> рилавок для горячих напитков     70   02  1120х705 1030х870  </v>
      </c>
    </row>
    <row r="5069" spans="1:8" ht="38.25" x14ac:dyDescent="0.2">
      <c r="A5069" s="31" t="s">
        <v>12013</v>
      </c>
      <c r="B5069" s="27" t="s">
        <v>12014</v>
      </c>
      <c r="C5069" s="27"/>
      <c r="D5069" s="33" t="s">
        <v>14</v>
      </c>
      <c r="E5069" s="9"/>
      <c r="F5069" s="34">
        <v>80</v>
      </c>
      <c r="G5069" s="10">
        <v>724906</v>
      </c>
      <c r="H5069" s="30" t="str">
        <f ca="1">IFERROR(__xludf.DUMMYFUNCTION("LOWER(REGEXREPLACE(B5069&amp;"" ""&amp;C5069,""[^а-яa-z0-9 ]"","" ""))")," рилавок для горячих напитков 1500х700 1000 х850  с подсветкой   ощность 2 5 к т      70   03 ")</f>
        <v xml:space="preserve"> рилавок для горячих напитков 1500х700 1000 х850  с подсветкой   ощность 2 5 к т      70   03 </v>
      </c>
    </row>
    <row r="5070" spans="1:8" ht="12.75" x14ac:dyDescent="0.2">
      <c r="A5070" s="31" t="s">
        <v>12015</v>
      </c>
      <c r="B5070" s="27" t="s">
        <v>12016</v>
      </c>
      <c r="C5070" s="27"/>
      <c r="D5070" s="33" t="s">
        <v>14</v>
      </c>
      <c r="E5070" s="9"/>
      <c r="F5070" s="34">
        <v>70</v>
      </c>
      <c r="G5070" s="10">
        <v>481040</v>
      </c>
      <c r="H5070" s="30" t="str">
        <f ca="1">IFERROR(__xludf.DUMMYFUNCTION("LOWER(REGEXREPLACE(B5070&amp;"" ""&amp;C5070,""[^а-яa-z0-9 ]"","" ""))")," рилавок     70   80  630х705 1030х920  ")</f>
        <v xml:space="preserve"> рилавок     70   80  630х705 1030х920  </v>
      </c>
    </row>
    <row r="5071" spans="1:8" ht="12.75" x14ac:dyDescent="0.2">
      <c r="A5071" s="31" t="s">
        <v>12017</v>
      </c>
      <c r="B5071" s="27" t="s">
        <v>12018</v>
      </c>
      <c r="C5071" s="27"/>
      <c r="D5071" s="33" t="s">
        <v>14</v>
      </c>
      <c r="E5071" s="9"/>
      <c r="F5071" s="34">
        <v>55</v>
      </c>
      <c r="G5071" s="10">
        <v>369287</v>
      </c>
      <c r="H5071" s="30" t="str">
        <f ca="1">IFERROR(__xludf.DUMMYFUNCTION("LOWER(REGEXREPLACE(B5071&amp;"" ""&amp;C5071,""[^а-яa-z0-9 ]"","" ""))")," ассовая кабина    70    1120х705 1030х870  ")</f>
        <v xml:space="preserve"> ассовая кабина    70    1120х705 1030х870  </v>
      </c>
    </row>
    <row r="5072" spans="1:8" ht="25.5" x14ac:dyDescent="0.2">
      <c r="A5072" s="31" t="s">
        <v>12019</v>
      </c>
      <c r="B5072" s="27" t="s">
        <v>12020</v>
      </c>
      <c r="C5072" s="27"/>
      <c r="D5072" s="33" t="s">
        <v>14</v>
      </c>
      <c r="E5072" s="9"/>
      <c r="F5072" s="34">
        <v>38</v>
      </c>
      <c r="G5072" s="10">
        <v>260357</v>
      </c>
      <c r="H5072" s="30" t="str">
        <f ca="1">IFERROR(__xludf.DUMMYFUNCTION("LOWER(REGEXREPLACE(B5072&amp;"" ""&amp;C5072,""[^а-яa-z0-9 ]"","" ""))")," одуль нейтральный    70    630х705 1030х870  ")</f>
        <v xml:space="preserve"> одуль нейтральный    70    630х705 1030х870  </v>
      </c>
    </row>
    <row r="5073" spans="1:8" ht="25.5" x14ac:dyDescent="0.2">
      <c r="A5073" s="31" t="s">
        <v>12021</v>
      </c>
      <c r="B5073" s="27" t="s">
        <v>12022</v>
      </c>
      <c r="C5073" s="27"/>
      <c r="D5073" s="33" t="s">
        <v>14</v>
      </c>
      <c r="E5073" s="9"/>
      <c r="F5073" s="34">
        <v>39</v>
      </c>
      <c r="G5073" s="10">
        <v>323214</v>
      </c>
      <c r="H5073" s="30" t="str">
        <f ca="1">IFERROR(__xludf.DUMMYFUNCTION("LOWER(REGEXREPLACE(B5073&amp;"" ""&amp;C5073,""[^а-яa-z0-9 ]"","" ""))")," одуль поворотный    90    внешн  90 градус   997 1440х705 1030х870  ")</f>
        <v xml:space="preserve"> одуль поворотный    90    внешн  90 градус   997 1440х705 1030х870  </v>
      </c>
    </row>
    <row r="5074" spans="1:8" ht="25.5" x14ac:dyDescent="0.2">
      <c r="A5074" s="31" t="s">
        <v>12023</v>
      </c>
      <c r="B5074" s="27" t="s">
        <v>12024</v>
      </c>
      <c r="C5074" s="27"/>
      <c r="D5074" s="33" t="s">
        <v>14</v>
      </c>
      <c r="E5074" s="9"/>
      <c r="F5074" s="34">
        <v>51</v>
      </c>
      <c r="G5074" s="10">
        <v>349286</v>
      </c>
      <c r="H5074" s="30" t="str">
        <f ca="1">IFERROR(__xludf.DUMMYFUNCTION("LOWER(REGEXREPLACE(B5074&amp;"" ""&amp;C5074,""[^а-яa-z0-9 ]"","" ""))")," одуль поворотный    90   01  внутрен  90 градус  без направляющей  1430х705х870  ")</f>
        <v xml:space="preserve"> одуль поворотный    90   01  внутрен  90 градус  без направляющей  1430х705х870  </v>
      </c>
    </row>
    <row r="5075" spans="1:8" ht="25.5" x14ac:dyDescent="0.2">
      <c r="A5075" s="31" t="s">
        <v>12025</v>
      </c>
      <c r="B5075" s="27" t="s">
        <v>12026</v>
      </c>
      <c r="C5075" s="27"/>
      <c r="D5075" s="33" t="s">
        <v>14</v>
      </c>
      <c r="E5075" s="9"/>
      <c r="F5075" s="34">
        <v>30</v>
      </c>
      <c r="G5075" s="10">
        <v>286071</v>
      </c>
      <c r="H5075" s="30" t="str">
        <f ca="1">IFERROR(__xludf.DUMMYFUNCTION("LOWER(REGEXREPLACE(B5075&amp;"" ""&amp;C5075,""[^а-яa-z0-9 ]"","" ""))")," одуль поворотный    45    внешн  45 градус   566 813х705 1030х870  ")</f>
        <v xml:space="preserve"> одуль поворотный    45    внешн  45 градус   566 813х705 1030х870  </v>
      </c>
    </row>
    <row r="5076" spans="1:8" ht="25.5" x14ac:dyDescent="0.2">
      <c r="A5076" s="31" t="s">
        <v>12027</v>
      </c>
      <c r="B5076" s="27" t="s">
        <v>12028</v>
      </c>
      <c r="C5076" s="27"/>
      <c r="D5076" s="33" t="s">
        <v>14</v>
      </c>
      <c r="E5076" s="9"/>
      <c r="F5076" s="34">
        <v>31</v>
      </c>
      <c r="G5076" s="10">
        <v>266786</v>
      </c>
      <c r="H5076" s="30" t="str">
        <f ca="1">IFERROR(__xludf.DUMMYFUNCTION("LOWER(REGEXREPLACE(B5076&amp;"" ""&amp;C5076,""[^а-яa-z0-9 ]"","" ""))")," одуль поворотный    45   01  внутрен  45 градус  без направляющей  784х705х870  ")</f>
        <v xml:space="preserve"> одуль поворотный    45   01  внутрен  45 градус  без направляющей  784х705х870  </v>
      </c>
    </row>
    <row r="5077" spans="1:8" ht="12.75" x14ac:dyDescent="0.2">
      <c r="A5077" s="31" t="s">
        <v>12029</v>
      </c>
      <c r="B5077" s="27" t="s">
        <v>12030</v>
      </c>
      <c r="C5077" s="27"/>
      <c r="D5077" s="33" t="s">
        <v>14</v>
      </c>
      <c r="E5077" s="9"/>
      <c r="F5077" s="32"/>
      <c r="G5077" s="10"/>
      <c r="H5077" s="30" t="str">
        <f ca="1">IFERROR(__xludf.DUMMYFUNCTION("LOWER(REGEXREPLACE(B5077&amp;"" ""&amp;C5077,""[^а-яa-z0-9 ]"","" ""))")," рилавок для подогрева первых блюд ")</f>
        <v xml:space="preserve"> рилавок для подогрева первых блюд </v>
      </c>
    </row>
    <row r="5078" spans="1:8" ht="76.5" x14ac:dyDescent="0.2">
      <c r="A5078" s="31" t="s">
        <v>12031</v>
      </c>
      <c r="B5078" s="8" t="s">
        <v>12032</v>
      </c>
      <c r="C5078" s="27"/>
      <c r="D5078" s="33" t="s">
        <v>14</v>
      </c>
      <c r="E5078" s="34">
        <v>2</v>
      </c>
      <c r="F5078" s="36">
        <v>55.31</v>
      </c>
      <c r="G5078" s="10">
        <v>202621</v>
      </c>
      <c r="H5078" s="30" t="str">
        <f ca="1">IFERROR(__xludf.DUMMYFUNCTION("LOWER(REGEXREPLACE(B5078&amp;"" ""&amp;C5078,""[^а-яa-z0-9 ]"","" ""))")," иния сервиса первых блюд       100 70   ержавеющая сталь  3 резервуара  термостатический контроль  шкаф без дверей  с ползунком для подноса и стеклянная полка обслуживания  220   50 ц  3 5 к т   азмер  1000x700x850 1300мм ")</f>
        <v xml:space="preserve"> иния сервиса первых блюд       100 70   ержавеющая сталь  3 резервуара  термостатический контроль  шкаф без дверей  с ползунком для подноса и стеклянная полка обслуживания  220   50 ц  3 5 к т   азмер  1000x700x850 1300мм </v>
      </c>
    </row>
    <row r="5079" spans="1:8" ht="102" x14ac:dyDescent="0.2">
      <c r="A5079" s="31" t="s">
        <v>12033</v>
      </c>
      <c r="B5079" s="27" t="s">
        <v>12034</v>
      </c>
      <c r="C5079" s="27"/>
      <c r="D5079" s="33" t="s">
        <v>14</v>
      </c>
      <c r="E5079" s="34">
        <v>2</v>
      </c>
      <c r="F5079" s="34">
        <v>50</v>
      </c>
      <c r="G5079" s="10">
        <v>1087403</v>
      </c>
      <c r="H5079" s="30" t="str">
        <f ca="1">IFERROR(__xludf.DUMMYFUNCTION("LOWER(REGEXREPLACE(B5079&amp;"" ""&amp;C5079,""[^а-яa-z0-9 ]"","" ""))")," армит для первых блюд      1 00 с направляющей для подносов  размеры 1100х700х1510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"&amp;"регулируемые ")</f>
        <v xml:space="preserve"> армит для первых блюд      1 00 с направляющей для подносов  размеры 1100х700х1510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регулируемые </v>
      </c>
    </row>
    <row r="5080" spans="1:8" ht="102" x14ac:dyDescent="0.2">
      <c r="A5080" s="31" t="s">
        <v>12035</v>
      </c>
      <c r="B5080" s="27" t="s">
        <v>12036</v>
      </c>
      <c r="C5080" s="27"/>
      <c r="D5080" s="33" t="s">
        <v>14</v>
      </c>
      <c r="E5080" s="34">
        <v>2</v>
      </c>
      <c r="F5080" s="34">
        <v>45</v>
      </c>
      <c r="G5080" s="10">
        <v>1016271</v>
      </c>
      <c r="H5080" s="30" t="str">
        <f ca="1">IFERROR(__xludf.DUMMYFUNCTION("LOWER(REGEXREPLACE(B5080&amp;"" ""&amp;C5080,""[^а-яa-z0-9 ]"","" ""))")," армит для первых блюд      1 1 00 с направляющей для подносов  размеры 1100х700х1230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ожк"&amp;"и регулируемые ")</f>
        <v xml:space="preserve"> армит для первых блюд      1 1 00 с направляющей для подносов  размеры 1100х700х1230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регулируемые </v>
      </c>
    </row>
    <row r="5081" spans="1:8" ht="102" x14ac:dyDescent="0.2">
      <c r="A5081" s="31" t="s">
        <v>12037</v>
      </c>
      <c r="B5081" s="27" t="s">
        <v>12038</v>
      </c>
      <c r="C5081" s="27"/>
      <c r="D5081" s="33" t="s">
        <v>14</v>
      </c>
      <c r="E5081" s="34">
        <v>2</v>
      </c>
      <c r="F5081" s="34">
        <v>70</v>
      </c>
      <c r="G5081" s="10">
        <v>1015067</v>
      </c>
      <c r="H5081" s="30" t="str">
        <f ca="1">IFERROR(__xludf.DUMMYFUNCTION("LOWER(REGEXREPLACE(B5081&amp;"" ""&amp;C5081,""[^а-яa-z0-9 ]"","" ""))")," армит для первых блюд      2 00 с направляющей для подносов  размеры 1500х700х1230 мм  конструкция из нержавеющей стали   снащен 3 мя конфорками с регулировкой мощности ступенчатым переключателем  полка над мармитом для выкладки блюд с подсветкой   ожки "&amp;"регулируемые ")</f>
        <v xml:space="preserve"> армит для первых блюд      2 00 с направляющей для подносов  размеры 1500х700х1230 мм  конструкция из нержавеющей стали   снащен 3 мя конфорками с регулировкой мощности ступенчатым переключателем  полка над мармитом для выкладки блюд с подсветкой   ожки регулируемые </v>
      </c>
    </row>
    <row r="5082" spans="1:8" ht="12.75" x14ac:dyDescent="0.2">
      <c r="A5082" s="31" t="s">
        <v>12039</v>
      </c>
      <c r="B5082" s="27" t="s">
        <v>12040</v>
      </c>
      <c r="C5082" s="27"/>
      <c r="D5082" s="33" t="s">
        <v>14</v>
      </c>
      <c r="E5082" s="9"/>
      <c r="F5082" s="32"/>
      <c r="G5082" s="10"/>
      <c r="H5082" s="30" t="str">
        <f ca="1">IFERROR(__xludf.DUMMYFUNCTION("LOWER(REGEXREPLACE(B5082&amp;"" ""&amp;C5082,""[^а-яa-z0-9 ]"","" ""))")," рилавок для подогрева вторых блюд ")</f>
        <v xml:space="preserve"> рилавок для подогрева вторых блюд </v>
      </c>
    </row>
    <row r="5083" spans="1:8" ht="51" x14ac:dyDescent="0.2">
      <c r="A5083" s="31" t="s">
        <v>12041</v>
      </c>
      <c r="B5083" s="8" t="s">
        <v>12042</v>
      </c>
      <c r="C5083" s="27"/>
      <c r="D5083" s="33" t="s">
        <v>14</v>
      </c>
      <c r="E5083" s="34">
        <v>2</v>
      </c>
      <c r="F5083" s="36">
        <v>56.21</v>
      </c>
      <c r="G5083" s="10">
        <v>200259</v>
      </c>
      <c r="H5083" s="30" t="str">
        <f ca="1">IFERROR(__xludf.DUMMYFUNCTION("LOWER(REGEXREPLACE(B5083&amp;"" ""&amp;C5083,""[^а-яa-z0-9 ]"","" ""))")," иния горячего сервиса           1 1 3 120   ержавеющая сталь   бъем  3   1 1 150  термостатический контроль  220   50 ц  2 5к т   азмер  1200x700x850 1300мм ")</f>
        <v xml:space="preserve"> иния горячего сервиса           1 1 3 120   ержавеющая сталь   бъем  3   1 1 150  термостатический контроль  220   50 ц  2 5к т   азмер  1200x700x850 1300мм </v>
      </c>
    </row>
    <row r="5084" spans="1:8" ht="51" x14ac:dyDescent="0.2">
      <c r="A5084" s="31" t="s">
        <v>12043</v>
      </c>
      <c r="B5084" s="8" t="s">
        <v>12044</v>
      </c>
      <c r="C5084" s="27"/>
      <c r="D5084" s="33" t="s">
        <v>14</v>
      </c>
      <c r="E5084" s="34">
        <v>2</v>
      </c>
      <c r="F5084" s="36">
        <v>66.290000000000006</v>
      </c>
      <c r="G5084" s="10">
        <v>224628</v>
      </c>
      <c r="H5084" s="30" t="str">
        <f ca="1">IFERROR(__xludf.DUMMYFUNCTION("LOWER(REGEXREPLACE(B5084&amp;"" ""&amp;C5084,""[^а-яa-z0-9 ]"","" ""))")," иния горячего сервиса           1 1 4 150   ержавеющая сталь   бъем  3   1 1 150  термостатический контроль  220   50 ц  2 5к т   азмер  1500x700x850 1300мм ")</f>
        <v xml:space="preserve"> иния горячего сервиса           1 1 4 150   ержавеющая сталь   бъем  3   1 1 150  термостатический контроль  220   50 ц  2 5к т   азмер  1500x700x850 1300мм </v>
      </c>
    </row>
    <row r="5085" spans="1:8" ht="51" x14ac:dyDescent="0.2">
      <c r="A5085" s="31" t="s">
        <v>12045</v>
      </c>
      <c r="B5085" s="8" t="s">
        <v>12046</v>
      </c>
      <c r="C5085" s="27"/>
      <c r="D5085" s="33" t="s">
        <v>14</v>
      </c>
      <c r="E5085" s="34">
        <v>2</v>
      </c>
      <c r="F5085" s="36">
        <v>77.650000000000006</v>
      </c>
      <c r="G5085" s="10">
        <v>248663</v>
      </c>
      <c r="H5085" s="30" t="str">
        <f ca="1">IFERROR(__xludf.DUMMYFUNCTION("LOWER(REGEXREPLACE(B5085&amp;"" ""&amp;C5085,""[^а-яa-z0-9 ]"","" ""))")," иния горячего сервиса           1 1 5 180   ержавеющая сталь   бъем  3   1 1 150  термостатический контроль  220   50 ц  2 5к т   азмер  1800x700x850 1300мм ")</f>
        <v xml:space="preserve"> иния горячего сервиса           1 1 5 180   ержавеющая сталь   бъем  3   1 1 150  термостатический контроль  220   50 ц  2 5к т   азмер  1800x700x850 1300мм </v>
      </c>
    </row>
    <row r="5086" spans="1:8" ht="51" x14ac:dyDescent="0.2">
      <c r="A5086" s="31" t="s">
        <v>12047</v>
      </c>
      <c r="B5086" s="27" t="s">
        <v>12048</v>
      </c>
      <c r="C5086" s="27"/>
      <c r="D5086" s="33" t="s">
        <v>14</v>
      </c>
      <c r="E5086" s="34">
        <v>2</v>
      </c>
      <c r="F5086" s="34">
        <v>105</v>
      </c>
      <c r="G5086" s="10">
        <v>517017</v>
      </c>
      <c r="H5086" s="30" t="str">
        <f ca="1">IFERROR(__xludf.DUMMYFUNCTION("LOWER(REGEXREPLACE(B5086&amp;"" ""&amp;C5086,""[^а-яa-z0-9 ]"","" ""))")," армит 2 х блюд      70   60  нержавеющая сталь  размеры 1120x705 1030 x1484мм  напряжение 220   мощность 1 22к т  две полки  подсветка  с гастроемкостями ")</f>
        <v xml:space="preserve"> армит 2 х блюд      70   60  нержавеющая сталь  размеры 1120x705 1030 x1484мм  напряжение 220   мощность 1 22к т  две полки  подсветка  с гастроемкостями </v>
      </c>
    </row>
    <row r="5087" spans="1:8" ht="102" x14ac:dyDescent="0.2">
      <c r="A5087" s="31" t="s">
        <v>12049</v>
      </c>
      <c r="B5087" s="8" t="s">
        <v>12050</v>
      </c>
      <c r="C5087" s="27"/>
      <c r="D5087" s="33" t="s">
        <v>14</v>
      </c>
      <c r="E5087" s="34">
        <v>2</v>
      </c>
      <c r="F5087" s="34">
        <v>70</v>
      </c>
      <c r="G5087" s="10">
        <v>1257420</v>
      </c>
      <c r="H5087" s="30" t="str">
        <f ca="1">IFERROR(__xludf.DUMMYFUNCTION("LOWER(REGEXREPLACE(B5087&amp;"" ""&amp;C5087,""[^а-яa-z0-9 ]"","" ""))")," армит для вторых блюд      1 00  размеры 1500х700х1510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р"&amp;"егулируемые ")</f>
        <v xml:space="preserve"> армит для вторых блюд      1 00  размеры 1500х700х1510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регулируемые </v>
      </c>
    </row>
    <row r="5088" spans="1:8" ht="102" x14ac:dyDescent="0.2">
      <c r="A5088" s="31" t="s">
        <v>12051</v>
      </c>
      <c r="B5088" s="8" t="s">
        <v>12052</v>
      </c>
      <c r="C5088" s="27"/>
      <c r="D5088" s="33" t="s">
        <v>14</v>
      </c>
      <c r="E5088" s="34">
        <v>2</v>
      </c>
      <c r="F5088" s="34">
        <v>50</v>
      </c>
      <c r="G5088" s="10">
        <v>1133395</v>
      </c>
      <c r="H5088" s="30" t="str">
        <f ca="1">IFERROR(__xludf.DUMMYFUNCTION("LOWER(REGEXREPLACE(B5088&amp;"" ""&amp;C5088,""[^а-яa-z0-9 ]"","" ""))")," армит для вторых блюд      1 01  размеры 1120х700х1485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р"&amp;"егулируемые ")</f>
        <v xml:space="preserve"> армит для вторых блюд      1 01  размеры 1120х700х1485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регулируемые </v>
      </c>
    </row>
    <row r="5089" spans="1:8" ht="12.75" x14ac:dyDescent="0.2">
      <c r="A5089" s="31" t="s">
        <v>12053</v>
      </c>
      <c r="B5089" s="27" t="s">
        <v>12054</v>
      </c>
      <c r="C5089" s="27"/>
      <c r="D5089" s="33" t="s">
        <v>14</v>
      </c>
      <c r="E5089" s="9"/>
      <c r="F5089" s="32"/>
      <c r="G5089" s="10"/>
      <c r="H5089" s="30" t="str">
        <f ca="1">IFERROR(__xludf.DUMMYFUNCTION("LOWER(REGEXREPLACE(B5089&amp;"" ""&amp;C5089,""[^а-яa-z0-9 ]"","" ""))")," рилавок нейтральный ")</f>
        <v xml:space="preserve"> рилавок нейтральный </v>
      </c>
    </row>
    <row r="5090" spans="1:8" ht="51" x14ac:dyDescent="0.2">
      <c r="A5090" s="31" t="s">
        <v>12055</v>
      </c>
      <c r="B5090" s="8" t="s">
        <v>12056</v>
      </c>
      <c r="C5090" s="27"/>
      <c r="D5090" s="33" t="s">
        <v>14</v>
      </c>
      <c r="E5090" s="34">
        <v>2</v>
      </c>
      <c r="F5090" s="36">
        <v>61.04</v>
      </c>
      <c r="G5090" s="10">
        <v>180679</v>
      </c>
      <c r="H5090" s="30" t="str">
        <f ca="1">IFERROR(__xludf.DUMMYFUNCTION("LOWER(REGEXREPLACE(B5090&amp;"" ""&amp;C5090,""[^а-яa-z0-9 ]"","" ""))")," иния нейтральная сервисная       120 70   ержавеющая сталь   каф с 2 полками без дверей   азмер  1200x700x850 1300мм ")</f>
        <v xml:space="preserve"> иния нейтральная сервисная       120 70   ержавеющая сталь   каф с 2 полками без дверей   азмер  1200x700x850 1300мм </v>
      </c>
    </row>
    <row r="5091" spans="1:8" ht="51" x14ac:dyDescent="0.2">
      <c r="A5091" s="31" t="s">
        <v>12057</v>
      </c>
      <c r="B5091" s="8" t="s">
        <v>12058</v>
      </c>
      <c r="C5091" s="27"/>
      <c r="D5091" s="33" t="s">
        <v>14</v>
      </c>
      <c r="E5091" s="34">
        <v>2</v>
      </c>
      <c r="F5091" s="36">
        <v>69.78</v>
      </c>
      <c r="G5091" s="10">
        <v>197271</v>
      </c>
      <c r="H5091" s="30" t="str">
        <f ca="1">IFERROR(__xludf.DUMMYFUNCTION("LOWER(REGEXREPLACE(B5091&amp;"" ""&amp;C5091,""[^а-яa-z0-9 ]"","" ""))")," иния нейтральная сервисная       140 70   ержавеющая сталь   каф с 2 полками без дверей   азмер  1400x700x850 1300мм ")</f>
        <v xml:space="preserve"> иния нейтральная сервисная       140 70   ержавеющая сталь   каф с 2 полками без дверей   азмер  1400x700x850 1300мм </v>
      </c>
    </row>
    <row r="5092" spans="1:8" ht="51" x14ac:dyDescent="0.2">
      <c r="A5092" s="31" t="s">
        <v>12059</v>
      </c>
      <c r="B5092" s="8" t="s">
        <v>12060</v>
      </c>
      <c r="C5092" s="27"/>
      <c r="D5092" s="33" t="s">
        <v>14</v>
      </c>
      <c r="E5092" s="34">
        <v>2</v>
      </c>
      <c r="F5092" s="36">
        <v>78.45</v>
      </c>
      <c r="G5092" s="10">
        <v>213524</v>
      </c>
      <c r="H5092" s="30" t="str">
        <f ca="1">IFERROR(__xludf.DUMMYFUNCTION("LOWER(REGEXREPLACE(B5092&amp;"" ""&amp;C5092,""[^а-яa-z0-9 ]"","" ""))")," иния нейтральная сервисная       160 70   ержавеющая сталь   каф с 2 полками без дверей   азмер  1600x700x850 1300мм ")</f>
        <v xml:space="preserve"> иния нейтральная сервисная       160 70   ержавеющая сталь   каф с 2 полками без дверей   азмер  1600x700x850 1300мм </v>
      </c>
    </row>
    <row r="5093" spans="1:8" ht="38.25" x14ac:dyDescent="0.2">
      <c r="A5093" s="31" t="s">
        <v>12061</v>
      </c>
      <c r="B5093" s="27" t="s">
        <v>12062</v>
      </c>
      <c r="C5093" s="27"/>
      <c r="D5093" s="33" t="s">
        <v>14</v>
      </c>
      <c r="E5093" s="34">
        <v>2</v>
      </c>
      <c r="F5093" s="36">
        <v>43.72</v>
      </c>
      <c r="G5093" s="10">
        <v>140063</v>
      </c>
      <c r="H5093" s="30" t="str">
        <f ca="1">IFERROR(__xludf.DUMMYFUNCTION("LOWER(REGEXREPLACE(B5093&amp;"" ""&amp;C5093,""[^а-яa-z0-9 ]"","" ""))")," тол нейтральный сервисной линии        120 70   ержавеющая сталь   азмер  1200x700x850 1300мм ")</f>
        <v xml:space="preserve"> тол нейтральный сервисной линии        120 70   ержавеющая сталь   азмер  1200x700x850 1300мм </v>
      </c>
    </row>
    <row r="5094" spans="1:8" ht="38.25" x14ac:dyDescent="0.2">
      <c r="A5094" s="31" t="s">
        <v>12063</v>
      </c>
      <c r="B5094" s="27" t="s">
        <v>12064</v>
      </c>
      <c r="C5094" s="27"/>
      <c r="D5094" s="33" t="s">
        <v>14</v>
      </c>
      <c r="E5094" s="34">
        <v>2</v>
      </c>
      <c r="F5094" s="36">
        <v>49.19</v>
      </c>
      <c r="G5094" s="10">
        <v>151235</v>
      </c>
      <c r="H5094" s="30" t="str">
        <f ca="1">IFERROR(__xludf.DUMMYFUNCTION("LOWER(REGEXREPLACE(B5094&amp;"" ""&amp;C5094,""[^а-яa-z0-9 ]"","" ""))")," тол нейтральный сервисной линии        140 70   ержавеющая сталь   азмер  1400x700x850 1300мм ")</f>
        <v xml:space="preserve"> тол нейтральный сервисной линии        140 70   ержавеющая сталь   азмер  1400x700x850 1300мм </v>
      </c>
    </row>
    <row r="5095" spans="1:8" ht="38.25" x14ac:dyDescent="0.2">
      <c r="A5095" s="31" t="s">
        <v>12065</v>
      </c>
      <c r="B5095" s="27" t="s">
        <v>12066</v>
      </c>
      <c r="C5095" s="27"/>
      <c r="D5095" s="33" t="s">
        <v>14</v>
      </c>
      <c r="E5095" s="34">
        <v>2</v>
      </c>
      <c r="F5095" s="36">
        <v>55.52</v>
      </c>
      <c r="G5095" s="10">
        <v>161735</v>
      </c>
      <c r="H5095" s="30" t="str">
        <f ca="1">IFERROR(__xludf.DUMMYFUNCTION("LOWER(REGEXREPLACE(B5095&amp;"" ""&amp;C5095,""[^а-яa-z0-9 ]"","" ""))")," тол нейтральный сервисной линии        160 70   ержавеющая сталь   азмер  1600x700x850 1300мм ")</f>
        <v xml:space="preserve"> тол нейтральный сервисной линии        160 70   ержавеющая сталь   азмер  1600x700x850 1300мм </v>
      </c>
    </row>
    <row r="5096" spans="1:8" ht="51" x14ac:dyDescent="0.2">
      <c r="A5096" s="31" t="s">
        <v>12067</v>
      </c>
      <c r="B5096" s="27" t="s">
        <v>12068</v>
      </c>
      <c r="C5096" s="27"/>
      <c r="D5096" s="33" t="s">
        <v>14</v>
      </c>
      <c r="E5096" s="34">
        <v>2</v>
      </c>
      <c r="F5096" s="34">
        <v>37</v>
      </c>
      <c r="G5096" s="10">
        <v>630378</v>
      </c>
      <c r="H5096" s="30" t="str">
        <f ca="1">IFERROR(__xludf.DUMMYFUNCTION("LOWER(REGEXREPLACE(B5096&amp;"" ""&amp;C5096,""[^а-яa-z0-9 ]"","" ""))")," рилавок общий      1 00 с направляющей для подносов  размеры 1500х700х860 мм  внизу прилавка расположен открытый отсек   ожки регулируемые ")</f>
        <v xml:space="preserve"> рилавок общий      1 00 с направляющей для подносов  размеры 1500х700х860 мм  внизу прилавка расположен открытый отсек   ожки регулируемые </v>
      </c>
    </row>
    <row r="5097" spans="1:8" ht="51" x14ac:dyDescent="0.2">
      <c r="A5097" s="31" t="s">
        <v>12069</v>
      </c>
      <c r="B5097" s="27" t="s">
        <v>12070</v>
      </c>
      <c r="C5097" s="27"/>
      <c r="D5097" s="33" t="s">
        <v>14</v>
      </c>
      <c r="E5097" s="34">
        <v>2</v>
      </c>
      <c r="F5097" s="34">
        <v>37</v>
      </c>
      <c r="G5097" s="10">
        <v>630378</v>
      </c>
      <c r="H5097" s="30" t="str">
        <f ca="1">IFERROR(__xludf.DUMMYFUNCTION("LOWER(REGEXREPLACE(B5097&amp;"" ""&amp;C5097,""[^а-яa-z0-9 ]"","" ""))")," рилавок общий      1 01 с направляющей для подносов  размеры 1500х700х850 мм  внизу прилавка расположен открытый отсек   ожки регулируемые ")</f>
        <v xml:space="preserve"> рилавок общий      1 01 с направляющей для подносов  размеры 1500х700х850 мм  внизу прилавка расположен открытый отсек   ожки регулируемые </v>
      </c>
    </row>
    <row r="5098" spans="1:8" ht="63.75" x14ac:dyDescent="0.2">
      <c r="A5098" s="31" t="s">
        <v>12071</v>
      </c>
      <c r="B5098" s="27" t="s">
        <v>12072</v>
      </c>
      <c r="C5098" s="27"/>
      <c r="D5098" s="33" t="s">
        <v>14</v>
      </c>
      <c r="E5098" s="34">
        <v>2</v>
      </c>
      <c r="F5098" s="34">
        <v>42</v>
      </c>
      <c r="G5098" s="10">
        <v>650152</v>
      </c>
      <c r="H5098" s="30" t="str">
        <f ca="1">IFERROR(__xludf.DUMMYFUNCTION("LOWER(REGEXREPLACE(B5098&amp;"" ""&amp;C5098,""[^а-яa-z0-9 ]"","" ""))")," рилавок общий      2 00 с направляющей для подносов  размеры 1100х700х1485 мм   борудован двумя полками  нижняя полка имеет подсветку  внизу расположен открытый отсек с двумя розетками 220    ожки регулируемые ")</f>
        <v xml:space="preserve"> рилавок общий      2 00 с направляющей для подносов  размеры 1100х700х1485 мм   борудован двумя полками  нижняя полка имеет подсветку  внизу расположен открытый отсек с двумя розетками 220    ожки регулируемые </v>
      </c>
    </row>
    <row r="5099" spans="1:8" ht="12.75" x14ac:dyDescent="0.2">
      <c r="A5099" s="31" t="s">
        <v>12073</v>
      </c>
      <c r="B5099" s="27" t="s">
        <v>12074</v>
      </c>
      <c r="C5099" s="27"/>
      <c r="D5099" s="33" t="s">
        <v>14</v>
      </c>
      <c r="E5099" s="9"/>
      <c r="F5099" s="32"/>
      <c r="G5099" s="10"/>
      <c r="H5099" s="30" t="str">
        <f ca="1">IFERROR(__xludf.DUMMYFUNCTION("LOWER(REGEXREPLACE(B5099&amp;"" ""&amp;C5099,""[^а-яa-z0-9 ]"","" ""))")," абина кассовая ")</f>
        <v xml:space="preserve"> абина кассовая </v>
      </c>
    </row>
    <row r="5100" spans="1:8" ht="38.25" x14ac:dyDescent="0.2">
      <c r="A5100" s="31" t="s">
        <v>12075</v>
      </c>
      <c r="B5100" s="27" t="s">
        <v>12076</v>
      </c>
      <c r="C5100" s="27"/>
      <c r="D5100" s="33" t="s">
        <v>14</v>
      </c>
      <c r="E5100" s="34">
        <v>2</v>
      </c>
      <c r="F5100" s="36">
        <v>44.25</v>
      </c>
      <c r="G5100" s="10">
        <v>153244</v>
      </c>
      <c r="H5100" s="30" t="str">
        <f ca="1">IFERROR(__xludf.DUMMYFUNCTION("LOWER(REGEXREPLACE(B5100&amp;"" ""&amp;C5100,""[^а-яa-z0-9 ]"","" ""))")," иния кассирная       140 70   ержавеющая сталь   каф без дверей  с ползунком для подноса   азмер  1400x700x850мм ")</f>
        <v xml:space="preserve"> иния кассирная       140 70   ержавеющая сталь   каф без дверей  с ползунком для подноса   азмер  1400x700x850мм </v>
      </c>
    </row>
    <row r="5101" spans="1:8" ht="51" x14ac:dyDescent="0.2">
      <c r="A5101" s="31" t="s">
        <v>12077</v>
      </c>
      <c r="B5101" s="27" t="s">
        <v>12078</v>
      </c>
      <c r="C5101" s="27"/>
      <c r="D5101" s="33" t="s">
        <v>14</v>
      </c>
      <c r="E5101" s="34">
        <v>2</v>
      </c>
      <c r="F5101" s="34">
        <v>60</v>
      </c>
      <c r="G5101" s="10">
        <v>418552</v>
      </c>
      <c r="H5101" s="30" t="str">
        <f ca="1">IFERROR(__xludf.DUMMYFUNCTION("LOWER(REGEXREPLACE(B5101&amp;"" ""&amp;C5101,""[^а-яa-z0-9 ]"","" ""))")," абина кассовая      1 00  размеры 1120х1030х870 мм  внизу дополнительная полка и розетка 220    аправляющие для подносов входят в комплект ")</f>
        <v xml:space="preserve"> абина кассовая      1 00  размеры 1120х1030х870 мм  внизу дополнительная полка и розетка 220    аправляющие для подносов входят в комплект </v>
      </c>
    </row>
    <row r="5102" spans="1:8" ht="12.75" x14ac:dyDescent="0.2">
      <c r="A5102" s="31" t="s">
        <v>12079</v>
      </c>
      <c r="B5102" s="27" t="s">
        <v>12080</v>
      </c>
      <c r="C5102" s="27"/>
      <c r="D5102" s="32"/>
      <c r="E5102" s="9"/>
      <c r="F5102" s="32"/>
      <c r="G5102" s="10"/>
      <c r="H5102" s="30" t="str">
        <f ca="1">IFERROR(__xludf.DUMMYFUNCTION("LOWER(REGEXREPLACE(B5102&amp;"" ""&amp;C5102,""[^а-яa-z0-9 ]"","" ""))")," рачечное оборудование ")</f>
        <v xml:space="preserve"> рачечное оборудование </v>
      </c>
    </row>
    <row r="5103" spans="1:8" ht="25.5" x14ac:dyDescent="0.2">
      <c r="A5103" s="31" t="s">
        <v>12081</v>
      </c>
      <c r="B5103" s="27" t="s">
        <v>12082</v>
      </c>
      <c r="C5103" s="27"/>
      <c r="D5103" s="33" t="s">
        <v>14</v>
      </c>
      <c r="E5103" s="9"/>
      <c r="F5103" s="34">
        <v>106</v>
      </c>
      <c r="G5103" s="10">
        <v>1700000</v>
      </c>
      <c r="H5103" s="30" t="str">
        <f ca="1">IFERROR(__xludf.DUMMYFUNCTION("LOWER(REGEXREPLACE(B5103&amp;"" ""&amp;C5103,""[^а-яa-z0-9 ]"","" ""))")," аток гладильный 1400    1840х420х1003 мм  35 кг ч  ")</f>
        <v xml:space="preserve"> аток гладильный 1400    1840х420х1003 мм  35 кг ч  </v>
      </c>
    </row>
    <row r="5104" spans="1:8" ht="25.5" x14ac:dyDescent="0.2">
      <c r="A5104" s="31" t="s">
        <v>12083</v>
      </c>
      <c r="B5104" s="27" t="s">
        <v>12084</v>
      </c>
      <c r="C5104" s="27"/>
      <c r="D5104" s="33" t="s">
        <v>14</v>
      </c>
      <c r="E5104" s="9"/>
      <c r="F5104" s="34">
        <v>221</v>
      </c>
      <c r="G5104" s="10">
        <v>4320055</v>
      </c>
      <c r="H5104" s="30" t="str">
        <f ca="1">IFERROR(__xludf.DUMMYFUNCTION("LOWER(REGEXREPLACE(B5104&amp;"" ""&amp;C5104,""[^а-яa-z0-9 ]"","" ""))")," аток гладильный 160 30     2090х552х1073 мм  50 кг ч  ")</f>
        <v xml:space="preserve"> аток гладильный 160 30     2090х552х1073 мм  50 кг ч  </v>
      </c>
    </row>
    <row r="5105" spans="1:8" ht="38.25" x14ac:dyDescent="0.2">
      <c r="A5105" s="31" t="s">
        <v>12085</v>
      </c>
      <c r="B5105" s="27" t="s">
        <v>12086</v>
      </c>
      <c r="C5105" s="27"/>
      <c r="D5105" s="33" t="s">
        <v>14</v>
      </c>
      <c r="E5105" s="9"/>
      <c r="F5105" s="34">
        <v>177</v>
      </c>
      <c r="G5105" s="10">
        <v>2228571</v>
      </c>
      <c r="H5105" s="30" t="str">
        <f ca="1">IFERROR(__xludf.DUMMYFUNCTION("LOWER(REGEXREPLACE(B5105&amp;"" ""&amp;C5105,""[^а-яa-z0-9 ]"","" ""))")," ашина стирально сушильная мод    3     403  01 загрузка  стирка    10 2 кг  загрузка  сушка    10 2 кг ")</f>
        <v xml:space="preserve"> ашина стирально сушильная мод    3     403  01 загрузка  стирка    10 2 кг  загрузка  сушка    10 2 кг </v>
      </c>
    </row>
    <row r="5106" spans="1:8" ht="25.5" x14ac:dyDescent="0.2">
      <c r="A5106" s="31" t="s">
        <v>12087</v>
      </c>
      <c r="B5106" s="27" t="s">
        <v>12088</v>
      </c>
      <c r="C5106" s="27"/>
      <c r="D5106" s="33" t="s">
        <v>14</v>
      </c>
      <c r="E5106" s="9"/>
      <c r="F5106" s="34">
        <v>118</v>
      </c>
      <c r="G5106" s="10">
        <v>1204668</v>
      </c>
      <c r="H5106" s="30" t="str">
        <f ca="1">IFERROR(__xludf.DUMMYFUNCTION("LOWER(REGEXREPLACE(B5106&amp;"" ""&amp;C5106,""[^а-яa-z0-9 ]"","" ""))")," тиральная машина     peed  ueen мод    3     403  22  загрузка   10 2 кг ")</f>
        <v xml:space="preserve"> тиральная машина     peed  ueen мод    3     403  22  загрузка   10 2 кг </v>
      </c>
    </row>
    <row r="5107" spans="1:8" ht="12.75" x14ac:dyDescent="0.2">
      <c r="A5107" s="31" t="s">
        <v>12089</v>
      </c>
      <c r="B5107" s="27" t="s">
        <v>12090</v>
      </c>
      <c r="C5107" s="27"/>
      <c r="D5107" s="33" t="s">
        <v>14</v>
      </c>
      <c r="E5107" s="9"/>
      <c r="F5107" s="34">
        <v>23</v>
      </c>
      <c r="G5107" s="10">
        <v>351648</v>
      </c>
      <c r="H5107" s="30" t="str">
        <f ca="1">IFERROR(__xludf.DUMMYFUNCTION("LOWER(REGEXREPLACE(B5107&amp;"" ""&amp;C5107,""[^а-яa-z0-9 ]"","" ""))")," тол гладильный мод   mega 2000  1100х370х900  ")</f>
        <v xml:space="preserve"> тол гладильный мод   mega 2000  1100х370х900  </v>
      </c>
    </row>
    <row r="5108" spans="1:8" ht="12.75" x14ac:dyDescent="0.2">
      <c r="A5108" s="31" t="s">
        <v>12091</v>
      </c>
      <c r="B5108" s="27" t="s">
        <v>12092</v>
      </c>
      <c r="C5108" s="27"/>
      <c r="D5108" s="33" t="s">
        <v>14</v>
      </c>
      <c r="E5108" s="9"/>
      <c r="F5108" s="34">
        <v>8</v>
      </c>
      <c r="G5108" s="10">
        <v>244505</v>
      </c>
      <c r="H5108" s="30" t="str">
        <f ca="1">IFERROR(__xludf.DUMMYFUNCTION("LOWER(REGEXREPLACE(B5108&amp;"" ""&amp;C5108,""[^а-яa-z0-9 ]"","" ""))")," тюг гладильный мод   ony  aby 1 8 ")</f>
        <v xml:space="preserve"> тюг гладильный мод   ony  aby 1 8 </v>
      </c>
    </row>
    <row r="5109" spans="1:8" ht="12.75" x14ac:dyDescent="0.2">
      <c r="A5109" s="31" t="s">
        <v>12093</v>
      </c>
      <c r="B5109" s="27" t="s">
        <v>12094</v>
      </c>
      <c r="C5109" s="27"/>
      <c r="D5109" s="33" t="s">
        <v>14</v>
      </c>
      <c r="E5109" s="9"/>
      <c r="F5109" s="32"/>
      <c r="G5109" s="10">
        <v>328571</v>
      </c>
      <c r="H5109" s="30" t="str">
        <f ca="1">IFERROR(__xludf.DUMMYFUNCTION("LOWER(REGEXREPLACE(B5109&amp;"" ""&amp;C5109,""[^а-яa-z0-9 ]"","" ""))")," тюг гладильный мод   ony  aby 2 3 ")</f>
        <v xml:space="preserve"> тюг гладильный мод   ony  aby 2 3 </v>
      </c>
    </row>
    <row r="5110" spans="1:8" ht="12.75" x14ac:dyDescent="0.2">
      <c r="A5110" s="31" t="s">
        <v>12095</v>
      </c>
      <c r="B5110" s="27" t="s">
        <v>9909</v>
      </c>
      <c r="C5110" s="27"/>
      <c r="D5110" s="33" t="s">
        <v>14</v>
      </c>
      <c r="E5110" s="9"/>
      <c r="F5110" s="32"/>
      <c r="G5110" s="10"/>
      <c r="H5110" s="30" t="str">
        <f ca="1">IFERROR(__xludf.DUMMYFUNCTION("LOWER(REGEXREPLACE(B5110&amp;"" ""&amp;C5110,""[^а-яa-z0-9 ]"","" ""))")," тюг ")</f>
        <v xml:space="preserve"> тюг </v>
      </c>
    </row>
    <row r="5111" spans="1:8" ht="51" x14ac:dyDescent="0.2">
      <c r="A5111" s="31" t="s">
        <v>12096</v>
      </c>
      <c r="B5111" s="27" t="s">
        <v>12097</v>
      </c>
      <c r="C5111" s="27" t="s">
        <v>12098</v>
      </c>
      <c r="D5111" s="33" t="s">
        <v>14</v>
      </c>
      <c r="E5111" s="34">
        <v>2</v>
      </c>
      <c r="F5111" s="35">
        <v>7.5</v>
      </c>
      <c r="G5111" s="10">
        <v>349207</v>
      </c>
      <c r="H5111" s="30" t="str">
        <f ca="1">IFERROR(__xludf.DUMMYFUNCTION("LOWER(REGEXREPLACE(B5111&amp;"" ""&amp;C5111,""[^а-яa-z0-9 ]"","" ""))")," тюг с парогенератором  объ м бойлера 2 5 л  напряжение 220    орпус и бойлер из нержавеющей стали   абаритные размеры  325х260х300 мм   ощность 1 8 к т  агревательный элемент выполнен из меди  внутренний электроклапан   иликоновый коврик подставка в комп"&amp;"лекте   абочее давление пара 2 5 бар   ремя непрерывной работы 2   2 5ч ")</f>
        <v xml:space="preserve"> тюг с парогенератором  объ м бойлера 2 5 л  напряжение 220    орпус и бойлер из нержавеющей стали   абаритные размеры  325х260х300 мм   ощность 1 8 к т  агревательный элемент выполнен из меди  внутренний электроклапан   иликоновый коврик подставка в комплекте   абочее давление пара 2 5 бар   ремя непрерывной работы 2   2 5ч </v>
      </c>
    </row>
    <row r="5112" spans="1:8" ht="51" x14ac:dyDescent="0.2">
      <c r="A5112" s="31" t="s">
        <v>12099</v>
      </c>
      <c r="B5112" s="27" t="s">
        <v>12100</v>
      </c>
      <c r="C5112" s="27" t="s">
        <v>12101</v>
      </c>
      <c r="D5112" s="33" t="s">
        <v>14</v>
      </c>
      <c r="E5112" s="34">
        <v>2</v>
      </c>
      <c r="F5112" s="35">
        <v>11.2</v>
      </c>
      <c r="G5112" s="10">
        <v>540820</v>
      </c>
      <c r="H5112" s="30" t="str">
        <f ca="1">IFERROR(__xludf.DUMMYFUNCTION("LOWER(REGEXREPLACE(B5112&amp;"" ""&amp;C5112,""[^а-яa-z0-9 ]"","" ""))")," тюг с парогенератором  объ м бойлера 3 7 л  напряжение 220    орпус и бойлер из нержавеющей стали   абаритные размеры  310х420х390 мм   ощность 2 3 к т  агревательный элемент выполнен из меди  внутренний электроклапан   иликоновый коврик подставка в комп"&amp;"лекте   абочее давление пара 3 5 бар   ремя непрерывной работы до 4 5ч ")</f>
        <v xml:space="preserve"> тюг с парогенератором  объ м бойлера 3 7 л  напряжение 220    орпус и бойлер из нержавеющей стали   абаритные размеры  310х420х390 мм   ощность 2 3 к т  агревательный элемент выполнен из меди  внутренний электроклапан   иликоновый коврик подставка в комплекте   абочее давление пара 3 5 бар   ремя непрерывной работы до 4 5ч </v>
      </c>
    </row>
    <row r="5113" spans="1:8" x14ac:dyDescent="0.2">
      <c r="A5113" s="7" t="s">
        <v>12102</v>
      </c>
      <c r="B5113" s="26"/>
      <c r="C5113" s="27"/>
      <c r="D5113" s="26"/>
      <c r="E5113" s="28"/>
      <c r="F5113" s="26"/>
      <c r="G5113" s="29"/>
      <c r="H5113" s="30" t="str">
        <f ca="1">IFERROR(__xludf.DUMMYFUNCTION("LOWER(REGEXREPLACE(B5113&amp;"" ""&amp;C5113,""[^а-яa-z0-9 ]"","" ""))")," ")</f>
        <v xml:space="preserve"> </v>
      </c>
    </row>
    <row r="5114" spans="1:8" x14ac:dyDescent="0.2">
      <c r="A5114" s="12" t="s">
        <v>12103</v>
      </c>
      <c r="B5114" s="26"/>
      <c r="C5114" s="27"/>
      <c r="D5114" s="26"/>
      <c r="E5114" s="28"/>
      <c r="F5114" s="26"/>
      <c r="G5114" s="29"/>
      <c r="H5114" s="30"/>
    </row>
    <row r="5115" spans="1:8" ht="12.75" x14ac:dyDescent="0.2">
      <c r="A5115" s="39" t="s">
        <v>12104</v>
      </c>
      <c r="B5115" s="40" t="s">
        <v>12105</v>
      </c>
      <c r="C5115" s="40"/>
      <c r="D5115" s="41"/>
      <c r="E5115" s="42"/>
      <c r="F5115" s="41"/>
      <c r="G5115" s="43"/>
      <c r="H5115" s="44" t="str">
        <f ca="1">IFERROR(__xludf.DUMMYFUNCTION("LOWER(REGEXREPLACE(B5115&amp;"" ""&amp;C5115,""[^а-яa-z0-9 ]"","" ""))")," борудование для логопедических занятий ")</f>
        <v xml:space="preserve"> борудование для логопедических занятий </v>
      </c>
    </row>
    <row r="5116" spans="1:8" ht="25.5" x14ac:dyDescent="0.2">
      <c r="A5116" s="13" t="s">
        <v>12106</v>
      </c>
      <c r="B5116" s="22" t="s">
        <v>12107</v>
      </c>
      <c r="C5116" s="14"/>
      <c r="D5116" s="19" t="s">
        <v>14</v>
      </c>
      <c r="E5116" s="16"/>
      <c r="F5116" s="15"/>
      <c r="G5116" s="17"/>
      <c r="H5116" s="18" t="str">
        <f ca="1">IFERROR(__xludf.DUMMYFUNCTION("LOWER(REGEXREPLACE(B5116&amp;"" ""&amp;C5116,""[^а-яa-z0-9 ]"","" ""))")," еркало для индивидуальных логопедических занятий ")</f>
        <v xml:space="preserve"> еркало для индивидуальных логопедических занятий </v>
      </c>
    </row>
    <row r="5117" spans="1:8" ht="38.25" x14ac:dyDescent="0.2">
      <c r="A5117" s="13" t="s">
        <v>12108</v>
      </c>
      <c r="B5117" s="14" t="s">
        <v>12109</v>
      </c>
      <c r="C5117" s="14"/>
      <c r="D5117" s="19" t="s">
        <v>14</v>
      </c>
      <c r="E5117" s="20">
        <v>2</v>
      </c>
      <c r="F5117" s="24">
        <v>1.6</v>
      </c>
      <c r="G5117" s="17">
        <v>58768</v>
      </c>
      <c r="H5117" s="18" t="str">
        <f ca="1">IFERROR(__xludf.DUMMYFUNCTION("LOWER(REGEXREPLACE(B5117&amp;"" ""&amp;C5117,""[^а-яa-z0-9 ]"","" ""))")," еркало для индивидуальных логопедических занятий   кладное  переносное  из оргстекла в футляре типа  нт парк 27513 ")</f>
        <v xml:space="preserve"> еркало для индивидуальных логопедических занятий   кладное  переносное  из оргстекла в футляре типа  нт парк 27513 </v>
      </c>
    </row>
    <row r="5118" spans="1:8" ht="51" x14ac:dyDescent="0.2">
      <c r="A5118" s="13" t="s">
        <v>12110</v>
      </c>
      <c r="B5118" s="22" t="s">
        <v>12111</v>
      </c>
      <c r="C5118" s="14"/>
      <c r="D5118" s="19" t="s">
        <v>14</v>
      </c>
      <c r="E5118" s="16"/>
      <c r="F5118" s="15"/>
      <c r="G5118" s="17"/>
      <c r="H5118" s="18" t="str">
        <f ca="1">IFERROR(__xludf.DUMMYFUNCTION("LOWER(REGEXREPLACE(B5118&amp;"" ""&amp;C5118,""[^а-яa-z0-9 ]"","" ""))")," ренажер на базе персонального компьютера для развития звуко произносительной и лексико грамматической стороны речи ")</f>
        <v xml:space="preserve"> ренажер на базе персонального компьютера для развития звуко произносительной и лексико грамматической стороны речи </v>
      </c>
    </row>
    <row r="5119" spans="1:8" ht="25.5" x14ac:dyDescent="0.2">
      <c r="A5119" s="13" t="s">
        <v>12112</v>
      </c>
      <c r="B5119" s="14" t="s">
        <v>12113</v>
      </c>
      <c r="C5119" s="14"/>
      <c r="D5119" s="19" t="s">
        <v>14</v>
      </c>
      <c r="E5119" s="16"/>
      <c r="F5119" s="15"/>
      <c r="G5119" s="17">
        <v>866012</v>
      </c>
      <c r="H5119" s="18" t="str">
        <f ca="1">IFERROR(__xludf.DUMMYFUNCTION("LOWER(REGEXREPLACE(B5119&amp;"" ""&amp;C5119,""[^а-яa-z0-9 ]"","" ""))")," огопедический тренажер   ельфа 142 1   модификация 1 7 с персональным компьютером ")</f>
        <v xml:space="preserve"> огопедический тренажер   ельфа 142 1   модификация 1 7 с персональным компьютером </v>
      </c>
    </row>
    <row r="5120" spans="1:8" ht="25.5" x14ac:dyDescent="0.2">
      <c r="A5120" s="13" t="s">
        <v>12114</v>
      </c>
      <c r="B5120" s="14" t="s">
        <v>12115</v>
      </c>
      <c r="C5120" s="14"/>
      <c r="D5120" s="19" t="s">
        <v>14</v>
      </c>
      <c r="E5120" s="16"/>
      <c r="F5120" s="15"/>
      <c r="G5120" s="17">
        <v>969934</v>
      </c>
      <c r="H5120" s="18" t="str">
        <f ca="1">IFERROR(__xludf.DUMMYFUNCTION("LOWER(REGEXREPLACE(B5120&amp;"" ""&amp;C5120,""[^а-яa-z0-9 ]"","" ""))")," огопедический тренажер   ельфа 142 1   модификация 2 2 с персональным компьютером ")</f>
        <v xml:space="preserve"> огопедический тренажер   ельфа 142 1   модификация 2 2 с персональным компьютером </v>
      </c>
    </row>
    <row r="5121" spans="1:8" ht="38.25" x14ac:dyDescent="0.2">
      <c r="A5121" s="13" t="s">
        <v>12116</v>
      </c>
      <c r="B5121" s="14" t="s">
        <v>12117</v>
      </c>
      <c r="C5121" s="14"/>
      <c r="D5121" s="19" t="s">
        <v>14</v>
      </c>
      <c r="E5121" s="16"/>
      <c r="F5121" s="15"/>
      <c r="G5121" s="17">
        <v>848692</v>
      </c>
      <c r="H5121" s="18" t="str">
        <f ca="1">IFERROR(__xludf.DUMMYFUNCTION("LOWER(REGEXREPLACE(B5121&amp;"" ""&amp;C5121,""[^а-яa-z0-9 ]"","" ""))")," огопедический тренажер   ельфа 142 1   модификация        с персональным компьютером ")</f>
        <v xml:space="preserve"> огопедический тренажер   ельфа 142 1   модификация        с персональным компьютером </v>
      </c>
    </row>
    <row r="5122" spans="1:8" ht="51" x14ac:dyDescent="0.2">
      <c r="A5122" s="13" t="s">
        <v>12118</v>
      </c>
      <c r="B5122" s="22" t="s">
        <v>12119</v>
      </c>
      <c r="C5122" s="14"/>
      <c r="D5122" s="19" t="s">
        <v>14</v>
      </c>
      <c r="E5122" s="20">
        <v>2</v>
      </c>
      <c r="F5122" s="23">
        <v>2.35</v>
      </c>
      <c r="G5122" s="17">
        <v>264891</v>
      </c>
      <c r="H5122" s="18" t="str">
        <f ca="1">IFERROR(__xludf.DUMMYFUNCTION("LOWER(REGEXREPLACE(B5122&amp;"" ""&amp;C5122,""[^а-яa-z0-9 ]"","" ""))")," ренажер для развития звуко произносительной и лексико грамматической стороны речи типа  нт парк 27514 ")</f>
        <v xml:space="preserve"> ренажер для развития звуко произносительной и лексико грамматической стороны речи типа  нт парк 27514 </v>
      </c>
    </row>
    <row r="5123" spans="1:8" ht="25.5" x14ac:dyDescent="0.2">
      <c r="A5123" s="13" t="s">
        <v>12120</v>
      </c>
      <c r="B5123" s="14" t="s">
        <v>12121</v>
      </c>
      <c r="C5123" s="14"/>
      <c r="D5123" s="19" t="s">
        <v>14</v>
      </c>
      <c r="E5123" s="16"/>
      <c r="F5123" s="15"/>
      <c r="G5123" s="17"/>
      <c r="H5123" s="18" t="str">
        <f ca="1">IFERROR(__xludf.DUMMYFUNCTION("LOWER(REGEXREPLACE(B5123&amp;"" ""&amp;C5123,""[^а-яa-z0-9 ]"","" ""))")," ечевой тренажер для усвоения и развития элементарной речевой коммуникации ")</f>
        <v xml:space="preserve"> ечевой тренажер для усвоения и развития элементарной речевой коммуникации </v>
      </c>
    </row>
    <row r="5124" spans="1:8" ht="38.25" x14ac:dyDescent="0.2">
      <c r="A5124" s="13" t="s">
        <v>12122</v>
      </c>
      <c r="B5124" s="14" t="s">
        <v>12123</v>
      </c>
      <c r="C5124" s="14"/>
      <c r="D5124" s="19" t="s">
        <v>14</v>
      </c>
      <c r="E5124" s="16"/>
      <c r="F5124" s="15"/>
      <c r="G5124" s="17">
        <v>181863</v>
      </c>
      <c r="H5124" s="18" t="str">
        <f ca="1">IFERROR(__xludf.DUMMYFUNCTION("LOWER(REGEXREPLACE(B5124&amp;"" ""&amp;C5124,""[^а-яa-z0-9 ]"","" ""))")," o alk 4   настольное речевое устройство с 4 окнами для изображений  имеет 5 уровней записи ")</f>
        <v xml:space="preserve"> o alk 4   настольное речевое устройство с 4 окнами для изображений  имеет 5 уровней записи </v>
      </c>
    </row>
    <row r="5125" spans="1:8" ht="38.25" x14ac:dyDescent="0.2">
      <c r="A5125" s="13" t="s">
        <v>12124</v>
      </c>
      <c r="B5125" s="14" t="s">
        <v>12125</v>
      </c>
      <c r="C5125" s="14"/>
      <c r="D5125" s="19" t="s">
        <v>14</v>
      </c>
      <c r="E5125" s="16"/>
      <c r="F5125" s="15"/>
      <c r="G5125" s="17">
        <v>155882</v>
      </c>
      <c r="H5125" s="18" t="str">
        <f ca="1">IFERROR(__xludf.DUMMYFUNCTION("LOWER(REGEXREPLACE(B5125&amp;"" ""&amp;C5125,""[^а-яa-z0-9 ]"","" ""))")," o alk 9   настольное речевое устройство с 9 окнами для изображений  имеет 5 уровней записи ")</f>
        <v xml:space="preserve"> o alk 9   настольное речевое устройство с 9 окнами для изображений  имеет 5 уровней записи </v>
      </c>
    </row>
    <row r="5126" spans="1:8" ht="38.25" x14ac:dyDescent="0.2">
      <c r="A5126" s="13" t="s">
        <v>12126</v>
      </c>
      <c r="B5126" s="14" t="s">
        <v>12127</v>
      </c>
      <c r="C5126" s="14"/>
      <c r="D5126" s="19" t="s">
        <v>14</v>
      </c>
      <c r="E5126" s="16"/>
      <c r="F5126" s="15"/>
      <c r="G5126" s="17">
        <v>155882</v>
      </c>
      <c r="H5126" s="18" t="str">
        <f ca="1">IFERROR(__xludf.DUMMYFUNCTION("LOWER(REGEXREPLACE(B5126&amp;"" ""&amp;C5126,""[^а-яa-z0-9 ]"","" ""))")," o alk 20   настольное речевое устройство с 20 окнами для изображений  имеет 5 уровней записи ")</f>
        <v xml:space="preserve"> o alk 20   настольное речевое устройство с 20 окнами для изображений  имеет 5 уровней записи </v>
      </c>
    </row>
    <row r="5127" spans="1:8" ht="25.5" x14ac:dyDescent="0.2">
      <c r="A5127" s="13" t="s">
        <v>12128</v>
      </c>
      <c r="B5127" s="14" t="s">
        <v>12129</v>
      </c>
      <c r="C5127" s="14"/>
      <c r="D5127" s="15"/>
      <c r="E5127" s="16"/>
      <c r="F5127" s="15"/>
      <c r="G5127" s="17"/>
      <c r="H5127" s="18" t="str">
        <f ca="1">IFERROR(__xludf.DUMMYFUNCTION("LOWER(REGEXREPLACE(B5127&amp;"" ""&amp;C5127,""[^а-яa-z0-9 ]"","" ""))")," борудование организаций образования для детей с нарушениями слуха ")</f>
        <v xml:space="preserve"> борудование организаций образования для детей с нарушениями слуха </v>
      </c>
    </row>
    <row r="5128" spans="1:8" ht="25.5" x14ac:dyDescent="0.2">
      <c r="A5128" s="13" t="s">
        <v>12130</v>
      </c>
      <c r="B5128" s="14" t="s">
        <v>12131</v>
      </c>
      <c r="C5128" s="14"/>
      <c r="D5128" s="19" t="s">
        <v>68</v>
      </c>
      <c r="E5128" s="16"/>
      <c r="F5128" s="15"/>
      <c r="G5128" s="17"/>
      <c r="H5128" s="18" t="str">
        <f ca="1">IFERROR(__xludf.DUMMYFUNCTION("LOWER(REGEXREPLACE(B5128&amp;"" ""&amp;C5128,""[^а-яa-z0-9 ]"","" ""))")," омплект для психолого педагогического обследования детей с нарушением слуха ")</f>
        <v xml:space="preserve"> омплект для психолого педагогического обследования детей с нарушением слуха </v>
      </c>
    </row>
    <row r="5129" spans="1:8" ht="38.25" x14ac:dyDescent="0.2">
      <c r="A5129" s="13" t="s">
        <v>12132</v>
      </c>
      <c r="B5129" s="22" t="s">
        <v>12133</v>
      </c>
      <c r="C5129" s="14"/>
      <c r="D5129" s="19" t="s">
        <v>68</v>
      </c>
      <c r="E5129" s="16"/>
      <c r="F5129" s="15"/>
      <c r="G5129" s="17">
        <v>159346</v>
      </c>
      <c r="H5129" s="18" t="str">
        <f ca="1">IFERROR(__xludf.DUMMYFUNCTION("LOWER(REGEXREPLACE(B5129&amp;"" ""&amp;C5129,""[^а-яa-z0-9 ]"","" ""))")," омплект  1 для психолого педагогического обследования детей с подозрением на снижение слуха ")</f>
        <v xml:space="preserve"> омплект  1 для психолого педагогического обследования детей с подозрением на снижение слуха </v>
      </c>
    </row>
    <row r="5130" spans="1:8" ht="38.25" x14ac:dyDescent="0.2">
      <c r="A5130" s="13" t="s">
        <v>12134</v>
      </c>
      <c r="B5130" s="14" t="s">
        <v>12135</v>
      </c>
      <c r="C5130" s="14"/>
      <c r="D5130" s="19" t="s">
        <v>68</v>
      </c>
      <c r="E5130" s="16"/>
      <c r="F5130" s="15"/>
      <c r="G5130" s="17">
        <v>55252</v>
      </c>
      <c r="H5130" s="18" t="str">
        <f ca="1">IFERROR(__xludf.DUMMYFUNCTION("LOWER(REGEXREPLACE(B5130&amp;"" ""&amp;C5130,""[^а-яa-z0-9 ]"","" ""))")," омплект  2 для педагогического обследования детей раннего и дошкольного возраста с подозрением на снижение слуха ")</f>
        <v xml:space="preserve"> омплект  2 для педагогического обследования детей раннего и дошкольного возраста с подозрением на снижение слуха </v>
      </c>
    </row>
    <row r="5131" spans="1:8" ht="25.5" x14ac:dyDescent="0.2">
      <c r="A5131" s="13" t="s">
        <v>12136</v>
      </c>
      <c r="B5131" s="14" t="s">
        <v>12137</v>
      </c>
      <c r="C5131" s="14"/>
      <c r="D5131" s="15"/>
      <c r="E5131" s="16"/>
      <c r="F5131" s="15"/>
      <c r="G5131" s="17"/>
      <c r="H5131" s="18" t="str">
        <f ca="1">IFERROR(__xludf.DUMMYFUNCTION("LOWER(REGEXREPLACE(B5131&amp;"" ""&amp;C5131,""[^а-яa-z0-9 ]"","" ""))")," борудование организаций образования для детей с нарушениями зрения ")</f>
        <v xml:space="preserve"> борудование организаций образования для детей с нарушениями зрения </v>
      </c>
    </row>
    <row r="5132" spans="1:8" ht="12.75" x14ac:dyDescent="0.2">
      <c r="A5132" s="13" t="s">
        <v>12138</v>
      </c>
      <c r="B5132" s="14" t="s">
        <v>12139</v>
      </c>
      <c r="C5132" s="14"/>
      <c r="D5132" s="19" t="s">
        <v>14</v>
      </c>
      <c r="E5132" s="16"/>
      <c r="F5132" s="15"/>
      <c r="G5132" s="17">
        <v>15225000</v>
      </c>
      <c r="H5132" s="18" t="str">
        <f ca="1">IFERROR(__xludf.DUMMYFUNCTION("LOWER(REGEXREPLACE(B5132&amp;"" ""&amp;C5132,""[^а-яa-z0-9 ]"","" ""))")," ериметр настольный ")</f>
        <v xml:space="preserve"> ериметр настольный </v>
      </c>
    </row>
    <row r="5133" spans="1:8" ht="12.75" x14ac:dyDescent="0.2">
      <c r="A5133" s="13" t="s">
        <v>12140</v>
      </c>
      <c r="B5133" s="14" t="s">
        <v>12141</v>
      </c>
      <c r="C5133" s="14"/>
      <c r="D5133" s="19" t="s">
        <v>14</v>
      </c>
      <c r="E5133" s="16"/>
      <c r="F5133" s="15"/>
      <c r="G5133" s="17">
        <v>7760714</v>
      </c>
      <c r="H5133" s="18" t="str">
        <f ca="1">IFERROR(__xludf.DUMMYFUNCTION("LOWER(REGEXREPLACE(B5133&amp;"" ""&amp;C5133,""[^а-яa-z0-9 ]"","" ""))")," мблиокор ")</f>
        <v xml:space="preserve"> мблиокор </v>
      </c>
    </row>
    <row r="5134" spans="1:8" ht="12.75" x14ac:dyDescent="0.2">
      <c r="A5134" s="45" t="s">
        <v>12142</v>
      </c>
      <c r="B5134" s="46" t="s">
        <v>4788</v>
      </c>
      <c r="C5134" s="14"/>
      <c r="D5134" s="47"/>
      <c r="E5134" s="48"/>
      <c r="F5134" s="47"/>
      <c r="G5134" s="17"/>
      <c r="H5134" s="18" t="str">
        <f ca="1">IFERROR(__xludf.DUMMYFUNCTION("LOWER(REGEXREPLACE(B5134&amp;"" ""&amp;C5134,""[^а-яa-z0-9 ]"","" ""))")," ал лечебной физкультуры ")</f>
        <v xml:space="preserve"> ал лечебной физкультуры </v>
      </c>
    </row>
    <row r="5135" spans="1:8" ht="12.75" x14ac:dyDescent="0.2">
      <c r="A5135" s="13" t="s">
        <v>12143</v>
      </c>
      <c r="B5135" s="14" t="s">
        <v>12144</v>
      </c>
      <c r="C5135" s="14"/>
      <c r="D5135" s="19" t="s">
        <v>14</v>
      </c>
      <c r="E5135" s="16"/>
      <c r="F5135" s="15"/>
      <c r="G5135" s="17"/>
      <c r="H5135" s="18" t="str">
        <f ca="1">IFERROR(__xludf.DUMMYFUNCTION("LOWER(REGEXREPLACE(B5135&amp;"" ""&amp;C5135,""[^а-яa-z0-9 ]"","" ""))")," еркало настенное ")</f>
        <v xml:space="preserve"> еркало настенное </v>
      </c>
    </row>
    <row r="5136" spans="1:8" ht="12.75" x14ac:dyDescent="0.2">
      <c r="A5136" s="13" t="s">
        <v>12145</v>
      </c>
      <c r="B5136" s="14" t="s">
        <v>12146</v>
      </c>
      <c r="C5136" s="14"/>
      <c r="D5136" s="19" t="s">
        <v>14</v>
      </c>
      <c r="E5136" s="20">
        <v>1</v>
      </c>
      <c r="F5136" s="24">
        <v>2.8</v>
      </c>
      <c r="G5136" s="17">
        <v>8588</v>
      </c>
      <c r="H5136" s="18" t="str">
        <f ca="1">IFERROR(__xludf.DUMMYFUNCTION("LOWER(REGEXREPLACE(B5136&amp;"" ""&amp;C5136,""[^а-яa-z0-9 ]"","" ""))")," еркало настенное 600х800 мм ")</f>
        <v xml:space="preserve"> еркало настенное 600х800 мм </v>
      </c>
    </row>
    <row r="5137" spans="1:8" ht="12.75" x14ac:dyDescent="0.2">
      <c r="A5137" s="13" t="s">
        <v>12147</v>
      </c>
      <c r="B5137" s="14" t="s">
        <v>12148</v>
      </c>
      <c r="C5137" s="14"/>
      <c r="D5137" s="19" t="s">
        <v>14</v>
      </c>
      <c r="E5137" s="16"/>
      <c r="F5137" s="15"/>
      <c r="G5137" s="17">
        <v>1286894</v>
      </c>
      <c r="H5137" s="18" t="str">
        <f ca="1">IFERROR(__xludf.DUMMYFUNCTION("LOWER(REGEXREPLACE(B5137&amp;"" ""&amp;C5137,""[^а-яa-z0-9 ]"","" ""))")," орка для ходьбы ")</f>
        <v xml:space="preserve"> орка для ходьбы </v>
      </c>
    </row>
    <row r="5138" spans="1:8" ht="12.75" x14ac:dyDescent="0.2">
      <c r="A5138" s="13" t="s">
        <v>12149</v>
      </c>
      <c r="B5138" s="14" t="s">
        <v>12150</v>
      </c>
      <c r="C5138" s="14"/>
      <c r="D5138" s="19" t="s">
        <v>14</v>
      </c>
      <c r="E5138" s="16"/>
      <c r="F5138" s="15"/>
      <c r="G5138" s="17"/>
      <c r="H5138" s="18" t="str">
        <f ca="1">IFERROR(__xludf.DUMMYFUNCTION("LOWER(REGEXREPLACE(B5138&amp;"" ""&amp;C5138,""[^а-яa-z0-9 ]"","" ""))")," актильная дорожка ")</f>
        <v xml:space="preserve"> актильная дорожка </v>
      </c>
    </row>
    <row r="5139" spans="1:8" ht="51" x14ac:dyDescent="0.2">
      <c r="A5139" s="13" t="s">
        <v>12151</v>
      </c>
      <c r="B5139" s="14" t="s">
        <v>12152</v>
      </c>
      <c r="C5139" s="14" t="s">
        <v>12153</v>
      </c>
      <c r="D5139" s="19" t="s">
        <v>14</v>
      </c>
      <c r="E5139" s="16"/>
      <c r="F5139" s="15"/>
      <c r="G5139" s="17">
        <v>255474</v>
      </c>
      <c r="H5139" s="18" t="str">
        <f ca="1">IFERROR(__xludf.DUMMYFUNCTION("LOWER(REGEXREPLACE(B5139&amp;"" ""&amp;C5139,""[^а-яa-z0-9 ]"","" ""))")," актильная дорожка  7 составных модулей   актильная дорожка   азмер не менее 500х300х30 мм   бщая длина  не мене 3000 мм   орожка предназначена для ходьбы босиком по поверхности составляющих элементов   актильная дорожка состоит из элементов одинакового р"&amp;"азмера  но имеющих разное покрытие ")</f>
        <v xml:space="preserve"> актильная дорожка  7 составных модулей   актильная дорожка   азмер не менее 500х300х30 мм   бщая длина  не мене 3000 мм   орожка предназначена для ходьбы босиком по поверхности составляющих элементов   актильная дорожка состоит из элементов одинакового размера  но имеющих разное покрытие </v>
      </c>
    </row>
    <row r="5140" spans="1:8" ht="51" x14ac:dyDescent="0.2">
      <c r="A5140" s="13" t="s">
        <v>12154</v>
      </c>
      <c r="B5140" s="14" t="s">
        <v>12155</v>
      </c>
      <c r="C5140" s="14"/>
      <c r="D5140" s="19" t="s">
        <v>14</v>
      </c>
      <c r="E5140" s="20">
        <v>2</v>
      </c>
      <c r="F5140" s="21">
        <v>6</v>
      </c>
      <c r="G5140" s="17">
        <v>204335</v>
      </c>
      <c r="H5140" s="18" t="str">
        <f ca="1">IFERROR(__xludf.DUMMYFUNCTION("LOWER(REGEXREPLACE(B5140&amp;"" ""&amp;C5140,""[^а-яa-z0-9 ]"","" ""))")," орожка для профилактики плоскостопии и развития  крупной моторики  ловкости и координации движений  12 шаровых сегментов  типа  нт парк 29550 ")</f>
        <v xml:space="preserve"> орожка для профилактики плоскостопии и развития  крупной моторики  ловкости и координации движений  12 шаровых сегментов  типа  нт парк 29550 </v>
      </c>
    </row>
    <row r="5141" spans="1:8" ht="25.5" x14ac:dyDescent="0.2">
      <c r="A5141" s="13" t="s">
        <v>12156</v>
      </c>
      <c r="B5141" s="14" t="s">
        <v>12157</v>
      </c>
      <c r="C5141" s="14"/>
      <c r="D5141" s="19" t="s">
        <v>14</v>
      </c>
      <c r="E5141" s="20">
        <v>2</v>
      </c>
      <c r="F5141" s="21">
        <v>24</v>
      </c>
      <c r="G5141" s="17">
        <v>839941</v>
      </c>
      <c r="H5141" s="18" t="str">
        <f ca="1">IFERROR(__xludf.DUMMYFUNCTION("LOWER(REGEXREPLACE(B5141&amp;"" ""&amp;C5141,""[^а-яa-z0-9 ]"","" ""))")," орожка тактильная  7 элементов  типа  нт парк 25047 ")</f>
        <v xml:space="preserve"> орожка тактильная  7 элементов  типа  нт парк 25047 </v>
      </c>
    </row>
    <row r="5142" spans="1:8" ht="38.25" x14ac:dyDescent="0.2">
      <c r="A5142" s="13" t="s">
        <v>12158</v>
      </c>
      <c r="B5142" s="22" t="s">
        <v>12159</v>
      </c>
      <c r="C5142" s="14"/>
      <c r="D5142" s="19" t="s">
        <v>68</v>
      </c>
      <c r="E5142" s="16"/>
      <c r="F5142" s="15"/>
      <c r="G5142" s="17">
        <v>541071</v>
      </c>
      <c r="H5142" s="18" t="str">
        <f ca="1">IFERROR(__xludf.DUMMYFUNCTION("LOWER(REGEXREPLACE(B5142&amp;"" ""&amp;C5142,""[^а-яa-z0-9 ]"","" ""))")," риспособление двухъярусное для обучения ходьбе для детей с нарушением опорно двигательного аппарата ")</f>
        <v xml:space="preserve"> риспособление двухъярусное для обучения ходьбе для детей с нарушением опорно двигательного аппарата </v>
      </c>
    </row>
    <row r="5143" spans="1:8" ht="12.75" x14ac:dyDescent="0.2">
      <c r="A5143" s="13" t="s">
        <v>12160</v>
      </c>
      <c r="B5143" s="14" t="s">
        <v>12161</v>
      </c>
      <c r="C5143" s="14"/>
      <c r="D5143" s="19" t="s">
        <v>14</v>
      </c>
      <c r="E5143" s="16"/>
      <c r="F5143" s="15"/>
      <c r="G5143" s="17"/>
      <c r="H5143" s="18" t="str">
        <f ca="1">IFERROR(__xludf.DUMMYFUNCTION("LOWER(REGEXREPLACE(B5143&amp;"" ""&amp;C5143,""[^а-яa-z0-9 ]"","" ""))")," анель тактильная ")</f>
        <v xml:space="preserve"> анель тактильная </v>
      </c>
    </row>
    <row r="5144" spans="1:8" ht="51" x14ac:dyDescent="0.2">
      <c r="A5144" s="13" t="s">
        <v>12162</v>
      </c>
      <c r="B5144" s="14" t="s">
        <v>12163</v>
      </c>
      <c r="C5144" s="14" t="s">
        <v>12164</v>
      </c>
      <c r="D5144" s="19" t="s">
        <v>14</v>
      </c>
      <c r="E5144" s="20">
        <v>2</v>
      </c>
      <c r="F5144" s="21">
        <v>13</v>
      </c>
      <c r="G5144" s="17">
        <v>242332</v>
      </c>
      <c r="H5144" s="18" t="str">
        <f ca="1">IFERROR(__xludf.DUMMYFUNCTION("LOWER(REGEXREPLACE(B5144&amp;"" ""&amp;C5144,""[^а-яa-z0-9 ]"","" ""))")," анель тактильная с декоративными элементами  актильные панели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согла"&amp;"сно цветовым решениям помещения ")</f>
        <v xml:space="preserve"> анель тактильная с декоративными элементами  актильные панели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 </v>
      </c>
    </row>
    <row r="5145" spans="1:8" ht="12.75" x14ac:dyDescent="0.2">
      <c r="A5145" s="13" t="s">
        <v>12165</v>
      </c>
      <c r="B5145" s="14" t="s">
        <v>12166</v>
      </c>
      <c r="C5145" s="14"/>
      <c r="D5145" s="19" t="s">
        <v>14</v>
      </c>
      <c r="E5145" s="16"/>
      <c r="F5145" s="15"/>
      <c r="G5145" s="17"/>
      <c r="H5145" s="18" t="str">
        <f ca="1">IFERROR(__xludf.DUMMYFUNCTION("LOWER(REGEXREPLACE(B5145&amp;"" ""&amp;C5145,""[^а-яa-z0-9 ]"","" ""))")," ассажный коврик ")</f>
        <v xml:space="preserve"> ассажный коврик </v>
      </c>
    </row>
    <row r="5146" spans="1:8" ht="25.5" x14ac:dyDescent="0.2">
      <c r="A5146" s="13" t="s">
        <v>12167</v>
      </c>
      <c r="B5146" s="14" t="s">
        <v>12168</v>
      </c>
      <c r="C5146" s="14"/>
      <c r="D5146" s="19" t="s">
        <v>14</v>
      </c>
      <c r="E5146" s="16"/>
      <c r="F5146" s="15"/>
      <c r="G5146" s="17">
        <v>94395</v>
      </c>
      <c r="H5146" s="18" t="str">
        <f ca="1">IFERROR(__xludf.DUMMYFUNCTION("LOWER(REGEXREPLACE(B5146&amp;"" ""&amp;C5146,""[^а-яa-z0-9 ]"","" ""))")," ассажный коврик       1  со следочками  размер  190х33х3 см ")</f>
        <v xml:space="preserve"> ассажный коврик       1  со следочками  размер  190х33х3 см </v>
      </c>
    </row>
    <row r="5147" spans="1:8" ht="25.5" x14ac:dyDescent="0.2">
      <c r="A5147" s="13" t="s">
        <v>12169</v>
      </c>
      <c r="B5147" s="14" t="s">
        <v>12170</v>
      </c>
      <c r="C5147" s="14"/>
      <c r="D5147" s="19" t="s">
        <v>14</v>
      </c>
      <c r="E5147" s="16"/>
      <c r="F5147" s="15"/>
      <c r="G5147" s="17">
        <v>19918</v>
      </c>
      <c r="H5147" s="18" t="str">
        <f ca="1">IFERROR(__xludf.DUMMYFUNCTION("LOWER(REGEXREPLACE(B5147&amp;"" ""&amp;C5147,""[^а-яa-z0-9 ]"","" ""))")," ассажный коврик       1  со следочками  малый     размер  40х33х3 ")</f>
        <v xml:space="preserve"> ассажный коврик       1  со следочками  малый     размер  40х33х3 </v>
      </c>
    </row>
    <row r="5148" spans="1:8" ht="25.5" x14ac:dyDescent="0.2">
      <c r="A5148" s="13" t="s">
        <v>12171</v>
      </c>
      <c r="B5148" s="14" t="s">
        <v>12172</v>
      </c>
      <c r="C5148" s="14"/>
      <c r="D5148" s="19" t="s">
        <v>14</v>
      </c>
      <c r="E5148" s="16"/>
      <c r="F5148" s="15"/>
      <c r="G5148" s="17">
        <v>8628000</v>
      </c>
      <c r="H5148" s="18" t="str">
        <f ca="1">IFERROR(__xludf.DUMMYFUNCTION("LOWER(REGEXREPLACE(B5148&amp;"" ""&amp;C5148,""[^а-яa-z0-9 ]"","" ""))")," ренажер реабилитационный механотерапевтический ")</f>
        <v xml:space="preserve"> ренажер реабилитационный механотерапевтический </v>
      </c>
    </row>
    <row r="5149" spans="1:8" ht="12.75" x14ac:dyDescent="0.2">
      <c r="A5149" s="13" t="s">
        <v>12173</v>
      </c>
      <c r="B5149" s="14" t="s">
        <v>12174</v>
      </c>
      <c r="C5149" s="14"/>
      <c r="D5149" s="19" t="s">
        <v>14</v>
      </c>
      <c r="E5149" s="16"/>
      <c r="F5149" s="15"/>
      <c r="G5149" s="17"/>
      <c r="H5149" s="18" t="str">
        <f ca="1">IFERROR(__xludf.DUMMYFUNCTION("LOWER(REGEXREPLACE(B5149&amp;"" ""&amp;C5149,""[^а-яa-z0-9 ]"","" ""))")," ренажер ортопедический для ходьбы ")</f>
        <v xml:space="preserve"> ренажер ортопедический для ходьбы </v>
      </c>
    </row>
    <row r="5150" spans="1:8" ht="25.5" x14ac:dyDescent="0.2">
      <c r="A5150" s="13" t="s">
        <v>12175</v>
      </c>
      <c r="B5150" s="14" t="s">
        <v>12176</v>
      </c>
      <c r="C5150" s="14"/>
      <c r="D5150" s="19" t="s">
        <v>14</v>
      </c>
      <c r="E5150" s="16"/>
      <c r="F5150" s="15"/>
      <c r="G5150" s="17">
        <v>2753919</v>
      </c>
      <c r="H5150" s="18" t="str">
        <f ca="1">IFERROR(__xludf.DUMMYFUNCTION("LOWER(REGEXREPLACE(B5150&amp;"" ""&amp;C5150,""[^а-яa-z0-9 ]"","" ""))")," ренажер ортопедический  ifton       для ходьбы   509 ")</f>
        <v xml:space="preserve"> ренажер ортопедический  ifton       для ходьбы   509 </v>
      </c>
    </row>
    <row r="5151" spans="1:8" ht="25.5" x14ac:dyDescent="0.2">
      <c r="A5151" s="13" t="s">
        <v>12177</v>
      </c>
      <c r="B5151" s="14" t="s">
        <v>12178</v>
      </c>
      <c r="C5151" s="14"/>
      <c r="D5151" s="19" t="s">
        <v>14</v>
      </c>
      <c r="E5151" s="16"/>
      <c r="F5151" s="15"/>
      <c r="G5151" s="17">
        <v>3507349</v>
      </c>
      <c r="H5151" s="18" t="str">
        <f ca="1">IFERROR(__xludf.DUMMYFUNCTION("LOWER(REGEXREPLACE(B5151&amp;"" ""&amp;C5151,""[^а-яa-z0-9 ]"","" ""))")," ренажер ортопедический  ifton       для ходьбы   620   501  ")</f>
        <v xml:space="preserve"> ренажер ортопедический  ifton       для ходьбы   620   501  </v>
      </c>
    </row>
    <row r="5152" spans="1:8" ht="25.5" x14ac:dyDescent="0.2">
      <c r="A5152" s="13" t="s">
        <v>12179</v>
      </c>
      <c r="B5152" s="14" t="s">
        <v>12180</v>
      </c>
      <c r="C5152" s="14"/>
      <c r="D5152" s="19" t="s">
        <v>14</v>
      </c>
      <c r="E5152" s="16"/>
      <c r="F5152" s="15"/>
      <c r="G5152" s="17">
        <v>4459963</v>
      </c>
      <c r="H5152" s="18" t="str">
        <f ca="1">IFERROR(__xludf.DUMMYFUNCTION("LOWER(REGEXREPLACE(B5152&amp;"" ""&amp;C5152,""[^а-яa-z0-9 ]"","" ""))")," ренажер ортопедический  ifton новый       для ходьбы   630 среднего размера   502  ")</f>
        <v xml:space="preserve"> ренажер ортопедический  ifton новый       для ходьбы   630 среднего размера   502  </v>
      </c>
    </row>
    <row r="5153" spans="1:8" ht="25.5" x14ac:dyDescent="0.2">
      <c r="A5153" s="13" t="s">
        <v>12181</v>
      </c>
      <c r="B5153" s="14" t="s">
        <v>12182</v>
      </c>
      <c r="C5153" s="14"/>
      <c r="D5153" s="19" t="s">
        <v>14</v>
      </c>
      <c r="E5153" s="16"/>
      <c r="F5153" s="15"/>
      <c r="G5153" s="17">
        <v>4979570</v>
      </c>
      <c r="H5153" s="18" t="str">
        <f ca="1">IFERROR(__xludf.DUMMYFUNCTION("LOWER(REGEXREPLACE(B5153&amp;"" ""&amp;C5153,""[^а-яa-z0-9 ]"","" ""))")," ренажер ортопедический  ifton новый       для ходьбы   640 большого размера   503  ")</f>
        <v xml:space="preserve"> ренажер ортопедический  ifton новый       для ходьбы   640 большого размера   503  </v>
      </c>
    </row>
    <row r="5154" spans="1:8" ht="25.5" x14ac:dyDescent="0.2">
      <c r="A5154" s="13" t="s">
        <v>12183</v>
      </c>
      <c r="B5154" s="14" t="s">
        <v>12184</v>
      </c>
      <c r="C5154" s="14"/>
      <c r="D5154" s="19" t="s">
        <v>14</v>
      </c>
      <c r="E5154" s="16"/>
      <c r="F5154" s="15"/>
      <c r="G5154" s="17">
        <v>5672380</v>
      </c>
      <c r="H5154" s="18" t="str">
        <f ca="1">IFERROR(__xludf.DUMMYFUNCTION("LOWER(REGEXREPLACE(B5154&amp;"" ""&amp;C5154,""[^а-яa-z0-9 ]"","" ""))")," ренажер ортопедический  ifton       для ходьбы   650   504  ")</f>
        <v xml:space="preserve"> ренажер ортопедический  ifton       для ходьбы   650   504  </v>
      </c>
    </row>
    <row r="5155" spans="1:8" ht="12.75" x14ac:dyDescent="0.2">
      <c r="A5155" s="13" t="s">
        <v>12185</v>
      </c>
      <c r="B5155" s="14" t="s">
        <v>12186</v>
      </c>
      <c r="C5155" s="14"/>
      <c r="D5155" s="19" t="s">
        <v>14</v>
      </c>
      <c r="E5155" s="16"/>
      <c r="F5155" s="15"/>
      <c r="G5155" s="17"/>
      <c r="H5155" s="18" t="str">
        <f ca="1">IFERROR(__xludf.DUMMYFUNCTION("LOWER(REGEXREPLACE(B5155&amp;"" ""&amp;C5155,""[^а-яa-z0-9 ]"","" ""))")," тендер вертикализатор ")</f>
        <v xml:space="preserve"> тендер вертикализатор </v>
      </c>
    </row>
    <row r="5156" spans="1:8" ht="25.5" x14ac:dyDescent="0.2">
      <c r="A5156" s="13" t="s">
        <v>12187</v>
      </c>
      <c r="B5156" s="14" t="s">
        <v>12188</v>
      </c>
      <c r="C5156" s="14"/>
      <c r="D5156" s="19" t="s">
        <v>14</v>
      </c>
      <c r="E5156" s="16"/>
      <c r="F5156" s="15"/>
      <c r="G5156" s="17">
        <v>3377447</v>
      </c>
      <c r="H5156" s="18" t="str">
        <f ca="1">IFERROR(__xludf.DUMMYFUNCTION("LOWER(REGEXREPLACE(B5156&amp;"" ""&amp;C5156,""[^а-яa-z0-9 ]"","" ""))")," ультистендер  женкс  вертикализатор для детей от 9 месяцев до шести лет  ")</f>
        <v xml:space="preserve"> ультистендер  женкс  вертикализатор для детей от 9 месяцев до шести лет  </v>
      </c>
    </row>
    <row r="5157" spans="1:8" ht="25.5" x14ac:dyDescent="0.2">
      <c r="A5157" s="13" t="s">
        <v>12189</v>
      </c>
      <c r="B5157" s="14" t="s">
        <v>12190</v>
      </c>
      <c r="C5157" s="14"/>
      <c r="D5157" s="19" t="s">
        <v>14</v>
      </c>
      <c r="E5157" s="16"/>
      <c r="F5157" s="15"/>
      <c r="G5157" s="17">
        <v>4330061</v>
      </c>
      <c r="H5157" s="18" t="str">
        <f ca="1">IFERROR(__xludf.DUMMYFUNCTION("LOWER(REGEXREPLACE(B5157&amp;"" ""&amp;C5157,""[^а-яa-z0-9 ]"","" ""))")," ультистендер  женкс  вертикализатор для детей от 3 до 13 лет  ")</f>
        <v xml:space="preserve"> ультистендер  женкс  вертикализатор для детей от 3 до 13 лет  </v>
      </c>
    </row>
    <row r="5158" spans="1:8" ht="12.75" x14ac:dyDescent="0.2">
      <c r="A5158" s="13" t="s">
        <v>12191</v>
      </c>
      <c r="B5158" s="14" t="s">
        <v>12192</v>
      </c>
      <c r="C5158" s="14"/>
      <c r="D5158" s="19" t="s">
        <v>14</v>
      </c>
      <c r="E5158" s="16"/>
      <c r="F5158" s="15"/>
      <c r="G5158" s="17"/>
      <c r="H5158" s="18" t="str">
        <f ca="1">IFERROR(__xludf.DUMMYFUNCTION("LOWER(REGEXREPLACE(B5158&amp;"" ""&amp;C5158,""[^а-яa-z0-9 ]"","" ""))")," ренажер ходунки ")</f>
        <v xml:space="preserve"> ренажер ходунки </v>
      </c>
    </row>
    <row r="5159" spans="1:8" ht="51" x14ac:dyDescent="0.2">
      <c r="A5159" s="45" t="s">
        <v>12193</v>
      </c>
      <c r="B5159" s="49" t="s">
        <v>12194</v>
      </c>
      <c r="C5159" s="14"/>
      <c r="D5159" s="50" t="s">
        <v>14</v>
      </c>
      <c r="E5159" s="48"/>
      <c r="F5159" s="47"/>
      <c r="G5159" s="17">
        <v>745179</v>
      </c>
      <c r="H5159" s="18" t="str">
        <f ca="1">IFERROR(__xludf.DUMMYFUNCTION("LOWER(REGEXREPLACE(B5159&amp;"" ""&amp;C5159,""[^а-яa-z0-9 ]"","" ""))")," одунки с дополнительной фиксацией тела  в том числе для больных      модель     317            размер 1  80 115 см   либо размер 2  115 150 см  ")</f>
        <v xml:space="preserve"> одунки с дополнительной фиксацией тела  в том числе для больных      модель     317            размер 1  80 115 см   либо размер 2  115 150 см  </v>
      </c>
    </row>
    <row r="5160" spans="1:8" ht="12.75" x14ac:dyDescent="0.2">
      <c r="A5160" s="13" t="s">
        <v>12195</v>
      </c>
      <c r="B5160" s="14" t="s">
        <v>12196</v>
      </c>
      <c r="C5160" s="14"/>
      <c r="D5160" s="19" t="s">
        <v>14</v>
      </c>
      <c r="E5160" s="16"/>
      <c r="F5160" s="15"/>
      <c r="G5160" s="17">
        <v>95625</v>
      </c>
      <c r="H5160" s="18" t="str">
        <f ca="1">IFERROR(__xludf.DUMMYFUNCTION("LOWER(REGEXREPLACE(B5160&amp;"" ""&amp;C5160,""[^а-яa-z0-9 ]"","" ""))")," одунки  рмед   201 ")</f>
        <v xml:space="preserve"> одунки  рмед   201 </v>
      </c>
    </row>
    <row r="5161" spans="1:8" ht="38.25" x14ac:dyDescent="0.2">
      <c r="A5161" s="13" t="s">
        <v>12197</v>
      </c>
      <c r="B5161" s="14" t="s">
        <v>12198</v>
      </c>
      <c r="C5161" s="14"/>
      <c r="D5161" s="19" t="s">
        <v>14</v>
      </c>
      <c r="E5161" s="16"/>
      <c r="F5161" s="15"/>
      <c r="G5161" s="17">
        <v>142321</v>
      </c>
      <c r="H5161" s="18" t="str">
        <f ca="1">IFERROR(__xludf.DUMMYFUNCTION("LOWER(REGEXREPLACE(B5161&amp;"" ""&amp;C5161,""[^а-яa-z0-9 ]"","" ""))")," одунки для больных      регулируемые по высоте на четырех кол сах       1200 с подлокотной опорой ")</f>
        <v xml:space="preserve"> одунки для больных      регулируемые по высоте на четырех кол сах       1200 с подлокотной опорой </v>
      </c>
    </row>
    <row r="5162" spans="1:8" ht="38.25" x14ac:dyDescent="0.2">
      <c r="A5162" s="13" t="s">
        <v>12199</v>
      </c>
      <c r="B5162" s="14" t="s">
        <v>12200</v>
      </c>
      <c r="C5162" s="14"/>
      <c r="D5162" s="19" t="s">
        <v>14</v>
      </c>
      <c r="E5162" s="16"/>
      <c r="F5162" s="15"/>
      <c r="G5162" s="17">
        <v>156607</v>
      </c>
      <c r="H5162" s="18" t="str">
        <f ca="1">IFERROR(__xludf.DUMMYFUNCTION("LOWER(REGEXREPLACE(B5162&amp;"" ""&amp;C5162,""[^а-яa-z0-9 ]"","" ""))")," одунки для больных      регулируемые по высоте на четырех кол сах        2200 с подлокотной опорой ")</f>
        <v xml:space="preserve"> одунки для больных      регулируемые по высоте на четырех кол сах        2200 с подлокотной опорой </v>
      </c>
    </row>
    <row r="5163" spans="1:8" ht="25.5" x14ac:dyDescent="0.2">
      <c r="A5163" s="13" t="s">
        <v>12201</v>
      </c>
      <c r="B5163" s="14" t="s">
        <v>12202</v>
      </c>
      <c r="C5163" s="14"/>
      <c r="D5163" s="19" t="s">
        <v>14</v>
      </c>
      <c r="E5163" s="16"/>
      <c r="F5163" s="15"/>
      <c r="G5163" s="17">
        <v>166518</v>
      </c>
      <c r="H5163" s="18" t="str">
        <f ca="1">IFERROR(__xludf.DUMMYFUNCTION("LOWER(REGEXREPLACE(B5163&amp;"" ""&amp;C5163,""[^а-яa-z0-9 ]"","" ""))")," одунки для детей больных            3200 с подлокотной опорой ")</f>
        <v xml:space="preserve"> одунки для детей больных            3200 с подлокотной опорой </v>
      </c>
    </row>
    <row r="5164" spans="1:8" ht="12.75" x14ac:dyDescent="0.2">
      <c r="A5164" s="13" t="s">
        <v>12203</v>
      </c>
      <c r="B5164" s="14" t="s">
        <v>12204</v>
      </c>
      <c r="C5164" s="14"/>
      <c r="D5164" s="19" t="s">
        <v>14</v>
      </c>
      <c r="E5164" s="16"/>
      <c r="F5164" s="15"/>
      <c r="G5164" s="17">
        <v>385375</v>
      </c>
      <c r="H5164" s="18" t="str">
        <f ca="1">IFERROR(__xludf.DUMMYFUNCTION("LOWER(REGEXREPLACE(B5164&amp;"" ""&amp;C5164,""[^а-яa-z0-9 ]"","" ""))")," одунки   йболит     36 12 01 ")</f>
        <v xml:space="preserve"> одунки   йболит     36 12 01 </v>
      </c>
    </row>
    <row r="5165" spans="1:8" ht="12.75" x14ac:dyDescent="0.2">
      <c r="A5165" s="13" t="s">
        <v>12205</v>
      </c>
      <c r="B5165" s="14" t="s">
        <v>12206</v>
      </c>
      <c r="C5165" s="14"/>
      <c r="D5165" s="19" t="s">
        <v>14</v>
      </c>
      <c r="E5165" s="16"/>
      <c r="F5165" s="15"/>
      <c r="G5165" s="17">
        <v>389705</v>
      </c>
      <c r="H5165" s="18" t="str">
        <f ca="1">IFERROR(__xludf.DUMMYFUNCTION("LOWER(REGEXREPLACE(B5165&amp;"" ""&amp;C5165,""[^а-яa-z0-9 ]"","" ""))")," одунки   йболит     36 12 02 ")</f>
        <v xml:space="preserve"> одунки   йболит     36 12 02 </v>
      </c>
    </row>
    <row r="5166" spans="1:8" ht="12.75" x14ac:dyDescent="0.2">
      <c r="A5166" s="13" t="s">
        <v>12207</v>
      </c>
      <c r="B5166" s="14" t="s">
        <v>12208</v>
      </c>
      <c r="C5166" s="14"/>
      <c r="D5166" s="19" t="s">
        <v>14</v>
      </c>
      <c r="E5166" s="16"/>
      <c r="F5166" s="15"/>
      <c r="G5166" s="17">
        <v>398366</v>
      </c>
      <c r="H5166" s="18" t="str">
        <f ca="1">IFERROR(__xludf.DUMMYFUNCTION("LOWER(REGEXREPLACE(B5166&amp;"" ""&amp;C5166,""[^а-яa-z0-9 ]"","" ""))")," одунки   йболит     36 12 03 ")</f>
        <v xml:space="preserve"> одунки   йболит     36 12 03 </v>
      </c>
    </row>
    <row r="5167" spans="1:8" ht="38.25" x14ac:dyDescent="0.2">
      <c r="A5167" s="13" t="s">
        <v>12209</v>
      </c>
      <c r="B5167" s="14" t="s">
        <v>12210</v>
      </c>
      <c r="C5167" s="14"/>
      <c r="D5167" s="19" t="s">
        <v>14</v>
      </c>
      <c r="E5167" s="16"/>
      <c r="F5167" s="15"/>
      <c r="G5167" s="17"/>
      <c r="H5167" s="18" t="str">
        <f ca="1">IFERROR(__xludf.DUMMYFUNCTION("LOWER(REGEXREPLACE(B5167&amp;"" ""&amp;C5167,""[^а-яa-z0-9 ]"","" ""))")," ейро ортопедический реабилитационный комбинезон для детей с нарушением опорно двигательного аппарата  разных размеров ")</f>
        <v xml:space="preserve"> ейро ортопедический реабилитационный комбинезон для детей с нарушением опорно двигательного аппарата  разных размеров </v>
      </c>
    </row>
    <row r="5168" spans="1:8" ht="25.5" x14ac:dyDescent="0.2">
      <c r="A5168" s="13" t="s">
        <v>12211</v>
      </c>
      <c r="B5168" s="22" t="s">
        <v>12212</v>
      </c>
      <c r="C5168" s="14"/>
      <c r="D5168" s="19" t="s">
        <v>14</v>
      </c>
      <c r="E5168" s="16"/>
      <c r="F5168" s="15"/>
      <c r="G5168" s="17">
        <v>458986</v>
      </c>
      <c r="H5168" s="18" t="str">
        <f ca="1">IFERROR(__xludf.DUMMYFUNCTION("LOWER(REGEXREPLACE(B5168&amp;"" ""&amp;C5168,""[^а-яa-z0-9 ]"","" ""))")," ейро ортопедический реабилитационный комбинезон             размер 1  ")</f>
        <v xml:space="preserve"> ейро ортопедический реабилитационный комбинезон             размер 1  </v>
      </c>
    </row>
    <row r="5169" spans="1:8" ht="25.5" x14ac:dyDescent="0.2">
      <c r="A5169" s="13" t="s">
        <v>12213</v>
      </c>
      <c r="B5169" s="22" t="s">
        <v>12214</v>
      </c>
      <c r="C5169" s="14"/>
      <c r="D5169" s="19" t="s">
        <v>14</v>
      </c>
      <c r="E5169" s="16"/>
      <c r="F5169" s="15"/>
      <c r="G5169" s="17">
        <v>458986</v>
      </c>
      <c r="H5169" s="18" t="str">
        <f ca="1">IFERROR(__xludf.DUMMYFUNCTION("LOWER(REGEXREPLACE(B5169&amp;"" ""&amp;C5169,""[^а-яa-z0-9 ]"","" ""))")," ейро ортопедический реабилитационный комбинезон             размер 2  ")</f>
        <v xml:space="preserve"> ейро ортопедический реабилитационный комбинезон             размер 2  </v>
      </c>
    </row>
    <row r="5170" spans="1:8" ht="25.5" x14ac:dyDescent="0.2">
      <c r="A5170" s="13" t="s">
        <v>12215</v>
      </c>
      <c r="B5170" s="22" t="s">
        <v>12216</v>
      </c>
      <c r="C5170" s="14"/>
      <c r="D5170" s="19" t="s">
        <v>14</v>
      </c>
      <c r="E5170" s="16"/>
      <c r="F5170" s="15"/>
      <c r="G5170" s="17">
        <v>458986</v>
      </c>
      <c r="H5170" s="18" t="str">
        <f ca="1">IFERROR(__xludf.DUMMYFUNCTION("LOWER(REGEXREPLACE(B5170&amp;"" ""&amp;C5170,""[^а-яa-z0-9 ]"","" ""))")," ейро ортопедический реабилитационный комбинезон             размер 3  ")</f>
        <v xml:space="preserve"> ейро ортопедический реабилитационный комбинезон             размер 3  </v>
      </c>
    </row>
    <row r="5171" spans="1:8" ht="25.5" x14ac:dyDescent="0.2">
      <c r="A5171" s="13" t="s">
        <v>12217</v>
      </c>
      <c r="B5171" s="22" t="s">
        <v>12218</v>
      </c>
      <c r="C5171" s="14"/>
      <c r="D5171" s="19" t="s">
        <v>14</v>
      </c>
      <c r="E5171" s="16"/>
      <c r="F5171" s="15"/>
      <c r="G5171" s="17">
        <v>458986</v>
      </c>
      <c r="H5171" s="18" t="str">
        <f ca="1">IFERROR(__xludf.DUMMYFUNCTION("LOWER(REGEXREPLACE(B5171&amp;"" ""&amp;C5171,""[^а-яa-z0-9 ]"","" ""))")," ейро ортопедический реабилитационный комбинезон             размер 4  ")</f>
        <v xml:space="preserve"> ейро ортопедический реабилитационный комбинезон             размер 4  </v>
      </c>
    </row>
    <row r="5172" spans="1:8" ht="25.5" x14ac:dyDescent="0.2">
      <c r="A5172" s="13" t="s">
        <v>12219</v>
      </c>
      <c r="B5172" s="22" t="s">
        <v>12220</v>
      </c>
      <c r="C5172" s="14"/>
      <c r="D5172" s="19" t="s">
        <v>14</v>
      </c>
      <c r="E5172" s="16"/>
      <c r="F5172" s="15"/>
      <c r="G5172" s="17">
        <v>458986</v>
      </c>
      <c r="H5172" s="18" t="str">
        <f ca="1">IFERROR(__xludf.DUMMYFUNCTION("LOWER(REGEXREPLACE(B5172&amp;"" ""&amp;C5172,""[^а-яa-z0-9 ]"","" ""))")," ейро ортопедический реабилитационный комбинезон             размер 5  ")</f>
        <v xml:space="preserve"> ейро ортопедический реабилитационный комбинезон             размер 5  </v>
      </c>
    </row>
    <row r="5173" spans="1:8" ht="25.5" x14ac:dyDescent="0.2">
      <c r="A5173" s="13" t="s">
        <v>12221</v>
      </c>
      <c r="B5173" s="22" t="s">
        <v>12222</v>
      </c>
      <c r="C5173" s="14"/>
      <c r="D5173" s="19" t="s">
        <v>14</v>
      </c>
      <c r="E5173" s="16"/>
      <c r="F5173" s="15"/>
      <c r="G5173" s="17">
        <v>458986</v>
      </c>
      <c r="H5173" s="18" t="str">
        <f ca="1">IFERROR(__xludf.DUMMYFUNCTION("LOWER(REGEXREPLACE(B5173&amp;"" ""&amp;C5173,""[^а-яa-z0-9 ]"","" ""))")," ейро ортопедический реабилитационный комбинезон             размер 6  ")</f>
        <v xml:space="preserve"> ейро ортопедический реабилитационный комбинезон             размер 6  </v>
      </c>
    </row>
    <row r="5174" spans="1:8" ht="25.5" x14ac:dyDescent="0.2">
      <c r="A5174" s="13" t="s">
        <v>12223</v>
      </c>
      <c r="B5174" s="22" t="s">
        <v>12224</v>
      </c>
      <c r="C5174" s="14"/>
      <c r="D5174" s="19" t="s">
        <v>14</v>
      </c>
      <c r="E5174" s="16"/>
      <c r="F5174" s="15"/>
      <c r="G5174" s="17">
        <v>458986</v>
      </c>
      <c r="H5174" s="18" t="str">
        <f ca="1">IFERROR(__xludf.DUMMYFUNCTION("LOWER(REGEXREPLACE(B5174&amp;"" ""&amp;C5174,""[^а-яa-z0-9 ]"","" ""))")," ейро ортопедический реабилитационный комбинезон             размер 7  ")</f>
        <v xml:space="preserve"> ейро ортопедический реабилитационный комбинезон             размер 7  </v>
      </c>
    </row>
    <row r="5175" spans="1:8" ht="25.5" x14ac:dyDescent="0.2">
      <c r="A5175" s="13" t="s">
        <v>12225</v>
      </c>
      <c r="B5175" s="22" t="s">
        <v>12226</v>
      </c>
      <c r="C5175" s="14"/>
      <c r="D5175" s="19" t="s">
        <v>14</v>
      </c>
      <c r="E5175" s="16"/>
      <c r="F5175" s="15"/>
      <c r="G5175" s="17">
        <v>458986</v>
      </c>
      <c r="H5175" s="18" t="str">
        <f ca="1">IFERROR(__xludf.DUMMYFUNCTION("LOWER(REGEXREPLACE(B5175&amp;"" ""&amp;C5175,""[^а-яa-z0-9 ]"","" ""))")," ейро ортопедический реабилитационный комбинезон             размер 8  ")</f>
        <v xml:space="preserve"> ейро ортопедический реабилитационный комбинезон             размер 8  </v>
      </c>
    </row>
    <row r="5176" spans="1:8" ht="25.5" x14ac:dyDescent="0.2">
      <c r="A5176" s="13" t="s">
        <v>12227</v>
      </c>
      <c r="B5176" s="22" t="s">
        <v>12228</v>
      </c>
      <c r="C5176" s="14"/>
      <c r="D5176" s="19" t="s">
        <v>14</v>
      </c>
      <c r="E5176" s="16"/>
      <c r="F5176" s="15"/>
      <c r="G5176" s="17">
        <v>458986</v>
      </c>
      <c r="H5176" s="18" t="str">
        <f ca="1">IFERROR(__xludf.DUMMYFUNCTION("LOWER(REGEXREPLACE(B5176&amp;"" ""&amp;C5176,""[^а-яa-z0-9 ]"","" ""))")," ейро ортопедический реабилитационный комбинезон             размер 9  ")</f>
        <v xml:space="preserve"> ейро ортопедический реабилитационный комбинезон             размер 9  </v>
      </c>
    </row>
    <row r="5177" spans="1:8" ht="25.5" x14ac:dyDescent="0.2">
      <c r="A5177" s="13" t="s">
        <v>12229</v>
      </c>
      <c r="B5177" s="22" t="s">
        <v>12230</v>
      </c>
      <c r="C5177" s="14"/>
      <c r="D5177" s="19" t="s">
        <v>14</v>
      </c>
      <c r="E5177" s="16"/>
      <c r="F5177" s="15"/>
      <c r="G5177" s="17">
        <v>458986</v>
      </c>
      <c r="H5177" s="18" t="str">
        <f ca="1">IFERROR(__xludf.DUMMYFUNCTION("LOWER(REGEXREPLACE(B5177&amp;"" ""&amp;C5177,""[^а-яa-z0-9 ]"","" ""))")," ейро ортопедический реабилитационный комбинезон             размер 10  ")</f>
        <v xml:space="preserve"> ейро ортопедический реабилитационный комбинезон             размер 10  </v>
      </c>
    </row>
    <row r="5178" spans="1:8" ht="38.25" x14ac:dyDescent="0.2">
      <c r="A5178" s="13" t="s">
        <v>12231</v>
      </c>
      <c r="B5178" s="14" t="s">
        <v>12232</v>
      </c>
      <c r="C5178" s="14"/>
      <c r="D5178" s="19" t="s">
        <v>14</v>
      </c>
      <c r="E5178" s="16"/>
      <c r="F5178" s="15"/>
      <c r="G5178" s="17"/>
      <c r="H5178" s="18" t="str">
        <f ca="1">IFERROR(__xludf.DUMMYFUNCTION("LOWER(REGEXREPLACE(B5178&amp;"" ""&amp;C5178,""[^а-яa-z0-9 ]"","" ""))")," ефлекторно нагрузочное устройство для детей с нарушением опорно двигательного аппарата  разных размеров ")</f>
        <v xml:space="preserve"> ефлекторно нагрузочное устройство для детей с нарушением опорно двигательного аппарата  разных размеров </v>
      </c>
    </row>
    <row r="5179" spans="1:8" ht="25.5" x14ac:dyDescent="0.2">
      <c r="A5179" s="13" t="s">
        <v>12233</v>
      </c>
      <c r="B5179" s="22" t="s">
        <v>12234</v>
      </c>
      <c r="C5179" s="14"/>
      <c r="D5179" s="19" t="s">
        <v>14</v>
      </c>
      <c r="E5179" s="16"/>
      <c r="F5179" s="15"/>
      <c r="G5179" s="17">
        <v>1056535</v>
      </c>
      <c r="H5179" s="18" t="str">
        <f ca="1">IFERROR(__xludf.DUMMYFUNCTION("LOWER(REGEXREPLACE(B5179&amp;"" ""&amp;C5179,""[^а-яa-z0-9 ]"","" ""))")," ефлекторно нагрузочное устройство   равитон    равистат   ")</f>
        <v xml:space="preserve"> ефлекторно нагрузочное устройство   равитон    равистат   </v>
      </c>
    </row>
    <row r="5180" spans="1:8" ht="25.5" x14ac:dyDescent="0.2">
      <c r="A5180" s="13" t="s">
        <v>12235</v>
      </c>
      <c r="B5180" s="22" t="s">
        <v>12236</v>
      </c>
      <c r="C5180" s="14"/>
      <c r="D5180" s="19" t="s">
        <v>14</v>
      </c>
      <c r="E5180" s="16"/>
      <c r="F5180" s="15"/>
      <c r="G5180" s="17"/>
      <c r="H5180" s="18" t="str">
        <f ca="1">IFERROR(__xludf.DUMMYFUNCTION("LOWER(REGEXREPLACE(B5180&amp;"" ""&amp;C5180,""[^а-яa-z0-9 ]"","" ""))")," ункциональная стойка  вертикализатор с задним наклоном  ")</f>
        <v xml:space="preserve"> ункциональная стойка  вертикализатор с задним наклоном  </v>
      </c>
    </row>
    <row r="5181" spans="1:8" ht="25.5" x14ac:dyDescent="0.2">
      <c r="A5181" s="13" t="s">
        <v>12237</v>
      </c>
      <c r="B5181" s="22" t="s">
        <v>12238</v>
      </c>
      <c r="C5181" s="14"/>
      <c r="D5181" s="19" t="s">
        <v>14</v>
      </c>
      <c r="E5181" s="16"/>
      <c r="F5181" s="15"/>
      <c r="G5181" s="17">
        <v>4390682</v>
      </c>
      <c r="H5181" s="18" t="str">
        <f ca="1">IFERROR(__xludf.DUMMYFUNCTION("LOWER(REGEXREPLACE(B5181&amp;"" ""&amp;C5181,""[^а-яa-z0-9 ]"","" ""))")," ункциональная стойка  малый вертикализатор   ifton  420 ")</f>
        <v xml:space="preserve"> ункциональная стойка  малый вертикализатор   ifton  420 </v>
      </c>
    </row>
    <row r="5182" spans="1:8" ht="12.75" x14ac:dyDescent="0.2">
      <c r="A5182" s="13" t="s">
        <v>12239</v>
      </c>
      <c r="B5182" s="14" t="s">
        <v>12240</v>
      </c>
      <c r="C5182" s="14"/>
      <c r="D5182" s="19" t="s">
        <v>14</v>
      </c>
      <c r="E5182" s="16"/>
      <c r="F5182" s="15"/>
      <c r="G5182" s="17">
        <v>5975484</v>
      </c>
      <c r="H5182" s="18" t="str">
        <f ca="1">IFERROR(__xludf.DUMMYFUNCTION("LOWER(REGEXREPLACE(B5182&amp;"" ""&amp;C5182,""[^а-яa-z0-9 ]"","" ""))")," ункциональная стойка  ifton  430 ")</f>
        <v xml:space="preserve"> ункциональная стойка  ifton  430 </v>
      </c>
    </row>
    <row r="5183" spans="1:8" ht="12.75" x14ac:dyDescent="0.2">
      <c r="A5183" s="45" t="s">
        <v>12241</v>
      </c>
      <c r="B5183" s="46" t="s">
        <v>12242</v>
      </c>
      <c r="C5183" s="14"/>
      <c r="D5183" s="50" t="s">
        <v>14</v>
      </c>
      <c r="E5183" s="48"/>
      <c r="F5183" s="47"/>
      <c r="G5183" s="17"/>
      <c r="H5183" s="18" t="str">
        <f ca="1">IFERROR(__xludf.DUMMYFUNCTION("LOWER(REGEXREPLACE(B5183&amp;"" ""&amp;C5183,""[^а-яa-z0-9 ]"","" ""))")," ертикализатор стойка ")</f>
        <v xml:space="preserve"> ертикализатор стойка </v>
      </c>
    </row>
    <row r="5184" spans="1:8" ht="12.75" x14ac:dyDescent="0.2">
      <c r="A5184" s="13" t="s">
        <v>12243</v>
      </c>
      <c r="B5184" s="14" t="s">
        <v>12244</v>
      </c>
      <c r="C5184" s="14"/>
      <c r="D5184" s="19" t="s">
        <v>14</v>
      </c>
      <c r="E5184" s="16"/>
      <c r="F5184" s="15"/>
      <c r="G5184" s="17">
        <v>385375</v>
      </c>
      <c r="H5184" s="18" t="str">
        <f ca="1">IFERROR(__xludf.DUMMYFUNCTION("LOWER(REGEXREPLACE(B5184&amp;"" ""&amp;C5184,""[^а-яa-z0-9 ]"","" ""))")," ертикализатор стойка    38 02 02 ")</f>
        <v xml:space="preserve"> ертикализатор стойка    38 02 02 </v>
      </c>
    </row>
    <row r="5185" spans="1:8" ht="12.75" x14ac:dyDescent="0.2">
      <c r="A5185" s="13" t="s">
        <v>12245</v>
      </c>
      <c r="B5185" s="14" t="s">
        <v>12246</v>
      </c>
      <c r="C5185" s="14"/>
      <c r="D5185" s="19" t="s">
        <v>14</v>
      </c>
      <c r="E5185" s="16"/>
      <c r="F5185" s="15"/>
      <c r="G5185" s="17"/>
      <c r="H5185" s="18" t="str">
        <f ca="1">IFERROR(__xludf.DUMMYFUNCTION("LOWER(REGEXREPLACE(B5185&amp;"" ""&amp;C5185,""[^а-яa-z0-9 ]"","" ""))")," ертикализатор наклонный ")</f>
        <v xml:space="preserve"> ертикализатор наклонный </v>
      </c>
    </row>
    <row r="5186" spans="1:8" ht="12.75" x14ac:dyDescent="0.2">
      <c r="A5186" s="13" t="s">
        <v>12247</v>
      </c>
      <c r="B5186" s="14" t="s">
        <v>12248</v>
      </c>
      <c r="C5186" s="14"/>
      <c r="D5186" s="19" t="s">
        <v>14</v>
      </c>
      <c r="E5186" s="16"/>
      <c r="F5186" s="15"/>
      <c r="G5186" s="17">
        <v>405294</v>
      </c>
      <c r="H5186" s="18" t="str">
        <f ca="1">IFERROR(__xludf.DUMMYFUNCTION("LOWER(REGEXREPLACE(B5186&amp;"" ""&amp;C5186,""[^а-яa-z0-9 ]"","" ""))")," ертикализатор наклонный    38 01 01 ")</f>
        <v xml:space="preserve"> ертикализатор наклонный    38 01 01 </v>
      </c>
    </row>
    <row r="5187" spans="1:8" ht="12.75" x14ac:dyDescent="0.2">
      <c r="A5187" s="13" t="s">
        <v>12249</v>
      </c>
      <c r="B5187" s="14" t="s">
        <v>12250</v>
      </c>
      <c r="C5187" s="14"/>
      <c r="D5187" s="19" t="s">
        <v>14</v>
      </c>
      <c r="E5187" s="16"/>
      <c r="F5187" s="15"/>
      <c r="G5187" s="17">
        <v>433006</v>
      </c>
      <c r="H5187" s="18" t="str">
        <f ca="1">IFERROR(__xludf.DUMMYFUNCTION("LOWER(REGEXREPLACE(B5187&amp;"" ""&amp;C5187,""[^а-яa-z0-9 ]"","" ""))")," ертикализатор наклонный    38 01 02 ")</f>
        <v xml:space="preserve"> ертикализатор наклонный    38 01 02 </v>
      </c>
    </row>
    <row r="5188" spans="1:8" ht="12.75" x14ac:dyDescent="0.2">
      <c r="A5188" s="13" t="s">
        <v>12251</v>
      </c>
      <c r="B5188" s="14" t="s">
        <v>12252</v>
      </c>
      <c r="C5188" s="14"/>
      <c r="D5188" s="19" t="s">
        <v>14</v>
      </c>
      <c r="E5188" s="16"/>
      <c r="F5188" s="15"/>
      <c r="G5188" s="17">
        <v>497957</v>
      </c>
      <c r="H5188" s="18" t="str">
        <f ca="1">IFERROR(__xludf.DUMMYFUNCTION("LOWER(REGEXREPLACE(B5188&amp;"" ""&amp;C5188,""[^а-яa-z0-9 ]"","" ""))")," ертикализатор наклонный    38 01 03 ")</f>
        <v xml:space="preserve"> ертикализатор наклонный    38 01 03 </v>
      </c>
    </row>
    <row r="5189" spans="1:8" ht="38.25" x14ac:dyDescent="0.2">
      <c r="A5189" s="13" t="s">
        <v>12253</v>
      </c>
      <c r="B5189" s="14" t="s">
        <v>12254</v>
      </c>
      <c r="C5189" s="14"/>
      <c r="D5189" s="19" t="s">
        <v>68</v>
      </c>
      <c r="E5189" s="16"/>
      <c r="F5189" s="15"/>
      <c r="G5189" s="17"/>
      <c r="H5189" s="18" t="str">
        <f ca="1">IFERROR(__xludf.DUMMYFUNCTION("LOWER(REGEXREPLACE(B5189&amp;"" ""&amp;C5189,""[^а-яa-z0-9 ]"","" ""))")," ниверсальная система для лежачего положения для подростков с нарушением опорно двигательного аппарата ")</f>
        <v xml:space="preserve"> ниверсальная система для лежачего положения для подростков с нарушением опорно двигательного аппарата </v>
      </c>
    </row>
    <row r="5190" spans="1:8" ht="25.5" x14ac:dyDescent="0.2">
      <c r="A5190" s="13" t="s">
        <v>12255</v>
      </c>
      <c r="B5190" s="22" t="s">
        <v>12256</v>
      </c>
      <c r="C5190" s="14"/>
      <c r="D5190" s="19" t="s">
        <v>68</v>
      </c>
      <c r="E5190" s="16"/>
      <c r="F5190" s="15"/>
      <c r="G5190" s="17">
        <v>2701958</v>
      </c>
      <c r="H5190" s="18" t="str">
        <f ca="1">IFERROR(__xludf.DUMMYFUNCTION("LOWER(REGEXREPLACE(B5190&amp;"" ""&amp;C5190,""[^а-яa-z0-9 ]"","" ""))")," ниверсальная система   узнечик       atterson  edical ")</f>
        <v xml:space="preserve"> ниверсальная система   узнечик       atterson  edical </v>
      </c>
    </row>
    <row r="5191" spans="1:8" ht="12.75" x14ac:dyDescent="0.2">
      <c r="A5191" s="13" t="s">
        <v>12257</v>
      </c>
      <c r="B5191" s="14" t="s">
        <v>4919</v>
      </c>
      <c r="C5191" s="14"/>
      <c r="D5191" s="15"/>
      <c r="E5191" s="16"/>
      <c r="F5191" s="15"/>
      <c r="G5191" s="17"/>
      <c r="H5191" s="18" t="str">
        <f ca="1">IFERROR(__xludf.DUMMYFUNCTION("LOWER(REGEXREPLACE(B5191&amp;"" ""&amp;C5191,""[^а-яa-z0-9 ]"","" ""))")," пециальная мебель ")</f>
        <v xml:space="preserve"> пециальная мебель </v>
      </c>
    </row>
    <row r="5192" spans="1:8" ht="12.75" x14ac:dyDescent="0.2">
      <c r="A5192" s="13" t="s">
        <v>12258</v>
      </c>
      <c r="B5192" s="14" t="s">
        <v>12259</v>
      </c>
      <c r="C5192" s="14"/>
      <c r="D5192" s="19" t="s">
        <v>14</v>
      </c>
      <c r="E5192" s="16"/>
      <c r="F5192" s="15"/>
      <c r="G5192" s="17"/>
      <c r="H5192" s="18" t="str">
        <f ca="1">IFERROR(__xludf.DUMMYFUNCTION("LOWER(REGEXREPLACE(B5192&amp;"" ""&amp;C5192,""[^а-яa-z0-9 ]"","" ""))")," тул ортопедический ")</f>
        <v xml:space="preserve"> тул ортопедический </v>
      </c>
    </row>
    <row r="5193" spans="1:8" ht="12.75" x14ac:dyDescent="0.2">
      <c r="A5193" s="13" t="s">
        <v>12260</v>
      </c>
      <c r="B5193" s="14" t="s">
        <v>12261</v>
      </c>
      <c r="C5193" s="14"/>
      <c r="D5193" s="19" t="s">
        <v>14</v>
      </c>
      <c r="E5193" s="16"/>
      <c r="F5193" s="15"/>
      <c r="G5193" s="17">
        <v>381045</v>
      </c>
      <c r="H5193" s="18" t="str">
        <f ca="1">IFERROR(__xludf.DUMMYFUNCTION("LOWER(REGEXREPLACE(B5193&amp;"" ""&amp;C5193,""[^а-яa-z0-9 ]"","" ""))")," тул ортопедический    37 01 01 ")</f>
        <v xml:space="preserve"> тул ортопедический    37 01 01 </v>
      </c>
    </row>
    <row r="5194" spans="1:8" ht="12.75" x14ac:dyDescent="0.2">
      <c r="A5194" s="13" t="s">
        <v>12262</v>
      </c>
      <c r="B5194" s="14" t="s">
        <v>12263</v>
      </c>
      <c r="C5194" s="14"/>
      <c r="D5194" s="19" t="s">
        <v>14</v>
      </c>
      <c r="E5194" s="16"/>
      <c r="F5194" s="15"/>
      <c r="G5194" s="17">
        <v>424346</v>
      </c>
      <c r="H5194" s="18" t="str">
        <f ca="1">IFERROR(__xludf.DUMMYFUNCTION("LOWER(REGEXREPLACE(B5194&amp;"" ""&amp;C5194,""[^а-яa-z0-9 ]"","" ""))")," тул ортопедический    37 01 02 ")</f>
        <v xml:space="preserve"> тул ортопедический    37 01 02 </v>
      </c>
    </row>
    <row r="5195" spans="1:8" ht="12.75" x14ac:dyDescent="0.2">
      <c r="A5195" s="13" t="s">
        <v>12264</v>
      </c>
      <c r="B5195" s="14" t="s">
        <v>12265</v>
      </c>
      <c r="C5195" s="14"/>
      <c r="D5195" s="19" t="s">
        <v>14</v>
      </c>
      <c r="E5195" s="16"/>
      <c r="F5195" s="15"/>
      <c r="G5195" s="17">
        <v>633055</v>
      </c>
      <c r="H5195" s="18" t="str">
        <f ca="1">IFERROR(__xludf.DUMMYFUNCTION("LOWER(REGEXREPLACE(B5195&amp;"" ""&amp;C5195,""[^а-яa-z0-9 ]"","" ""))")," тул ортопедический    37 01 03 ")</f>
        <v xml:space="preserve"> тул ортопедический    37 01 03 </v>
      </c>
    </row>
  </sheetData>
  <autoFilter ref="A1:Z519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885"/>
  <sheetViews>
    <sheetView showGridLines="0" workbookViewId="0">
      <pane ySplit="1" topLeftCell="A2" activePane="bottomLeft" state="frozen"/>
      <selection pane="bottomLeft" activeCell="B3" sqref="B3"/>
    </sheetView>
  </sheetViews>
  <sheetFormatPr defaultColWidth="12.5703125" defaultRowHeight="15.75" customHeight="1" x14ac:dyDescent="0.2"/>
  <cols>
    <col min="1" max="1" width="14.42578125" customWidth="1"/>
    <col min="2" max="2" width="13.85546875" customWidth="1"/>
    <col min="3" max="3" width="13.140625" customWidth="1"/>
    <col min="4" max="4" width="41.42578125" customWidth="1"/>
    <col min="5" max="5" width="102.28515625" customWidth="1"/>
    <col min="8" max="8" width="24.42578125" customWidth="1"/>
    <col min="9" max="10" width="55" customWidth="1"/>
  </cols>
  <sheetData>
    <row r="1" spans="1:10" x14ac:dyDescent="0.2">
      <c r="A1" s="55" t="s">
        <v>12269</v>
      </c>
      <c r="B1" s="55" t="s">
        <v>7</v>
      </c>
      <c r="C1" s="51" t="s">
        <v>0</v>
      </c>
      <c r="D1" s="52" t="s">
        <v>12266</v>
      </c>
      <c r="E1" s="52" t="s">
        <v>2</v>
      </c>
      <c r="F1" s="53" t="s">
        <v>12267</v>
      </c>
      <c r="G1" s="54" t="s">
        <v>12268</v>
      </c>
      <c r="I1" s="5"/>
      <c r="J1" s="5"/>
    </row>
    <row r="2" spans="1:10" x14ac:dyDescent="0.2">
      <c r="A2" s="59" t="str">
        <f ca="1">IFERROR(__xludf.DUMMYFUNCTION("TEXTJOIN(""|"",TRUE,UNIQUE(FILTER(SPLIT(B2,"" ""),LEN(SPLIT(B2,"" ""))&gt;2)))"),"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f>
        <v>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v>
      </c>
      <c r="B2" s="59" t="str">
        <f ca="1">IFERROR(__xludf.DUMMYFUNCTION("REGEXREPLACE(D2&amp;"" ""&amp;E2,""[^а-яa-z0-9 ]"","" "")"),"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f>
        <v xml:space="preserve">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v>
      </c>
      <c r="C2" s="56"/>
      <c r="D2" s="56" t="s">
        <v>12270</v>
      </c>
      <c r="E2" s="56" t="s">
        <v>12271</v>
      </c>
      <c r="F2" s="57">
        <v>300900</v>
      </c>
      <c r="G2" s="58">
        <v>1</v>
      </c>
      <c r="H2" s="66" t="s">
        <v>22449</v>
      </c>
      <c r="I2" s="5"/>
      <c r="J2" s="5"/>
    </row>
    <row r="3" spans="1:10" x14ac:dyDescent="0.2">
      <c r="A3" s="59" t="str">
        <f ca="1">IFERROR(__xludf.DUMMYFUNCTION("TEXTJOIN(""|"",TRUE,UNIQUE(FILTER(SPLIT(B3,"" ""),LEN(SPLIT(B3,"" ""))&gt;2)))"),"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f>
        <v>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v>
      </c>
      <c r="B3" s="59" t="str">
        <f ca="1">IFERROR(__xludf.DUMMYFUNCTION("LOWER(REGEXREPLACE(D3&amp;"" ""&amp;E3,""[^а-яa-z0-9 ]"","" ""))"),"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f>
        <v xml:space="preserve">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v>
      </c>
      <c r="C3" s="56"/>
      <c r="D3" s="56" t="s">
        <v>12272</v>
      </c>
      <c r="E3" s="56" t="s">
        <v>12273</v>
      </c>
      <c r="F3" s="57">
        <v>1627750</v>
      </c>
      <c r="G3" s="58">
        <v>1</v>
      </c>
      <c r="H3" s="66" t="s">
        <v>22449</v>
      </c>
      <c r="I3" s="5"/>
      <c r="J3" s="5"/>
    </row>
    <row r="4" spans="1:10" x14ac:dyDescent="0.2">
      <c r="A4" s="59" t="str">
        <f ca="1">IFERROR(__xludf.DUMMYFUNCTION("TEXTJOIN(""|"",TRUE,UNIQUE(FILTER(SPLIT(B4,"" ""),LEN(SPLIT(B4,"" ""))&gt;2)))"),"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f>
        <v>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v>
      </c>
      <c r="B4" s="59" t="str">
        <f ca="1">IFERROR(__xludf.DUMMYFUNCTION("LOWER(REGEXREPLACE(D4&amp;"" ""&amp;E4,""[^а-яa-z0-9 ]"","" ""))"),"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f>
        <v xml:space="preserve">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v>
      </c>
      <c r="C4" s="56"/>
      <c r="D4" s="56" t="s">
        <v>12274</v>
      </c>
      <c r="E4" s="56" t="s">
        <v>12275</v>
      </c>
      <c r="F4" s="57">
        <v>104210</v>
      </c>
      <c r="G4" s="60">
        <v>1</v>
      </c>
      <c r="H4" s="66" t="s">
        <v>22449</v>
      </c>
      <c r="I4" s="5"/>
      <c r="J4" s="5"/>
    </row>
    <row r="5" spans="1:10" x14ac:dyDescent="0.2">
      <c r="A5" s="59" t="str">
        <f ca="1">IFERROR(__xludf.DUMMYFUNCTION("TEXTJOIN(""|"",TRUE,UNIQUE(FILTER(SPLIT(B5,"" ""),LEN(SPLIT(B5,"" ""))&gt;2)))"),"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f>
        <v>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v>
      </c>
      <c r="B5" s="59" t="str">
        <f ca="1">IFERROR(__xludf.DUMMYFUNCTION("LOWER(REGEXREPLACE(D5&amp;"" ""&amp;E5,""[^а-яa-z0-9 ]"","" ""))"),"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f>
        <v xml:space="preserve">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v>
      </c>
      <c r="C5" s="56"/>
      <c r="D5" s="56" t="s">
        <v>12276</v>
      </c>
      <c r="E5" s="56" t="s">
        <v>12277</v>
      </c>
      <c r="F5" s="57">
        <v>2419100</v>
      </c>
      <c r="G5" s="58">
        <v>1</v>
      </c>
      <c r="H5" s="66" t="s">
        <v>22449</v>
      </c>
      <c r="I5" s="5"/>
      <c r="J5" s="5"/>
    </row>
    <row r="6" spans="1:10" x14ac:dyDescent="0.2">
      <c r="A6" s="59" t="str">
        <f ca="1">IFERROR(__xludf.DUMMYFUNCTION("TEXTJOIN(""|"",TRUE,UNIQUE(FILTER(SPLIT(B6,"" ""),LEN(SPLIT(B6,"" ""))&gt;2)))"),"ппарат|для|терапии|ультравысокой|частоты|терапия|ппарат|терапии")</f>
        <v>ппарат|для|терапии|ультравысокой|частоты|терапия|ппарат|терапии</v>
      </c>
      <c r="B6" s="59" t="str">
        <f ca="1">IFERROR(__xludf.DUMMYFUNCTION("LOWER(REGEXREPLACE(D6&amp;"" ""&amp;E6,""[^а-яa-z0-9 ]"","" ""))")," ппарат для терапии ультравысокой частоты      терапия   ппарат     терапии       30   ед  е о ")</f>
        <v xml:space="preserve"> ппарат для терапии ультравысокой частоты      терапия   ппарат     терапии       30   ед  е о </v>
      </c>
      <c r="C6" s="56"/>
      <c r="D6" s="56" t="s">
        <v>12278</v>
      </c>
      <c r="E6" s="56" t="s">
        <v>12279</v>
      </c>
      <c r="F6" s="57">
        <v>2023000</v>
      </c>
      <c r="G6" s="58">
        <v>1</v>
      </c>
      <c r="H6" s="66" t="s">
        <v>22449</v>
      </c>
      <c r="I6" s="5"/>
      <c r="J6" s="5"/>
    </row>
    <row r="7" spans="1:10" x14ac:dyDescent="0.2">
      <c r="A7" s="59" t="str">
        <f ca="1">IFERROR(__xludf.DUMMYFUNCTION("TEXTJOIN(""|"",TRUE,UNIQUE(FILTER(SPLIT(B7,"" ""),LEN(SPLIT(B7,"" ""))&gt;2)))"),"едро|для|воды|ведро|для|воды")</f>
        <v>едро|для|воды|ведро|для|воды</v>
      </c>
      <c r="B7" s="59" t="str">
        <f ca="1">IFERROR(__xludf.DUMMYFUNCTION("LOWER(REGEXREPLACE(D7&amp;"" ""&amp;E7,""[^а-яa-z0-9 ]"","" ""))")," едро для воды 10 л ведро для воды 10 л")</f>
        <v xml:space="preserve"> едро для воды 10 л ведро для воды 10 л</v>
      </c>
      <c r="C7" s="56"/>
      <c r="D7" s="56" t="s">
        <v>12280</v>
      </c>
      <c r="E7" s="56" t="s">
        <v>12281</v>
      </c>
      <c r="F7" s="57">
        <v>1800</v>
      </c>
      <c r="G7" s="58">
        <v>1</v>
      </c>
      <c r="H7" s="66" t="s">
        <v>22449</v>
      </c>
      <c r="I7" s="5"/>
      <c r="J7" s="5"/>
    </row>
    <row r="8" spans="1:10" x14ac:dyDescent="0.2">
      <c r="A8" s="59" t="str">
        <f ca="1">IFERROR(__xludf.DUMMYFUNCTION("TEXTJOIN(""|"",TRUE,UNIQUE(FILTER(SPLIT(B8,"" ""),LEN(SPLIT(B8,"" ""))&gt;2)))"),"етоши|кань|обтирочная|нетканая|холстопрошивная|ширина|140см")</f>
        <v>етоши|кань|обтирочная|нетканая|холстопрошивная|ширина|140см</v>
      </c>
      <c r="B8" s="59" t="str">
        <f ca="1">IFERROR(__xludf.DUMMYFUNCTION("LOWER(REGEXREPLACE(D8&amp;"" ""&amp;E8,""[^а-яa-z0-9 ]"","" ""))")," етоши   кань обтирочная нетканая холстопрошивная  ширина 140см")</f>
        <v xml:space="preserve"> етоши   кань обтирочная нетканая холстопрошивная  ширина 140см</v>
      </c>
      <c r="C8" s="56"/>
      <c r="D8" s="56" t="s">
        <v>12282</v>
      </c>
      <c r="E8" s="56" t="s">
        <v>12283</v>
      </c>
      <c r="F8" s="57">
        <v>61200</v>
      </c>
      <c r="G8" s="58">
        <v>10</v>
      </c>
      <c r="H8" s="66" t="s">
        <v>22449</v>
      </c>
      <c r="I8" s="5"/>
      <c r="J8" s="5"/>
    </row>
    <row r="9" spans="1:10" x14ac:dyDescent="0.2">
      <c r="A9" s="59" t="str">
        <f ca="1">IFERROR(__xludf.DUMMYFUNCTION("TEXTJOIN(""|"",TRUE,UNIQUE(FILTER(SPLIT(B9,"" ""),LEN(SPLIT(B9,"" ""))&gt;2)))"),"релка|резиновая|релка|резиновая|это|резиновый|баллон|объемом|2000|завинчивающейся|крышкой")</f>
        <v>релка|резиновая|релка|резиновая|это|резиновый|баллон|объемом|2000|завинчивающейся|крышкой</v>
      </c>
      <c r="B9" s="59" t="str">
        <f ca="1">IFERROR(__xludf.DUMMYFUNCTION("LOWER(REGEXREPLACE(D9&amp;"" ""&amp;E9,""[^а-яa-z0-9 ]"","" ""))")," релка резиновая  релка резиновая   это резиновый баллон с объемом 2000 мл с завинчивающейся крышкой ")</f>
        <v xml:space="preserve"> релка резиновая  релка резиновая   это резиновый баллон с объемом 2000 мл с завинчивающейся крышкой </v>
      </c>
      <c r="C9" s="56"/>
      <c r="D9" s="56" t="s">
        <v>12284</v>
      </c>
      <c r="E9" s="56" t="s">
        <v>12285</v>
      </c>
      <c r="F9" s="57">
        <v>4900</v>
      </c>
      <c r="G9" s="58">
        <v>2</v>
      </c>
      <c r="H9" s="66" t="s">
        <v>22449</v>
      </c>
      <c r="I9" s="5"/>
      <c r="J9" s="5"/>
    </row>
    <row r="10" spans="1:10" x14ac:dyDescent="0.2">
      <c r="A10" s="59" t="str">
        <f ca="1">IFERROR(__xludf.DUMMYFUNCTION("TEXTJOIN(""|"",TRUE,UNIQUE(FILTER(SPLIT(B10,"" ""),LEN(SPLIT(B10,"" ""))&gt;2)))"),"озатор|для|антисептика|едицинский|локтевой|дозатор|для|антисептика|1000")</f>
        <v>озатор|для|антисептика|едицинский|локтевой|дозатор|для|антисептика|1000</v>
      </c>
      <c r="B10" s="59" t="str">
        <f ca="1">IFERROR(__xludf.DUMMYFUNCTION("LOWER(REGEXREPLACE(D10&amp;"" ""&amp;E10,""[^а-яa-z0-9 ]"","" ""))")," озатор для антисептика  едицинский локтевой дозатор для антисептика 1000 мл ")</f>
        <v xml:space="preserve"> озатор для антисептика  едицинский локтевой дозатор для антисептика 1000 мл </v>
      </c>
      <c r="C10" s="56"/>
      <c r="D10" s="56" t="s">
        <v>12286</v>
      </c>
      <c r="E10" s="56" t="s">
        <v>12287</v>
      </c>
      <c r="F10" s="57">
        <v>13500</v>
      </c>
      <c r="G10" s="58">
        <v>2</v>
      </c>
      <c r="H10" s="66" t="s">
        <v>22449</v>
      </c>
      <c r="I10" s="5"/>
      <c r="J10" s="5"/>
    </row>
    <row r="11" spans="1:10" x14ac:dyDescent="0.2">
      <c r="A11" s="59" t="str">
        <f ca="1">IFERROR(__xludf.DUMMYFUNCTION("TEXTJOIN(""|"",TRUE,UNIQUE(FILTER(SPLIT(B11,"" ""),LEN(SPLIT(B11,"" ""))&gt;2)))"),"озатор|для|житкого|мыла|озатор|для|жидкого|мыла")</f>
        <v>озатор|для|житкого|мыла|озатор|для|жидкого|мыла</v>
      </c>
      <c r="B11" s="59" t="str">
        <f ca="1">IFERROR(__xludf.DUMMYFUNCTION("LOWER(REGEXREPLACE(D11&amp;"" ""&amp;E11,""[^а-яa-z0-9 ]"","" ""))")," озатор для житкого мыла  озатор для жидкого мыла")</f>
        <v xml:space="preserve"> озатор для житкого мыла  озатор для жидкого мыла</v>
      </c>
      <c r="C11" s="56"/>
      <c r="D11" s="56" t="s">
        <v>12288</v>
      </c>
      <c r="E11" s="56" t="s">
        <v>12289</v>
      </c>
      <c r="F11" s="57">
        <v>12000</v>
      </c>
      <c r="G11" s="58">
        <v>2</v>
      </c>
      <c r="H11" s="66" t="s">
        <v>22449</v>
      </c>
      <c r="I11" s="5"/>
      <c r="J11" s="5"/>
    </row>
    <row r="12" spans="1:10" x14ac:dyDescent="0.2">
      <c r="A12" s="59" t="str">
        <f ca="1">IFERROR(__xludf.DUMMYFUNCTION("TEXTJOIN(""|"",TRUE,UNIQUE(FILTER(SPLIT(B12,"" ""),LEN(SPLIT(B12,"" ""))&gt;2)))"),"мкости|для|дезинфекции|инструментов|поверхностей|мкость|контейнер|для|дезинфекции|предстерилизационной|обработки")</f>
        <v>мкости|для|дезинфекции|инструментов|поверхностей|мкость|контейнер|для|дезинфекции|предстерилизационной|обработки</v>
      </c>
      <c r="B12" s="59" t="str">
        <f ca="1">IFERROR(__xludf.DUMMYFUNCTION("LOWER(REGEXREPLACE(D12&amp;"" ""&amp;E12,""[^а-яa-z0-9 ]"","" ""))")," мкости для дезинфекции инструментов и поверхностей  мкость контейнер для дезинфекции и  предстерилизационной обработки")</f>
        <v xml:space="preserve"> мкости для дезинфекции инструментов и поверхностей  мкость контейнер для дезинфекции и  предстерилизационной обработки</v>
      </c>
      <c r="C12" s="56"/>
      <c r="D12" s="56" t="s">
        <v>12290</v>
      </c>
      <c r="E12" s="56" t="s">
        <v>12291</v>
      </c>
      <c r="F12" s="57">
        <v>14490</v>
      </c>
      <c r="G12" s="58">
        <v>1</v>
      </c>
      <c r="H12" s="66" t="s">
        <v>22449</v>
      </c>
      <c r="I12" s="5"/>
      <c r="J12" s="5"/>
    </row>
    <row r="13" spans="1:10" x14ac:dyDescent="0.2">
      <c r="A13" s="59" t="str">
        <f ca="1">IFERROR(__xludf.DUMMYFUNCTION("TEXTJOIN(""|"",TRUE,UNIQUE(FILTER(SPLIT(B13,"" ""),LEN(SPLIT(B13,"" ""))&gt;2)))"),"мкость|для|дезинфицирующих|растворов|мкость|контейнер")</f>
        <v>мкость|для|дезинфицирующих|растворов|мкость|контейнер</v>
      </c>
      <c r="B13" s="59" t="str">
        <f ca="1">IFERROR(__xludf.DUMMYFUNCTION("LOWER(REGEXREPLACE(D13&amp;"" ""&amp;E13,""[^а-яa-z0-9 ]"","" ""))")," мкость для дезинфицирующих растворов  мкость контейнер")</f>
        <v xml:space="preserve"> мкость для дезинфицирующих растворов  мкость контейнер</v>
      </c>
      <c r="C13" s="56"/>
      <c r="D13" s="56" t="s">
        <v>12292</v>
      </c>
      <c r="E13" s="56" t="s">
        <v>12293</v>
      </c>
      <c r="F13" s="57">
        <v>14220</v>
      </c>
      <c r="G13" s="58">
        <v>1</v>
      </c>
      <c r="H13" s="66" t="s">
        <v>22449</v>
      </c>
      <c r="I13" s="5"/>
      <c r="J13" s="5"/>
    </row>
    <row r="14" spans="1:10" x14ac:dyDescent="0.2">
      <c r="A14" s="59" t="str">
        <f ca="1">IFERROR(__xludf.DUMMYFUNCTION("TEXTJOIN(""|"",TRUE,UNIQUE(FILTER(SPLIT(B14,"" ""),LEN(SPLIT(B14,"" ""))&gt;2)))"),"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f>
        <v>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v>
      </c>
      <c r="B14" s="59" t="str">
        <f ca="1">IFERROR(__xludf.DUMMYFUNCTION("LOWER(REGEXREPLACE(D14&amp;"" ""&amp;E14,""[^а-яa-z0-9 ]"","" ""))"),"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ли"&amp;"тров")</f>
        <v xml:space="preserve">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литров</v>
      </c>
      <c r="C14" s="56"/>
      <c r="D14" s="56" t="s">
        <v>12294</v>
      </c>
      <c r="E14" s="56" t="s">
        <v>12295</v>
      </c>
      <c r="F14" s="57">
        <v>31860</v>
      </c>
      <c r="G14" s="58">
        <v>2</v>
      </c>
      <c r="H14" s="66" t="s">
        <v>22449</v>
      </c>
      <c r="I14" s="5"/>
      <c r="J14" s="5"/>
    </row>
    <row r="15" spans="1:10" x14ac:dyDescent="0.2">
      <c r="A15" s="59" t="str">
        <f ca="1">IFERROR(__xludf.DUMMYFUNCTION("TEXTJOIN(""|"",TRUE,UNIQUE(FILTER(SPLIT(B15,"" ""),LEN(SPLIT(B15,"" ""))&gt;2)))"),"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f>
        <v>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v>
      </c>
      <c r="B15" s="59" t="str">
        <f ca="1">IFERROR(__xludf.DUMMYFUNCTION("LOWER(REGEXREPLACE(D15&amp;"" ""&amp;E15,""[^а-яa-z0-9 ]"","" ""))"),"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f>
        <v xml:space="preserve">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v>
      </c>
      <c r="C15" s="56"/>
      <c r="D15" s="56" t="s">
        <v>12296</v>
      </c>
      <c r="E15" s="56" t="s">
        <v>12297</v>
      </c>
      <c r="F15" s="57">
        <v>198000</v>
      </c>
      <c r="G15" s="58">
        <v>1</v>
      </c>
      <c r="H15" s="66" t="s">
        <v>22449</v>
      </c>
      <c r="I15" s="5"/>
      <c r="J15" s="5"/>
    </row>
    <row r="16" spans="1:10" x14ac:dyDescent="0.2">
      <c r="A16" s="59" t="str">
        <f ca="1">IFERROR(__xludf.DUMMYFUNCTION("TEXTJOIN(""|"",TRUE,UNIQUE(FILTER(SPLIT(B16,"" ""),LEN(SPLIT(B16,"" ""))&gt;2)))"),"гут|резиновый|спользуется|для|временной|остановки|кровотечения|при|проведении|медицинских|процедур")</f>
        <v>гут|резиновый|спользуется|для|временной|остановки|кровотечения|при|проведении|медицинских|процедур</v>
      </c>
      <c r="B16" s="59" t="str">
        <f ca="1">IFERROR(__xludf.DUMMYFUNCTION("LOWER(REGEXREPLACE(D16&amp;"" ""&amp;E16,""[^а-яa-z0-9 ]"","" ""))")," гут резиновый  спользуется для временной остановки кровотечения и при проведении медицинских процедур ")</f>
        <v xml:space="preserve"> гут резиновый  спользуется для временной остановки кровотечения и при проведении медицинских процедур </v>
      </c>
      <c r="C16" s="56"/>
      <c r="D16" s="56" t="s">
        <v>12298</v>
      </c>
      <c r="E16" s="56" t="s">
        <v>12299</v>
      </c>
      <c r="F16" s="57">
        <v>2810</v>
      </c>
      <c r="G16" s="58">
        <v>2</v>
      </c>
      <c r="H16" s="66" t="s">
        <v>22449</v>
      </c>
      <c r="I16" s="5"/>
      <c r="J16" s="5"/>
    </row>
    <row r="17" spans="1:10" x14ac:dyDescent="0.2">
      <c r="A17" s="59" t="str">
        <f ca="1">IFERROR(__xludf.DUMMYFUNCTION("TEXTJOIN(""|"",TRUE,UNIQUE(FILTER(SPLIT(B17,"" ""),LEN(SPLIT(B17,"" ""))&gt;2)))"),"онт|вытяжной|вентиляционный|онт|вытяжной|вентиляционный|размерами|1200х700")</f>
        <v>онт|вытяжной|вентиляционный|онт|вытяжной|вентиляционный|размерами|1200х700</v>
      </c>
      <c r="B17" s="59" t="str">
        <f ca="1">IFERROR(__xludf.DUMMYFUNCTION("LOWER(REGEXREPLACE(D17&amp;"" ""&amp;E17,""[^а-яa-z0-9 ]"","" ""))")," онт вытяжной вентиляционный  онт вытяжной вентиляционный размерами 1200х700 мм")</f>
        <v xml:space="preserve"> онт вытяжной вентиляционный  онт вытяжной вентиляционный размерами 1200х700 мм</v>
      </c>
      <c r="C17" s="56"/>
      <c r="D17" s="56" t="s">
        <v>12300</v>
      </c>
      <c r="E17" s="56" t="s">
        <v>12301</v>
      </c>
      <c r="F17" s="57">
        <v>204000</v>
      </c>
      <c r="G17" s="58">
        <v>1</v>
      </c>
      <c r="H17" s="66" t="s">
        <v>22449</v>
      </c>
      <c r="I17" s="5"/>
      <c r="J17" s="5"/>
    </row>
    <row r="18" spans="1:10" x14ac:dyDescent="0.2">
      <c r="A18" s="59" t="str">
        <f ca="1">IFERROR(__xludf.DUMMYFUNCTION("TEXTJOIN(""|"",TRUE,UNIQUE(FILTER(SPLIT(B18,"" ""),LEN(SPLIT(B18,"" ""))&gt;2)))"),"онт|вытяжной|вентиляционный|размерами|1200х700мм")</f>
        <v>онт|вытяжной|вентиляционный|размерами|1200х700мм</v>
      </c>
      <c r="B18" s="59" t="str">
        <f ca="1">IFERROR(__xludf.DUMMYFUNCTION("LOWER(REGEXREPLACE(D18&amp;"" ""&amp;E18,""[^а-яa-z0-9 ]"","" ""))"),"  онт вытяжной вентиляционный размерами 1200х700мм")</f>
        <v xml:space="preserve">  онт вытяжной вентиляционный размерами 1200х700мм</v>
      </c>
      <c r="C18" s="56"/>
      <c r="D18" s="56"/>
      <c r="E18" s="56" t="s">
        <v>12302</v>
      </c>
      <c r="F18" s="57">
        <v>674900</v>
      </c>
      <c r="G18" s="60">
        <v>1</v>
      </c>
      <c r="H18" s="66" t="s">
        <v>22449</v>
      </c>
      <c r="I18" s="5"/>
      <c r="J18" s="5"/>
    </row>
    <row r="19" spans="1:10" x14ac:dyDescent="0.2">
      <c r="A19" s="59" t="str">
        <f ca="1">IFERROR(__xludf.DUMMYFUNCTION("TEXTJOIN(""|"",TRUE,UNIQUE(FILTER(SPLIT(B19,"" ""),LEN(SPLIT(B19,"" ""))&gt;2)))"),"онт|вытяжной|вентиляционный|размерами|1600х800мм")</f>
        <v>онт|вытяжной|вентиляционный|размерами|1600х800мм</v>
      </c>
      <c r="B19" s="59" t="str">
        <f ca="1">IFERROR(__xludf.DUMMYFUNCTION("LOWER(REGEXREPLACE(D19&amp;"" ""&amp;E19,""[^а-яa-z0-9 ]"","" ""))"),"  онт вытяжной вентиляционный размерами 1600х800мм")</f>
        <v xml:space="preserve">  онт вытяжной вентиляционный размерами 1600х800мм</v>
      </c>
      <c r="C19" s="56"/>
      <c r="D19" s="56"/>
      <c r="E19" s="56" t="s">
        <v>12303</v>
      </c>
      <c r="F19" s="57">
        <v>807500</v>
      </c>
      <c r="G19" s="60">
        <v>1</v>
      </c>
      <c r="H19" s="66" t="s">
        <v>22449</v>
      </c>
      <c r="I19" s="5"/>
      <c r="J19" s="5"/>
    </row>
    <row r="20" spans="1:10" x14ac:dyDescent="0.2">
      <c r="A20" s="59" t="str">
        <f ca="1">IFERROR(__xludf.DUMMYFUNCTION("TEXTJOIN(""|"",TRUE,UNIQUE(FILTER(SPLIT(B20,"" ""),LEN(SPLIT(B20,"" ""))&gt;2)))"),"онт|вытяжной|вентиляционный|размерами|600х300мм")</f>
        <v>онт|вытяжной|вентиляционный|размерами|600х300мм</v>
      </c>
      <c r="B20" s="59" t="str">
        <f ca="1">IFERROR(__xludf.DUMMYFUNCTION("LOWER(REGEXREPLACE(D20&amp;"" ""&amp;E20,""[^а-яa-z0-9 ]"","" ""))"),"  онт вытяжной вентиляционный размерами 600х300мм")</f>
        <v xml:space="preserve">  онт вытяжной вентиляционный размерами 600х300мм</v>
      </c>
      <c r="C20" s="56"/>
      <c r="D20" s="56"/>
      <c r="E20" s="56" t="s">
        <v>12304</v>
      </c>
      <c r="F20" s="57">
        <v>491300</v>
      </c>
      <c r="G20" s="60">
        <v>13</v>
      </c>
      <c r="H20" s="66" t="s">
        <v>22449</v>
      </c>
      <c r="I20" s="5"/>
      <c r="J20" s="5"/>
    </row>
    <row r="21" spans="1:10" x14ac:dyDescent="0.2">
      <c r="A21" s="59" t="str">
        <f ca="1">IFERROR(__xludf.DUMMYFUNCTION("TEXTJOIN(""|"",TRUE,UNIQUE(FILTER(SPLIT(B21,"" ""),LEN(SPLIT(B21,"" ""))&gt;2)))"),"онтейнер|для|отходов|класса|крышкой|для|сбора|медицинских|отходов|класс|литров")</f>
        <v>онтейнер|для|отходов|класса|крышкой|для|сбора|медицинских|отходов|класс|литров</v>
      </c>
      <c r="B21" s="59" t="str">
        <f ca="1">IFERROR(__xludf.DUMMYFUNCTION("LOWER(REGEXREPLACE(D21&amp;"" ""&amp;E21,""[^а-яa-z0-9 ]"","" ""))")," онтейнер для отходов класса    ак с крышкой для сбора медицинских отходов  класс    10 литров")</f>
        <v xml:space="preserve"> онтейнер для отходов класса    ак с крышкой для сбора медицинских отходов  класс    10 литров</v>
      </c>
      <c r="C21" s="56"/>
      <c r="D21" s="56" t="s">
        <v>12305</v>
      </c>
      <c r="E21" s="56" t="s">
        <v>12306</v>
      </c>
      <c r="F21" s="57">
        <v>2500</v>
      </c>
      <c r="G21" s="58">
        <v>1</v>
      </c>
      <c r="H21" s="66" t="s">
        <v>22449</v>
      </c>
      <c r="I21" s="5"/>
      <c r="J21" s="5"/>
    </row>
    <row r="22" spans="1:10" x14ac:dyDescent="0.2">
      <c r="A22" s="59" t="str">
        <f ca="1">IFERROR(__xludf.DUMMYFUNCTION("TEXTJOIN(""|"",TRUE,UNIQUE(FILTER(SPLIT(B22,"" ""),LEN(SPLIT(B22,"" ""))&gt;2)))"),"онтейнер|для|отходов|класса|для|сбора|медицинских|отходов|класс|литр")</f>
        <v>онтейнер|для|отходов|класса|для|сбора|медицинских|отходов|класс|литр</v>
      </c>
      <c r="B22" s="59" t="str">
        <f ca="1">IFERROR(__xludf.DUMMYFUNCTION("LOWER(REGEXREPLACE(D22&amp;"" ""&amp;E22,""[^а-яa-z0-9 ]"","" ""))")," онтейнер для отходов класса    ак для сбора медицинских отходов  класс    1 литр")</f>
        <v xml:space="preserve"> онтейнер для отходов класса    ак для сбора медицинских отходов  класс    1 литр</v>
      </c>
      <c r="C22" s="56"/>
      <c r="D22" s="56" t="s">
        <v>12307</v>
      </c>
      <c r="E22" s="56" t="s">
        <v>12308</v>
      </c>
      <c r="F22" s="57">
        <v>4900</v>
      </c>
      <c r="G22" s="58">
        <v>1</v>
      </c>
      <c r="H22" s="66" t="s">
        <v>22449</v>
      </c>
      <c r="I22" s="5"/>
      <c r="J22" s="5"/>
    </row>
    <row r="23" spans="1:10" x14ac:dyDescent="0.2">
      <c r="A23" s="59" t="str">
        <f ca="1">IFERROR(__xludf.DUMMYFUNCTION("TEXTJOIN(""|"",TRUE,UNIQUE(FILTER(SPLIT(B23,"" ""),LEN(SPLIT(B23,""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B23" s="59" t="str">
        <f ca="1">IFERROR(__xludf.DUMMYFUNCTION("LOWER(REGEXREPLACE(D23&amp;"" ""&amp;E23,""[^а-яa-z0-9 ]"",""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C23" s="56"/>
      <c r="D23" s="56" t="s">
        <v>12309</v>
      </c>
      <c r="E23" s="56" t="s">
        <v>12310</v>
      </c>
      <c r="F23" s="57">
        <v>35100</v>
      </c>
      <c r="G23" s="58">
        <v>1</v>
      </c>
      <c r="H23" s="66" t="s">
        <v>22449</v>
      </c>
      <c r="I23" s="5"/>
      <c r="J23" s="5"/>
    </row>
    <row r="24" spans="1:10" x14ac:dyDescent="0.2">
      <c r="A24" s="59" t="str">
        <f ca="1">IFERROR(__xludf.DUMMYFUNCTION("TEXTJOIN(""|"",TRUE,UNIQUE(FILTER(SPLIT(B24,"" ""),LEN(SPLIT(B24,""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B24" s="59" t="str">
        <f ca="1">IFERROR(__xludf.DUMMYFUNCTION("LOWER(REGEXREPLACE(D24&amp;"" ""&amp;E24,""[^а-яa-z0-9 ]"","" ""))")," оток медицинский почкообразный  редназначен для размещения инструментов и расходных материалов во время процедур ")</f>
        <v xml:space="preserve"> оток медицинский почкообразный  редназначен для размещения инструментов и расходных материалов во время процедур </v>
      </c>
      <c r="C24" s="56"/>
      <c r="D24" s="56" t="s">
        <v>12311</v>
      </c>
      <c r="E24" s="56" t="s">
        <v>12312</v>
      </c>
      <c r="F24" s="57">
        <v>8200</v>
      </c>
      <c r="G24" s="58">
        <v>3</v>
      </c>
      <c r="H24" s="66" t="s">
        <v>22449</v>
      </c>
      <c r="I24" s="5"/>
      <c r="J24" s="5"/>
    </row>
    <row r="25" spans="1:10" x14ac:dyDescent="0.2">
      <c r="A25" s="59" t="str">
        <f ca="1">IFERROR(__xludf.DUMMYFUNCTION("TEXTJOIN(""|"",TRUE,UNIQUE(FILTER(SPLIT(B25,"" ""),LEN(SPLIT(B25,"" ""))&gt;2)))"),"аски|одноразовые|аска|резинках|медицинская|слойная")</f>
        <v>аски|одноразовые|аска|резинках|медицинская|слойная</v>
      </c>
      <c r="B25" s="59" t="str">
        <f ca="1">IFERROR(__xludf.DUMMYFUNCTION("LOWER(REGEXREPLACE(D25&amp;"" ""&amp;E25,""[^а-яa-z0-9 ]"","" ""))")," аски одноразовые  аска на резинках медицинская 3 х слойная")</f>
        <v xml:space="preserve"> аски одноразовые  аска на резинках медицинская 3 х слойная</v>
      </c>
      <c r="C25" s="56"/>
      <c r="D25" s="56" t="s">
        <v>12313</v>
      </c>
      <c r="E25" s="56" t="s">
        <v>12314</v>
      </c>
      <c r="F25" s="57">
        <v>40</v>
      </c>
      <c r="G25" s="58">
        <v>100</v>
      </c>
      <c r="H25" s="66" t="s">
        <v>22449</v>
      </c>
      <c r="I25" s="5"/>
      <c r="J25" s="5"/>
    </row>
    <row r="26" spans="1:10" x14ac:dyDescent="0.2">
      <c r="A26" s="59" t="str">
        <f ca="1">IFERROR(__xludf.DUMMYFUNCTION("TEXTJOIN(""|"",TRUE,UNIQUE(FILTER(SPLIT(B26,"" ""),LEN(SPLIT(B26,"" ""))&gt;2)))"),"ойка|двойная|ойка|120х60|147")</f>
        <v>ойка|двойная|ойка|120х60|147</v>
      </c>
      <c r="B26" s="59" t="str">
        <f ca="1">IFERROR(__xludf.DUMMYFUNCTION("LOWER(REGEXREPLACE(D26&amp;"" ""&amp;E26,""[^а-яa-z0-9 ]"","" ""))")," ойка двойная  ойка 120х60   147                                   ")</f>
        <v xml:space="preserve"> ойка двойная  ойка 120х60   147                                   </v>
      </c>
      <c r="C26" s="56"/>
      <c r="D26" s="56" t="s">
        <v>12315</v>
      </c>
      <c r="E26" s="56" t="s">
        <v>12316</v>
      </c>
      <c r="F26" s="57">
        <v>220710</v>
      </c>
      <c r="G26" s="58">
        <v>1</v>
      </c>
      <c r="H26" s="66" t="s">
        <v>22449</v>
      </c>
      <c r="I26" s="5"/>
      <c r="J26" s="5"/>
    </row>
    <row r="27" spans="1:10" x14ac:dyDescent="0.2">
      <c r="A27" s="59" t="str">
        <f ca="1">IFERROR(__xludf.DUMMYFUNCTION("TEXTJOIN(""|"",TRUE,UNIQUE(FILTER(SPLIT(B27,"" ""),LEN(SPLIT(B27,"" ""))&gt;2)))"),"блучатель|ультрафиолетовый|кварцевая|лампа|комплектом|тубусов|блучатель|ультрафиолетовый|кварцевый|олнышко|тандартная|комплектация")</f>
        <v>блучатель|ультрафиолетовый|кварцевая|лампа|комплектом|тубусов|блучатель|ультрафиолетовый|кварцевый|олнышко|тандартная|комплектация</v>
      </c>
      <c r="B27" s="59" t="str">
        <f ca="1">IFERROR(__xludf.DUMMYFUNCTION("LOWER(REGEXREPLACE(D27&amp;"" ""&amp;E27,""[^а-яa-z0-9 ]"","" ""))")," блучатель ультрафиолетовый  кварцевая лампа  с комплектом тубусов  блучатель ультрафиолетовый  кварцевый      01  олнышко   тандартная комплектация ")</f>
        <v xml:space="preserve"> блучатель ультрафиолетовый  кварцевая лампа  с комплектом тубусов  блучатель ультрафиолетовый  кварцевый      01  олнышко   тандартная комплектация </v>
      </c>
      <c r="C27" s="56"/>
      <c r="D27" s="56" t="s">
        <v>12317</v>
      </c>
      <c r="E27" s="56" t="s">
        <v>12318</v>
      </c>
      <c r="F27" s="57">
        <v>43690</v>
      </c>
      <c r="G27" s="58">
        <v>1</v>
      </c>
      <c r="H27" s="66" t="s">
        <v>22449</v>
      </c>
      <c r="I27" s="5"/>
      <c r="J27" s="5"/>
    </row>
    <row r="28" spans="1:10" x14ac:dyDescent="0.2">
      <c r="A28" s="59" t="str">
        <f ca="1">IFERROR(__xludf.DUMMYFUNCTION("TEXTJOIN(""|"",TRUE,UNIQUE(FILTER(SPLIT(B28,"" ""),LEN(SPLIT(B28,"" ""))&gt;2)))"),"ерчатки|резины")</f>
        <v>ерчатки|резины</v>
      </c>
      <c r="B28" s="59" t="str">
        <f ca="1">IFERROR(__xludf.DUMMYFUNCTION("LOWER(REGEXREPLACE(D28&amp;"" ""&amp;E28,""[^а-яa-z0-9 ]"","" ""))")," ерчатки из резины ")</f>
        <v xml:space="preserve"> ерчатки из резины </v>
      </c>
      <c r="C28" s="56"/>
      <c r="D28" s="56" t="s">
        <v>12319</v>
      </c>
      <c r="E28" s="56"/>
      <c r="F28" s="57">
        <v>2520</v>
      </c>
      <c r="G28" s="58">
        <v>20</v>
      </c>
      <c r="H28" s="66" t="s">
        <v>22449</v>
      </c>
      <c r="I28" s="5"/>
      <c r="J28" s="5"/>
    </row>
    <row r="29" spans="1:10" x14ac:dyDescent="0.2">
      <c r="A29" s="59" t="str">
        <f ca="1">IFERROR(__xludf.DUMMYFUNCTION("TEXTJOIN(""|"",TRUE,UNIQUE(FILTER(SPLIT(B29,"" ""),LEN(SPLIT(B29,"" ""))&gt;2)))"),"олотенца|одноразовые|олотенца|одноразовые|спанлейса|упак")</f>
        <v>олотенца|одноразовые|олотенца|одноразовые|спанлейса|упак</v>
      </c>
      <c r="B29" s="59" t="str">
        <f ca="1">IFERROR(__xludf.DUMMYFUNCTION("LOWER(REGEXREPLACE(D29&amp;"" ""&amp;E29,""[^а-яa-z0-9 ]"","" ""))")," олотенца одноразовые  олотенца одноразовые из спанлейса  35 70 см  40 г м2  50 шт упак")</f>
        <v xml:space="preserve"> олотенца одноразовые  олотенца одноразовые из спанлейса  35 70 см  40 г м2  50 шт упак</v>
      </c>
      <c r="C29" s="56"/>
      <c r="D29" s="56" t="s">
        <v>12320</v>
      </c>
      <c r="E29" s="56" t="s">
        <v>12321</v>
      </c>
      <c r="F29" s="57">
        <v>11750</v>
      </c>
      <c r="G29" s="58">
        <v>20</v>
      </c>
      <c r="H29" s="66" t="s">
        <v>22449</v>
      </c>
      <c r="I29" s="5"/>
      <c r="J29" s="5"/>
    </row>
    <row r="30" spans="1:10" x14ac:dyDescent="0.2">
      <c r="A30" s="59" t="str">
        <f ca="1">IFERROR(__xludf.DUMMYFUNCTION("TEXTJOIN(""|"",TRUE,UNIQUE(FILTER(SPLIT(B30,"" ""),LEN(SPLIT(B30,"" ""))&gt;2)))"),"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f>
        <v>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v>
      </c>
      <c r="B30" s="59" t="str">
        <f ca="1">IFERROR(__xludf.DUMMYFUNCTION("LOWER(REGEXREPLACE(D30&amp;"" ""&amp;E30,""[^а-яa-z0-9 ]"","" ""))"),"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f>
        <v xml:space="preserve">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v>
      </c>
      <c r="C30" s="56"/>
      <c r="D30" s="56" t="s">
        <v>12322</v>
      </c>
      <c r="E30" s="56" t="s">
        <v>12323</v>
      </c>
      <c r="F30" s="57">
        <v>15930</v>
      </c>
      <c r="G30" s="58">
        <v>20</v>
      </c>
      <c r="H30" s="66" t="s">
        <v>22449</v>
      </c>
      <c r="I30" s="5"/>
      <c r="J30" s="5"/>
    </row>
    <row r="31" spans="1:10" x14ac:dyDescent="0.2">
      <c r="A31" s="59" t="str">
        <f ca="1">IFERROR(__xludf.DUMMYFUNCTION("TEXTJOIN(""|"",TRUE,UNIQUE(FILTER(SPLIT(B31,"" ""),LEN(SPLIT(B31,"" ""))&gt;2)))"),"120|ержавеющая|сталь|430|бортиком|без|полки|ойка|50x40x25|араметры|1200x700x850")</f>
        <v>120|ержавеющая|сталь|430|бортиком|без|полки|ойка|50x40x25|араметры|1200x700x850</v>
      </c>
      <c r="B31" s="59" t="str">
        <f ca="1">IFERROR(__xludf.DUMMYFUNCTION("LOWER(REGEXREPLACE(D31&amp;"" ""&amp;E31,""[^а-яa-z0-9 ]"","" ""))"),"       2               120 70  ержавеющая сталь      430    бортиком без полки   ойка  50x40x25 см   араметры  1200x700x850 мм")</f>
        <v xml:space="preserve">       2               120 70  ержавеющая сталь      430    бортиком без полки   ойка  50x40x25 см   араметры  1200x700x850 мм</v>
      </c>
      <c r="C31" s="56"/>
      <c r="D31" s="56" t="s">
        <v>12324</v>
      </c>
      <c r="E31" s="56" t="s">
        <v>12325</v>
      </c>
      <c r="F31" s="57">
        <v>729360</v>
      </c>
      <c r="G31" s="58">
        <v>6</v>
      </c>
      <c r="I31" s="5"/>
      <c r="J31" s="5"/>
    </row>
    <row r="32" spans="1:10" x14ac:dyDescent="0.2">
      <c r="A32" s="59" t="str">
        <f ca="1">IFERROR(__xludf.DUMMYFUNCTION("TEXTJOIN(""|"",TRUE,UNIQUE(FILTER(SPLIT(B32,"" ""),LEN(SPLIT(B32,"" ""))&gt;2)))"),"ермометр|ермометр|исп|поверкой|комнатный|скл|помещения|применяется|для|измерения|температуры|складских|производственных|помещениях")</f>
        <v>ермометр|ермометр|исп|поверкой|комнатный|скл|помещения|применяется|для|измерения|температуры|складских|производственных|помещениях</v>
      </c>
      <c r="B32" s="59" t="str">
        <f ca="1">IFERROR(__xludf.DUMMYFUNCTION("LOWER(REGEXREPLACE(D32&amp;"" ""&amp;E32,""[^а-яa-z0-9 ]"","" ""))")," ермометр  ермометр исп 1   20 70   с  поверкой  комнатный скл помещения     применяется для измерения  температуры в складских и производственных  помещениях")</f>
        <v xml:space="preserve"> ермометр  ермометр исп 1   20 70   с  поверкой  комнатный скл помещения     применяется для измерения  температуры в складских и производственных  помещениях</v>
      </c>
      <c r="C32" s="56"/>
      <c r="D32" s="56" t="s">
        <v>5690</v>
      </c>
      <c r="E32" s="56" t="s">
        <v>12326</v>
      </c>
      <c r="F32" s="57">
        <v>3800</v>
      </c>
      <c r="G32" s="58">
        <v>37</v>
      </c>
      <c r="I32" s="5"/>
      <c r="J32" s="5"/>
    </row>
    <row r="33" spans="1:10" x14ac:dyDescent="0.2">
      <c r="A33" s="59" t="str">
        <f ca="1">IFERROR(__xludf.DUMMYFUNCTION("TEXTJOIN(""|"",TRUE,UNIQUE(FILTER(SPLIT(B33,"" ""),LEN(SPLIT(B33,"" ""))&gt;2)))"),"алаты|темные|для|уборки|алат|рабочий|вет|серый|екомендован|для|защиты|незначительных|загрязнений|бытовой|производственной|пыли|одробнее|https|largo|p75874235|halat|seryj|html")</f>
        <v>алаты|темные|для|уборки|алат|рабочий|вет|серый|екомендован|для|защиты|незначительных|загрязнений|бытовой|производственной|пыли|одробнее|https|largo|p75874235|halat|seryj|html</v>
      </c>
      <c r="B33" s="59" t="str">
        <f ca="1">IFERROR(__xludf.DUMMYFUNCTION("LOWER(REGEXREPLACE(D33&amp;"" ""&amp;E33,""[^а-яa-z0-9 ]"","" ""))"),"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f>
        <v xml:space="preserve">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v>
      </c>
      <c r="C33" s="56"/>
      <c r="D33" s="56" t="s">
        <v>12327</v>
      </c>
      <c r="E33" s="56" t="s">
        <v>12328</v>
      </c>
      <c r="F33" s="57">
        <v>19000</v>
      </c>
      <c r="G33" s="58">
        <v>2</v>
      </c>
      <c r="I33" s="5"/>
      <c r="J33" s="5"/>
    </row>
    <row r="34" spans="1:10" x14ac:dyDescent="0.2">
      <c r="A34" s="59" t="str">
        <f ca="1">IFERROR(__xludf.DUMMYFUNCTION("TEXTJOIN(""|"",TRUE,UNIQUE(FILTER(SPLIT(B34,"" ""),LEN(SPLIT(B34,"" ""))&gt;2)))"),"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f>
        <v>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v>
      </c>
      <c r="B34" s="59" t="str">
        <f ca="1">IFERROR(__xludf.DUMMYFUNCTION("LOWER(REGEXREPLACE(D34&amp;"" ""&amp;E34,""[^а-яa-z0-9 ]"","" ""))"),"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f>
        <v xml:space="preserve">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v>
      </c>
      <c r="C34" s="56"/>
      <c r="D34" s="56" t="s">
        <v>12329</v>
      </c>
      <c r="E34" s="56" t="s">
        <v>12330</v>
      </c>
      <c r="F34" s="57">
        <v>41040</v>
      </c>
      <c r="G34" s="58">
        <v>5</v>
      </c>
      <c r="I34" s="5"/>
      <c r="J34" s="5"/>
    </row>
    <row r="35" spans="1:10" x14ac:dyDescent="0.2">
      <c r="A35" s="59" t="str">
        <f ca="1">IFERROR(__xludf.DUMMYFUNCTION("TEXTJOIN(""|"",TRUE,UNIQUE(FILTER(SPLIT(B35,"" ""),LEN(SPLIT(B35,"" ""))&gt;2)))"),"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f>
        <v>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v>
      </c>
      <c r="B35" s="59" t="str">
        <f ca="1">IFERROR(__xludf.DUMMYFUNCTION("LOWER(REGEXREPLACE(D35&amp;"" ""&amp;E35,""[^а-яa-z0-9 ]"","" ""))"),"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f>
        <v xml:space="preserve">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v>
      </c>
      <c r="C35" s="56"/>
      <c r="D35" s="56" t="s">
        <v>12331</v>
      </c>
      <c r="E35" s="56" t="s">
        <v>12332</v>
      </c>
      <c r="F35" s="57">
        <v>41040</v>
      </c>
      <c r="G35" s="58">
        <v>5</v>
      </c>
      <c r="I35" s="5"/>
      <c r="J35" s="5"/>
    </row>
    <row r="36" spans="1:10" x14ac:dyDescent="0.2">
      <c r="A36" s="59" t="str">
        <f ca="1">IFERROR(__xludf.DUMMYFUNCTION("TEXTJOIN(""|"",TRUE,UNIQUE(FILTER(SPLIT(B36,"" ""),LEN(SPLIT(B36,"" ""))&gt;2)))"),"ирмы|медицинские|металлический|каркас|моющаяся|ткань|пластик|ирма|створчатая|ткань|болонь|колесах")</f>
        <v>ирмы|медицинские|металлический|каркас|моющаяся|ткань|пластик|ирма|створчатая|ткань|болонь|колесах</v>
      </c>
      <c r="B36" s="59" t="str">
        <f ca="1">IFERROR(__xludf.DUMMYFUNCTION("LOWER(REGEXREPLACE(D36&amp;"" ""&amp;E36,""[^а-яa-z0-9 ]"","" ""))")," ирмы медицинские  металлический каркас   моющаяся ткань пластик  ирма 2 створчатая  ткань болонь  на колесах")</f>
        <v xml:space="preserve"> ирмы медицинские  металлический каркас   моющаяся ткань пластик  ирма 2 створчатая  ткань болонь  на колесах</v>
      </c>
      <c r="C36" s="56"/>
      <c r="D36" s="56" t="s">
        <v>12333</v>
      </c>
      <c r="E36" s="56" t="s">
        <v>12334</v>
      </c>
      <c r="F36" s="57">
        <v>132800</v>
      </c>
      <c r="G36" s="58">
        <v>2</v>
      </c>
      <c r="I36" s="5"/>
      <c r="J36" s="5"/>
    </row>
    <row r="37" spans="1:10" x14ac:dyDescent="0.2">
      <c r="A37" s="59" t="str">
        <f ca="1">IFERROR(__xludf.DUMMYFUNCTION("TEXTJOIN(""|"",TRUE,UNIQUE(FILTER(SPLIT(B37,"" ""),LEN(SPLIT(B37,"" ""))&gt;2)))"),"прицы|одноразовые|иглами|терильные|трехкомпонентные|шприцы|объемом|иглой|размером")</f>
        <v>прицы|одноразовые|иглами|терильные|трехкомпонентные|шприцы|объемом|иглой|размером</v>
      </c>
      <c r="B37" s="59" t="str">
        <f ca="1">IFERROR(__xludf.DUMMYFUNCTION("LOWER(REGEXREPLACE(D37&amp;"" ""&amp;E37,""[^а-яa-z0-9 ]"","" ""))")," прицы одноразовые с иглами 10 0  терильные трехкомпонентные шприцы объемом 10 мл с иглой размером 21   0  8   40 мм  ")</f>
        <v xml:space="preserve"> прицы одноразовые с иглами 10 0  терильные трехкомпонентные шприцы объемом 10 мл с иглой размером 21   0  8   40 мм  </v>
      </c>
      <c r="C37" s="56"/>
      <c r="D37" s="56" t="s">
        <v>12335</v>
      </c>
      <c r="E37" s="56" t="s">
        <v>12336</v>
      </c>
      <c r="F37" s="57">
        <v>67</v>
      </c>
      <c r="G37" s="58">
        <v>100</v>
      </c>
      <c r="I37" s="5"/>
      <c r="J37" s="5"/>
    </row>
    <row r="38" spans="1:10" x14ac:dyDescent="0.2">
      <c r="A38" s="59" t="str">
        <f ca="1">IFERROR(__xludf.DUMMYFUNCTION("TEXTJOIN(""|"",TRUE,UNIQUE(FILTER(SPLIT(B38,"" ""),LEN(SPLIT(B38,"" ""))&gt;2)))"),"прицы|одноразовые|иглами|терильные|трехкомпонентные|шприцы|объемом|установленной|иглой")</f>
        <v>прицы|одноразовые|иглами|терильные|трехкомпонентные|шприцы|объемом|установленной|иглой</v>
      </c>
      <c r="B38" s="59" t="str">
        <f ca="1">IFERROR(__xludf.DUMMYFUNCTION("LOWER(REGEXREPLACE(D38&amp;"" ""&amp;E38,""[^а-яa-z0-9 ]"","" ""))")," прицы одноразовые с иглами 2 0  терильные трехкомпонентные шприцы объемом 2 мл с установленной иглой 23   0  6   30 мм  ")</f>
        <v xml:space="preserve"> прицы одноразовые с иглами 2 0  терильные трехкомпонентные шприцы объемом 2 мл с установленной иглой 23   0  6   30 мм  </v>
      </c>
      <c r="C38" s="56"/>
      <c r="D38" s="56" t="s">
        <v>12337</v>
      </c>
      <c r="E38" s="56" t="s">
        <v>12338</v>
      </c>
      <c r="F38" s="57">
        <v>40</v>
      </c>
      <c r="G38" s="58">
        <v>100</v>
      </c>
      <c r="I38" s="5"/>
      <c r="J38" s="5"/>
    </row>
    <row r="39" spans="1:10" x14ac:dyDescent="0.2">
      <c r="A39" s="59" t="str">
        <f ca="1">IFERROR(__xludf.DUMMYFUNCTION("TEXTJOIN(""|"",TRUE,UNIQUE(FILTER(SPLIT(B39,"" ""),LEN(SPLIT(B39,"" ""))&gt;2)))"),"прицы|одноразовые|иглами|дноразовые|стерильные|шприцы|объ|мом|иглой")</f>
        <v>прицы|одноразовые|иглами|дноразовые|стерильные|шприцы|объ|мом|иглой</v>
      </c>
      <c r="B39" s="59" t="str">
        <f ca="1">IFERROR(__xludf.DUMMYFUNCTION("LOWER(REGEXREPLACE(D39&amp;"" ""&amp;E39,""[^а-яa-z0-9 ]"","" ""))")," прицы одноразовые с иглами 5 0  дноразовые стерильные шприцы объ мом 5 мл с иглой 22   0 7 мм   30 мм ")</f>
        <v xml:space="preserve"> прицы одноразовые с иглами 5 0  дноразовые стерильные шприцы объ мом 5 мл с иглой 22   0 7 мм   30 мм </v>
      </c>
      <c r="C39" s="56"/>
      <c r="D39" s="56" t="s">
        <v>12339</v>
      </c>
      <c r="E39" s="56" t="s">
        <v>12340</v>
      </c>
      <c r="F39" s="57">
        <v>45</v>
      </c>
      <c r="G39" s="58">
        <v>100</v>
      </c>
      <c r="I39" s="5"/>
      <c r="J39" s="5"/>
    </row>
    <row r="40" spans="1:10" x14ac:dyDescent="0.2">
      <c r="A40" s="59" t="str">
        <f ca="1">IFERROR(__xludf.DUMMYFUNCTION("TEXTJOIN(""|"",TRUE,UNIQUE(FILTER(SPLIT(B40,"" ""),LEN(SPLIT(B40,"" ""))&gt;2)))"),"#N/A")</f>
        <v>#N/A</v>
      </c>
      <c r="B40" s="59" t="str">
        <f ca="1">IFERROR(__xludf.DUMMYFUNCTION("LOWER(REGEXREPLACE(D40&amp;"" ""&amp;E40,""[^а-яa-z0-9 ]"","" ""))")," ")</f>
        <v xml:space="preserve"> </v>
      </c>
      <c r="C40" s="61" t="s">
        <v>12341</v>
      </c>
      <c r="D40" s="56"/>
      <c r="E40" s="56" t="s">
        <v>12341</v>
      </c>
      <c r="F40" s="56"/>
      <c r="G40" s="58">
        <v>0</v>
      </c>
      <c r="I40" s="5"/>
      <c r="J40" s="5"/>
    </row>
    <row r="41" spans="1:10" x14ac:dyDescent="0.2">
      <c r="A41" s="59" t="str">
        <f ca="1">IFERROR(__xludf.DUMMYFUNCTION("TEXTJOIN(""|"",TRUE,UNIQUE(FILTER(SPLIT(B41,"" ""),LEN(SPLIT(B41,"" ""))&gt;2)))"),"рупповая")</f>
        <v>рупповая</v>
      </c>
      <c r="B41" s="59" t="str">
        <f ca="1">IFERROR(__xludf.DUMMYFUNCTION("LOWER(REGEXREPLACE(D41&amp;"" ""&amp;E41,""[^а-яa-z0-9 ]"","" ""))")," рупповая ")</f>
        <v xml:space="preserve"> рупповая </v>
      </c>
      <c r="C41" s="56"/>
      <c r="D41" s="56" t="s">
        <v>12342</v>
      </c>
      <c r="E41" s="56" t="s">
        <v>12341</v>
      </c>
      <c r="F41" s="56"/>
      <c r="G41" s="58">
        <v>0</v>
      </c>
      <c r="I41" s="5"/>
      <c r="J41" s="5"/>
    </row>
    <row r="42" spans="1:10" x14ac:dyDescent="0.2">
      <c r="A42" s="59" t="str">
        <f ca="1">IFERROR(__xludf.DUMMYFUNCTION("TEXTJOIN(""|"",TRUE,UNIQUE(FILTER(SPLIT(B42,"" ""),LEN(SPLIT(B42,"" ""))&gt;2)))"),"ополнительные|товары")</f>
        <v>ополнительные|товары</v>
      </c>
      <c r="B42" s="59" t="str">
        <f ca="1">IFERROR(__xludf.DUMMYFUNCTION("LOWER(REGEXREPLACE(D42&amp;"" ""&amp;E42,""[^а-яa-z0-9 ]"","" ""))")," ополнительные товары ")</f>
        <v xml:space="preserve"> ополнительные товары </v>
      </c>
      <c r="C42" s="56"/>
      <c r="D42" s="56" t="s">
        <v>12343</v>
      </c>
      <c r="E42" s="56" t="s">
        <v>12341</v>
      </c>
      <c r="F42" s="56"/>
      <c r="G42" s="58">
        <v>0</v>
      </c>
      <c r="I42" s="5"/>
      <c r="J42" s="5"/>
    </row>
    <row r="43" spans="1:10" x14ac:dyDescent="0.2">
      <c r="A43" s="59" t="str">
        <f ca="1">IFERROR(__xludf.DUMMYFUNCTION("TEXTJOIN(""|"",TRUE,UNIQUE(FILTER(SPLIT(B43,"" ""),LEN(SPLIT(B43,"" ""))&gt;2)))"),"ладовая|овощей")</f>
        <v>ладовая|овощей</v>
      </c>
      <c r="B43" s="59" t="str">
        <f ca="1">IFERROR(__xludf.DUMMYFUNCTION("LOWER(REGEXREPLACE(D43&amp;"" ""&amp;E43,""[^а-яa-z0-9 ]"","" ""))")," ладовая овощей ")</f>
        <v xml:space="preserve"> ладовая овощей </v>
      </c>
      <c r="C43" s="56"/>
      <c r="D43" s="56" t="s">
        <v>12344</v>
      </c>
      <c r="E43" s="56" t="s">
        <v>12341</v>
      </c>
      <c r="F43" s="56"/>
      <c r="G43" s="58">
        <v>0</v>
      </c>
      <c r="I43" s="5"/>
      <c r="J43" s="5"/>
    </row>
    <row r="44" spans="1:10" x14ac:dyDescent="0.2">
      <c r="A44" s="59" t="str">
        <f ca="1">IFERROR(__xludf.DUMMYFUNCTION("TEXTJOIN(""|"",TRUE,UNIQUE(FILTER(SPLIT(B44,"" ""),LEN(SPLIT(B44,"" ""))&gt;2)))"),"омпьютерная|техника|устройства")</f>
        <v>омпьютерная|техника|устройства</v>
      </c>
      <c r="B44" s="59" t="str">
        <f ca="1">IFERROR(__xludf.DUMMYFUNCTION("LOWER(REGEXREPLACE(D44&amp;"" ""&amp;E44,""[^а-яa-z0-9 ]"","" ""))")," омпьютерная техника и устройства ")</f>
        <v xml:space="preserve"> омпьютерная техника и устройства </v>
      </c>
      <c r="C44" s="56"/>
      <c r="D44" s="56" t="s">
        <v>12345</v>
      </c>
      <c r="E44" s="56" t="s">
        <v>12341</v>
      </c>
      <c r="F44" s="56"/>
      <c r="G44" s="58">
        <v>0</v>
      </c>
      <c r="I44" s="5"/>
      <c r="J44" s="5"/>
    </row>
    <row r="45" spans="1:10" x14ac:dyDescent="0.2">
      <c r="A45" s="59" t="str">
        <f ca="1">IFERROR(__xludf.DUMMYFUNCTION("TEXTJOIN(""|"",TRUE,UNIQUE(FILTER(SPLIT(B45,"" ""),LEN(SPLIT(B45,"" ""))&gt;2)))"),"атериалы|для|гончарки")</f>
        <v>атериалы|для|гончарки</v>
      </c>
      <c r="B45" s="59" t="str">
        <f ca="1">IFERROR(__xludf.DUMMYFUNCTION("LOWER(REGEXREPLACE(D45&amp;"" ""&amp;E45,""[^а-яa-z0-9 ]"","" ""))")," атериалы для гончарки ")</f>
        <v xml:space="preserve"> атериалы для гончарки </v>
      </c>
      <c r="C45" s="56"/>
      <c r="D45" s="56" t="s">
        <v>12346</v>
      </c>
      <c r="E45" s="56" t="s">
        <v>12341</v>
      </c>
      <c r="F45" s="56"/>
      <c r="G45" s="58">
        <v>0</v>
      </c>
      <c r="I45" s="5"/>
      <c r="J45" s="5"/>
    </row>
    <row r="46" spans="1:10" x14ac:dyDescent="0.2">
      <c r="A46" s="59" t="str">
        <f ca="1">IFERROR(__xludf.DUMMYFUNCTION("TEXTJOIN(""|"",TRUE,UNIQUE(FILTER(SPLIT(B46,"" ""),LEN(SPLIT(B46,"" ""))&gt;2)))"),"ебель")</f>
        <v>ебель</v>
      </c>
      <c r="B46" s="59" t="str">
        <f ca="1">IFERROR(__xludf.DUMMYFUNCTION("LOWER(REGEXREPLACE(D46&amp;"" ""&amp;E46,""[^а-яa-z0-9 ]"","" ""))")," ебель ")</f>
        <v xml:space="preserve"> ебель </v>
      </c>
      <c r="C46" s="56"/>
      <c r="D46" s="56" t="s">
        <v>1682</v>
      </c>
      <c r="E46" s="56" t="s">
        <v>12341</v>
      </c>
      <c r="F46" s="56"/>
      <c r="G46" s="58">
        <v>0</v>
      </c>
      <c r="I46" s="5"/>
      <c r="J46" s="5"/>
    </row>
    <row r="47" spans="1:10" x14ac:dyDescent="0.2">
      <c r="A47" s="59" t="str">
        <f ca="1">IFERROR(__xludf.DUMMYFUNCTION("TEXTJOIN(""|"",TRUE,UNIQUE(FILTER(SPLIT(B47,"" ""),LEN(SPLIT(B47,"" ""))&gt;2)))"),"ебель|для|гончарки")</f>
        <v>ебель|для|гончарки</v>
      </c>
      <c r="B47" s="59" t="str">
        <f ca="1">IFERROR(__xludf.DUMMYFUNCTION("LOWER(REGEXREPLACE(D47&amp;"" ""&amp;E47,""[^а-яa-z0-9 ]"","" ""))")," ебель для гончарки ")</f>
        <v xml:space="preserve"> ебель для гончарки </v>
      </c>
      <c r="C47" s="56"/>
      <c r="D47" s="56" t="s">
        <v>12347</v>
      </c>
      <c r="E47" s="56" t="s">
        <v>12341</v>
      </c>
      <c r="F47" s="56"/>
      <c r="G47" s="58">
        <v>0</v>
      </c>
      <c r="I47" s="5"/>
      <c r="J47" s="5"/>
    </row>
    <row r="48" spans="1:10" x14ac:dyDescent="0.2">
      <c r="A48" s="59" t="str">
        <f ca="1">IFERROR(__xludf.DUMMYFUNCTION("TEXTJOIN(""|"",TRUE,UNIQUE(FILTER(SPLIT(B48,"" ""),LEN(SPLIT(B48,"" ""))&gt;2)))"),"ебель|для|телье")</f>
        <v>ебель|для|телье</v>
      </c>
      <c r="B48" s="59" t="str">
        <f ca="1">IFERROR(__xludf.DUMMYFUNCTION("LOWER(REGEXREPLACE(D48&amp;"" ""&amp;E48,""[^а-яa-z0-9 ]"","" ""))")," ебель для     и  телье ")</f>
        <v xml:space="preserve"> ебель для     и  телье </v>
      </c>
      <c r="C48" s="56"/>
      <c r="D48" s="56" t="s">
        <v>12348</v>
      </c>
      <c r="E48" s="56" t="s">
        <v>12341</v>
      </c>
      <c r="F48" s="56"/>
      <c r="G48" s="58">
        <v>0</v>
      </c>
      <c r="I48" s="5"/>
      <c r="J48" s="5"/>
    </row>
    <row r="49" spans="1:10" x14ac:dyDescent="0.2">
      <c r="A49" s="59" t="str">
        <f ca="1">IFERROR(__xludf.DUMMYFUNCTION("TEXTJOIN(""|"",TRUE,UNIQUE(FILTER(SPLIT(B49,"" ""),LEN(SPLIT(B49,"" ""))&gt;2)))"),"борудование|для|гончарки")</f>
        <v>борудование|для|гончарки</v>
      </c>
      <c r="B49" s="59" t="str">
        <f ca="1">IFERROR(__xludf.DUMMYFUNCTION("LOWER(REGEXREPLACE(D49&amp;"" ""&amp;E49,""[^а-яa-z0-9 ]"","" ""))")," борудование для гончарки ")</f>
        <v xml:space="preserve"> борудование для гончарки </v>
      </c>
      <c r="C49" s="56"/>
      <c r="D49" s="56" t="s">
        <v>12349</v>
      </c>
      <c r="E49" s="56" t="s">
        <v>12341</v>
      </c>
      <c r="F49" s="56"/>
      <c r="G49" s="58">
        <v>0</v>
      </c>
      <c r="I49" s="5"/>
      <c r="J49" s="5"/>
    </row>
    <row r="50" spans="1:10" x14ac:dyDescent="0.2">
      <c r="A50" s="59" t="str">
        <f ca="1">IFERROR(__xludf.DUMMYFUNCTION("TEXTJOIN(""|"",TRUE,UNIQUE(FILTER(SPLIT(B50,"" ""),LEN(SPLIT(B50,"" ""))&gt;2)))"),"омещение|камеры|охлаждения")</f>
        <v>омещение|камеры|охлаждения</v>
      </c>
      <c r="B50" s="59" t="str">
        <f ca="1">IFERROR(__xludf.DUMMYFUNCTION("LOWER(REGEXREPLACE(D50&amp;"" ""&amp;E50,""[^а-яa-z0-9 ]"","" ""))")," омещение камеры охлаждения ")</f>
        <v xml:space="preserve"> омещение камеры охлаждения </v>
      </c>
      <c r="C50" s="56"/>
      <c r="D50" s="56" t="s">
        <v>12350</v>
      </c>
      <c r="E50" s="56" t="s">
        <v>12341</v>
      </c>
      <c r="F50" s="56"/>
      <c r="G50" s="60">
        <v>0</v>
      </c>
      <c r="I50" s="5"/>
      <c r="J50" s="5"/>
    </row>
    <row r="51" spans="1:10" x14ac:dyDescent="0.2">
      <c r="A51" s="59" t="str">
        <f ca="1">IFERROR(__xludf.DUMMYFUNCTION("TEXTJOIN(""|"",TRUE,UNIQUE(FILTER(SPLIT(B51,"" ""),LEN(SPLIT(B51,"" ""))&gt;2)))"),"олл|шторы|олл|шторы|белые|однотонные|2410х1810х4360")</f>
        <v>олл|шторы|олл|шторы|белые|однотонные|2410х1810х4360</v>
      </c>
      <c r="B51" s="59" t="str">
        <f ca="1">IFERROR(__xludf.DUMMYFUNCTION("LOWER(REGEXREPLACE(D51&amp;"" ""&amp;E51,""[^а-яa-z0-9 ]"","" ""))")," олл шторы  олл шторы белые однотонные   х х в м2               2410х1810х4360 мм")</f>
        <v xml:space="preserve"> олл шторы  олл шторы белые однотонные   х х в м2               2410х1810х4360 мм</v>
      </c>
      <c r="C51" s="61" t="s">
        <v>12351</v>
      </c>
      <c r="D51" s="56" t="s">
        <v>12352</v>
      </c>
      <c r="E51" s="56" t="s">
        <v>12353</v>
      </c>
      <c r="F51" s="62">
        <v>55386.789120000009</v>
      </c>
      <c r="G51" s="58">
        <v>59</v>
      </c>
      <c r="I51" s="5"/>
      <c r="J51" s="5"/>
    </row>
    <row r="52" spans="1:10" x14ac:dyDescent="0.2">
      <c r="A52" s="59" t="str">
        <f ca="1">IFERROR(__xludf.DUMMYFUNCTION("TEXTJOIN(""|"",TRUE,UNIQUE(FILTER(SPLIT(B52,"" ""),LEN(SPLIT(B52,"" ""))&gt;2)))"),"олл|шторы|олл|шторы|белые|однотонные|1810х1810х3280")</f>
        <v>олл|шторы|олл|шторы|белые|однотонные|1810х1810х3280</v>
      </c>
      <c r="B52" s="59" t="str">
        <f ca="1">IFERROR(__xludf.DUMMYFUNCTION("LOWER(REGEXREPLACE(D52&amp;"" ""&amp;E52,""[^а-яa-z0-9 ]"","" ""))")," олл шторы  олл шторы белые однотонные   х х в м2               1810х1810х3280 мм")</f>
        <v xml:space="preserve"> олл шторы  олл шторы белые однотонные   х х в м2               1810х1810х3280 мм</v>
      </c>
      <c r="C52" s="61" t="s">
        <v>12354</v>
      </c>
      <c r="D52" s="56" t="s">
        <v>12352</v>
      </c>
      <c r="E52" s="56" t="s">
        <v>12355</v>
      </c>
      <c r="F52" s="62">
        <v>41667.125759999995</v>
      </c>
      <c r="G52" s="58">
        <v>49</v>
      </c>
      <c r="I52" s="5"/>
      <c r="J52" s="5"/>
    </row>
    <row r="53" spans="1:10" x14ac:dyDescent="0.2">
      <c r="A53" s="59" t="str">
        <f ca="1">IFERROR(__xludf.DUMMYFUNCTION("TEXTJOIN(""|"",TRUE,UNIQUE(FILTER(SPLIT(B53,"" ""),LEN(SPLIT(B53,"" ""))&gt;2)))"),"олл|шторы|олл|шторы|белые|однотонные|1210х1810х2190")</f>
        <v>олл|шторы|олл|шторы|белые|однотонные|1210х1810х2190</v>
      </c>
      <c r="B53" s="59" t="str">
        <f ca="1">IFERROR(__xludf.DUMMYFUNCTION("LOWER(REGEXREPLACE(D53&amp;"" ""&amp;E53,""[^а-яa-z0-9 ]"","" ""))")," олл шторы  олл шторы белые однотонные   х х в м2               1210х1810х2190 мм")</f>
        <v xml:space="preserve"> олл шторы  олл шторы белые однотонные   х х в м2               1210х1810х2190 мм</v>
      </c>
      <c r="C53" s="61" t="s">
        <v>12356</v>
      </c>
      <c r="D53" s="56" t="s">
        <v>12352</v>
      </c>
      <c r="E53" s="56" t="s">
        <v>12357</v>
      </c>
      <c r="F53" s="62">
        <v>27820.428479999999</v>
      </c>
      <c r="G53" s="58">
        <v>3</v>
      </c>
      <c r="I53" s="5"/>
      <c r="J53" s="5"/>
    </row>
    <row r="54" spans="1:10" x14ac:dyDescent="0.2">
      <c r="A54" s="59" t="str">
        <f ca="1">IFERROR(__xludf.DUMMYFUNCTION("TEXTJOIN(""|"",TRUE,UNIQUE(FILTER(SPLIT(B54,"" ""),LEN(SPLIT(B54,"" ""))&gt;2)))"),"олл|шторы|олл|шторы|белые|однотонные|2000х1200х3240")</f>
        <v>олл|шторы|олл|шторы|белые|однотонные|2000х1200х3240</v>
      </c>
      <c r="B54" s="59" t="str">
        <f ca="1">IFERROR(__xludf.DUMMYFUNCTION("LOWER(REGEXREPLACE(D54&amp;"" ""&amp;E54,""[^а-яa-z0-9 ]"","" ""))")," олл шторы  олл шторы белые однотонные   х х в м2               2000х1200х3240 мм")</f>
        <v xml:space="preserve"> олл шторы  олл шторы белые однотонные   х х в м2               2000х1200х3240 мм</v>
      </c>
      <c r="C54" s="61" t="s">
        <v>12358</v>
      </c>
      <c r="D54" s="56" t="s">
        <v>12352</v>
      </c>
      <c r="E54" s="56" t="s">
        <v>12359</v>
      </c>
      <c r="F54" s="62">
        <v>41158.990079999996</v>
      </c>
      <c r="G54" s="58">
        <v>2</v>
      </c>
      <c r="I54" s="5"/>
      <c r="J54" s="5"/>
    </row>
    <row r="55" spans="1:10" x14ac:dyDescent="0.2">
      <c r="A55" s="59" t="str">
        <f ca="1">IFERROR(__xludf.DUMMYFUNCTION("TEXTJOIN(""|"",TRUE,UNIQUE(FILTER(SPLIT(B55,"" ""),LEN(SPLIT(B55,"" ""))&gt;2)))"),"олл|шторы|олл|шторы|белые|однотонные|2410х3300х7950")</f>
        <v>олл|шторы|олл|шторы|белые|однотонные|2410х3300х7950</v>
      </c>
      <c r="B55" s="59" t="str">
        <f ca="1">IFERROR(__xludf.DUMMYFUNCTION("LOWER(REGEXREPLACE(D55&amp;"" ""&amp;E55,""[^а-яa-z0-9 ]"","" ""))")," олл шторы  олл шторы белые однотонные   х х в м2               2410х3300х7950 мм")</f>
        <v xml:space="preserve"> олл шторы  олл шторы белые однотонные   х х в м2               2410х3300х7950 мм</v>
      </c>
      <c r="C55" s="61" t="s">
        <v>12360</v>
      </c>
      <c r="D55" s="56" t="s">
        <v>12352</v>
      </c>
      <c r="E55" s="56" t="s">
        <v>12361</v>
      </c>
      <c r="F55" s="62">
        <v>100991.9664</v>
      </c>
      <c r="G55" s="58">
        <v>6</v>
      </c>
      <c r="I55" s="5"/>
      <c r="J55" s="5"/>
    </row>
    <row r="56" spans="1:10" x14ac:dyDescent="0.2">
      <c r="A56" s="59" t="str">
        <f ca="1">IFERROR(__xludf.DUMMYFUNCTION("TEXTJOIN(""|"",TRUE,UNIQUE(FILTER(SPLIT(B56,"" ""),LEN(SPLIT(B56,"" ""))&gt;2)))"),"олл|шторы|олл|шторы|белые|однотонные|910х1650х1500")</f>
        <v>олл|шторы|олл|шторы|белые|однотонные|910х1650х1500</v>
      </c>
      <c r="B56" s="59" t="str">
        <f ca="1">IFERROR(__xludf.DUMMYFUNCTION("LOWER(REGEXREPLACE(D56&amp;"" ""&amp;E56,""[^а-яa-z0-9 ]"","" ""))")," олл шторы  олл шторы белые однотонные   х х в м2               910х1650х1500 мм")</f>
        <v xml:space="preserve"> олл шторы  олл шторы белые однотонные   х х в м2               910х1650х1500 мм</v>
      </c>
      <c r="C56" s="61" t="s">
        <v>12362</v>
      </c>
      <c r="D56" s="56" t="s">
        <v>12352</v>
      </c>
      <c r="E56" s="56" t="s">
        <v>12363</v>
      </c>
      <c r="F56" s="62">
        <v>19055.088</v>
      </c>
      <c r="G56" s="58">
        <v>4</v>
      </c>
      <c r="I56" s="5"/>
      <c r="J56" s="5"/>
    </row>
    <row r="57" spans="1:10" x14ac:dyDescent="0.2">
      <c r="A57" s="59" t="str">
        <f ca="1">IFERROR(__xludf.DUMMYFUNCTION("TEXTJOIN(""|"",TRUE,UNIQUE(FILTER(SPLIT(B57,"" ""),LEN(SPLIT(B57,"" ""))&gt;2)))"),"олл|шторы|олл|шторы|белые|однотонные|1310х1650х2160")</f>
        <v>олл|шторы|олл|шторы|белые|однотонные|1310х1650х2160</v>
      </c>
      <c r="B57" s="59" t="str">
        <f ca="1">IFERROR(__xludf.DUMMYFUNCTION("LOWER(REGEXREPLACE(D57&amp;"" ""&amp;E57,""[^а-яa-z0-9 ]"","" ""))")," олл шторы  олл шторы белые однотонные   х х в м2               1310х1650х2160 мм")</f>
        <v xml:space="preserve"> олл шторы  олл шторы белые однотонные   х х в м2               1310х1650х2160 мм</v>
      </c>
      <c r="C57" s="61" t="s">
        <v>12364</v>
      </c>
      <c r="D57" s="56" t="s">
        <v>12352</v>
      </c>
      <c r="E57" s="56" t="s">
        <v>12365</v>
      </c>
      <c r="F57" s="62">
        <v>27439.326720000005</v>
      </c>
      <c r="G57" s="58">
        <v>6</v>
      </c>
      <c r="I57" s="5"/>
      <c r="J57" s="5"/>
    </row>
    <row r="58" spans="1:10" x14ac:dyDescent="0.2">
      <c r="A58" s="59" t="str">
        <f ca="1">IFERROR(__xludf.DUMMYFUNCTION("TEXTJOIN(""|"",TRUE,UNIQUE(FILTER(SPLIT(B58,"" ""),LEN(SPLIT(B58,"" ""))&gt;2)))"),"ылды|бояма|мная|раскраска|аскрась|коду|ето|енаги")</f>
        <v>ылды|бояма|мная|раскраска|аскрась|коду|ето|енаги</v>
      </c>
      <c r="B58" s="59" t="str">
        <f ca="1">IFERROR(__xludf.DUMMYFUNCTION("LOWER(REGEXREPLACE(D58&amp;"" ""&amp;E58,""[^а-яa-z0-9 ]"","" ""))"),"   ылды  бояма    аз    мная  раскраска   аскрась по коду   ето  енаги   ")</f>
        <v xml:space="preserve">   ылды  бояма    аз    мная  раскраска   аскрась по коду   ето  енаги   </v>
      </c>
      <c r="C58" s="61" t="s">
        <v>12366</v>
      </c>
      <c r="D58" s="56" t="s">
        <v>12367</v>
      </c>
      <c r="E58" s="56" t="s">
        <v>12368</v>
      </c>
      <c r="F58" s="57">
        <v>1400</v>
      </c>
      <c r="G58" s="58">
        <v>1</v>
      </c>
      <c r="I58" s="5"/>
      <c r="J58" s="5"/>
    </row>
    <row r="59" spans="1:10" x14ac:dyDescent="0.2">
      <c r="A59" s="59" t="str">
        <f ca="1">IFERROR(__xludf.DUMMYFUNCTION("TEXTJOIN(""|"",TRUE,UNIQUE(FILTER(SPLIT(B59,"" ""),LEN(SPLIT(B59,"" ""))&gt;2)))"),"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f>
        <v>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v>
      </c>
      <c r="B59" s="59" t="str">
        <f ca="1">IFERROR(__xludf.DUMMYFUNCTION("LOWER(REGEXREPLACE(D59&amp;"" ""&amp;E59,""[^а-яa-z0-9 ]"","" ""))"),"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детал"&amp;"и   6 шт    желтые детали   6 шт    зеленые детали   5 шт ")</f>
        <v xml:space="preserve">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детали   6 шт    желтые детали   6 шт    зеленые детали   5 шт </v>
      </c>
      <c r="C59" s="61" t="s">
        <v>12369</v>
      </c>
      <c r="D59" s="56" t="s">
        <v>12370</v>
      </c>
      <c r="E59" s="56" t="s">
        <v>12371</v>
      </c>
      <c r="F59" s="57">
        <v>16000</v>
      </c>
      <c r="G59" s="58">
        <v>50</v>
      </c>
      <c r="I59" s="5"/>
      <c r="J59" s="5"/>
    </row>
    <row r="60" spans="1:10" x14ac:dyDescent="0.2">
      <c r="A60" s="59" t="str">
        <f ca="1">IFERROR(__xludf.DUMMYFUNCTION("TEXTJOIN(""|"",TRUE,UNIQUE(FILTER(SPLIT(B60,"" ""),LEN(SPLIT(B60,"" ""))&gt;2)))"),"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amp;"очных|карточек")</f>
        <v>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очных|карточек</v>
      </c>
      <c r="B60" s="59" t="str">
        <f ca="1">IFERROR(__xludf.DUMMYFUNCTION("LOWER(REGEXREPLACE(D60&amp;"" ""&amp;E60,""[^а-яa-z0-9 ]"","" ""))"),"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демонстрацион"&amp;"ных картинок и 16 раздаточных карточек ")</f>
        <v xml:space="preserve">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демонстрационных картинок и 16 раздаточных карточек </v>
      </c>
      <c r="C60" s="61" t="s">
        <v>12372</v>
      </c>
      <c r="D60" s="56" t="s">
        <v>12373</v>
      </c>
      <c r="E60" s="56" t="s">
        <v>12374</v>
      </c>
      <c r="F60" s="57">
        <v>6700</v>
      </c>
      <c r="G60" s="58">
        <v>5</v>
      </c>
      <c r="I60" s="5"/>
      <c r="J60" s="5"/>
    </row>
    <row r="61" spans="1:10" x14ac:dyDescent="0.2">
      <c r="A61" s="59" t="str">
        <f ca="1">IFERROR(__xludf.DUMMYFUNCTION("TEXTJOIN(""|"",TRUE,UNIQUE(FILTER(SPLIT(B61,"" ""),LEN(SPLIT(B61,"" ""))&gt;2)))"),"акет|расходных|материалов|для|инструментов|akerspace|акет|расходных|материалов|для|инструментов|akerspace")</f>
        <v>акет|расходных|материалов|для|инструментов|akerspace|акет|расходных|материалов|для|инструментов|akerspace</v>
      </c>
      <c r="B61" s="59" t="str">
        <f ca="1">IFERROR(__xludf.DUMMYFUNCTION("LOWER(REGEXREPLACE(D61&amp;"" ""&amp;E61,""[^а-яa-z0-9 ]"","" ""))")," акет расходных материалов для инструментов  akerspace  акет расходных материалов для инструментов  akerspace")</f>
        <v xml:space="preserve"> акет расходных материалов для инструментов  akerspace  акет расходных материалов для инструментов  akerspace</v>
      </c>
      <c r="C61" s="61" t="s">
        <v>12375</v>
      </c>
      <c r="D61" s="56" t="s">
        <v>12376</v>
      </c>
      <c r="E61" s="56" t="s">
        <v>12376</v>
      </c>
      <c r="F61" s="57">
        <v>229300</v>
      </c>
      <c r="G61" s="58">
        <v>5</v>
      </c>
      <c r="I61" s="5"/>
      <c r="J61" s="5"/>
    </row>
    <row r="62" spans="1:10" x14ac:dyDescent="0.2">
      <c r="A62" s="59" t="str">
        <f ca="1">IFERROR(__xludf.DUMMYFUNCTION("TEXTJOIN(""|"",TRUE,UNIQUE(FILTER(SPLIT(B62,"" ""),LEN(SPLIT(B62,"" ""))&gt;2)))"),"принтер|ombo|принтер")</f>
        <v>принтер|ombo|принтер</v>
      </c>
      <c r="B62" s="59" t="str">
        <f ca="1">IFERROR(__xludf.DUMMYFUNCTION("LOWER(REGEXREPLACE(D62&amp;"" ""&amp;E62,""[^а-яa-z0-9 ]"","" ""))"),"3  принтер  1  ombo 3  принтер ")</f>
        <v xml:space="preserve">3  принтер  1  ombo 3  принтер </v>
      </c>
      <c r="C62" s="61" t="s">
        <v>12377</v>
      </c>
      <c r="D62" s="56" t="s">
        <v>12378</v>
      </c>
      <c r="E62" s="56" t="s">
        <v>12379</v>
      </c>
      <c r="F62" s="57">
        <v>567000</v>
      </c>
      <c r="G62" s="58">
        <v>0</v>
      </c>
      <c r="I62" s="5"/>
      <c r="J62" s="5"/>
    </row>
    <row r="63" spans="1:10" x14ac:dyDescent="0.2">
      <c r="A63" s="59" t="str">
        <f ca="1">IFERROR(__xludf.DUMMYFUNCTION("TEXTJOIN(""|"",TRUE,UNIQUE(FILTER(SPLIT(B63,"" ""),LEN(SPLIT(B63,"" ""))&gt;2)))"),"ерстак|для|сборки|сновная|рабочая|зона|для|конструирования|моделей|работы|инструментами")</f>
        <v>ерстак|для|сборки|сновная|рабочая|зона|для|конструирования|моделей|работы|инструментами</v>
      </c>
      <c r="B63" s="59" t="str">
        <f ca="1">IFERROR(__xludf.DUMMYFUNCTION("LOWER(REGEXREPLACE(D63&amp;"" ""&amp;E63,""[^а-яa-z0-9 ]"","" ""))")," ерстак для сборки   сновная рабочая зона для конструирования моделей и работы с инструментами ")</f>
        <v xml:space="preserve"> ерстак для сборки   сновная рабочая зона для конструирования моделей и работы с инструментами </v>
      </c>
      <c r="C63" s="61" t="s">
        <v>12380</v>
      </c>
      <c r="D63" s="61" t="s">
        <v>12381</v>
      </c>
      <c r="E63" s="56" t="s">
        <v>12382</v>
      </c>
      <c r="F63" s="57">
        <v>1429200</v>
      </c>
      <c r="G63" s="58">
        <v>3</v>
      </c>
      <c r="I63" s="5"/>
      <c r="J63" s="5"/>
    </row>
    <row r="64" spans="1:10" x14ac:dyDescent="0.2">
      <c r="A64" s="59" t="str">
        <f ca="1">IFERROR(__xludf.DUMMYFUNCTION("TEXTJOIN(""|"",TRUE,UNIQUE(FILTER(SPLIT(B64,"" ""),LEN(SPLIT(B64,"" ""))&gt;2)))"),"тулья|ысота|сиденья|ирина|сиденья|лубина|сиденья|ысота|спинки|общая")</f>
        <v>тулья|ысота|сиденья|ирина|сиденья|лубина|сиденья|ысота|спинки|общая</v>
      </c>
      <c r="B64" s="59" t="str">
        <f ca="1">IFERROR(__xludf.DUMMYFUNCTION("LOWER(REGEXREPLACE(D64&amp;"" ""&amp;E64,""[^а-яa-z0-9 ]"","" ""))")," тулья   ысота сиденья  25   26 см  ирина сиденья  29 см  лубина сиденья  27 см  ысота спинки  общая   52 см")</f>
        <v xml:space="preserve"> тулья   ысота сиденья  25   26 см  ирина сиденья  29 см  лубина сиденья  27 см  ысота спинки  общая   52 см</v>
      </c>
      <c r="C64" s="61" t="s">
        <v>12383</v>
      </c>
      <c r="D64" s="61" t="s">
        <v>12384</v>
      </c>
      <c r="E64" s="56" t="s">
        <v>12385</v>
      </c>
      <c r="F64" s="57">
        <v>163000</v>
      </c>
      <c r="G64" s="58">
        <v>15</v>
      </c>
      <c r="I64" s="5"/>
      <c r="J64" s="5"/>
    </row>
    <row r="65" spans="1:10" x14ac:dyDescent="0.2">
      <c r="A65" s="59" t="str">
        <f ca="1">IFERROR(__xludf.DUMMYFUNCTION("TEXTJOIN(""|"",TRUE,UNIQUE(FILTER(SPLIT(B65,"" ""),LEN(SPLIT(B65,"" ""))&gt;2)))"),"истема|хранения|теллаж|для|организации|лотков|деталями|роботов|микросхемами")</f>
        <v>истема|хранения|теллаж|для|организации|лотков|деталями|роботов|микросхемами</v>
      </c>
      <c r="B65" s="59" t="str">
        <f ca="1">IFERROR(__xludf.DUMMYFUNCTION("LOWER(REGEXREPLACE(D65&amp;"" ""&amp;E65,""[^а-яa-z0-9 ]"","" ""))")," истема хранения   теллаж для организации лотков с деталями роботов и микросхемами ")</f>
        <v xml:space="preserve"> истема хранения   теллаж для организации лотков с деталями роботов и микросхемами </v>
      </c>
      <c r="C65" s="61" t="s">
        <v>12386</v>
      </c>
      <c r="D65" s="61" t="s">
        <v>12387</v>
      </c>
      <c r="E65" s="56" t="s">
        <v>12388</v>
      </c>
      <c r="F65" s="57">
        <v>722400</v>
      </c>
      <c r="G65" s="58">
        <v>3</v>
      </c>
      <c r="I65" s="5"/>
      <c r="J65" s="5"/>
    </row>
    <row r="66" spans="1:10" x14ac:dyDescent="0.2">
      <c r="A66" s="59" t="str">
        <f ca="1">IFERROR(__xludf.DUMMYFUNCTION("TEXTJOIN(""|"",TRUE,UNIQUE(FILTER(SPLIT(B66,"" ""),LEN(SPLIT(B66,"" ""))&gt;2)))"),"лубокие|лотки|онтейнеры|для|сортировки|конструкторов|типам|деталей")</f>
        <v>лубокие|лотки|онтейнеры|для|сортировки|конструкторов|типам|деталей</v>
      </c>
      <c r="B66" s="59" t="str">
        <f ca="1">IFERROR(__xludf.DUMMYFUNCTION("LOWER(REGEXREPLACE(D66&amp;"" ""&amp;E66,""[^а-яa-z0-9 ]"","" ""))")," лубокие лотки   онтейнеры для сортировки конструкторов по типам деталей ")</f>
        <v xml:space="preserve"> лубокие лотки   онтейнеры для сортировки конструкторов по типам деталей </v>
      </c>
      <c r="C66" s="61" t="s">
        <v>12389</v>
      </c>
      <c r="D66" s="61" t="s">
        <v>12390</v>
      </c>
      <c r="E66" s="56" t="s">
        <v>12391</v>
      </c>
      <c r="F66" s="57">
        <v>166600</v>
      </c>
      <c r="G66" s="58">
        <v>3</v>
      </c>
      <c r="I66" s="5"/>
      <c r="J66" s="5"/>
    </row>
    <row r="67" spans="1:10" x14ac:dyDescent="0.2">
      <c r="A67" s="59" t="str">
        <f ca="1">IFERROR(__xludf.DUMMYFUNCTION("TEXTJOIN(""|"",TRUE,UNIQUE(FILTER(SPLIT(B67,"" ""),LEN(SPLIT(B67,"" ""))&gt;2)))"),"астенная|механика|нтерактивный|стенд|для|изучения|передач|вращения|крутящего|момента")</f>
        <v>астенная|механика|нтерактивный|стенд|для|изучения|передач|вращения|крутящего|момента</v>
      </c>
      <c r="B67" s="59" t="str">
        <f ca="1">IFERROR(__xludf.DUMMYFUNCTION("LOWER(REGEXREPLACE(D67&amp;"" ""&amp;E67,""[^а-яa-z0-9 ]"","" ""))")," астенная механика  нтерактивный стенд для изучения передач  вращения и крутящего момента")</f>
        <v xml:space="preserve"> астенная механика  нтерактивный стенд для изучения передач  вращения и крутящего момента</v>
      </c>
      <c r="C67" s="61" t="s">
        <v>12392</v>
      </c>
      <c r="D67" s="61" t="s">
        <v>12393</v>
      </c>
      <c r="E67" s="56" t="s">
        <v>12394</v>
      </c>
      <c r="F67" s="57">
        <v>1826200</v>
      </c>
      <c r="G67" s="58">
        <v>1</v>
      </c>
      <c r="I67" s="5"/>
      <c r="J67" s="5"/>
    </row>
    <row r="68" spans="1:10" x14ac:dyDescent="0.2">
      <c r="A68" s="59" t="str">
        <f ca="1">IFERROR(__xludf.DUMMYFUNCTION("TEXTJOIN(""|"",TRUE,UNIQUE(FILTER(SPLIT(B68,"" ""),LEN(SPLIT(B68,"" ""))&gt;2)))"),"сновы|алгоритмики|гра|для|развития|логического|мышления|база|перед|программированием")</f>
        <v>сновы|алгоритмики|гра|для|развития|логического|мышления|база|перед|программированием</v>
      </c>
      <c r="B68" s="59" t="str">
        <f ca="1">IFERROR(__xludf.DUMMYFUNCTION("LOWER(REGEXREPLACE(D68&amp;"" ""&amp;E68,""[^а-яa-z0-9 ]"","" ""))")," сновы алгоритмики   гра для развития логического мышления  база перед программированием ")</f>
        <v xml:space="preserve"> сновы алгоритмики   гра для развития логического мышления  база перед программированием </v>
      </c>
      <c r="C68" s="61" t="s">
        <v>12395</v>
      </c>
      <c r="D68" s="61" t="s">
        <v>12396</v>
      </c>
      <c r="E68" s="56" t="s">
        <v>12397</v>
      </c>
      <c r="F68" s="57">
        <v>338900</v>
      </c>
      <c r="G68" s="58">
        <v>4</v>
      </c>
      <c r="I68" s="5"/>
      <c r="J68" s="5"/>
    </row>
    <row r="69" spans="1:10" x14ac:dyDescent="0.2">
      <c r="A69" s="59" t="str">
        <f ca="1">IFERROR(__xludf.DUMMYFUNCTION("TEXTJOIN(""|"",TRUE,UNIQUE(FILTER(SPLIT(B69,"" ""),LEN(SPLIT(B69,"" ""))&gt;2)))"),"аборатория|шестеренок|астольный|набор|для|понимания|принципов|работы|механических|узлов")</f>
        <v>аборатория|шестеренок|астольный|набор|для|понимания|принципов|работы|механических|узлов</v>
      </c>
      <c r="B69" s="59" t="str">
        <f ca="1">IFERROR(__xludf.DUMMYFUNCTION("LOWER(REGEXREPLACE(D69&amp;"" ""&amp;E69,""[^а-яa-z0-9 ]"","" ""))")," аборатория шестеренок  астольный набор для понимания принципов работы механических узлов ")</f>
        <v xml:space="preserve"> аборатория шестеренок  астольный набор для понимания принципов работы механических узлов </v>
      </c>
      <c r="C69" s="61" t="s">
        <v>12398</v>
      </c>
      <c r="D69" s="61" t="s">
        <v>12399</v>
      </c>
      <c r="E69" s="56" t="s">
        <v>12400</v>
      </c>
      <c r="F69" s="57">
        <v>104900</v>
      </c>
      <c r="G69" s="58">
        <v>5</v>
      </c>
      <c r="I69" s="5"/>
      <c r="J69" s="5"/>
    </row>
    <row r="70" spans="1:10" x14ac:dyDescent="0.2">
      <c r="A70" s="59" t="str">
        <f ca="1">IFERROR(__xludf.DUMMYFUNCTION("TEXTJOIN(""|"",TRUE,UNIQUE(FILTER(SPLIT(B70,"" ""),LEN(SPLIT(B70,"" ""))&gt;2)))"),"спытательный|полигон|ягкая|зона|для|запуска|мобильных|роботов|групповых|обсуждений")</f>
        <v>спытательный|полигон|ягкая|зона|для|запуска|мобильных|роботов|групповых|обсуждений</v>
      </c>
      <c r="B70" s="59" t="str">
        <f ca="1">IFERROR(__xludf.DUMMYFUNCTION("LOWER(REGEXREPLACE(D70&amp;"" ""&amp;E70,""[^а-яa-z0-9 ]"","" ""))")," спытательный полигон   ягкая зона для запуска мобильных роботов и групповых обсуждений ")</f>
        <v xml:space="preserve"> спытательный полигон   ягкая зона для запуска мобильных роботов и групповых обсуждений </v>
      </c>
      <c r="C70" s="61" t="s">
        <v>12401</v>
      </c>
      <c r="D70" s="61" t="s">
        <v>12402</v>
      </c>
      <c r="E70" s="56" t="s">
        <v>12403</v>
      </c>
      <c r="F70" s="57">
        <v>777000</v>
      </c>
      <c r="G70" s="58">
        <v>1</v>
      </c>
      <c r="I70" s="5"/>
      <c r="J70" s="5"/>
    </row>
    <row r="71" spans="1:10" x14ac:dyDescent="0.2">
      <c r="A71" s="59" t="str">
        <f ca="1">IFERROR(__xludf.DUMMYFUNCTION("TEXTJOIN(""|"",TRUE,UNIQUE(FILTER(SPLIT(B71,"" ""),LEN(SPLIT(B71,"" ""))&gt;2)))"),"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amp;"|раздаточных|карточек")</f>
        <v>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раздаточных|карточек</v>
      </c>
      <c r="B71" s="59" t="str">
        <f ca="1">IFERROR(__xludf.DUMMYFUNCTION("LOWER(REGEXREPLACE(D71&amp;"" ""&amp;E71,""[^а-яa-z0-9 ]"","" ""))"),"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16"&amp;" демонстрационных и 16 раздаточных карточек ")</f>
        <v xml:space="preserve">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 демонстрационных и 16 раздаточных карточек </v>
      </c>
      <c r="C71" s="61" t="s">
        <v>12404</v>
      </c>
      <c r="D71" s="56" t="s">
        <v>12405</v>
      </c>
      <c r="E71" s="56" t="s">
        <v>12406</v>
      </c>
      <c r="F71" s="57">
        <v>6700</v>
      </c>
      <c r="G71" s="58">
        <v>5</v>
      </c>
      <c r="I71" s="5"/>
      <c r="J71" s="5"/>
    </row>
    <row r="72" spans="1:10" x14ac:dyDescent="0.2">
      <c r="A72" s="59" t="str">
        <f ca="1">IFERROR(__xludf.DUMMYFUNCTION("TEXTJOIN(""|"",TRUE,UNIQUE(FILTER(SPLIT(B72,"" ""),LEN(SPLIT(B72,"" ""))&gt;2)))"),"азовый|набор|робототехники|для|детей|онструктор|ego|ducation|iscover")</f>
        <v>азовый|набор|робототехники|для|детей|онструктор|ego|ducation|iscover</v>
      </c>
      <c r="B72" s="59" t="str">
        <f ca="1">IFERROR(__xludf.DUMMYFUNCTION("LOWER(REGEXREPLACE(D72&amp;"" ""&amp;E72,""[^а-яa-z0-9 ]"","" ""))")," азовый набор робототехники для детей     онструктор  ego  ducation      iscover")</f>
        <v xml:space="preserve"> азовый набор робототехники для детей     онструктор  ego  ducation      iscover</v>
      </c>
      <c r="C72" s="61" t="s">
        <v>12407</v>
      </c>
      <c r="D72" s="61" t="s">
        <v>12408</v>
      </c>
      <c r="E72" s="56" t="s">
        <v>12409</v>
      </c>
      <c r="F72" s="57">
        <v>94800</v>
      </c>
      <c r="G72" s="58">
        <v>2</v>
      </c>
      <c r="I72" s="5"/>
      <c r="J72" s="5"/>
    </row>
    <row r="73" spans="1:10" x14ac:dyDescent="0.2">
      <c r="A73" s="59" t="str">
        <f ca="1">IFERROR(__xludf.DUMMYFUNCTION("TEXTJOIN(""|"",TRUE,UNIQUE(FILTER(SPLIT(B73,"" ""),LEN(SPLIT(B73,"" ""))&gt;2)))"),"obo|underkind|ducation|азовый|набор|obowunderkind|для|начальных|классов")</f>
        <v>obo|underkind|ducation|азовый|набор|obowunderkind|для|начальных|классов</v>
      </c>
      <c r="B73" s="59" t="str">
        <f ca="1">IFERROR(__xludf.DUMMYFUNCTION("LOWER(REGEXREPLACE(D73&amp;"" ""&amp;E73,""[^а-яa-z0-9 ]"","" ""))"),"  obo  underkind  ducation  it  азовый набор  obowunderkind для начальных классов")</f>
        <v xml:space="preserve">  obo  underkind  ducation  it  азовый набор  obowunderkind для начальных классов</v>
      </c>
      <c r="C73" s="61" t="s">
        <v>12410</v>
      </c>
      <c r="D73" s="61" t="s">
        <v>12411</v>
      </c>
      <c r="E73" s="56" t="s">
        <v>12412</v>
      </c>
      <c r="F73" s="57">
        <v>453300</v>
      </c>
      <c r="G73" s="58">
        <v>4</v>
      </c>
      <c r="I73" s="5"/>
      <c r="J73" s="5"/>
    </row>
    <row r="74" spans="1:10" x14ac:dyDescent="0.2">
      <c r="A74" s="59" t="str">
        <f ca="1">IFERROR(__xludf.DUMMYFUNCTION("TEXTJOIN(""|"",TRUE,UNIQUE(FILTER(SPLIT(B74,"" ""),LEN(SPLIT(B74,"" ""))&gt;2)))"),"obo|underkind|xtension|азовый|набор|obo|wunderkind|для|начальных|классов")</f>
        <v>obo|underkind|xtension|азовый|набор|obo|wunderkind|для|начальных|классов</v>
      </c>
      <c r="B74" s="59" t="str">
        <f ca="1">IFERROR(__xludf.DUMMYFUNCTION("LOWER(REGEXREPLACE(D74&amp;"" ""&amp;E74,""[^а-яa-z0-9 ]"","" ""))")," obo  underkind  xtension  it  азовый набор  obo wunderkind для начальных классов")</f>
        <v xml:space="preserve"> obo  underkind  xtension  it  азовый набор  obo wunderkind для начальных классов</v>
      </c>
      <c r="C74" s="61" t="s">
        <v>12413</v>
      </c>
      <c r="D74" s="61" t="s">
        <v>12414</v>
      </c>
      <c r="E74" s="56" t="s">
        <v>12415</v>
      </c>
      <c r="F74" s="57">
        <v>313400</v>
      </c>
      <c r="G74" s="58">
        <v>4</v>
      </c>
      <c r="I74" s="5"/>
      <c r="J74" s="5"/>
    </row>
    <row r="75" spans="1:10" x14ac:dyDescent="0.2">
      <c r="A75" s="59" t="str">
        <f ca="1">IFERROR(__xludf.DUMMYFUNCTION("TEXTJOIN(""|"",TRUE,UNIQUE(FILTER(SPLIT(B75,"" ""),LEN(SPLIT(B75,"" ""))&gt;2)))"),"абор|для|изучения|управлению|роботом|убо|абор|для|изучения|управлению|роботом|убо")</f>
        <v>абор|для|изучения|управлению|роботом|убо|абор|для|изучения|управлению|роботом|убо</v>
      </c>
      <c r="B75" s="59" t="str">
        <f ca="1">IFERROR(__xludf.DUMMYFUNCTION("LOWER(REGEXREPLACE(D75&amp;"" ""&amp;E75,""[^а-яa-z0-9 ]"","" ""))")," абор для изучения управлению роботом  убо  абор для изучения управлению роботом  убо")</f>
        <v xml:space="preserve"> абор для изучения управлению роботом  убо  абор для изучения управлению роботом  убо</v>
      </c>
      <c r="C75" s="61" t="s">
        <v>12416</v>
      </c>
      <c r="D75" s="61" t="s">
        <v>12417</v>
      </c>
      <c r="E75" s="56" t="s">
        <v>12417</v>
      </c>
      <c r="F75" s="57">
        <v>965600</v>
      </c>
      <c r="G75" s="58">
        <v>1</v>
      </c>
      <c r="I75" s="5"/>
      <c r="J75" s="5"/>
    </row>
    <row r="76" spans="1:10" x14ac:dyDescent="0.2">
      <c r="A76" s="59" t="str">
        <f ca="1">IFERROR(__xludf.DUMMYFUNCTION("TEXTJOIN(""|"",TRUE,UNIQUE(FILTER(SPLIT(B76,"" ""),LEN(SPLIT(B76,"" ""))&gt;2)))"),"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amp;"нных|раздаточных|карточек")</f>
        <v>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нных|раздаточных|карточек</v>
      </c>
      <c r="B76" s="59" t="str">
        <f ca="1">IFERROR(__xludf.DUMMYFUNCTION("LOWER(REGEXREPLACE(D76&amp;"" ""&amp;E76,""[^а-яa-z0-9 ]"","" ""))"),"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"&amp;"входит 16 демонстрационных и 16 раздаточных карточек ")</f>
        <v xml:space="preserve">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входит 16 демонстрационных и 16 раздаточных карточек </v>
      </c>
      <c r="C76" s="61" t="s">
        <v>12418</v>
      </c>
      <c r="D76" s="56" t="s">
        <v>12419</v>
      </c>
      <c r="E76" s="56" t="s">
        <v>12420</v>
      </c>
      <c r="F76" s="57">
        <v>6700</v>
      </c>
      <c r="G76" s="58">
        <v>5</v>
      </c>
      <c r="I76" s="5"/>
      <c r="J76" s="5"/>
    </row>
    <row r="77" spans="1:10" x14ac:dyDescent="0.2">
      <c r="A77" s="59" t="str">
        <f ca="1">IFERROR(__xludf.DUMMYFUNCTION("TEXTJOIN(""|"",TRUE,UNIQUE(FILTER(SPLIT(B77,"" ""),LEN(SPLIT(B77,"" ""))&gt;2)))"),"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f>
        <v>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v>
      </c>
      <c r="B77" s="59" t="str">
        <f ca="1">IFERROR(__xludf.DUMMYFUNCTION("LOWER(REGEXREPLACE(D77&amp;"" ""&amp;E77,""[^а-яa-z0-9 ]"","" ""))"),"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разда"&amp;"точных карточек ")</f>
        <v xml:space="preserve">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раздаточных карточек </v>
      </c>
      <c r="C77" s="61" t="s">
        <v>12421</v>
      </c>
      <c r="D77" s="56" t="s">
        <v>12422</v>
      </c>
      <c r="E77" s="56" t="s">
        <v>12423</v>
      </c>
      <c r="F77" s="57">
        <v>6700</v>
      </c>
      <c r="G77" s="58">
        <v>5</v>
      </c>
      <c r="I77" s="5"/>
      <c r="J77" s="5"/>
    </row>
    <row r="78" spans="1:10" x14ac:dyDescent="0.2">
      <c r="A78" s="59" t="str">
        <f ca="1">IFERROR(__xludf.DUMMYFUNCTION("TEXTJOIN(""|"",TRUE,UNIQUE(FILTER(SPLIT(B78,"" ""),LEN(SPLIT(B78,"" ""))&gt;2)))"),"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f>
        <v>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v>
      </c>
      <c r="B78" s="59" t="str">
        <f ca="1">IFERROR(__xludf.DUMMYFUNCTION("LOWER(REGEXREPLACE(D78&amp;"" ""&amp;E78,""[^а-яa-z0-9 ]"","" ""))"),"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раздат"&amp;"очных карточек ")</f>
        <v xml:space="preserve">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раздаточных карточек </v>
      </c>
      <c r="C78" s="61" t="s">
        <v>12424</v>
      </c>
      <c r="D78" s="56" t="s">
        <v>12425</v>
      </c>
      <c r="E78" s="56" t="s">
        <v>12426</v>
      </c>
      <c r="F78" s="57">
        <v>6700</v>
      </c>
      <c r="G78" s="58">
        <v>5</v>
      </c>
      <c r="I78" s="5"/>
      <c r="J78" s="5"/>
    </row>
    <row r="79" spans="1:10" x14ac:dyDescent="0.2">
      <c r="A79" s="59" t="str">
        <f ca="1">IFERROR(__xludf.DUMMYFUNCTION("TEXTJOIN(""|"",TRUE,UNIQUE(FILTER(SPLIT(B79,"" ""),LEN(SPLIT(B79,"" ""))&gt;2)))"),"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f>
        <v>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v>
      </c>
      <c r="B79" s="59" t="str">
        <f ca="1">IFERROR(__xludf.DUMMYFUNCTION("LOWER(REGEXREPLACE(D79&amp;"" ""&amp;E79,""[^а-яa-z0-9 ]"","" ""))"),"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карт"&amp;"очек ")</f>
        <v xml:space="preserve">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карточек </v>
      </c>
      <c r="C79" s="61" t="s">
        <v>12427</v>
      </c>
      <c r="D79" s="56" t="s">
        <v>12428</v>
      </c>
      <c r="E79" s="56" t="s">
        <v>12429</v>
      </c>
      <c r="F79" s="57">
        <v>6700</v>
      </c>
      <c r="G79" s="58">
        <v>5</v>
      </c>
      <c r="I79" s="5"/>
      <c r="J79" s="5"/>
    </row>
    <row r="80" spans="1:10" x14ac:dyDescent="0.2">
      <c r="A80" s="59" t="str">
        <f ca="1">IFERROR(__xludf.DUMMYFUNCTION("TEXTJOIN(""|"",TRUE,UNIQUE(FILTER(SPLIT(B80,"" ""),LEN(SPLIT(B80,"" ""))&gt;2)))"),"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f>
        <v>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v>
      </c>
      <c r="B80" s="59" t="str">
        <f ca="1">IFERROR(__xludf.DUMMYFUNCTION("LOWER(REGEXREPLACE(D80&amp;"" ""&amp;E80,""[^а-яa-z0-9 ]"","" ""))"),"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"&amp;"16 раздаточных карточек ")</f>
        <v xml:space="preserve">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16 раздаточных карточек </v>
      </c>
      <c r="C80" s="61" t="s">
        <v>12430</v>
      </c>
      <c r="D80" s="56" t="s">
        <v>12431</v>
      </c>
      <c r="E80" s="56" t="s">
        <v>12432</v>
      </c>
      <c r="F80" s="57">
        <v>6700</v>
      </c>
      <c r="G80" s="58">
        <v>5</v>
      </c>
      <c r="I80" s="5"/>
      <c r="J80" s="5"/>
    </row>
    <row r="81" spans="1:10" x14ac:dyDescent="0.2">
      <c r="A81" s="59" t="str">
        <f ca="1">IFERROR(__xludf.DUMMYFUNCTION("TEXTJOIN(""|"",TRUE,UNIQUE(FILTER(SPLIT(B81,"" ""),LEN(SPLIT(B81,"" ""))&gt;2)))"),"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amp;"нных|раздаточных|карточек")</f>
        <v>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нных|раздаточных|карточек</v>
      </c>
      <c r="B81" s="59" t="str">
        <f ca="1">IFERROR(__xludf.DUMMYFUNCTION("LOWER(REGEXREPLACE(D81&amp;"" ""&amp;E81,""[^а-яa-z0-9 ]"","" ""))"),"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входи"&amp;"т 16 демонстрационных и 16 раздаточных карточек ")</f>
        <v xml:space="preserve">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входит 16 демонстрационных и 16 раздаточных карточек </v>
      </c>
      <c r="C81" s="61" t="s">
        <v>12433</v>
      </c>
      <c r="D81" s="56" t="s">
        <v>12434</v>
      </c>
      <c r="E81" s="56" t="s">
        <v>12435</v>
      </c>
      <c r="F81" s="57">
        <v>6700</v>
      </c>
      <c r="G81" s="58">
        <v>5</v>
      </c>
      <c r="I81" s="5"/>
      <c r="J81" s="5"/>
    </row>
    <row r="82" spans="1:10" x14ac:dyDescent="0.2">
      <c r="A82" s="59" t="str">
        <f ca="1">IFERROR(__xludf.DUMMYFUNCTION("TEXTJOIN(""|"",TRUE,UNIQUE(FILTER(SPLIT(B82,"" ""),LEN(SPLIT(B82,"" ""))&gt;2)))"),"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f>
        <v>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v>
      </c>
      <c r="B82" s="59" t="str">
        <f ca="1">IFERROR(__xludf.DUMMYFUNCTION("LOWER(REGEXREPLACE(D82&amp;"" ""&amp;E82,""[^а-яa-z0-9 ]"","" ""))"),"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карт"&amp;"очек ")</f>
        <v xml:space="preserve">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карточек </v>
      </c>
      <c r="C82" s="61" t="s">
        <v>12436</v>
      </c>
      <c r="D82" s="56" t="s">
        <v>12437</v>
      </c>
      <c r="E82" s="56" t="s">
        <v>12438</v>
      </c>
      <c r="F82" s="57">
        <v>6700</v>
      </c>
      <c r="G82" s="58">
        <v>5</v>
      </c>
      <c r="I82" s="5"/>
      <c r="J82" s="5"/>
    </row>
    <row r="83" spans="1:10" x14ac:dyDescent="0.2">
      <c r="A83" s="59" t="str">
        <f ca="1">IFERROR(__xludf.DUMMYFUNCTION("TEXTJOIN(""|"",TRUE,UNIQUE(FILTER(SPLIT(B83,"" ""),LEN(SPLIT(B83,"" ""))&gt;2)))"),"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f>
        <v>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v>
      </c>
      <c r="B83" s="59" t="str">
        <f ca="1">IFERROR(__xludf.DUMMYFUNCTION("LOWER(REGEXREPLACE(D83&amp;"" ""&amp;E83,""[^а-яa-z0-9 ]"","" ""))"),"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f>
        <v xml:space="preserve">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v>
      </c>
      <c r="C83" s="61" t="s">
        <v>12439</v>
      </c>
      <c r="D83" s="56" t="s">
        <v>12440</v>
      </c>
      <c r="E83" s="56" t="s">
        <v>12441</v>
      </c>
      <c r="F83" s="57">
        <v>6700</v>
      </c>
      <c r="G83" s="58">
        <v>5</v>
      </c>
      <c r="I83" s="5"/>
      <c r="J83" s="5"/>
    </row>
    <row r="84" spans="1:10" x14ac:dyDescent="0.2">
      <c r="A84" s="59" t="str">
        <f ca="1">IFERROR(__xludf.DUMMYFUNCTION("TEXTJOIN(""|"",TRUE,UNIQUE(FILTER(SPLIT(B84,"" ""),LEN(SPLIT(B84,"" ""))&gt;2)))"),"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amp;"я|художественной|литературой")</f>
        <v>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я|художественной|литературой</v>
      </c>
      <c r="B84" s="59" t="str">
        <f ca="1">IFERROR(__xludf.DUMMYFUNCTION("LOWER(REGEXREPLACE(D84&amp;"" ""&amp;E84,""[^а-яa-z0-9 ]"","" ""))"),"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дошкольн"&amp;"иков  а также для ознакомления с художественной литературой ")</f>
        <v xml:space="preserve">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дошкольников  а также для ознакомления с художественной литературой </v>
      </c>
      <c r="C84" s="61" t="s">
        <v>12442</v>
      </c>
      <c r="D84" s="56" t="s">
        <v>12443</v>
      </c>
      <c r="E84" s="56" t="s">
        <v>12444</v>
      </c>
      <c r="F84" s="57">
        <v>3500</v>
      </c>
      <c r="G84" s="58">
        <v>5</v>
      </c>
      <c r="I84" s="5"/>
      <c r="J84" s="5"/>
    </row>
    <row r="85" spans="1:10" x14ac:dyDescent="0.2">
      <c r="A85" s="59" t="str">
        <f ca="1">IFERROR(__xludf.DUMMYFUNCTION("TEXTJOIN(""|"",TRUE,UNIQUE(FILTER(SPLIT(B85,"" ""),LEN(SPLIT(B85,"" ""))&gt;2)))"),"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f>
        <v>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v>
      </c>
      <c r="B85" s="59" t="str">
        <f ca="1">IFERROR(__xludf.DUMMYFUNCTION("LOWER(REGEXREPLACE(D85&amp;"" ""&amp;E85,""[^а-яa-z0-9 ]"","" ""))"),"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f>
        <v xml:space="preserve">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v>
      </c>
      <c r="C85" s="61" t="s">
        <v>12445</v>
      </c>
      <c r="D85" s="56" t="s">
        <v>12446</v>
      </c>
      <c r="E85" s="56" t="s">
        <v>12447</v>
      </c>
      <c r="F85" s="57">
        <v>6700</v>
      </c>
      <c r="G85" s="58">
        <v>5</v>
      </c>
      <c r="I85" s="5"/>
      <c r="J85" s="5"/>
    </row>
    <row r="86" spans="1:10" x14ac:dyDescent="0.2">
      <c r="A86" s="59" t="str">
        <f ca="1">IFERROR(__xludf.DUMMYFUNCTION("TEXTJOIN(""|"",TRUE,UNIQUE(FILTER(SPLIT(B86,"" ""),LEN(SPLIT(B86,"" ""))&gt;2)))"),"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v>
      </c>
      <c r="B86" s="59" t="str">
        <f ca="1">IFERROR(__xludf.DUMMYFUNCTION("LOWER(REGEXREPLACE(D86&amp;"" ""&amp;E86,""[^а-яa-z0-9 ]"","" ""))"),"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карточе"&amp;"к ")</f>
        <v xml:space="preserve">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карточек </v>
      </c>
      <c r="C86" s="61" t="s">
        <v>12448</v>
      </c>
      <c r="D86" s="56" t="s">
        <v>12449</v>
      </c>
      <c r="E86" s="56" t="s">
        <v>12450</v>
      </c>
      <c r="F86" s="57">
        <v>6700</v>
      </c>
      <c r="G86" s="58">
        <v>5</v>
      </c>
      <c r="I86" s="5"/>
      <c r="J86" s="5"/>
    </row>
    <row r="87" spans="1:10" x14ac:dyDescent="0.2">
      <c r="A87" s="59" t="str">
        <f ca="1">IFERROR(__xludf.DUMMYFUNCTION("TEXTJOIN(""|"",TRUE,UNIQUE(FILTER(SPLIT(B87,"" ""),LEN(SPLIT(B87,"" ""))&gt;2)))"),"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f>
        <v>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v>
      </c>
      <c r="B87" s="59" t="str">
        <f ca="1">IFERROR(__xludf.DUMMYFUNCTION("LOWER(REGEXREPLACE(D87&amp;"" ""&amp;E87,""[^а-яa-z0-9 ]"","" ""))"),"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карточе"&amp;"к ")</f>
        <v xml:space="preserve">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карточек </v>
      </c>
      <c r="C87" s="61" t="s">
        <v>12451</v>
      </c>
      <c r="D87" s="56" t="s">
        <v>12452</v>
      </c>
      <c r="E87" s="56" t="s">
        <v>12453</v>
      </c>
      <c r="F87" s="57">
        <v>6700</v>
      </c>
      <c r="G87" s="58">
        <v>5</v>
      </c>
      <c r="I87" s="5"/>
      <c r="J87" s="5"/>
    </row>
    <row r="88" spans="1:10" x14ac:dyDescent="0.2">
      <c r="A88" s="59" t="str">
        <f ca="1">IFERROR(__xludf.DUMMYFUNCTION("TEXTJOIN(""|"",TRUE,UNIQUE(FILTER(SPLIT(B88,"" ""),LEN(SPLIT(B88,"" ""))&gt;2)))"),"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f>
        <v>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v>
      </c>
      <c r="B88" s="59" t="str">
        <f ca="1">IFERROR(__xludf.DUMMYFUNCTION("LOWER(REGEXREPLACE(D88&amp;"" ""&amp;E88,""[^а-яa-z0-9 ]"","" ""))"),"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раздат"&amp;"очных карточек ")</f>
        <v xml:space="preserve">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раздаточных карточек </v>
      </c>
      <c r="C88" s="61" t="s">
        <v>12454</v>
      </c>
      <c r="D88" s="56" t="s">
        <v>12455</v>
      </c>
      <c r="E88" s="56" t="s">
        <v>12456</v>
      </c>
      <c r="F88" s="57">
        <v>6700</v>
      </c>
      <c r="G88" s="58">
        <v>5</v>
      </c>
      <c r="I88" s="5"/>
      <c r="J88" s="5"/>
    </row>
    <row r="89" spans="1:10" x14ac:dyDescent="0.2">
      <c r="A89" s="59" t="str">
        <f ca="1">IFERROR(__xludf.DUMMYFUNCTION("TEXTJOIN(""|"",TRUE,UNIQUE(FILTER(SPLIT(B89,"" ""),LEN(SPLIT(B89,"" ""))&gt;2)))"),"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amp;"рточек")</f>
        <v>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рточек</v>
      </c>
      <c r="B89" s="59" t="str">
        <f ca="1">IFERROR(__xludf.DUMMYFUNCTION("LOWER(REGEXREPLACE(D89&amp;"" ""&amp;E89,""[^а-яa-z0-9 ]"","" ""))"),"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демонстраци"&amp;"онных и 16 раздаточных карточек ")</f>
        <v xml:space="preserve">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демонстрационных и 16 раздаточных карточек </v>
      </c>
      <c r="C89" s="61" t="s">
        <v>12457</v>
      </c>
      <c r="D89" s="56" t="s">
        <v>12458</v>
      </c>
      <c r="E89" s="56" t="s">
        <v>12459</v>
      </c>
      <c r="F89" s="57">
        <v>6700</v>
      </c>
      <c r="G89" s="58">
        <v>5</v>
      </c>
      <c r="I89" s="5"/>
      <c r="J89" s="5"/>
    </row>
    <row r="90" spans="1:10" x14ac:dyDescent="0.2">
      <c r="A90" s="59" t="str">
        <f ca="1">IFERROR(__xludf.DUMMYFUNCTION("TEXTJOIN(""|"",TRUE,UNIQUE(FILTER(SPLIT(B90,"" ""),LEN(SPLIT(B90,"" ""))&gt;2)))"),"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f>
        <v>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v>
      </c>
      <c r="B90" s="59" t="str">
        <f ca="1">IFERROR(__xludf.DUMMYFUNCTION("LOWER(REGEXREPLACE(D90&amp;"" ""&amp;E90,""[^а-яa-z0-9 ]"","" ""))"),"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раздаточ"&amp;"ных карточек ")</f>
        <v xml:space="preserve">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раздаточных карточек </v>
      </c>
      <c r="C90" s="61" t="s">
        <v>12460</v>
      </c>
      <c r="D90" s="56" t="s">
        <v>12461</v>
      </c>
      <c r="E90" s="56" t="s">
        <v>12462</v>
      </c>
      <c r="F90" s="57">
        <v>6700</v>
      </c>
      <c r="G90" s="58">
        <v>5</v>
      </c>
      <c r="I90" s="5"/>
      <c r="J90" s="5"/>
    </row>
    <row r="91" spans="1:10" x14ac:dyDescent="0.2">
      <c r="A91" s="59" t="str">
        <f ca="1">IFERROR(__xludf.DUMMYFUNCTION("TEXTJOIN(""|"",TRUE,UNIQUE(FILTER(SPLIT(B91,"" ""),LEN(SPLIT(B91,"" ""))&gt;2)))"),"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f>
        <v>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v>
      </c>
      <c r="B91" s="59" t="str">
        <f ca="1">IFERROR(__xludf.DUMMYFUNCTION("LOWER(REGEXREPLACE(D91&amp;"" ""&amp;E91,""[^а-яa-z0-9 ]"","" ""))"),"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1"&amp;"6 раздаточных карточек ")</f>
        <v xml:space="preserve">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16 раздаточных карточек </v>
      </c>
      <c r="C91" s="61" t="s">
        <v>12463</v>
      </c>
      <c r="D91" s="56" t="s">
        <v>12464</v>
      </c>
      <c r="E91" s="56" t="s">
        <v>12465</v>
      </c>
      <c r="F91" s="57">
        <v>7600</v>
      </c>
      <c r="G91" s="58">
        <v>5</v>
      </c>
      <c r="I91" s="5"/>
      <c r="J91" s="5"/>
    </row>
    <row r="92" spans="1:10" x14ac:dyDescent="0.2">
      <c r="A92" s="59" t="str">
        <f ca="1">IFERROR(__xludf.DUMMYFUNCTION("TEXTJOIN(""|"",TRUE,UNIQUE(FILTER(SPLIT(B92,"" ""),LEN(SPLIT(B92,"" ""))&gt;2)))"),"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f>
        <v>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v>
      </c>
      <c r="B92" s="59" t="str">
        <f ca="1">IFERROR(__xludf.DUMMYFUNCTION("LOWER(REGEXREPLACE(D92&amp;"" ""&amp;E92,""[^а-яa-z0-9 ]"","" ""))"),"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р"&amp;"аздаточных карточек ")</f>
        <v xml:space="preserve">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раздаточных карточек </v>
      </c>
      <c r="C92" s="61" t="s">
        <v>12466</v>
      </c>
      <c r="D92" s="56" t="s">
        <v>12467</v>
      </c>
      <c r="E92" s="56" t="s">
        <v>12468</v>
      </c>
      <c r="F92" s="57">
        <v>7600</v>
      </c>
      <c r="G92" s="58">
        <v>5</v>
      </c>
      <c r="I92" s="5"/>
      <c r="J92" s="5"/>
    </row>
    <row r="93" spans="1:10" x14ac:dyDescent="0.2">
      <c r="A93" s="59" t="str">
        <f ca="1">IFERROR(__xludf.DUMMYFUNCTION("TEXTJOIN(""|"",TRUE,UNIQUE(FILTER(SPLIT(B93,"" ""),LEN(SPLIT(B93,"" ""))&gt;2)))"),"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v>
      </c>
      <c r="B93" s="59" t="str">
        <f ca="1">IFERROR(__xludf.DUMMYFUNCTION("LOWER(REGEXREPLACE(D93&amp;"" ""&amp;E93,""[^а-яa-z0-9 ]"","" ""))"),"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f>
        <v xml:space="preserve">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v>
      </c>
      <c r="C93" s="61" t="s">
        <v>12469</v>
      </c>
      <c r="D93" s="56" t="s">
        <v>12470</v>
      </c>
      <c r="E93" s="56" t="s">
        <v>12471</v>
      </c>
      <c r="F93" s="57">
        <v>7600</v>
      </c>
      <c r="G93" s="58">
        <v>5</v>
      </c>
      <c r="I93" s="5"/>
      <c r="J93" s="5"/>
    </row>
    <row r="94" spans="1:10" x14ac:dyDescent="0.2">
      <c r="A94" s="59" t="str">
        <f ca="1">IFERROR(__xludf.DUMMYFUNCTION("TEXTJOIN(""|"",TRUE,UNIQUE(FILTER(SPLIT(B94,"" ""),LEN(SPLIT(B94,"" ""))&gt;2)))"),"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f>
        <v>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v>
      </c>
      <c r="B94" s="59" t="str">
        <f ca="1">IFERROR(__xludf.DUMMYFUNCTION("LOWER(REGEXREPLACE(D94&amp;"" ""&amp;E94,""[^а-яa-z0-9 ]"","" ""))"),"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раз"&amp;"даточных карточек ")</f>
        <v xml:space="preserve">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раздаточных карточек </v>
      </c>
      <c r="C94" s="61" t="s">
        <v>12472</v>
      </c>
      <c r="D94" s="56" t="s">
        <v>12473</v>
      </c>
      <c r="E94" s="56" t="s">
        <v>12474</v>
      </c>
      <c r="F94" s="57">
        <v>7600</v>
      </c>
      <c r="G94" s="58">
        <v>5</v>
      </c>
      <c r="I94" s="5"/>
      <c r="J94" s="5"/>
    </row>
    <row r="95" spans="1:10" x14ac:dyDescent="0.2">
      <c r="A95" s="59" t="str">
        <f ca="1">IFERROR(__xludf.DUMMYFUNCTION("TEXTJOIN(""|"",TRUE,UNIQUE(FILTER(SPLIT(B95,"" ""),LEN(SPLIT(B95,"" ""))&gt;2)))"),"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amp;"и|дошкольного|учреждения")</f>
        <v>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и|дошкольного|учреждения</v>
      </c>
      <c r="B95" s="59" t="str">
        <f ca="1">IFERROR(__xludf.DUMMYFUNCTION("LOWER(REGEXREPLACE(D95&amp;"" ""&amp;E95,""[^а-яa-z0-9 ]"","" ""))"),"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образ"&amp;"овательной деятельности дошкольного учреждения ")</f>
        <v xml:space="preserve">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образовательной деятельности дошкольного учреждения </v>
      </c>
      <c r="C95" s="61" t="s">
        <v>12475</v>
      </c>
      <c r="D95" s="56" t="s">
        <v>12476</v>
      </c>
      <c r="E95" s="56" t="s">
        <v>12477</v>
      </c>
      <c r="F95" s="57">
        <v>10400</v>
      </c>
      <c r="G95" s="58">
        <v>125</v>
      </c>
      <c r="I95" s="5"/>
      <c r="J95" s="5"/>
    </row>
    <row r="96" spans="1:10" x14ac:dyDescent="0.2">
      <c r="A96" s="59" t="str">
        <f ca="1">IFERROR(__xludf.DUMMYFUNCTION("TEXTJOIN(""|"",TRUE,UNIQUE(FILTER(SPLIT(B96,"" ""),LEN(SPLIT(B96,"" ""))&gt;2)))"),"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f>
        <v>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v>
      </c>
      <c r="B96" s="59" t="str">
        <f ca="1">IFERROR(__xludf.DUMMYFUNCTION("LOWER(REGEXREPLACE(D96&amp;"" ""&amp;E96,""[^а-яa-z0-9 ]"","" ""))"),"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карточ"&amp;"ек ")</f>
        <v xml:space="preserve">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карточек </v>
      </c>
      <c r="C96" s="61" t="s">
        <v>12478</v>
      </c>
      <c r="D96" s="56" t="s">
        <v>12479</v>
      </c>
      <c r="E96" s="56" t="s">
        <v>12480</v>
      </c>
      <c r="F96" s="57">
        <v>6700</v>
      </c>
      <c r="G96" s="58">
        <v>5</v>
      </c>
      <c r="I96" s="5"/>
      <c r="J96" s="5"/>
    </row>
    <row r="97" spans="1:10" x14ac:dyDescent="0.2">
      <c r="A97" s="59" t="str">
        <f ca="1">IFERROR(__xludf.DUMMYFUNCTION("TEXTJOIN(""|"",TRUE,UNIQUE(FILTER(SPLIT(B97,"" ""),LEN(SPLIT(B97,"" ""))&gt;2)))"),"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f>
        <v>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v>
      </c>
      <c r="B97" s="59" t="str">
        <f ca="1">IFERROR(__xludf.DUMMYFUNCTION("LOWER(REGEXREPLACE(D97&amp;"" ""&amp;E97,""[^а-яa-z0-9 ]"","" ""))"),"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16"&amp;" раздаточных карточек ")</f>
        <v xml:space="preserve">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 раздаточных карточек </v>
      </c>
      <c r="C97" s="61" t="s">
        <v>12481</v>
      </c>
      <c r="D97" s="56" t="s">
        <v>12482</v>
      </c>
      <c r="E97" s="56" t="s">
        <v>12483</v>
      </c>
      <c r="F97" s="57">
        <v>6700</v>
      </c>
      <c r="G97" s="58">
        <v>5</v>
      </c>
      <c r="I97" s="5"/>
      <c r="J97" s="5"/>
    </row>
    <row r="98" spans="1:10" x14ac:dyDescent="0.2">
      <c r="A98" s="59" t="str">
        <f ca="1">IFERROR(__xludf.DUMMYFUNCTION("TEXTJOIN(""|"",TRUE,UNIQUE(FILTER(SPLIT(B98,"" ""),LEN(SPLIT(B98,"" ""))&gt;2)))"),"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f>
        <v>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v>
      </c>
      <c r="B98" s="59" t="str">
        <f ca="1">IFERROR(__xludf.DUMMYFUNCTION("LOWER(REGEXREPLACE(D98&amp;"" ""&amp;E98,""[^а-яa-z0-9 ]"","" ""))"),"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f>
        <v xml:space="preserve">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v>
      </c>
      <c r="C98" s="61" t="s">
        <v>12484</v>
      </c>
      <c r="D98" s="56" t="s">
        <v>12485</v>
      </c>
      <c r="E98" s="56" t="s">
        <v>12486</v>
      </c>
      <c r="F98" s="57">
        <v>6700</v>
      </c>
      <c r="G98" s="58">
        <v>5</v>
      </c>
      <c r="I98" s="5"/>
      <c r="J98" s="5"/>
    </row>
    <row r="99" spans="1:10" x14ac:dyDescent="0.2">
      <c r="A99" s="59" t="str">
        <f ca="1">IFERROR(__xludf.DUMMYFUNCTION("TEXTJOIN(""|"",TRUE,UNIQUE(FILTER(SPLIT(B99,"" ""),LEN(SPLIT(B99,"" ""))&gt;2)))"),"ветовой|стол|тол|для|опытов|изучения|цвета|света")</f>
        <v>ветовой|стол|тол|для|опытов|изучения|цвета|света</v>
      </c>
      <c r="B99" s="59" t="str">
        <f ca="1">IFERROR(__xludf.DUMMYFUNCTION("LOWER(REGEXREPLACE(D99&amp;"" ""&amp;E99,""[^а-яa-z0-9 ]"","" ""))")," ветовой стол   тол для опытов и изучения цвета света")</f>
        <v xml:space="preserve"> ветовой стол   тол для опытов и изучения цвета света</v>
      </c>
      <c r="C99" s="61" t="s">
        <v>12487</v>
      </c>
      <c r="D99" s="61" t="s">
        <v>12488</v>
      </c>
      <c r="E99" s="56" t="s">
        <v>12489</v>
      </c>
      <c r="F99" s="57">
        <v>1110200</v>
      </c>
      <c r="G99" s="58">
        <v>2</v>
      </c>
      <c r="I99" s="5"/>
      <c r="J99" s="5"/>
    </row>
    <row r="100" spans="1:10" x14ac:dyDescent="0.2">
      <c r="A100" s="59" t="str">
        <f ca="1">IFERROR(__xludf.DUMMYFUNCTION("TEXTJOIN(""|"",TRUE,UNIQUE(FILTER(SPLIT(B100,"" ""),LEN(SPLIT(B100,"" ""))&gt;2)))"),"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amp;"ений|рименяются|при|объяснении|закреплении|учебного|материала|атериалы|представлены|электронном|формате")</f>
        <v>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ений|рименяются|при|объяснении|закреплении|учебного|материала|атериалы|представлены|электронном|формате</v>
      </c>
      <c r="B100" s="59" t="str">
        <f ca="1">IFERROR(__xludf.DUMMYFUNCTION("LOWER(REGEXREPLACE(D100&amp;"" ""&amp;E100,""[^а-яa-z0-9 ]"","" ""))"),"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в"&amp;"еличин и соотношений   рименяются при объяснении и закреплении учебного материала   атериалы представлены в электронном формате ")</f>
        <v xml:space="preserve">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величин и соотношений   рименяются при объяснении и закреплении учебного материала   атериалы представлены в электронном формате </v>
      </c>
      <c r="C100" s="61" t="s">
        <v>12490</v>
      </c>
      <c r="D100" s="56" t="s">
        <v>12491</v>
      </c>
      <c r="E100" s="56" t="s">
        <v>12492</v>
      </c>
      <c r="F100" s="57">
        <v>14300</v>
      </c>
      <c r="G100" s="58">
        <v>7</v>
      </c>
      <c r="I100" s="5"/>
      <c r="J100" s="5"/>
    </row>
    <row r="101" spans="1:10" x14ac:dyDescent="0.2">
      <c r="A101" s="59" t="str">
        <f ca="1">IFERROR(__xludf.DUMMYFUNCTION("TEXTJOIN(""|"",TRUE,UNIQUE(FILTER(SPLIT(B101,"" ""),LEN(SPLIT(B101,"" ""))&gt;2)))"),"енсаулы|алай|тау|болады|сохранить|здоровье|stay|fit|каз|рус|англ")</f>
        <v>енсаулы|алай|тау|болады|сохранить|здоровье|stay|fit|каз|рус|англ</v>
      </c>
      <c r="B101" s="59" t="str">
        <f ca="1">IFERROR(__xludf.DUMMYFUNCTION("LOWER(REGEXREPLACE(D101&amp;"" ""&amp;E101,""[^а-яa-z0-9 ]"","" ""))")," енсаулы ты  алай са тау а болады   ак сохранить здоровье   ow to stay fit  каз   рус   англ яз   ")</f>
        <v xml:space="preserve"> енсаулы ты  алай са тау а болады   ак сохранить здоровье   ow to stay fit  каз   рус   англ яз   </v>
      </c>
      <c r="C101" s="61" t="s">
        <v>12493</v>
      </c>
      <c r="D101" s="56" t="s">
        <v>12494</v>
      </c>
      <c r="E101" s="56"/>
      <c r="F101" s="57">
        <v>1700</v>
      </c>
      <c r="G101" s="58">
        <v>1</v>
      </c>
      <c r="I101" s="5"/>
      <c r="J101" s="5"/>
    </row>
    <row r="102" spans="1:10" x14ac:dyDescent="0.2">
      <c r="A102" s="59" t="str">
        <f ca="1">IFERROR(__xludf.DUMMYFUNCTION("TEXTJOIN(""|"",TRUE,UNIQUE(FILTER(SPLIT(B102,"" ""),LEN(SPLIT(B102,"" ""))&gt;2)))"),"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amp;"ьных|навыков|слухового|восприятия|зделие|изготовлено|дерева|лина|дудочки|составляет|менее|редназначена|для|многократного|использования")</f>
        <v>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ьных|навыков|слухового|восприятия|зделие|изготовлено|дерева|лина|дудочки|составляет|менее|редназначена|для|многократного|использования</v>
      </c>
      <c r="B102" s="59" t="str">
        <f ca="1">IFERROR(__xludf.DUMMYFUNCTION("LOWER(REGEXREPLACE(D102&amp;"" ""&amp;E102,""[^а-яa-z0-9 ]"","" ""))"),"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формир"&amp;"ованием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f>
        <v xml:space="preserve">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v>
      </c>
      <c r="C102" s="61" t="s">
        <v>12495</v>
      </c>
      <c r="D102" s="56" t="s">
        <v>12496</v>
      </c>
      <c r="E102" s="56" t="s">
        <v>12497</v>
      </c>
      <c r="F102" s="57">
        <v>5700</v>
      </c>
      <c r="G102" s="58">
        <v>1</v>
      </c>
      <c r="I102" s="5"/>
      <c r="J102" s="5"/>
    </row>
    <row r="103" spans="1:10" x14ac:dyDescent="0.2">
      <c r="A103" s="59" t="str">
        <f ca="1">IFERROR(__xludf.DUMMYFUNCTION("TEXTJOIN(""|"",TRUE,UNIQUE(FILTER(SPLIT(B103,"" ""),LEN(SPLIT(B103,"" ""))&gt;2)))"),"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amp;"ышления|координации|движений|навыков|анализа|формы|комплект|входит|менее|пазлов|атериал|изготовления|дерево")</f>
        <v>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ышления|координации|движений|навыков|анализа|формы|комплект|входит|менее|пазлов|атериал|изготовления|дерево</v>
      </c>
      <c r="B103" s="59" t="str">
        <f ca="1">IFERROR(__xludf.DUMMYFUNCTION("LOWER(REGEXREPLACE(D103&amp;"" ""&amp;E103,""[^а-яa-z0-9 ]"","" ""))"),"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развитию"&amp;" пространственного мышления  координации движений и навыков анализа формы    комплект входит не менее 4 пазлов   атериал изготовления   дерево ")</f>
        <v xml:space="preserve">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 пространственного мышления  координации движений и навыков анализа формы    комплект входит не менее 4 пазлов   атериал изготовления   дерево </v>
      </c>
      <c r="C103" s="61" t="s">
        <v>12498</v>
      </c>
      <c r="D103" s="56" t="s">
        <v>12499</v>
      </c>
      <c r="E103" s="56" t="s">
        <v>12500</v>
      </c>
      <c r="F103" s="57">
        <v>7800</v>
      </c>
      <c r="G103" s="58">
        <v>15</v>
      </c>
      <c r="I103" s="5"/>
      <c r="J103" s="5"/>
    </row>
    <row r="104" spans="1:10" x14ac:dyDescent="0.2">
      <c r="A104" s="59" t="str">
        <f ca="1">IFERROR(__xludf.DUMMYFUNCTION("TEXTJOIN(""|"",TRUE,UNIQUE(FILTER(SPLIT(B104,"" ""),LEN(SPLIT(B104,"" ""))&gt;2)))"),"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amp;"|представления|координацию|движений|омплект|включает|блоки|размеров|менее|менее|менее|атериал|изготовления|дерево")</f>
        <v>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представления|координацию|движений|омплект|включает|блоки|размеров|менее|менее|менее|атериал|изготовления|дерево</v>
      </c>
      <c r="B104" s="59" t="str">
        <f ca="1">IFERROR(__xludf.DUMMYFUNCTION("LOWER(REGEXREPLACE(D104&amp;"" ""&amp;E104,""[^а-яa-z0-9 ]"","" ""))"),"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"&amp;"пространственные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f>
        <v xml:space="preserve">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v>
      </c>
      <c r="C104" s="61" t="s">
        <v>12501</v>
      </c>
      <c r="D104" s="56" t="s">
        <v>12502</v>
      </c>
      <c r="E104" s="56" t="s">
        <v>12503</v>
      </c>
      <c r="F104" s="57">
        <v>47500</v>
      </c>
      <c r="G104" s="58">
        <v>7</v>
      </c>
      <c r="I104" s="5"/>
      <c r="J104" s="5"/>
    </row>
    <row r="105" spans="1:10" x14ac:dyDescent="0.2">
      <c r="A105" s="59" t="str">
        <f ca="1">IFERROR(__xludf.DUMMYFUNCTION("TEXTJOIN(""|"",TRUE,UNIQUE(FILTER(SPLIT(B105,"" ""),LEN(SPLIT(B105,"" ""))&gt;2)))"),"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amp;"ет|развитию|координации|концентрации|внимания|пространственного|восприятия|зделие|выполнено|дерева|предназначено|для|напольного|использования")</f>
        <v>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ет|развитию|координации|концентрации|внимания|пространственного|восприятия|зделие|выполнено|дерева|предназначено|для|напольного|использования</v>
      </c>
      <c r="B105" s="59" t="str">
        <f ca="1">IFERROR(__xludf.DUMMYFUNCTION("LOWER(REGEXREPLACE(D105&amp;"" ""&amp;E105,""[^а-яa-z0-9 ]"","" ""))"),"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активн"&amp;"ость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f>
        <v xml:space="preserve">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v>
      </c>
      <c r="C105" s="61" t="s">
        <v>12504</v>
      </c>
      <c r="D105" s="56" t="s">
        <v>12505</v>
      </c>
      <c r="E105" s="56" t="s">
        <v>12506</v>
      </c>
      <c r="F105" s="57">
        <v>61200</v>
      </c>
      <c r="G105" s="58">
        <v>1</v>
      </c>
      <c r="I105" s="5"/>
      <c r="J105" s="5"/>
    </row>
    <row r="106" spans="1:10" x14ac:dyDescent="0.2">
      <c r="A106" s="59" t="str">
        <f ca="1">IFERROR(__xludf.DUMMYFUNCTION("TEXTJOIN(""|"",TRUE,UNIQUE(FILTER(SPLIT(B106,"" ""),LEN(SPLIT(B106,"" ""))&gt;2)))"),"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f>
        <v>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v>
      </c>
      <c r="B106" s="59" t="str">
        <f ca="1">IFERROR(__xludf.DUMMYFUNCTION("LOWER(REGEXREPLACE(D106&amp;"" ""&amp;E106,""[^а-яa-z0-9 ]"","" ""))"),"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f>
        <v xml:space="preserve">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v>
      </c>
      <c r="C106" s="61" t="s">
        <v>12507</v>
      </c>
      <c r="D106" s="56" t="s">
        <v>12508</v>
      </c>
      <c r="E106" s="56" t="s">
        <v>12509</v>
      </c>
      <c r="F106" s="57">
        <v>28000</v>
      </c>
      <c r="G106" s="58">
        <v>5</v>
      </c>
      <c r="I106" s="5"/>
      <c r="J106" s="5"/>
    </row>
    <row r="107" spans="1:10" x14ac:dyDescent="0.2">
      <c r="A107" s="59" t="str">
        <f ca="1">IFERROR(__xludf.DUMMYFUNCTION("TEXTJOIN(""|"",TRUE,UNIQUE(FILTER(SPLIT(B107,"" ""),LEN(SPLIT(B107,"" ""))&gt;2)))"),"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amp;"азвитию|пространственного|мышления|аккуратности|выполнения|действий|комплект|входит|менее|деталей|атериал|изготовления|дерево")</f>
        <v>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азвитию|пространственного|мышления|аккуратности|выполнения|действий|комплект|входит|менее|деталей|атериал|изготовления|дерево</v>
      </c>
      <c r="B107" s="59" t="str">
        <f ca="1">IFERROR(__xludf.DUMMYFUNCTION("LOWER(REGEXREPLACE(D107&amp;"" ""&amp;E107,""[^а-яa-z0-9 ]"","" ""))"),"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деятел"&amp;"ьность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f>
        <v xml:space="preserve">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v>
      </c>
      <c r="C107" s="61" t="s">
        <v>12510</v>
      </c>
      <c r="D107" s="56" t="s">
        <v>12511</v>
      </c>
      <c r="E107" s="56" t="s">
        <v>12512</v>
      </c>
      <c r="F107" s="57">
        <v>21200</v>
      </c>
      <c r="G107" s="58">
        <v>5</v>
      </c>
      <c r="I107" s="5"/>
      <c r="J107" s="5"/>
    </row>
    <row r="108" spans="1:10" x14ac:dyDescent="0.2">
      <c r="A108" s="59" t="str">
        <f ca="1">IFERROR(__xludf.DUMMYFUNCTION("TEXTJOIN(""|"",TRUE,UNIQUE(FILTER(SPLIT(B108,"" ""),LEN(SPLIT(B108,"" ""))&gt;2)))"),"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amp;"ования|действий|комплект|входит|менее|деталей|азмер|упаковки|менее|атериал|изготовления|дерево")</f>
        <v>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ования|действий|комплект|входит|менее|деталей|азмер|упаковки|менее|атериал|изготовления|дерево</v>
      </c>
      <c r="B108" s="59" t="str">
        <f ca="1">IFERROR(__xludf.DUMMYFUNCTION("LOWER(REGEXREPLACE(D108&amp;"" ""&amp;E108,""[^а-яa-z0-9 ]"","" ""))"),"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представл"&amp;"ения и навыки планирования действий    комплект входит не менее 66 деталей   азмер упаковки   не менее 34 29 5 6 см   атериал изготовления   дерево ")</f>
        <v xml:space="preserve">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представления и навыки планирования действий    комплект входит не менее 66 деталей   азмер упаковки   не менее 34 29 5 6 см   атериал изготовления   дерево </v>
      </c>
      <c r="C108" s="61" t="s">
        <v>12513</v>
      </c>
      <c r="D108" s="56" t="s">
        <v>12514</v>
      </c>
      <c r="E108" s="56" t="s">
        <v>12515</v>
      </c>
      <c r="F108" s="57">
        <v>21200</v>
      </c>
      <c r="G108" s="58">
        <v>7</v>
      </c>
      <c r="I108" s="5"/>
      <c r="J108" s="5"/>
    </row>
    <row r="109" spans="1:10" x14ac:dyDescent="0.2">
      <c r="A109" s="59" t="str">
        <f ca="1">IFERROR(__xludf.DUMMYFUNCTION("TEXTJOIN(""|"",TRUE,UNIQUE(FILTER(SPLIT(B109,"" ""),LEN(SPLIT(B109,"" ""))&gt;2)))"),"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amp;"|акая|деятельность|способствует|формированию|представлений|числе|логике|выполнения|операций|азмер|набора|составляет|менее|атериал|изготовления|дерево")</f>
        <v>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акая|деятельность|способствует|формированию|представлений|числе|логике|выполнения|операций|азмер|набора|составляет|менее|атериал|изготовления|дерево</v>
      </c>
      <c r="B109" s="59" t="str">
        <f ca="1">IFERROR(__xludf.DUMMYFUNCTION("LOWER(REGEXREPLACE(D109&amp;"" ""&amp;E109,""[^а-яa-z0-9 ]"","" ""))"),"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подбор"&amp;"у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f>
        <v xml:space="preserve">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v>
      </c>
      <c r="C109" s="61" t="s">
        <v>12516</v>
      </c>
      <c r="D109" s="56" t="s">
        <v>12517</v>
      </c>
      <c r="E109" s="56" t="s">
        <v>12518</v>
      </c>
      <c r="F109" s="57">
        <v>2300</v>
      </c>
      <c r="G109" s="58">
        <v>14</v>
      </c>
      <c r="I109" s="5"/>
      <c r="J109" s="5"/>
    </row>
    <row r="110" spans="1:10" x14ac:dyDescent="0.2">
      <c r="A110" s="59" t="str">
        <f ca="1">IFERROR(__xludf.DUMMYFUNCTION("TEXTJOIN(""|"",TRUE,UNIQUE(FILTER(SPLIT(B110,"" ""),LEN(SPLIT(B110,"" ""))&gt;2)))"),"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amp;"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f>
        <v>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v>
      </c>
      <c r="B110" s="59" t="str">
        <f ca="1">IFERROR(__xludf.DUMMYFUNCTION("LOWER(REGEXREPLACE(D110&amp;"" ""&amp;E110,""[^а-яa-z0-9 ]"","" ""))"),"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"&amp;"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f>
        <v xml:space="preserve">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v>
      </c>
      <c r="C110" s="61" t="s">
        <v>12519</v>
      </c>
      <c r="D110" s="56" t="s">
        <v>12520</v>
      </c>
      <c r="E110" s="56" t="s">
        <v>12521</v>
      </c>
      <c r="F110" s="57">
        <v>14300</v>
      </c>
      <c r="G110" s="58">
        <v>5</v>
      </c>
      <c r="I110" s="5"/>
      <c r="J110" s="5"/>
    </row>
    <row r="111" spans="1:10" x14ac:dyDescent="0.2">
      <c r="A111" s="59" t="str">
        <f ca="1">IFERROR(__xludf.DUMMYFUNCTION("TEXTJOIN(""|"",TRUE,UNIQUE(FILTER(SPLIT(B111,"" ""),LEN(SPLIT(B111,"" ""))&gt;2)))"),"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f>
        <v>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v>
      </c>
      <c r="B111" s="59" t="str">
        <f ca="1">IFERROR(__xludf.DUMMYFUNCTION("LOWER(REGEXREPLACE(D111&amp;"" ""&amp;E111,""[^а-яa-z0-9 ]"","" ""))"),"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f>
        <v xml:space="preserve">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v>
      </c>
      <c r="C111" s="61" t="s">
        <v>12522</v>
      </c>
      <c r="D111" s="56" t="s">
        <v>12523</v>
      </c>
      <c r="E111" s="56" t="s">
        <v>12524</v>
      </c>
      <c r="F111" s="57">
        <v>312400</v>
      </c>
      <c r="G111" s="58">
        <v>7</v>
      </c>
      <c r="I111" s="5"/>
      <c r="J111" s="5"/>
    </row>
    <row r="112" spans="1:10" x14ac:dyDescent="0.2">
      <c r="A112" s="59" t="str">
        <f ca="1">IFERROR(__xludf.DUMMYFUNCTION("TEXTJOIN(""|"",TRUE,UNIQUE(FILTER(SPLIT(B112,"" ""),LEN(SPLIT(B112,"" ""))&gt;2)))"),"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amp;"гладкая|допускает|мыть|дезинфекционную|обработку|зделие|выполнено|без|острых|углов|мелких|деталей")</f>
        <v>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гладкая|допускает|мыть|дезинфекционную|обработку|зделие|выполнено|без|острых|углов|мелких|деталей</v>
      </c>
      <c r="B112" s="59" t="str">
        <f ca="1">IFERROR(__xludf.DUMMYFUNCTION("LOWER(REGEXREPLACE(D112&amp;"" ""&amp;E112,""[^а-яa-z0-9 ]"","" ""))"),"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с"&amp;"иденья   оверхность гладкая  допускает мыть  и дезинфекционную обработку   зделие выполнено без острых углов и мелких деталей ")</f>
        <v xml:space="preserve">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сиденья   оверхность гладкая  допускает мыть  и дезинфекционную обработку   зделие выполнено без острых углов и мелких деталей </v>
      </c>
      <c r="C112" s="61" t="s">
        <v>12525</v>
      </c>
      <c r="D112" s="56" t="s">
        <v>12526</v>
      </c>
      <c r="E112" s="56" t="s">
        <v>12527</v>
      </c>
      <c r="F112" s="57">
        <v>3800</v>
      </c>
      <c r="G112" s="58">
        <v>55</v>
      </c>
      <c r="I112" s="5"/>
      <c r="J112" s="5"/>
    </row>
    <row r="113" spans="1:10" x14ac:dyDescent="0.2">
      <c r="A113" s="59" t="str">
        <f ca="1">IFERROR(__xludf.DUMMYFUNCTION("TEXTJOIN(""|"",TRUE,UNIQUE(FILTER(SPLIT(B113,"" ""),LEN(SPLIT(B113,"" ""))&gt;2)))"),"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amp;"|разыгрываются|рабочие|ситуации|связанные|строительством|ремонтом|лементы|комплекта|выполнены|безопасном|исполнении|рассчитаны|многократное|использование")</f>
        <v>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разыгрываются|рабочие|ситуации|связанные|строительством|ремонтом|лементы|комплекта|выполнены|безопасном|исполнении|рассчитаны|многократное|использование</v>
      </c>
      <c r="B113" s="59" t="str">
        <f ca="1">IFERROR(__xludf.DUMMYFUNCTION("LOWER(REGEXREPLACE(D113&amp;"" ""&amp;E113,""[^а-яa-z0-9 ]"","" ""))"),"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эки"&amp;"пировку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f>
        <v xml:space="preserve">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v>
      </c>
      <c r="C113" s="61" t="s">
        <v>12528</v>
      </c>
      <c r="D113" s="56" t="s">
        <v>12529</v>
      </c>
      <c r="E113" s="56" t="s">
        <v>12530</v>
      </c>
      <c r="F113" s="57">
        <v>13900</v>
      </c>
      <c r="G113" s="58">
        <v>14</v>
      </c>
      <c r="I113" s="5"/>
      <c r="J113" s="5"/>
    </row>
    <row r="114" spans="1:10" x14ac:dyDescent="0.2">
      <c r="A114" s="59" t="str">
        <f ca="1">IFERROR(__xludf.DUMMYFUNCTION("TEXTJOIN(""|"",TRUE,UNIQUE(FILTER(SPLIT(B114,"" ""),LEN(SPLIT(B114,"" ""))&gt;2)))"),"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amp;"нения|помещениях")</f>
        <v>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нения|помещениях</v>
      </c>
      <c r="B114" s="59" t="str">
        <f ca="1">IFERROR(__xludf.DUMMYFUNCTION("LOWER(REGEXREPLACE(D114&amp;"" ""&amp;E114,""[^а-яa-z0-9 ]"","" ""))"),"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редназ"&amp;"начен для применения в помещениях ")</f>
        <v xml:space="preserve">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редназначен для применения в помещениях </v>
      </c>
      <c r="C114" s="61" t="s">
        <v>12531</v>
      </c>
      <c r="D114" s="56" t="s">
        <v>12532</v>
      </c>
      <c r="E114" s="56" t="s">
        <v>12533</v>
      </c>
      <c r="F114" s="57">
        <v>5300</v>
      </c>
      <c r="G114" s="58">
        <v>25</v>
      </c>
      <c r="I114" s="5"/>
      <c r="J114" s="5"/>
    </row>
    <row r="115" spans="1:10" x14ac:dyDescent="0.2">
      <c r="A115" s="59" t="str">
        <f ca="1">IFERROR(__xludf.DUMMYFUNCTION("TEXTJOIN(""|"",TRUE,UNIQUE(FILTER(SPLIT(B115,"" ""),LEN(SPLIT(B115,"" ""))&gt;2)))"),"етям|онституции|еспублики|азахстан|спанова")</f>
        <v>етям|онституции|еспублики|азахстан|спанова</v>
      </c>
      <c r="B115" s="59" t="str">
        <f ca="1">IFERROR(__xludf.DUMMYFUNCTION("LOWER(REGEXREPLACE(D115&amp;"" ""&amp;E115,""[^а-яa-z0-9 ]"","" ""))")," етям о  онституции  еспублики  азахстан  спанова   ")</f>
        <v xml:space="preserve"> етям о  онституции  еспублики  азахстан  спанова   </v>
      </c>
      <c r="C115" s="61" t="s">
        <v>12534</v>
      </c>
      <c r="D115" s="56" t="s">
        <v>12535</v>
      </c>
      <c r="E115" s="56" t="s">
        <v>12536</v>
      </c>
      <c r="F115" s="57">
        <v>19900</v>
      </c>
      <c r="G115" s="58">
        <v>1</v>
      </c>
      <c r="I115" s="5"/>
      <c r="J115" s="5"/>
    </row>
    <row r="116" spans="1:10" x14ac:dyDescent="0.2">
      <c r="A116" s="59" t="str">
        <f ca="1">IFERROR(__xludf.DUMMYFUNCTION("TEXTJOIN(""|"",TRUE,UNIQUE(FILTER(SPLIT(B116,"" ""),LEN(SPLIT(B116,"" ""))&gt;2)))"),"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amp;"чек|закрепление|поле|что|требует|точных|движений|пальцев|рименяется|для|упражнений|сравнение|количеств|атериал|рассчитан|многократное|использование")</f>
        <v>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чек|закрепление|поле|что|требует|точных|движений|пальцев|рименяется|для|упражнений|сравнение|количеств|атериал|рассчитан|многократное|использование</v>
      </c>
      <c r="B116" s="59" t="str">
        <f ca="1">IFERROR(__xludf.DUMMYFUNCTION("LOWER(REGEXREPLACE(D116&amp;"" ""&amp;E116,""[^а-яa-z0-9 ]"","" ""))"),"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липучкам"&amp;"и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f>
        <v xml:space="preserve">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v>
      </c>
      <c r="C116" s="61" t="s">
        <v>12537</v>
      </c>
      <c r="D116" s="56" t="s">
        <v>12538</v>
      </c>
      <c r="E116" s="56" t="s">
        <v>12539</v>
      </c>
      <c r="F116" s="57">
        <v>5900</v>
      </c>
      <c r="G116" s="58">
        <v>5</v>
      </c>
      <c r="I116" s="5"/>
      <c r="J116" s="5"/>
    </row>
    <row r="117" spans="1:10" x14ac:dyDescent="0.2">
      <c r="A117" s="59" t="str">
        <f ca="1">IFERROR(__xludf.DUMMYFUNCTION("TEXTJOIN(""|"",TRUE,UNIQUE(FILTER(SPLIT(B117,"" ""),LEN(SPLIT(B117,"" ""))&gt;2)))"),"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f>
        <v>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v>
      </c>
      <c r="B117" s="59" t="str">
        <f ca="1">IFERROR(__xludf.DUMMYFUNCTION("LOWER(REGEXREPLACE(D117&amp;"" ""&amp;E117,""[^а-яa-z0-9 ]"","" ""))"),"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f>
        <v xml:space="preserve">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v>
      </c>
      <c r="C117" s="61" t="s">
        <v>12540</v>
      </c>
      <c r="D117" s="56" t="s">
        <v>12541</v>
      </c>
      <c r="E117" s="56" t="s">
        <v>12542</v>
      </c>
      <c r="F117" s="57">
        <v>11700</v>
      </c>
      <c r="G117" s="58">
        <v>8</v>
      </c>
      <c r="I117" s="5"/>
      <c r="J117" s="5"/>
    </row>
    <row r="118" spans="1:10" x14ac:dyDescent="0.2">
      <c r="A118" s="59" t="str">
        <f ca="1">IFERROR(__xludf.DUMMYFUNCTION("TEXTJOIN(""|"",TRUE,UNIQUE(FILTER(SPLIT(B118,"" ""),LEN(SPLIT(B118,"" ""))&gt;2)))"),"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amp;"льности|для|формирования|координации|движений|кисти|пальцев|онструкция|рассчитана|многократное|использование")</f>
        <v>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льности|для|формирования|координации|движений|кисти|пальцев|онструкция|рассчитана|многократное|использование</v>
      </c>
      <c r="B118" s="59" t="str">
        <f ca="1">IFERROR(__xludf.DUMMYFUNCTION("LOWER(REGEXREPLACE(D118&amp;"" ""&amp;E118,""[^а-яa-z0-9 ]"","" ""))"),"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"&amp;"и учебной деятельности для формирования координации движений кисти и пальцев   онструкция рассчитана на многократное использование ")</f>
        <v xml:space="preserve">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и учебной деятельности для формирования координации движений кисти и пальцев   онструкция рассчитана на многократное использование </v>
      </c>
      <c r="C118" s="61" t="s">
        <v>12543</v>
      </c>
      <c r="D118" s="56" t="s">
        <v>12544</v>
      </c>
      <c r="E118" s="56" t="s">
        <v>12545</v>
      </c>
      <c r="F118" s="57">
        <v>32100</v>
      </c>
      <c r="G118" s="58">
        <v>35</v>
      </c>
      <c r="I118" s="5"/>
      <c r="J118" s="5"/>
    </row>
    <row r="119" spans="1:10" x14ac:dyDescent="0.2">
      <c r="A119" s="59" t="str">
        <f ca="1">IFERROR(__xludf.DUMMYFUNCTION("TEXTJOIN(""|"",TRUE,UNIQUE(FILTER(SPLIT(B119,"" ""),LEN(SPLIT(B119,"" ""))&gt;2)))"),"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amp;"роективных|заданиях|атериал|изготовления|дерево")</f>
        <v>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роективных|заданиях|атериал|изготовления|дерево</v>
      </c>
      <c r="B119" s="59" t="str">
        <f ca="1">IFERROR(__xludf.DUMMYFUNCTION("LOWER(REGEXREPLACE(D119&amp;"" ""&amp;E119,""[^а-яa-z0-9 ]"","" ""))"),"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р"&amp;"именяется при игровых и проективных заданиях   атериал изготовления   дерево ")</f>
        <v xml:space="preserve">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рименяется при игровых и проективных заданиях   атериал изготовления   дерево </v>
      </c>
      <c r="C119" s="61" t="s">
        <v>12546</v>
      </c>
      <c r="D119" s="56" t="s">
        <v>12547</v>
      </c>
      <c r="E119" s="56" t="s">
        <v>12548</v>
      </c>
      <c r="F119" s="57">
        <v>26200</v>
      </c>
      <c r="G119" s="58">
        <v>1</v>
      </c>
      <c r="I119" s="5"/>
      <c r="J119" s="5"/>
    </row>
    <row r="120" spans="1:10" x14ac:dyDescent="0.2">
      <c r="A120" s="59" t="str">
        <f ca="1">IFERROR(__xludf.DUMMYFUNCTION("TEXTJOIN(""|"",TRUE,UNIQUE(FILTER(SPLIT(B120,"" ""),LEN(SPLIT(B120,"" ""))&gt;2)))"),"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amp;"|работе|гры|направлены|закрепление|базовых|представлений|окружающем|мире")</f>
        <v>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работе|гры|направлены|закрепление|базовых|представлений|окружающем|мире</v>
      </c>
      <c r="B120" s="59" t="str">
        <f ca="1">IFERROR(__xludf.DUMMYFUNCTION("LOWER(REGEXREPLACE(D120&amp;"" ""&amp;E120,""[^а-яa-z0-9 ]"","" ""))"),"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рим"&amp;"еняется при индивидуальной и групповой работе   гры направлены на закрепление базовых представлений об окружающем мире ")</f>
        <v xml:space="preserve">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рименяется при индивидуальной и групповой работе   гры направлены на закрепление базовых представлений об окружающем мире </v>
      </c>
      <c r="C120" s="61" t="s">
        <v>12549</v>
      </c>
      <c r="D120" s="56" t="s">
        <v>12550</v>
      </c>
      <c r="E120" s="56" t="s">
        <v>12551</v>
      </c>
      <c r="F120" s="57">
        <v>30400</v>
      </c>
      <c r="G120" s="58">
        <v>43</v>
      </c>
      <c r="I120" s="5"/>
      <c r="J120" s="5"/>
    </row>
    <row r="121" spans="1:10" x14ac:dyDescent="0.2">
      <c r="A121" s="59" t="str">
        <f ca="1">IFERROR(__xludf.DUMMYFUNCTION("TEXTJOIN(""|"",TRUE,UNIQUE(FILTER(SPLIT(B121,"" ""),LEN(SPLIT(B121,"" ""))&gt;2)))"),"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f>
        <v>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v>
      </c>
      <c r="B121" s="59" t="str">
        <f ca="1">IFERROR(__xludf.DUMMYFUNCTION("LOWER(REGEXREPLACE(D121&amp;"" ""&amp;E121,""[^а-яa-z0-9 ]"","" ""))"),"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содержания"&amp;" комплекта ")</f>
        <v xml:space="preserve">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 комплекта </v>
      </c>
      <c r="C121" s="61" t="s">
        <v>12552</v>
      </c>
      <c r="D121" s="56" t="s">
        <v>12553</v>
      </c>
      <c r="E121" s="56" t="s">
        <v>12554</v>
      </c>
      <c r="F121" s="57">
        <v>8700</v>
      </c>
      <c r="G121" s="58">
        <v>1</v>
      </c>
      <c r="I121" s="5"/>
      <c r="J121" s="5"/>
    </row>
    <row r="122" spans="1:10" x14ac:dyDescent="0.2">
      <c r="A122" s="59" t="str">
        <f ca="1">IFERROR(__xludf.DUMMYFUNCTION("TEXTJOIN(""|"",TRUE,UNIQUE(FILTER(SPLIT(B122,"" ""),LEN(SPLIT(B122,"" ""))&gt;2)))"),"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amp;"|вида|сенсорных|упражнений")</f>
        <v>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вида|сенсорных|упражнений</v>
      </c>
      <c r="B122" s="59" t="str">
        <f ca="1">IFERROR(__xludf.DUMMYFUNCTION("LOWER(REGEXREPLACE(D122&amp;"" ""&amp;E122,""[^а-яa-z0-9 ]"","" ""))"),"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подбир"&amp;"ается в зависимости от вида сенсорных упражнений ")</f>
        <v xml:space="preserve">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подбирается в зависимости от вида сенсорных упражнений </v>
      </c>
      <c r="C122" s="61" t="s">
        <v>12555</v>
      </c>
      <c r="D122" s="56" t="s">
        <v>12556</v>
      </c>
      <c r="E122" s="56" t="s">
        <v>12557</v>
      </c>
      <c r="F122" s="57">
        <v>10500</v>
      </c>
      <c r="G122" s="58">
        <v>1</v>
      </c>
      <c r="I122" s="5"/>
      <c r="J122" s="5"/>
    </row>
    <row r="123" spans="1:10" x14ac:dyDescent="0.2">
      <c r="A123" s="59" t="str">
        <f ca="1">IFERROR(__xludf.DUMMYFUNCTION("TEXTJOIN(""|"",TRUE,UNIQUE(FILTER(SPLIT(B123,"" ""),LEN(SPLIT(B123,"" ""))&gt;2)))"),"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amp;"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amp;"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f>
        <v>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v>
      </c>
      <c r="B123" s="59" t="str">
        <f ca="1">IFERROR(__xludf.DUMMYFUNCTION("LOWER(REGEXREPLACE(D123&amp;"" ""&amp;E123,""[^а-яa-z0-9 ]"","" ""))"),"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4"&amp;"0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называни"&amp;"е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допускае"&amp;"т регулярную очистку  используется под контролем педагога ")</f>
        <v xml:space="preserve">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допускает регулярную очистку  используется под контролем педагога </v>
      </c>
      <c r="C123" s="61" t="s">
        <v>12558</v>
      </c>
      <c r="D123" s="56" t="s">
        <v>12559</v>
      </c>
      <c r="E123" s="56" t="s">
        <v>12560</v>
      </c>
      <c r="F123" s="57">
        <v>12400</v>
      </c>
      <c r="G123" s="58">
        <v>1</v>
      </c>
      <c r="I123" s="5"/>
      <c r="J123" s="5"/>
    </row>
    <row r="124" spans="1:10" x14ac:dyDescent="0.2">
      <c r="A124" s="59" t="str">
        <f ca="1">IFERROR(__xludf.DUMMYFUNCTION("TEXTJOIN(""|"",TRUE,UNIQUE(FILTER(SPLIT(B124,"" ""),LEN(SPLIT(B124,"" ""))&gt;2)))"),"инмухамед|унаев|нига|альбом|110|летию|дня|рождения|ужикова")</f>
        <v>инмухамед|унаев|нига|альбом|110|летию|дня|рождения|ужикова</v>
      </c>
      <c r="B124" s="59" t="str">
        <f ca="1">IFERROR(__xludf.DUMMYFUNCTION("LOWER(REGEXREPLACE(D124&amp;"" ""&amp;E124,""[^а-яa-z0-9 ]"","" ""))")," инмухамед  унаев   нига альбом к 110 летию со дня рождения  ужикова   ")</f>
        <v xml:space="preserve"> инмухамед  унаев   нига альбом к 110 летию со дня рождения  ужикова   </v>
      </c>
      <c r="C124" s="61" t="s">
        <v>12561</v>
      </c>
      <c r="D124" s="56" t="s">
        <v>12562</v>
      </c>
      <c r="E124" s="56" t="s">
        <v>12563</v>
      </c>
      <c r="F124" s="57">
        <v>27000</v>
      </c>
      <c r="G124" s="58">
        <v>1</v>
      </c>
      <c r="I124" s="5"/>
      <c r="J124" s="5"/>
    </row>
    <row r="125" spans="1:10" x14ac:dyDescent="0.2">
      <c r="A125" s="59" t="str">
        <f ca="1">IFERROR(__xludf.DUMMYFUNCTION("TEXTJOIN(""|"",TRUE,UNIQUE(FILTER(SPLIT(B125,"" ""),LEN(SPLIT(B125,"" ""))&gt;2)))"),"инозаврлар|алы|тырмайтын|энциклопедия|огаэр")</f>
        <v>инозаврлар|алы|тырмайтын|энциклопедия|огаэр</v>
      </c>
      <c r="B125" s="59" t="str">
        <f ca="1">IFERROR(__xludf.DUMMYFUNCTION("LOWER(REGEXREPLACE(D125&amp;"" ""&amp;E125,""[^а-яa-z0-9 ]"","" ""))")," инозаврлар   алы тырмайтын энциклопедия  огаэр   ")</f>
        <v xml:space="preserve"> инозаврлар   алы тырмайтын энциклопедия  огаэр   </v>
      </c>
      <c r="C125" s="61" t="s">
        <v>12564</v>
      </c>
      <c r="D125" s="56" t="s">
        <v>12565</v>
      </c>
      <c r="E125" s="56" t="s">
        <v>12566</v>
      </c>
      <c r="F125" s="57">
        <v>13300</v>
      </c>
      <c r="G125" s="58">
        <v>1</v>
      </c>
      <c r="I125" s="5"/>
      <c r="J125" s="5"/>
    </row>
    <row r="126" spans="1:10" x14ac:dyDescent="0.2">
      <c r="A126" s="59" t="str">
        <f ca="1">IFERROR(__xludf.DUMMYFUNCTION("TEXTJOIN(""|"",TRUE,UNIQUE(FILTER(SPLIT(B126,"" ""),LEN(SPLIT(B126,"" ""))&gt;2)))"),"обро|пожаловать|аурыз|книга|сундучок|спанова")</f>
        <v>обро|пожаловать|аурыз|книга|сундучок|спанова</v>
      </c>
      <c r="B126" s="59" t="str">
        <f ca="1">IFERROR(__xludf.DUMMYFUNCTION("LOWER(REGEXREPLACE(D126&amp;"" ""&amp;E126,""[^а-яa-z0-9 ]"","" ""))")," обро пожаловать   аурыз   книга   сундучок      спанова")</f>
        <v xml:space="preserve"> обро пожаловать   аурыз   книга   сундучок      спанова</v>
      </c>
      <c r="C126" s="61" t="s">
        <v>12567</v>
      </c>
      <c r="D126" s="56" t="s">
        <v>12568</v>
      </c>
      <c r="E126" s="56" t="s">
        <v>12569</v>
      </c>
      <c r="F126" s="57">
        <v>22800</v>
      </c>
      <c r="G126" s="58">
        <v>1</v>
      </c>
      <c r="I126" s="5"/>
      <c r="J126" s="5"/>
    </row>
    <row r="127" spans="1:10" x14ac:dyDescent="0.2">
      <c r="A127" s="59" t="str">
        <f ca="1">IFERROR(__xludf.DUMMYFUNCTION("TEXTJOIN(""|"",TRUE,UNIQUE(FILTER(SPLIT(B127,"" ""),LEN(SPLIT(B127,"" ""))&gt;2)))"),"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f>
        <v>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v>
      </c>
      <c r="B127" s="59" t="str">
        <f ca="1">IFERROR(__xludf.DUMMYFUNCTION("LOWER(REGEXREPLACE(D127&amp;"" ""&amp;E127,""[^а-яa-z0-9 ]"","" ""))"),"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атери"&amp;"ал изготовления   дерево ")</f>
        <v xml:space="preserve">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атериал изготовления   дерево </v>
      </c>
      <c r="C127" s="61" t="s">
        <v>12570</v>
      </c>
      <c r="D127" s="56" t="s">
        <v>12571</v>
      </c>
      <c r="E127" s="56" t="s">
        <v>12572</v>
      </c>
      <c r="F127" s="57">
        <v>36100</v>
      </c>
      <c r="G127" s="58">
        <v>35</v>
      </c>
      <c r="I127" s="5"/>
      <c r="J127" s="5"/>
    </row>
    <row r="128" spans="1:10" x14ac:dyDescent="0.2">
      <c r="A128" s="59" t="str">
        <f ca="1">IFERROR(__xludf.DUMMYFUNCTION("TEXTJOIN(""|"",TRUE,UNIQUE(FILTER(SPLIT(B128,"" ""),LEN(SPLIT(B128,"" ""))&gt;2)))"),"шалар|нтеллектум|гра|предназначена|для|тренировки|определения|места|предмета|пространстве|сравнения|сопоставления|развития|логического|мышления|ребенка")</f>
        <v>шалар|нтеллектум|гра|предназначена|для|тренировки|определения|места|предмета|пространстве|сравнения|сопоставления|развития|логического|мышления|ребенка</v>
      </c>
      <c r="B128" s="59" t="str">
        <f ca="1">IFERROR(__xludf.DUMMYFUNCTION("LOWER(REGEXREPLACE(D128&amp;"" ""&amp;E128,""[^а-яa-z0-9 ]"","" ""))"),"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f>
        <v xml:space="preserve">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v>
      </c>
      <c r="C128" s="61" t="s">
        <v>12573</v>
      </c>
      <c r="D128" s="56" t="s">
        <v>12574</v>
      </c>
      <c r="E128" s="56" t="s">
        <v>12575</v>
      </c>
      <c r="F128" s="57">
        <v>15600</v>
      </c>
      <c r="G128" s="58">
        <v>50</v>
      </c>
      <c r="I128" s="5"/>
      <c r="J128" s="5"/>
    </row>
    <row r="129" spans="1:10" x14ac:dyDescent="0.2">
      <c r="A129" s="59" t="str">
        <f ca="1">IFERROR(__xludf.DUMMYFUNCTION("TEXTJOIN(""|"",TRUE,UNIQUE(FILTER(SPLIT(B129,"" ""),LEN(SPLIT(B129,"" ""))&gt;2)))"),"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amp;"|дерева")</f>
        <v>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дерева</v>
      </c>
      <c r="B129" s="59" t="str">
        <f ca="1">IFERROR(__xludf.DUMMYFUNCTION("LOWER(REGEXREPLACE(D129&amp;"" ""&amp;E129,""[^а-яa-z0-9 ]"","" ""))"),"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мышле"&amp;"ния   ишки выполнены из дерева ")</f>
        <v xml:space="preserve">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мышления   ишки выполнены из дерева </v>
      </c>
      <c r="C129" s="61" t="s">
        <v>12576</v>
      </c>
      <c r="D129" s="56" t="s">
        <v>12577</v>
      </c>
      <c r="E129" s="56" t="s">
        <v>12578</v>
      </c>
      <c r="F129" s="57">
        <v>4900</v>
      </c>
      <c r="G129" s="58">
        <v>35</v>
      </c>
      <c r="I129" s="5"/>
      <c r="J129" s="5"/>
    </row>
    <row r="130" spans="1:10" x14ac:dyDescent="0.2">
      <c r="A130" s="59" t="str">
        <f ca="1">IFERROR(__xludf.DUMMYFUNCTION("TEXTJOIN(""|"",TRUE,UNIQUE(FILTER(SPLIT(B130,"" ""),LEN(SPLIT(B130,"" ""))&gt;2)))"),"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f>
        <v>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v>
      </c>
      <c r="B130" s="59" t="str">
        <f ca="1">IFERROR(__xludf.DUMMYFUNCTION("LOWER(REGEXREPLACE(D130&amp;"" ""&amp;E130,""[^а-яa-z0-9 ]"","" ""))"),"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совм"&amp;"естной игры ")</f>
        <v xml:space="preserve">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совместной игры </v>
      </c>
      <c r="C130" s="61" t="s">
        <v>12579</v>
      </c>
      <c r="D130" s="56" t="s">
        <v>12580</v>
      </c>
      <c r="E130" s="56" t="s">
        <v>12581</v>
      </c>
      <c r="F130" s="57">
        <v>4900</v>
      </c>
      <c r="G130" s="58">
        <v>35</v>
      </c>
      <c r="I130" s="5"/>
      <c r="J130" s="5"/>
    </row>
    <row r="131" spans="1:10" x14ac:dyDescent="0.2">
      <c r="A131" s="59" t="str">
        <f ca="1">IFERROR(__xludf.DUMMYFUNCTION("TEXTJOIN(""|"",TRUE,UNIQUE(FILTER(SPLIT(B131,"" ""),LEN(SPLIT(B131,"" ""))&gt;2)))"),"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f>
        <v>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v>
      </c>
      <c r="B131" s="59" t="str">
        <f ca="1">IFERROR(__xludf.DUMMYFUNCTION("LOWER(REGEXREPLACE(D131&amp;"" ""&amp;E131,""[^а-яa-z0-9 ]"","" ""))"),"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исп"&amp;"ользование ")</f>
        <v xml:space="preserve">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использование </v>
      </c>
      <c r="C131" s="61" t="s">
        <v>12582</v>
      </c>
      <c r="D131" s="56" t="s">
        <v>12583</v>
      </c>
      <c r="E131" s="56" t="s">
        <v>12584</v>
      </c>
      <c r="F131" s="57">
        <v>4900</v>
      </c>
      <c r="G131" s="58">
        <v>35</v>
      </c>
      <c r="I131" s="5"/>
      <c r="J131" s="5"/>
    </row>
    <row r="132" spans="1:10" x14ac:dyDescent="0.2">
      <c r="A132" s="59" t="str">
        <f ca="1">IFERROR(__xludf.DUMMYFUNCTION("TEXTJOIN(""|"",TRUE,UNIQUE(FILTER(SPLIT(B132,"" ""),LEN(SPLIT(B132,"" ""))&gt;2)))"),"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amp;"е|совместное|использование")</f>
        <v>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е|совместное|использование</v>
      </c>
      <c r="B132" s="59" t="str">
        <f ca="1">IFERROR(__xludf.DUMMYFUNCTION("LOWER(REGEXREPLACE(D132&amp;"" ""&amp;E132,""[^а-яa-z0-9 ]"","" ""))"),"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рас"&amp;"считана на индивидуальное и совместное использование ")</f>
        <v xml:space="preserve">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рассчитана на индивидуальное и совместное использование </v>
      </c>
      <c r="C132" s="61" t="s">
        <v>12585</v>
      </c>
      <c r="D132" s="56" t="s">
        <v>12586</v>
      </c>
      <c r="E132" s="56" t="s">
        <v>12587</v>
      </c>
      <c r="F132" s="57">
        <v>4900</v>
      </c>
      <c r="G132" s="58">
        <v>35</v>
      </c>
      <c r="I132" s="5"/>
      <c r="J132" s="5"/>
    </row>
    <row r="133" spans="1:10" x14ac:dyDescent="0.2">
      <c r="A133" s="59" t="str">
        <f ca="1">IFERROR(__xludf.DUMMYFUNCTION("TEXTJOIN(""|"",TRUE,UNIQUE(FILTER(SPLIT(B133,"" ""),LEN(SPLIT(B133,"" ""))&gt;2)))"),"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amp;"ельного|восприятия|навыков|следования|правилам|омплект|включает|менее|фишек|атериал|изготовления|фанера|дерево")</f>
        <v>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ельного|восприятия|навыков|следования|правилам|омплект|включает|менее|фишек|атериал|изготовления|фанера|дерево</v>
      </c>
      <c r="B133" s="59" t="str">
        <f ca="1">IFERROR(__xludf.DUMMYFUNCTION("LOWER(REGEXREPLACE(D133&amp;"" ""&amp;E133,""[^а-яa-z0-9 ]"","" ""))"),"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способствуе"&amp;"т развитию внимания  зрительного восприятия и навыков следования правилам   омплект включает не менее 28 фишек   атериал изготовления   фанера  дерево  ")</f>
        <v xml:space="preserve">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способствует развитию внимания  зрительного восприятия и навыков следования правилам   омплект включает не менее 28 фишек   атериал изготовления   фанера  дерево  </v>
      </c>
      <c r="C133" s="61" t="s">
        <v>12588</v>
      </c>
      <c r="D133" s="56" t="s">
        <v>12589</v>
      </c>
      <c r="E133" s="56" t="s">
        <v>12590</v>
      </c>
      <c r="F133" s="57">
        <v>4900</v>
      </c>
      <c r="G133" s="58">
        <v>14</v>
      </c>
      <c r="I133" s="5"/>
      <c r="J133" s="5"/>
    </row>
    <row r="134" spans="1:10" x14ac:dyDescent="0.2">
      <c r="A134" s="59" t="str">
        <f ca="1">IFERROR(__xludf.DUMMYFUNCTION("TEXTJOIN(""|"",TRUE,UNIQUE(FILTER(SPLIT(B134,"" ""),LEN(SPLIT(B134,"" ""))&gt;2)))"),"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amp;"ользование")</f>
        <v>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ользование</v>
      </c>
      <c r="B134" s="59" t="str">
        <f ca="1">IFERROR(__xludf.DUMMYFUNCTION("LOWER(REGEXREPLACE(D134&amp;"" ""&amp;E134,""[^а-яa-z0-9 ]"","" ""))"),"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рассчитан"&amp;"ы на многократное использование ")</f>
        <v xml:space="preserve">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рассчитаны на многократное использование </v>
      </c>
      <c r="C134" s="61" t="s">
        <v>12591</v>
      </c>
      <c r="D134" s="56" t="s">
        <v>12592</v>
      </c>
      <c r="E134" s="56" t="s">
        <v>12593</v>
      </c>
      <c r="F134" s="57">
        <v>3400</v>
      </c>
      <c r="G134" s="58">
        <v>7</v>
      </c>
      <c r="I134" s="5"/>
      <c r="J134" s="5"/>
    </row>
    <row r="135" spans="1:10" x14ac:dyDescent="0.2">
      <c r="A135" s="59" t="str">
        <f ca="1">IFERROR(__xludf.DUMMYFUNCTION("TEXTJOIN(""|"",TRUE,UNIQUE(FILTER(SPLIT(B135,"" ""),LEN(SPLIT(B135,"" ""))&gt;2)))"),"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amp;"ознанности")</f>
        <v>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ознанности</v>
      </c>
      <c r="B135" s="59" t="str">
        <f ca="1">IFERROR(__xludf.DUMMYFUNCTION("LOWER(REGEXREPLACE(D135&amp;"" ""&amp;E135,""[^а-яa-z0-9 ]"","" ""))"),"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формировани"&amp;"я эмоциональной осознанности ")</f>
        <v xml:space="preserve">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формирования эмоциональной осознанности </v>
      </c>
      <c r="C135" s="61" t="s">
        <v>12594</v>
      </c>
      <c r="D135" s="56" t="s">
        <v>12595</v>
      </c>
      <c r="E135" s="56" t="s">
        <v>12596</v>
      </c>
      <c r="F135" s="57">
        <v>28100</v>
      </c>
      <c r="G135" s="58">
        <v>1</v>
      </c>
      <c r="I135" s="5"/>
      <c r="J135" s="5"/>
    </row>
    <row r="136" spans="1:10" x14ac:dyDescent="0.2">
      <c r="A136" s="59" t="str">
        <f ca="1">IFERROR(__xludf.DUMMYFUNCTION("TEXTJOIN(""|"",TRUE,UNIQUE(FILTER(SPLIT(B136,"" ""),LEN(SPLIT(B136,"" ""))&gt;2)))"),"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f>
        <v>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v>
      </c>
      <c r="B136" s="59" t="str">
        <f ca="1">IFERROR(__xludf.DUMMYFUNCTION("LOWER(REGEXREPLACE(D136&amp;"" ""&amp;E136,""[^а-яa-z0-9 ]"","" ""))"),"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f>
        <v xml:space="preserve">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v>
      </c>
      <c r="C136" s="61" t="s">
        <v>12597</v>
      </c>
      <c r="D136" s="56" t="s">
        <v>12598</v>
      </c>
      <c r="E136" s="56" t="s">
        <v>12599</v>
      </c>
      <c r="F136" s="57">
        <v>36000</v>
      </c>
      <c r="G136" s="58">
        <v>1</v>
      </c>
      <c r="I136" s="5"/>
      <c r="J136" s="5"/>
    </row>
    <row r="137" spans="1:10" x14ac:dyDescent="0.2">
      <c r="A137" s="59" t="str">
        <f ca="1">IFERROR(__xludf.DUMMYFUNCTION("TEXTJOIN(""|"",TRUE,UNIQUE(FILTER(SPLIT(B137,"" ""),LEN(SPLIT(B137,"" ""))&gt;2)))"),"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f>
        <v>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v>
      </c>
      <c r="B137" s="59" t="str">
        <f ca="1">IFERROR(__xludf.DUMMYFUNCTION("LOWER(REGEXREPLACE(D137&amp;"" ""&amp;E137,""[^а-яa-z0-9 ]"","" ""))"),"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f>
        <v xml:space="preserve">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v>
      </c>
      <c r="C137" s="61" t="s">
        <v>12600</v>
      </c>
      <c r="D137" s="56" t="s">
        <v>12601</v>
      </c>
      <c r="E137" s="56" t="s">
        <v>12602</v>
      </c>
      <c r="F137" s="57">
        <v>45000</v>
      </c>
      <c r="G137" s="58">
        <v>9</v>
      </c>
      <c r="I137" s="5"/>
      <c r="J137" s="5"/>
    </row>
    <row r="138" spans="1:10" x14ac:dyDescent="0.2">
      <c r="A138" s="59" t="str">
        <f ca="1">IFERROR(__xludf.DUMMYFUNCTION("TEXTJOIN(""|"",TRUE,UNIQUE(FILTER(SPLIT(B138,"" ""),LEN(SPLIT(B138,"" ""))&gt;2)))"),"остарды|алай|даймын|завести|друзей|make|friends|каз|рус|англ")</f>
        <v>остарды|алай|даймын|завести|друзей|make|friends|каз|рус|англ</v>
      </c>
      <c r="B138" s="59" t="str">
        <f ca="1">IFERROR(__xludf.DUMMYFUNCTION("LOWER(REGEXREPLACE(D138&amp;"" ""&amp;E138,""[^а-яa-z0-9 ]"","" ""))")," остарды  алай та даймын   ак завести друзей   ow to make friends  каз   рус   англ яз   ")</f>
        <v xml:space="preserve"> остарды  алай та даймын   ак завести друзей   ow to make friends  каз   рус   англ яз   </v>
      </c>
      <c r="C138" s="61" t="s">
        <v>12603</v>
      </c>
      <c r="D138" s="56" t="s">
        <v>12604</v>
      </c>
      <c r="E138" s="56"/>
      <c r="F138" s="57">
        <v>1700</v>
      </c>
      <c r="G138" s="58">
        <v>1</v>
      </c>
      <c r="I138" s="5"/>
      <c r="J138" s="5"/>
    </row>
    <row r="139" spans="1:10" x14ac:dyDescent="0.2">
      <c r="A139" s="59" t="str">
        <f ca="1">IFERROR(__xludf.DUMMYFUNCTION("TEXTJOIN(""|"",TRUE,UNIQUE(FILTER(SPLIT(B139,"" ""),LEN(SPLIT(B139,"" ""))&gt;2)))"),"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f>
        <v>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v>
      </c>
      <c r="B139" s="59" t="str">
        <f ca="1">IFERROR(__xludf.DUMMYFUNCTION("LOWER(REGEXREPLACE(D139&amp;"" ""&amp;E139,""[^а-яa-z0-9 ]"","" ""))"),"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карт"&amp;"ы   4 шт    инструкция   1 шт    голубые карты   15 шт    фиолетовые карты   15 шт  ")</f>
        <v xml:space="preserve">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карты   4 шт    инструкция   1 шт    голубые карты   15 шт    фиолетовые карты   15 шт  </v>
      </c>
      <c r="C139" s="61" t="s">
        <v>12605</v>
      </c>
      <c r="D139" s="56" t="s">
        <v>12606</v>
      </c>
      <c r="E139" s="56" t="s">
        <v>12607</v>
      </c>
      <c r="F139" s="57">
        <v>20500</v>
      </c>
      <c r="G139" s="58">
        <v>50</v>
      </c>
      <c r="I139" s="5"/>
      <c r="J139" s="5"/>
    </row>
    <row r="140" spans="1:10" x14ac:dyDescent="0.2">
      <c r="A140" s="59" t="str">
        <f ca="1">IFERROR(__xludf.DUMMYFUNCTION("TEXTJOIN(""|"",TRUE,UNIQUE(FILTER(SPLIT(B140,"" ""),LEN(SPLIT(B140,"" ""))&gt;2)))"),"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amp;"мплект|входят|дуги|разных|размеров")</f>
        <v>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мплект|входят|дуги|разных|размеров</v>
      </c>
      <c r="B140" s="59" t="str">
        <f ca="1">IFERROR(__xludf.DUMMYFUNCTION("LOWER(REGEXREPLACE(D140&amp;"" ""&amp;E140,""[^а-яa-z0-9 ]"","" ""))"),"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по"&amp;"крыты безопасной краской    комплект входят дуги разных размеров ")</f>
        <v xml:space="preserve">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покрыты безопасной краской    комплект входят дуги разных размеров </v>
      </c>
      <c r="C140" s="61" t="s">
        <v>12608</v>
      </c>
      <c r="D140" s="56" t="s">
        <v>12609</v>
      </c>
      <c r="E140" s="56" t="s">
        <v>12610</v>
      </c>
      <c r="F140" s="57">
        <v>72200</v>
      </c>
      <c r="G140" s="58">
        <v>2</v>
      </c>
      <c r="I140" s="5"/>
      <c r="J140" s="5"/>
    </row>
    <row r="141" spans="1:10" x14ac:dyDescent="0.2">
      <c r="A141" s="59" t="str">
        <f ca="1">IFERROR(__xludf.DUMMYFUNCTION("TEXTJOIN(""|"",TRUE,UNIQUE(FILTER(SPLIT(B141,"" ""),LEN(SPLIT(B141,"" ""))&gt;2)))"),"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amp;"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f>
        <v>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v>
      </c>
      <c r="B141" s="59" t="str">
        <f ca="1">IFERROR(__xludf.DUMMYFUNCTION("LOWER(REGEXREPLACE(D141&amp;"" ""&amp;E141,""[^а-яa-z0-9 ]"","" ""))"),"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нержавеюще"&amp;"й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испол"&amp;"ьзование ")</f>
        <v xml:space="preserve">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использование </v>
      </c>
      <c r="C141" s="61" t="s">
        <v>12611</v>
      </c>
      <c r="D141" s="56" t="s">
        <v>12612</v>
      </c>
      <c r="E141" s="56" t="s">
        <v>12613</v>
      </c>
      <c r="F141" s="57">
        <v>218500</v>
      </c>
      <c r="G141" s="58">
        <v>20</v>
      </c>
      <c r="I141" s="5"/>
      <c r="J141" s="5"/>
    </row>
    <row r="142" spans="1:10" x14ac:dyDescent="0.2">
      <c r="A142" s="59" t="str">
        <f ca="1">IFERROR(__xludf.DUMMYFUNCTION("TEXTJOIN(""|"",TRUE,UNIQUE(FILTER(SPLIT(B142,"" ""),LEN(SPLIT(B142,"" ""))&gt;2)))"),"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amp;"ний|рименяется|при|логопедической|работе")</f>
        <v>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ний|рименяется|при|логопедической|работе</v>
      </c>
      <c r="B142" s="59" t="str">
        <f ca="1">IFERROR(__xludf.DUMMYFUNCTION("LOWER(REGEXREPLACE(D142&amp;"" ""&amp;E142,""[^а-яa-z0-9 ]"","" ""))"),"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испол"&amp;"ьзуются для игровых заданий   рименяется при логопедической работе ")</f>
        <v xml:space="preserve">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используются для игровых заданий   рименяется при логопедической работе </v>
      </c>
      <c r="C142" s="61" t="s">
        <v>12614</v>
      </c>
      <c r="D142" s="56" t="s">
        <v>12615</v>
      </c>
      <c r="E142" s="56" t="s">
        <v>12616</v>
      </c>
      <c r="F142" s="57">
        <v>8600</v>
      </c>
      <c r="G142" s="58">
        <v>5</v>
      </c>
      <c r="I142" s="5"/>
      <c r="J142" s="5"/>
    </row>
    <row r="143" spans="1:10" x14ac:dyDescent="0.2">
      <c r="A143" s="59" t="str">
        <f ca="1">IFERROR(__xludf.DUMMYFUNCTION("TEXTJOIN(""|"",TRUE,UNIQUE(FILTER(SPLIT(B143,"" ""),LEN(SPLIT(B143,"" ""))&gt;2)))"),"здер|лендер|жина|аянбай")</f>
        <v>здер|лендер|жина|аянбай</v>
      </c>
      <c r="B143" s="59" t="str">
        <f ca="1">IFERROR(__xludf.DUMMYFUNCTION("LOWER(REGEXREPLACE(D143&amp;"" ""&amp;E143,""[^а-яa-z0-9 ]"","" ""))")," г здер   лендер жина ы  аянбай   ")</f>
        <v xml:space="preserve"> г здер   лендер жина ы  аянбай   </v>
      </c>
      <c r="C143" s="61" t="s">
        <v>12617</v>
      </c>
      <c r="D143" s="56" t="s">
        <v>12618</v>
      </c>
      <c r="E143" s="56" t="s">
        <v>12619</v>
      </c>
      <c r="F143" s="57">
        <v>2200</v>
      </c>
      <c r="G143" s="58">
        <v>1</v>
      </c>
      <c r="I143" s="5"/>
      <c r="J143" s="5"/>
    </row>
    <row r="144" spans="1:10" x14ac:dyDescent="0.2">
      <c r="A144" s="59" t="str">
        <f ca="1">IFERROR(__xludf.DUMMYFUNCTION("TEXTJOIN(""|"",TRUE,UNIQUE(FILTER(SPLIT(B144,"" ""),LEN(SPLIT(B144,"" ""))&gt;2)))"),"аргын|рус|англ|дапт|умисбаев")</f>
        <v>аргын|рус|англ|дапт|умисбаев</v>
      </c>
      <c r="B144" s="59" t="str">
        <f ca="1">IFERROR(__xludf.DUMMYFUNCTION("LOWER(REGEXREPLACE(D144&amp;"" ""&amp;E144,""[^а-яa-z0-9 ]"","" ""))")," р  аргын  рус   англ    дапт   умисбаев   ")</f>
        <v xml:space="preserve"> р  аргын  рус   англ    дапт   умисбаев   </v>
      </c>
      <c r="C144" s="61" t="s">
        <v>12620</v>
      </c>
      <c r="D144" s="56" t="s">
        <v>12621</v>
      </c>
      <c r="E144" s="56" t="s">
        <v>12622</v>
      </c>
      <c r="F144" s="57">
        <v>6600</v>
      </c>
      <c r="G144" s="58">
        <v>1</v>
      </c>
      <c r="I144" s="5"/>
      <c r="J144" s="5"/>
    </row>
    <row r="145" spans="1:10" x14ac:dyDescent="0.2">
      <c r="A145" s="59" t="str">
        <f ca="1">IFERROR(__xludf.DUMMYFUNCTION("TEXTJOIN(""|"",TRUE,UNIQUE(FILTER(SPLIT(B145,"" ""),LEN(SPLIT(B145,"" ""))&gt;2)))"),"каз|агылш|мдеген|сбаев")</f>
        <v>каз|агылш|мдеген|сбаев</v>
      </c>
      <c r="B145" s="59" t="str">
        <f ca="1">IFERROR(__xludf.DUMMYFUNCTION("LOWER(REGEXREPLACE(D145&amp;"" ""&amp;E145,""[^а-яa-z0-9 ]"","" ""))")," р  ар ын  каз   агылш    ей мдеген    ум сбаев")</f>
        <v xml:space="preserve"> р  ар ын  каз   агылш    ей мдеген    ум сбаев</v>
      </c>
      <c r="C145" s="61" t="s">
        <v>12623</v>
      </c>
      <c r="D145" s="56" t="s">
        <v>12624</v>
      </c>
      <c r="E145" s="56" t="s">
        <v>12625</v>
      </c>
      <c r="F145" s="57">
        <v>6600</v>
      </c>
      <c r="G145" s="58">
        <v>1</v>
      </c>
      <c r="I145" s="5"/>
      <c r="J145" s="5"/>
    </row>
    <row r="146" spans="1:10" x14ac:dyDescent="0.2">
      <c r="A146" s="59" t="str">
        <f ca="1">IFERROR(__xludf.DUMMYFUNCTION("TEXTJOIN(""|"",TRUE,UNIQUE(FILTER(SPLIT(B146,"" ""),LEN(SPLIT(B146,"" ""))&gt;2)))"),"ртег|лер|анамен|имыз|растыр|усупова")</f>
        <v>ртег|лер|анамен|имыз|растыр|усупова</v>
      </c>
      <c r="B146" s="59" t="str">
        <f ca="1">IFERROR(__xludf.DUMMYFUNCTION("LOWER(REGEXREPLACE(D146&amp;"" ""&amp;E146,""[^а-яa-z0-9 ]"","" ""))")," ртег лер   та анамен о имыз  1 б л м    растыр ан    усупова")</f>
        <v xml:space="preserve"> ртег лер   та анамен о имыз  1 б л м    растыр ан    усупова</v>
      </c>
      <c r="C146" s="61" t="s">
        <v>12626</v>
      </c>
      <c r="D146" s="56" t="s">
        <v>12627</v>
      </c>
      <c r="E146" s="56" t="s">
        <v>12628</v>
      </c>
      <c r="F146" s="57">
        <v>800</v>
      </c>
      <c r="G146" s="58">
        <v>1</v>
      </c>
      <c r="I146" s="5"/>
      <c r="J146" s="5"/>
    </row>
    <row r="147" spans="1:10" x14ac:dyDescent="0.2">
      <c r="A147" s="59" t="str">
        <f ca="1">IFERROR(__xludf.DUMMYFUNCTION("TEXTJOIN(""|"",TRUE,UNIQUE(FILTER(SPLIT(B147,"" ""),LEN(SPLIT(B147,"" ""))&gt;2)))"),"ртег|лер|анамен|имыз|растыр|усупова")</f>
        <v>ртег|лер|анамен|имыз|растыр|усупова</v>
      </c>
      <c r="B147" s="59" t="str">
        <f ca="1">IFERROR(__xludf.DUMMYFUNCTION("LOWER(REGEXREPLACE(D147&amp;"" ""&amp;E147,""[^а-яa-z0-9 ]"","" ""))")," ртег лер   та анамен о имыз  2 б л м    растыр ан    усупова")</f>
        <v xml:space="preserve"> ртег лер   та анамен о имыз  2 б л м    растыр ан    усупова</v>
      </c>
      <c r="C147" s="61" t="s">
        <v>12629</v>
      </c>
      <c r="D147" s="56" t="s">
        <v>12630</v>
      </c>
      <c r="E147" s="56" t="s">
        <v>12628</v>
      </c>
      <c r="F147" s="57">
        <v>800</v>
      </c>
      <c r="G147" s="58">
        <v>1</v>
      </c>
      <c r="I147" s="5"/>
      <c r="J147" s="5"/>
    </row>
    <row r="148" spans="1:10" x14ac:dyDescent="0.2">
      <c r="A148" s="59" t="str">
        <f ca="1">IFERROR(__xludf.DUMMYFUNCTION("TEXTJOIN(""|"",TRUE,UNIQUE(FILTER(SPLIT(B148,"" ""),LEN(SPLIT(B148,"" ""))&gt;2)))"),"ртег|лер|анамен|имыз|растыр|усупова")</f>
        <v>ртег|лер|анамен|имыз|растыр|усупова</v>
      </c>
      <c r="B148" s="59" t="str">
        <f ca="1">IFERROR(__xludf.DUMMYFUNCTION("LOWER(REGEXREPLACE(D148&amp;"" ""&amp;E148,""[^а-яa-z0-9 ]"","" ""))")," ртег лер   та анамен о имыз  3 б л м    растыр ан    усупова")</f>
        <v xml:space="preserve"> ртег лер   та анамен о имыз  3 б л м    растыр ан    усупова</v>
      </c>
      <c r="C148" s="61" t="s">
        <v>12631</v>
      </c>
      <c r="D148" s="56" t="s">
        <v>12632</v>
      </c>
      <c r="E148" s="56" t="s">
        <v>12628</v>
      </c>
      <c r="F148" s="57">
        <v>800</v>
      </c>
      <c r="G148" s="58">
        <v>1</v>
      </c>
      <c r="I148" s="5"/>
      <c r="J148" s="5"/>
    </row>
    <row r="149" spans="1:10" x14ac:dyDescent="0.2">
      <c r="A149" s="59" t="str">
        <f ca="1">IFERROR(__xludf.DUMMYFUNCTION("TEXTJOIN(""|"",TRUE,UNIQUE(FILTER(SPLIT(B149,"" ""),LEN(SPLIT(B149,"" ""))&gt;2)))"),"ртег|лер|уын|имыз|растыр|усупова")</f>
        <v>ртег|лер|уын|имыз|растыр|усупова</v>
      </c>
      <c r="B149" s="59" t="str">
        <f ca="1">IFERROR(__xludf.DUMMYFUNCTION("LOWER(REGEXREPLACE(D149&amp;"" ""&amp;E149,""[^а-яa-z0-9 ]"","" ""))")," ртег лер   уын а б л п о имыз  1 б л м    растыр ан    усупова")</f>
        <v xml:space="preserve"> ртег лер   уын а б л п о имыз  1 б л м    растыр ан    усупова</v>
      </c>
      <c r="C149" s="61" t="s">
        <v>12633</v>
      </c>
      <c r="D149" s="56" t="s">
        <v>12634</v>
      </c>
      <c r="E149" s="56" t="s">
        <v>12628</v>
      </c>
      <c r="F149" s="57">
        <v>800</v>
      </c>
      <c r="G149" s="58">
        <v>1</v>
      </c>
      <c r="I149" s="5"/>
      <c r="J149" s="5"/>
    </row>
    <row r="150" spans="1:10" x14ac:dyDescent="0.2">
      <c r="A150" s="59" t="str">
        <f ca="1">IFERROR(__xludf.DUMMYFUNCTION("TEXTJOIN(""|"",TRUE,UNIQUE(FILTER(SPLIT(B150,"" ""),LEN(SPLIT(B150,"" ""))&gt;2)))"),"историй|пиратах|ертолет")</f>
        <v>историй|пиратах|ертолет</v>
      </c>
      <c r="B150" s="59" t="str">
        <f ca="1">IFERROR(__xludf.DUMMYFUNCTION("LOWER(REGEXREPLACE(D150&amp;"" ""&amp;E150,""[^а-яa-z0-9 ]"","" ""))"),"10 историй о пиратах  ертолет   ")</f>
        <v xml:space="preserve">10 историй о пиратах  ертолет   </v>
      </c>
      <c r="C150" s="61" t="s">
        <v>12635</v>
      </c>
      <c r="D150" s="56" t="s">
        <v>12636</v>
      </c>
      <c r="E150" s="56" t="s">
        <v>12637</v>
      </c>
      <c r="F150" s="57">
        <v>4800</v>
      </c>
      <c r="G150" s="58">
        <v>1</v>
      </c>
      <c r="I150" s="5"/>
      <c r="J150" s="5"/>
    </row>
    <row r="151" spans="1:10" x14ac:dyDescent="0.2">
      <c r="A151" s="59" t="str">
        <f ca="1">IFERROR(__xludf.DUMMYFUNCTION("TEXTJOIN(""|"",TRUE,UNIQUE(FILTER(SPLIT(B151,"" ""),LEN(SPLIT(B151,"" ""))&gt;2)))"),"ртег|лер|уын|имыз|растыр|усупова")</f>
        <v>ртег|лер|уын|имыз|растыр|усупова</v>
      </c>
      <c r="B151" s="59" t="str">
        <f ca="1">IFERROR(__xludf.DUMMYFUNCTION("LOWER(REGEXREPLACE(D151&amp;"" ""&amp;E151,""[^а-яa-z0-9 ]"","" ""))")," ртег лер   уын а б л п о имыз  2 б л м    растыр ан    усупова")</f>
        <v xml:space="preserve"> ртег лер   уын а б л п о имыз  2 б л м    растыр ан    усупова</v>
      </c>
      <c r="C151" s="61" t="s">
        <v>12638</v>
      </c>
      <c r="D151" s="56" t="s">
        <v>12639</v>
      </c>
      <c r="E151" s="56" t="s">
        <v>12628</v>
      </c>
      <c r="F151" s="57">
        <v>800</v>
      </c>
      <c r="G151" s="58">
        <v>1</v>
      </c>
      <c r="I151" s="5"/>
      <c r="J151" s="5"/>
    </row>
    <row r="152" spans="1:10" x14ac:dyDescent="0.2">
      <c r="A152" s="59" t="str">
        <f ca="1">IFERROR(__xludf.DUMMYFUNCTION("TEXTJOIN(""|"",TRUE,UNIQUE(FILTER(SPLIT(B152,"" ""),LEN(SPLIT(B152,"" ""))&gt;2)))"),"ртег|лер|уын|имыз|растыр|усупова")</f>
        <v>ртег|лер|уын|имыз|растыр|усупова</v>
      </c>
      <c r="B152" s="59" t="str">
        <f ca="1">IFERROR(__xludf.DUMMYFUNCTION("LOWER(REGEXREPLACE(D152&amp;"" ""&amp;E152,""[^а-яa-z0-9 ]"","" ""))")," ртег лер   уын а б л п о имыз  3 б л м    растыр ан    усупова")</f>
        <v xml:space="preserve"> ртег лер   уын а б л п о имыз  3 б л м    растыр ан    усупова</v>
      </c>
      <c r="C152" s="61" t="s">
        <v>12640</v>
      </c>
      <c r="D152" s="56" t="s">
        <v>12641</v>
      </c>
      <c r="E152" s="56" t="s">
        <v>12628</v>
      </c>
      <c r="F152" s="57">
        <v>800</v>
      </c>
      <c r="G152" s="58">
        <v>1</v>
      </c>
      <c r="I152" s="5"/>
      <c r="J152" s="5"/>
    </row>
    <row r="153" spans="1:10" x14ac:dyDescent="0.2">
      <c r="A153" s="59" t="str">
        <f ca="1">IFERROR(__xludf.DUMMYFUNCTION("TEXTJOIN(""|"",TRUE,UNIQUE(FILTER(SPLIT(B153,"" ""),LEN(SPLIT(B153,"" ""))&gt;2)))"),"ртег|лер|имыз|растыр|усупова")</f>
        <v>ртег|лер|имыз|растыр|усупова</v>
      </c>
      <c r="B153" s="59" t="str">
        <f ca="1">IFERROR(__xludf.DUMMYFUNCTION("LOWER(REGEXREPLACE(D153&amp;"" ""&amp;E153,""[^а-яa-z0-9 ]"","" ""))")," ртег лер   з м з о имыз  1 б л м    растыр ан    усупова")</f>
        <v xml:space="preserve"> ртег лер   з м з о имыз  1 б л м    растыр ан    усупова</v>
      </c>
      <c r="C153" s="61" t="s">
        <v>12642</v>
      </c>
      <c r="D153" s="56" t="s">
        <v>12643</v>
      </c>
      <c r="E153" s="56" t="s">
        <v>12628</v>
      </c>
      <c r="F153" s="57">
        <v>800</v>
      </c>
      <c r="G153" s="58">
        <v>1</v>
      </c>
      <c r="I153" s="5"/>
      <c r="J153" s="5"/>
    </row>
    <row r="154" spans="1:10" x14ac:dyDescent="0.2">
      <c r="A154" s="59" t="str">
        <f ca="1">IFERROR(__xludf.DUMMYFUNCTION("TEXTJOIN(""|"",TRUE,UNIQUE(FILTER(SPLIT(B154,"" ""),LEN(SPLIT(B154,"" ""))&gt;2)))"),"ртег|лер|имыз|растыр|усупова")</f>
        <v>ртег|лер|имыз|растыр|усупова</v>
      </c>
      <c r="B154" s="59" t="str">
        <f ca="1">IFERROR(__xludf.DUMMYFUNCTION("LOWER(REGEXREPLACE(D154&amp;"" ""&amp;E154,""[^а-яa-z0-9 ]"","" ""))")," ртег лер   з м з о имыз  2 б л м    растыр ан    усупова")</f>
        <v xml:space="preserve"> ртег лер   з м з о имыз  2 б л м    растыр ан    усупова</v>
      </c>
      <c r="C154" s="61" t="s">
        <v>12644</v>
      </c>
      <c r="D154" s="56" t="s">
        <v>12645</v>
      </c>
      <c r="E154" s="56" t="s">
        <v>12628</v>
      </c>
      <c r="F154" s="57">
        <v>800</v>
      </c>
      <c r="G154" s="58">
        <v>1</v>
      </c>
      <c r="I154" s="5"/>
      <c r="J154" s="5"/>
    </row>
    <row r="155" spans="1:10" x14ac:dyDescent="0.2">
      <c r="A155" s="59" t="str">
        <f ca="1">IFERROR(__xludf.DUMMYFUNCTION("TEXTJOIN(""|"",TRUE,UNIQUE(FILTER(SPLIT(B155,"" ""),LEN(SPLIT(B155,"" ""))&gt;2)))"),"ртег|лер|имыз|растыр|усупова")</f>
        <v>ртег|лер|имыз|растыр|усупова</v>
      </c>
      <c r="B155" s="59" t="str">
        <f ca="1">IFERROR(__xludf.DUMMYFUNCTION("LOWER(REGEXREPLACE(D155&amp;"" ""&amp;E155,""[^а-яa-z0-9 ]"","" ""))")," ртег лер   з м з о имыз  3 б л м    растыр ан    усупова")</f>
        <v xml:space="preserve"> ртег лер   з м з о имыз  3 б л м    растыр ан    усупова</v>
      </c>
      <c r="C155" s="61" t="s">
        <v>12646</v>
      </c>
      <c r="D155" s="56" t="s">
        <v>12647</v>
      </c>
      <c r="E155" s="56" t="s">
        <v>12628</v>
      </c>
      <c r="F155" s="57">
        <v>800</v>
      </c>
      <c r="G155" s="58">
        <v>1</v>
      </c>
      <c r="I155" s="5"/>
      <c r="J155" s="5"/>
    </row>
    <row r="156" spans="1:10" x14ac:dyDescent="0.2">
      <c r="A156" s="59" t="str">
        <f ca="1">IFERROR(__xludf.DUMMYFUNCTION("TEXTJOIN(""|"",TRUE,UNIQUE(FILTER(SPLIT(B156,"" ""),LEN(SPLIT(B156,"" ""))&gt;2)))"),"скертк|орнаттым|мен|олдан|келмес|ушкин|растырушы|ужикова")</f>
        <v>скертк|орнаттым|мен|олдан|келмес|ушкин|растырушы|ужикова</v>
      </c>
      <c r="B156" s="59" t="str">
        <f ca="1">IFERROR(__xludf.DUMMYFUNCTION("LOWER(REGEXREPLACE(D156&amp;"" ""&amp;E156,""[^а-яa-z0-9 ]"","" ""))")," скертк ш орнаттым мен  олдан келмес        ушкин    растырушы   ужикова    ")</f>
        <v xml:space="preserve"> скертк ш орнаттым мен  олдан келмес        ушкин    растырушы   ужикова    </v>
      </c>
      <c r="C156" s="61" t="s">
        <v>12648</v>
      </c>
      <c r="D156" s="56" t="s">
        <v>12649</v>
      </c>
      <c r="E156" s="56" t="s">
        <v>12650</v>
      </c>
      <c r="F156" s="57">
        <v>6600</v>
      </c>
      <c r="G156" s="58">
        <v>1</v>
      </c>
      <c r="I156" s="5"/>
      <c r="J156" s="5"/>
    </row>
    <row r="157" spans="1:10" x14ac:dyDescent="0.2">
      <c r="A157" s="59" t="str">
        <f ca="1">IFERROR(__xludf.DUMMYFUNCTION("TEXTJOIN(""|"",TRUE,UNIQUE(FILTER(SPLIT(B157,"" ""),LEN(SPLIT(B157,"" ""))&gt;2)))"),"абайы|жануарларды|лес|ылды|бояма|ахипова|олтан|азина")</f>
        <v>абайы|жануарларды|лес|ылды|бояма|ахипова|олтан|азина</v>
      </c>
      <c r="B157" s="59" t="str">
        <f ca="1">IFERROR(__xludf.DUMMYFUNCTION("LOWER(REGEXREPLACE(D157&amp;"" ""&amp;E157,""[^а-яa-z0-9 ]"","" ""))")," абайы жануарларды б лес   бе    ылды бояма   ахипова     олтан азина   ")</f>
        <v xml:space="preserve"> абайы жануарларды б лес   бе    ылды бояма   ахипова     олтан азина   </v>
      </c>
      <c r="C157" s="61" t="s">
        <v>12651</v>
      </c>
      <c r="D157" s="56" t="s">
        <v>12652</v>
      </c>
      <c r="E157" s="56" t="s">
        <v>12653</v>
      </c>
      <c r="F157" s="57">
        <v>3000</v>
      </c>
      <c r="G157" s="58">
        <v>1</v>
      </c>
      <c r="I157" s="5"/>
      <c r="J157" s="5"/>
    </row>
    <row r="158" spans="1:10" x14ac:dyDescent="0.2">
      <c r="A158" s="59" t="str">
        <f ca="1">IFERROR(__xludf.DUMMYFUNCTION("TEXTJOIN(""|"",TRUE,UNIQUE(FILTER(SPLIT(B158,"" ""),LEN(SPLIT(B158,"" ""))&gt;2)))"),"алы|тырмайтын|астрономия|алалар|энциклопедиясы|айнберг")</f>
        <v>алы|тырмайтын|астрономия|алалар|энциклопедиясы|айнберг</v>
      </c>
      <c r="B158" s="59" t="str">
        <f ca="1">IFERROR(__xludf.DUMMYFUNCTION("LOWER(REGEXREPLACE(D158&amp;"" ""&amp;E158,""[^а-яa-z0-9 ]"","" ""))")," алы тырмайтын астрономия   алалар энциклопедиясы    айнберг")</f>
        <v xml:space="preserve"> алы тырмайтын астрономия   алалар энциклопедиясы    айнберг</v>
      </c>
      <c r="C158" s="61" t="s">
        <v>12654</v>
      </c>
      <c r="D158" s="56" t="s">
        <v>12655</v>
      </c>
      <c r="E158" s="56" t="s">
        <v>12656</v>
      </c>
      <c r="F158" s="57">
        <v>7600</v>
      </c>
      <c r="G158" s="58">
        <v>1</v>
      </c>
      <c r="I158" s="5"/>
      <c r="J158" s="5"/>
    </row>
    <row r="159" spans="1:10" x14ac:dyDescent="0.2">
      <c r="A159" s="59" t="str">
        <f ca="1">IFERROR(__xludf.DUMMYFUNCTION("TEXTJOIN(""|"",TRUE,UNIQUE(FILTER(SPLIT(B159,"" ""),LEN(SPLIT(B159,"" ""))&gt;2)))"),"ануарлар|нциклопедиясы|рлон")</f>
        <v>ануарлар|нциклопедиясы|рлон</v>
      </c>
      <c r="B159" s="59" t="str">
        <f ca="1">IFERROR(__xludf.DUMMYFUNCTION("LOWER(REGEXREPLACE(D159&amp;"" ""&amp;E159,""[^а-яa-z0-9 ]"","" ""))")," ануарлар   нциклопедиясы  рлон   ")</f>
        <v xml:space="preserve"> ануарлар   нциклопедиясы  рлон   </v>
      </c>
      <c r="C159" s="61" t="s">
        <v>12657</v>
      </c>
      <c r="D159" s="56" t="s">
        <v>12658</v>
      </c>
      <c r="E159" s="56" t="s">
        <v>12659</v>
      </c>
      <c r="F159" s="57">
        <v>11400</v>
      </c>
      <c r="G159" s="58">
        <v>1</v>
      </c>
      <c r="I159" s="5"/>
      <c r="J159" s="5"/>
    </row>
    <row r="160" spans="1:10" x14ac:dyDescent="0.2">
      <c r="A160" s="59" t="str">
        <f ca="1">IFERROR(__xludf.DUMMYFUNCTION("TEXTJOIN(""|"",TRUE,UNIQUE(FILTER(SPLIT(B160,"" ""),LEN(SPLIT(B160,"" ""))&gt;2)))"),"ыры")</f>
        <v>ыры</v>
      </c>
      <c r="B160" s="59" t="str">
        <f ca="1">IFERROR(__xludf.DUMMYFUNCTION("LOWER(REGEXREPLACE(D160&amp;"" ""&amp;E160,""[^а-яa-z0-9 ]"","" ""))")," а  ыры     ма ов")</f>
        <v xml:space="preserve"> а  ыры     ма ов</v>
      </c>
      <c r="C160" s="61" t="s">
        <v>12660</v>
      </c>
      <c r="D160" s="56" t="s">
        <v>12661</v>
      </c>
      <c r="E160" s="56" t="s">
        <v>12662</v>
      </c>
      <c r="F160" s="57">
        <v>6400</v>
      </c>
      <c r="G160" s="58">
        <v>1</v>
      </c>
      <c r="I160" s="5"/>
      <c r="J160" s="5"/>
    </row>
    <row r="161" spans="1:10" x14ac:dyDescent="0.2">
      <c r="A161" s="59" t="str">
        <f ca="1">IFERROR(__xludf.DUMMYFUNCTION("TEXTJOIN(""|"",TRUE,UNIQUE(FILTER(SPLIT(B161,"" ""),LEN(SPLIT(B161,"" ""))&gt;2)))"),"историй|принцессах|ертолет")</f>
        <v>историй|принцессах|ертолет</v>
      </c>
      <c r="B161" s="59" t="str">
        <f ca="1">IFERROR(__xludf.DUMMYFUNCTION("LOWER(REGEXREPLACE(D161&amp;"" ""&amp;E161,""[^а-яa-z0-9 ]"","" ""))"),"10 историй о принцессах  ертолет   ")</f>
        <v xml:space="preserve">10 историй о принцессах  ертолет   </v>
      </c>
      <c r="C161" s="61" t="s">
        <v>12663</v>
      </c>
      <c r="D161" s="56" t="s">
        <v>12664</v>
      </c>
      <c r="E161" s="56" t="s">
        <v>12637</v>
      </c>
      <c r="F161" s="57">
        <v>4800</v>
      </c>
      <c r="G161" s="58">
        <v>1</v>
      </c>
      <c r="I161" s="5"/>
      <c r="J161" s="5"/>
    </row>
    <row r="162" spans="1:10" x14ac:dyDescent="0.2">
      <c r="A162" s="59" t="str">
        <f ca="1">IFERROR(__xludf.DUMMYFUNCTION("TEXTJOIN(""|"",TRUE,UNIQUE(FILTER(SPLIT(B162,"" ""),LEN(SPLIT(B162,"" ""))&gt;2)))"),"ауапкерш|сез|стать|ответственным|responsible")</f>
        <v>ауапкерш|сез|стать|ответственным|responsible</v>
      </c>
      <c r="B162" s="59" t="str">
        <f ca="1">IFERROR(__xludf.DUMMYFUNCTION("LOWER(REGEXREPLACE(D162&amp;"" ""&amp;E162,""[^а-яa-z0-9 ]"","" ""))")," ауапкерш л кт  сез ну   ак стать ответственным   ow to be responsible ")</f>
        <v xml:space="preserve"> ауапкерш л кт  сез ну   ак стать ответственным   ow to be responsible </v>
      </c>
      <c r="C162" s="61" t="s">
        <v>12665</v>
      </c>
      <c r="D162" s="56" t="s">
        <v>12666</v>
      </c>
      <c r="E162" s="56"/>
      <c r="F162" s="57">
        <v>1700</v>
      </c>
      <c r="G162" s="58">
        <v>1</v>
      </c>
      <c r="I162" s="5"/>
      <c r="J162" s="5"/>
    </row>
    <row r="163" spans="1:10" x14ac:dyDescent="0.2">
      <c r="A163" s="59" t="str">
        <f ca="1">IFERROR(__xludf.DUMMYFUNCTION("TEXTJOIN(""|"",TRUE,UNIQUE(FILTER(SPLIT(B163,"" ""),LEN(SPLIT(B163,"" ""))&gt;2)))"),"бек|пен|атасы|манасов")</f>
        <v>бек|пен|атасы|манасов</v>
      </c>
      <c r="B163" s="59" t="str">
        <f ca="1">IFERROR(__xludf.DUMMYFUNCTION("LOWER(REGEXREPLACE(D163&amp;"" ""&amp;E163,""[^а-яa-z0-9 ]"","" ""))"),"  н бек пен атасы    манасов")</f>
        <v xml:space="preserve">  н бек пен атасы    манасов</v>
      </c>
      <c r="C163" s="61" t="s">
        <v>12667</v>
      </c>
      <c r="D163" s="56" t="s">
        <v>12668</v>
      </c>
      <c r="E163" s="56" t="s">
        <v>12669</v>
      </c>
      <c r="F163" s="57">
        <v>8000</v>
      </c>
      <c r="G163" s="58">
        <v>1</v>
      </c>
      <c r="I163" s="5"/>
      <c r="J163" s="5"/>
    </row>
    <row r="164" spans="1:10" x14ac:dyDescent="0.2">
      <c r="A164" s="59" t="str">
        <f ca="1">IFERROR(__xludf.DUMMYFUNCTION("TEXTJOIN(""|"",TRUE,UNIQUE(FILTER(SPLIT(B164,"" ""),LEN(SPLIT(B164,"" ""))&gt;2)))"),"гут|кровоостанавливающий|спользуется|для|временной|остановки|кровотечения|при|проведении|медицинских|процедур")</f>
        <v>гут|кровоостанавливающий|спользуется|для|временной|остановки|кровотечения|при|проведении|медицинских|процедур</v>
      </c>
      <c r="B164" s="59" t="str">
        <f ca="1">IFERROR(__xludf.DUMMYFUNCTION("LOWER(REGEXREPLACE(D164&amp;"" ""&amp;E164,""[^а-яa-z0-9 ]"","" ""))")," гут кровоостанавливающий  спользуется для временной остановки кровотечения и при проведении медицинских процедур ")</f>
        <v xml:space="preserve"> гут кровоостанавливающий  спользуется для временной остановки кровотечения и при проведении медицинских процедур </v>
      </c>
      <c r="C164" s="61" t="s">
        <v>12670</v>
      </c>
      <c r="D164" s="56" t="s">
        <v>12671</v>
      </c>
      <c r="E164" s="56" t="s">
        <v>12299</v>
      </c>
      <c r="F164" s="57">
        <v>2800</v>
      </c>
      <c r="G164" s="58">
        <v>2</v>
      </c>
      <c r="I164" s="5"/>
      <c r="J164" s="5"/>
    </row>
    <row r="165" spans="1:10" x14ac:dyDescent="0.2">
      <c r="A165" s="59" t="str">
        <f ca="1">IFERROR(__xludf.DUMMYFUNCTION("TEXTJOIN(""|"",TRUE,UNIQUE(FILTER(SPLIT(B165,"" ""),LEN(SPLIT(B165,"" ""))&gt;2)))"),"аламшарыны|антологиясы|лдершоу")</f>
        <v>аламшарыны|антологиясы|лдершоу</v>
      </c>
      <c r="B165" s="59" t="str">
        <f ca="1">IFERROR(__xludf.DUMMYFUNCTION("LOWER(REGEXREPLACE(D165&amp;"" ""&amp;E165,""[^а-яa-z0-9 ]"","" ""))")," ер  аламшарыны  антологиясы  лдершоу   ")</f>
        <v xml:space="preserve"> ер  аламшарыны  антологиясы  лдершоу   </v>
      </c>
      <c r="C165" s="61" t="s">
        <v>12672</v>
      </c>
      <c r="D165" s="56" t="s">
        <v>12673</v>
      </c>
      <c r="E165" s="56" t="s">
        <v>12674</v>
      </c>
      <c r="F165" s="57">
        <v>19000</v>
      </c>
      <c r="G165" s="58">
        <v>1</v>
      </c>
      <c r="I165" s="5"/>
      <c r="J165" s="5"/>
    </row>
    <row r="166" spans="1:10" x14ac:dyDescent="0.2">
      <c r="A166" s="59" t="str">
        <f ca="1">IFERROR(__xludf.DUMMYFUNCTION("TEXTJOIN(""|"",TRUE,UNIQUE(FILTER(SPLIT(B166,"" ""),LEN(SPLIT(B166,"" ""))&gt;2)))"),"дар|нтеллектум")</f>
        <v>дар|нтеллектум</v>
      </c>
      <c r="B166" s="59" t="str">
        <f ca="1">IFERROR(__xludf.DUMMYFUNCTION("LOWER(REGEXREPLACE(D166&amp;"" ""&amp;E166,""[^а-яa-z0-9 ]"","" ""))")," ол ба дар  нтеллектум")</f>
        <v xml:space="preserve"> ол ба дар  нтеллектум</v>
      </c>
      <c r="C166" s="61" t="s">
        <v>12675</v>
      </c>
      <c r="D166" s="56" t="s">
        <v>12676</v>
      </c>
      <c r="E166" s="56" t="s">
        <v>12677</v>
      </c>
      <c r="F166" s="57">
        <v>15600</v>
      </c>
      <c r="G166" s="58">
        <v>75</v>
      </c>
      <c r="I166" s="5"/>
      <c r="J166" s="5"/>
    </row>
    <row r="167" spans="1:10" x14ac:dyDescent="0.2">
      <c r="A167" s="59" t="str">
        <f ca="1">IFERROR(__xludf.DUMMYFUNCTION("TEXTJOIN(""|"",TRUE,UNIQUE(FILTER(SPLIT(B167,"" ""),LEN(SPLIT(B167,"" ""))&gt;2)))"),"ылдар|жорамалдар|аза|оркестр|йыншы|тар|тет|леу")</f>
        <v>ылдар|жорамалдар|аза|оркестр|йыншы|тар|тет|леу</v>
      </c>
      <c r="B167" s="59" t="str">
        <f ca="1">IFERROR(__xludf.DUMMYFUNCTION("LOWER(REGEXREPLACE(D167&amp;"" ""&amp;E167,""[^а-яa-z0-9 ]"","" ""))")," ылдар ж не жа а жорамалдар   аза  оркестр    йыншы тар     тет леу лы")</f>
        <v xml:space="preserve"> ылдар ж не жа а жорамалдар   аза  оркестр    йыншы тар     тет леу лы</v>
      </c>
      <c r="C167" s="61" t="s">
        <v>12678</v>
      </c>
      <c r="D167" s="56" t="s">
        <v>12679</v>
      </c>
      <c r="E167" s="56" t="s">
        <v>12680</v>
      </c>
      <c r="F167" s="57">
        <v>7200</v>
      </c>
      <c r="G167" s="58">
        <v>1</v>
      </c>
      <c r="I167" s="5"/>
      <c r="J167" s="5"/>
    </row>
    <row r="168" spans="1:10" x14ac:dyDescent="0.2">
      <c r="A168" s="59" t="str">
        <f ca="1">IFERROR(__xludf.DUMMYFUNCTION("TEXTJOIN(""|"",TRUE,UNIQUE(FILTER(SPLIT(B168,"" ""),LEN(SPLIT(B168,"" ""))&gt;2)))"),"ыраулардан|жыр|дилбеков")</f>
        <v>ыраулардан|жыр|дилбеков</v>
      </c>
      <c r="B168" s="59" t="str">
        <f ca="1">IFERROR(__xludf.DUMMYFUNCTION("LOWER(REGEXREPLACE(D168&amp;"" ""&amp;E168,""[^а-яa-z0-9 ]"","" ""))")," ыраулардан жыр м ра  дилбеков     ")</f>
        <v xml:space="preserve"> ыраулардан жыр м ра  дилбеков     </v>
      </c>
      <c r="C168" s="61" t="s">
        <v>12681</v>
      </c>
      <c r="D168" s="56" t="s">
        <v>12682</v>
      </c>
      <c r="E168" s="56" t="s">
        <v>12683</v>
      </c>
      <c r="F168" s="57">
        <v>12600</v>
      </c>
      <c r="G168" s="58">
        <v>1</v>
      </c>
      <c r="I168" s="5"/>
      <c r="J168" s="5"/>
    </row>
    <row r="169" spans="1:10" x14ac:dyDescent="0.2">
      <c r="A169" s="59" t="str">
        <f ca="1">IFERROR(__xludf.DUMMYFUNCTION("TEXTJOIN(""|"",TRUE,UNIQUE(FILTER(SPLIT(B169,"" ""),LEN(SPLIT(B169,"" ""))&gt;2)))"),"наю|своего|ребенка|рактикум|детской|психологии|помощь|родителям|эри")</f>
        <v>наю|своего|ребенка|рактикум|детской|психологии|помощь|родителям|эри</v>
      </c>
      <c r="B169" s="59" t="str">
        <f ca="1">IFERROR(__xludf.DUMMYFUNCTION("LOWER(REGEXREPLACE(D169&amp;"" ""&amp;E169,""[^а-яa-z0-9 ]"","" ""))")," наю ли я своего ребенка   рактикум по детской психологии в помощь родителям  эри   ")</f>
        <v xml:space="preserve"> наю ли я своего ребенка   рактикум по детской психологии в помощь родителям  эри   </v>
      </c>
      <c r="C169" s="61" t="s">
        <v>12684</v>
      </c>
      <c r="D169" s="56" t="s">
        <v>12685</v>
      </c>
      <c r="E169" s="56" t="s">
        <v>12686</v>
      </c>
      <c r="F169" s="57">
        <v>13600</v>
      </c>
      <c r="G169" s="58">
        <v>1</v>
      </c>
      <c r="I169" s="5"/>
      <c r="J169" s="5"/>
    </row>
    <row r="170" spans="1:10" x14ac:dyDescent="0.2">
      <c r="A170" s="59" t="str">
        <f ca="1">IFERROR(__xludf.DUMMYFUNCTION("TEXTJOIN(""|"",TRUE,UNIQUE(FILTER(SPLIT(B170,"" ""),LEN(SPLIT(B170,"" ""))&gt;2)))"),"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f>
        <v>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v>
      </c>
      <c r="B170" s="59" t="str">
        <f ca="1">IFERROR(__xludf.DUMMYFUNCTION("LOWER(REGEXREPLACE(D170&amp;"" ""&amp;E170,""[^а-яa-z0-9 ]"","" ""))"),"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f>
        <v xml:space="preserve">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v>
      </c>
      <c r="C170" s="61" t="s">
        <v>12687</v>
      </c>
      <c r="D170" s="56" t="s">
        <v>12688</v>
      </c>
      <c r="E170" s="56" t="s">
        <v>12689</v>
      </c>
      <c r="F170" s="57">
        <v>123500</v>
      </c>
      <c r="G170" s="58">
        <v>5</v>
      </c>
      <c r="I170" s="5"/>
      <c r="J170" s="5"/>
    </row>
    <row r="171" spans="1:10" x14ac:dyDescent="0.2">
      <c r="A171" s="59" t="str">
        <f ca="1">IFERROR(__xludf.DUMMYFUNCTION("TEXTJOIN(""|"",TRUE,UNIQUE(FILTER(SPLIT(B171,"" ""),LEN(SPLIT(B171,"" ""))&gt;2)))"),"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f>
        <v>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v>
      </c>
      <c r="B171" s="59" t="str">
        <f ca="1">IFERROR(__xludf.DUMMYFUNCTION("LOWER(REGEXREPLACE(D171&amp;"" ""&amp;E171,""[^а-яa-z0-9 ]"","" ""))"),"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f>
        <v xml:space="preserve">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v>
      </c>
      <c r="C171" s="61" t="s">
        <v>12690</v>
      </c>
      <c r="D171" s="56" t="s">
        <v>12691</v>
      </c>
      <c r="E171" s="56" t="s">
        <v>12692</v>
      </c>
      <c r="F171" s="57">
        <v>1300</v>
      </c>
      <c r="G171" s="58">
        <v>6</v>
      </c>
      <c r="I171" s="5"/>
      <c r="J171" s="5"/>
    </row>
    <row r="172" spans="1:10" x14ac:dyDescent="0.2">
      <c r="A172" s="59" t="str">
        <f ca="1">IFERROR(__xludf.DUMMYFUNCTION("TEXTJOIN(""|"",TRUE,UNIQUE(FILTER(SPLIT(B172,"" ""),LEN(SPLIT(B172,"" ""))&gt;2)))"),"рыш|нтеллектум")</f>
        <v>рыш|нтеллектум</v>
      </c>
      <c r="B172" s="59" t="str">
        <f ca="1">IFERROR(__xludf.DUMMYFUNCTION("LOWER(REGEXREPLACE(D172&amp;"" ""&amp;E172,""[^а-яa-z0-9 ]"","" ""))"),"3    шб рыш  нтеллектум")</f>
        <v>3    шб рыш  нтеллектум</v>
      </c>
      <c r="C172" s="61" t="s">
        <v>12693</v>
      </c>
      <c r="D172" s="56" t="s">
        <v>12694</v>
      </c>
      <c r="E172" s="56" t="s">
        <v>12677</v>
      </c>
      <c r="F172" s="57">
        <v>15300</v>
      </c>
      <c r="G172" s="58">
        <v>75</v>
      </c>
      <c r="I172" s="5"/>
      <c r="J172" s="5"/>
    </row>
    <row r="173" spans="1:10" x14ac:dyDescent="0.2">
      <c r="A173" s="59" t="str">
        <f ca="1">IFERROR(__xludf.DUMMYFUNCTION("TEXTJOIN(""|"",TRUE,UNIQUE(FILTER(SPLIT(B173,"" ""),LEN(SPLIT(B173,"" ""))&gt;2)))"),"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f>
        <v>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v>
      </c>
      <c r="B173" s="59" t="str">
        <f ca="1">IFERROR(__xludf.DUMMYFUNCTION("LOWER(REGEXREPLACE(D173&amp;"" ""&amp;E173,""[^а-яa-z0-9 ]"","" ""))"),"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изго"&amp;"товления   пластик ")</f>
        <v xml:space="preserve">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изготовления   пластик </v>
      </c>
      <c r="C173" s="61" t="s">
        <v>12695</v>
      </c>
      <c r="D173" s="56" t="s">
        <v>12696</v>
      </c>
      <c r="E173" s="56" t="s">
        <v>12697</v>
      </c>
      <c r="F173" s="57">
        <v>13300</v>
      </c>
      <c r="G173" s="58">
        <v>2</v>
      </c>
      <c r="I173" s="5"/>
      <c r="J173" s="5"/>
    </row>
    <row r="174" spans="1:10" x14ac:dyDescent="0.2">
      <c r="A174" s="59" t="str">
        <f ca="1">IFERROR(__xludf.DUMMYFUNCTION("TEXTJOIN(""|"",TRUE,UNIQUE(FILTER(SPLIT(B174,"" ""),LEN(SPLIT(B174,"" ""))&gt;2)))"),"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amp;"вления|дерево")</f>
        <v>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вления|дерево</v>
      </c>
      <c r="B174" s="59" t="str">
        <f ca="1">IFERROR(__xludf.DUMMYFUNCTION("LOWER(REGEXREPLACE(D174&amp;"" ""&amp;E174,""[^а-яa-z0-9 ]"","" ""))"),"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дви"&amp;"жений   атериал изготовления   дерево ")</f>
        <v xml:space="preserve">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движений   атериал изготовления   дерево </v>
      </c>
      <c r="C174" s="61" t="s">
        <v>12698</v>
      </c>
      <c r="D174" s="56" t="s">
        <v>12699</v>
      </c>
      <c r="E174" s="56" t="s">
        <v>12700</v>
      </c>
      <c r="F174" s="57">
        <v>12000</v>
      </c>
      <c r="G174" s="58">
        <v>1</v>
      </c>
      <c r="I174" s="5"/>
      <c r="J174" s="5"/>
    </row>
    <row r="175" spans="1:10" x14ac:dyDescent="0.2">
      <c r="A175" s="59" t="str">
        <f ca="1">IFERROR(__xludf.DUMMYFUNCTION("TEXTJOIN(""|"",TRUE,UNIQUE(FILTER(SPLIT(B175,"" ""),LEN(SPLIT(B175,"" ""))&gt;2)))"),"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f>
        <v>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v>
      </c>
      <c r="B175" s="59" t="str">
        <f ca="1">IFERROR(__xludf.DUMMYFUNCTION("LOWER(REGEXREPLACE(D175&amp;"" ""&amp;E175,""[^а-яa-z0-9 ]"","" ""))"),"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изгот"&amp;"овления       пластик ")</f>
        <v xml:space="preserve">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изготовления       пластик </v>
      </c>
      <c r="C175" s="61" t="s">
        <v>12701</v>
      </c>
      <c r="D175" s="56" t="s">
        <v>12702</v>
      </c>
      <c r="E175" s="56" t="s">
        <v>12703</v>
      </c>
      <c r="F175" s="57">
        <v>6700</v>
      </c>
      <c r="G175" s="58">
        <v>14</v>
      </c>
      <c r="I175" s="5"/>
      <c r="J175" s="5"/>
    </row>
    <row r="176" spans="1:10" x14ac:dyDescent="0.2">
      <c r="A176" s="59" t="str">
        <f ca="1">IFERROR(__xludf.DUMMYFUNCTION("TEXTJOIN(""|"",TRUE,UNIQUE(FILTER(SPLIT(B176,"" ""),LEN(SPLIT(B176,"" ""))&gt;2)))"),"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f>
        <v>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v>
      </c>
      <c r="B176" s="59" t="str">
        <f ca="1">IFERROR(__xludf.DUMMYFUNCTION("LOWER(REGEXREPLACE(D176&amp;"" ""&amp;E176,""[^а-яa-z0-9 ]"","" ""))"),"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f>
        <v xml:space="preserve">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v>
      </c>
      <c r="C176" s="61" t="s">
        <v>12704</v>
      </c>
      <c r="D176" s="56" t="s">
        <v>12705</v>
      </c>
      <c r="E176" s="56" t="s">
        <v>12706</v>
      </c>
      <c r="F176" s="57">
        <v>5700</v>
      </c>
      <c r="G176" s="58">
        <v>1</v>
      </c>
      <c r="I176" s="5"/>
      <c r="J176" s="5"/>
    </row>
    <row r="177" spans="1:10" x14ac:dyDescent="0.2">
      <c r="A177" s="59" t="str">
        <f ca="1">IFERROR(__xludf.DUMMYFUNCTION("TEXTJOIN(""|"",TRUE,UNIQUE(FILTER(SPLIT(B177,"" ""),LEN(SPLIT(B177,"" ""))&gt;2)))"),"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f>
        <v>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v>
      </c>
      <c r="B177" s="59" t="str">
        <f ca="1">IFERROR(__xludf.DUMMYFUNCTION("LOWER(REGEXREPLACE(D177&amp;"" ""&amp;E177,""[^а-яa-z0-9 ]"","" ""))"),"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f>
        <v xml:space="preserve">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v>
      </c>
      <c r="C177" s="61" t="s">
        <v>12707</v>
      </c>
      <c r="D177" s="56" t="s">
        <v>12708</v>
      </c>
      <c r="E177" s="56" t="s">
        <v>12709</v>
      </c>
      <c r="F177" s="57">
        <v>30400</v>
      </c>
      <c r="G177" s="58">
        <v>14</v>
      </c>
      <c r="I177" s="5"/>
      <c r="J177" s="5"/>
    </row>
    <row r="178" spans="1:10" x14ac:dyDescent="0.2">
      <c r="A178" s="59" t="str">
        <f ca="1">IFERROR(__xludf.DUMMYFUNCTION("TEXTJOIN(""|"",TRUE,UNIQUE(FILTER(SPLIT(B178,"" ""),LEN(SPLIT(B178,"" ""))&gt;2)))"),"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f>
        <v>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v>
      </c>
      <c r="B178" s="59" t="str">
        <f ca="1">IFERROR(__xludf.DUMMYFUNCTION("LOWER(REGEXREPLACE(D178&amp;"" ""&amp;E178,""[^а-яa-z0-9 ]"","" ""))"),"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f>
        <v xml:space="preserve">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v>
      </c>
      <c r="C178" s="61" t="s">
        <v>12710</v>
      </c>
      <c r="D178" s="56" t="s">
        <v>12711</v>
      </c>
      <c r="E178" s="56" t="s">
        <v>12712</v>
      </c>
      <c r="F178" s="57">
        <v>33600</v>
      </c>
      <c r="G178" s="58">
        <v>7</v>
      </c>
      <c r="I178" s="5"/>
      <c r="J178" s="5"/>
    </row>
    <row r="179" spans="1:10" x14ac:dyDescent="0.2">
      <c r="A179" s="59" t="str">
        <f ca="1">IFERROR(__xludf.DUMMYFUNCTION("TEXTJOIN(""|"",TRUE,UNIQUE(FILTER(SPLIT(B179,"" ""),LEN(SPLIT(B179,"" ""))&gt;2)))"),"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f>
        <v>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v>
      </c>
      <c r="B179" s="59" t="str">
        <f ca="1">IFERROR(__xludf.DUMMYFUNCTION("LOWER(REGEXREPLACE(D179&amp;"" ""&amp;E179,""[^а-яa-z0-9 ]"","" ""))"),"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f>
        <v xml:space="preserve">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v>
      </c>
      <c r="C179" s="61" t="s">
        <v>12713</v>
      </c>
      <c r="D179" s="56" t="s">
        <v>12714</v>
      </c>
      <c r="E179" s="56" t="s">
        <v>12715</v>
      </c>
      <c r="F179" s="57">
        <v>5700</v>
      </c>
      <c r="G179" s="58">
        <v>14</v>
      </c>
      <c r="I179" s="5"/>
      <c r="J179" s="5"/>
    </row>
    <row r="180" spans="1:10" x14ac:dyDescent="0.2">
      <c r="A180" s="59" t="str">
        <f ca="1">IFERROR(__xludf.DUMMYFUNCTION("TEXTJOIN(""|"",TRUE,UNIQUE(FILTER(SPLIT(B180,"" ""),LEN(SPLIT(B180,"" ""))&gt;2)))"),"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f>
        <v>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v>
      </c>
      <c r="B180" s="59" t="str">
        <f ca="1">IFERROR(__xludf.DUMMYFUNCTION("LOWER(REGEXREPLACE(D180&amp;"" ""&amp;E180,""[^а-яa-z0-9 ]"","" ""))"),"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f>
        <v xml:space="preserve">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v>
      </c>
      <c r="C180" s="61" t="s">
        <v>12716</v>
      </c>
      <c r="D180" s="56" t="s">
        <v>12717</v>
      </c>
      <c r="E180" s="56" t="s">
        <v>12718</v>
      </c>
      <c r="F180" s="57">
        <v>76000</v>
      </c>
      <c r="G180" s="58">
        <v>5</v>
      </c>
      <c r="I180" s="5"/>
      <c r="J180" s="5"/>
    </row>
    <row r="181" spans="1:10" x14ac:dyDescent="0.2">
      <c r="A181" s="59" t="str">
        <f ca="1">IFERROR(__xludf.DUMMYFUNCTION("TEXTJOIN(""|"",TRUE,UNIQUE(FILTER(SPLIT(B181,"" ""),LEN(SPLIT(B181,"" ""))&gt;2)))"),"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f>
        <v>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v>
      </c>
      <c r="B181" s="59" t="str">
        <f ca="1">IFERROR(__xludf.DUMMYFUNCTION("LOWER(REGEXREPLACE(D181&amp;"" ""&amp;E181,""[^а-яa-z0-9 ]"","" ""))"),"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6"&amp;"00 мм ")</f>
        <v xml:space="preserve">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900 500 600 мм </v>
      </c>
      <c r="C181" s="61" t="s">
        <v>12719</v>
      </c>
      <c r="D181" s="56" t="s">
        <v>12720</v>
      </c>
      <c r="E181" s="56" t="s">
        <v>12721</v>
      </c>
      <c r="F181" s="57">
        <v>68800</v>
      </c>
      <c r="G181" s="58">
        <v>5</v>
      </c>
      <c r="I181" s="5"/>
      <c r="J181" s="5"/>
    </row>
    <row r="182" spans="1:10" x14ac:dyDescent="0.2">
      <c r="A182" s="59" t="str">
        <f ca="1">IFERROR(__xludf.DUMMYFUNCTION("TEXTJOIN(""|"",TRUE,UNIQUE(FILTER(SPLIT(B182,"" ""),LEN(SPLIT(B182,"" ""))&gt;2)))"),"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amp;"азвитию|воображения|представлений|транспорте|онструкция|рассчитана|многократное|использование")</f>
        <v>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азвитию|воображения|представлений|транспорте|онструкция|рассчитана|многократное|использование</v>
      </c>
      <c r="B182" s="59" t="str">
        <f ca="1">IFERROR(__xludf.DUMMYFUNCTION("LOWER(REGEXREPLACE(D182&amp;"" ""&amp;E182,""[^а-яa-z0-9 ]"","" ""))"),"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игр"&amp;"ы способствует развитию воображения и представлений о транспорте   онструкция рассчитана на многократное использование ")</f>
        <v xml:space="preserve">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игры способствует развитию воображения и представлений о транспорте   онструкция рассчитана на многократное использование </v>
      </c>
      <c r="C182" s="61" t="s">
        <v>12722</v>
      </c>
      <c r="D182" s="56" t="s">
        <v>12723</v>
      </c>
      <c r="E182" s="56" t="s">
        <v>12724</v>
      </c>
      <c r="F182" s="57">
        <v>47500</v>
      </c>
      <c r="G182" s="58">
        <v>5</v>
      </c>
      <c r="I182" s="5"/>
      <c r="J182" s="5"/>
    </row>
    <row r="183" spans="1:10" x14ac:dyDescent="0.2">
      <c r="A183" s="59" t="str">
        <f ca="1">IFERROR(__xludf.DUMMYFUNCTION("TEXTJOIN(""|"",TRUE,UNIQUE(FILTER(SPLIT(B183,"" ""),LEN(SPLIT(B183,"" ""))&gt;2)))"),"ылды|бояма|мная|раскраска|аскрась|коду|ранспорт|енаги")</f>
        <v>ылды|бояма|мная|раскраска|аскрась|коду|ранспорт|енаги</v>
      </c>
      <c r="B183" s="59" t="str">
        <f ca="1">IFERROR(__xludf.DUMMYFUNCTION("LOWER(REGEXREPLACE(D183&amp;"" ""&amp;E183,""[^а-яa-z0-9 ]"","" ""))"),"   ылды  бояма     л к    мная  раскраска   аскрась по коду   ранспорт  енаги   ")</f>
        <v xml:space="preserve">   ылды  бояма     л к    мная  раскраска   аскрась по коду   ранспорт  енаги   </v>
      </c>
      <c r="C183" s="61" t="s">
        <v>12725</v>
      </c>
      <c r="D183" s="56" t="s">
        <v>12726</v>
      </c>
      <c r="E183" s="56" t="s">
        <v>12368</v>
      </c>
      <c r="F183" s="57">
        <v>1400</v>
      </c>
      <c r="G183" s="58">
        <v>1</v>
      </c>
      <c r="I183" s="5"/>
      <c r="J183" s="5"/>
    </row>
    <row r="184" spans="1:10" x14ac:dyDescent="0.2">
      <c r="A184" s="59" t="str">
        <f ca="1">IFERROR(__xludf.DUMMYFUNCTION("TEXTJOIN(""|"",TRUE,UNIQUE(FILTER(SPLIT(B184,"" ""),LEN(SPLIT(B184,"" ""))&gt;2)))"),"бай|ара|здер|бай|брагим|унанбаев")</f>
        <v>бай|ара|здер|бай|брагим|унанбаев</v>
      </c>
      <c r="B184" s="59" t="str">
        <f ca="1">IFERROR(__xludf.DUMMYFUNCTION("LOWER(REGEXREPLACE(D184&amp;"" ""&amp;E184,""[^а-яa-z0-9 ]"","" ""))")," бай   ара с здер  бай   брагим   унанбаев")</f>
        <v xml:space="preserve"> бай   ара с здер  бай   брагим   унанбаев</v>
      </c>
      <c r="C184" s="61" t="s">
        <v>12727</v>
      </c>
      <c r="D184" s="56" t="s">
        <v>12728</v>
      </c>
      <c r="E184" s="56" t="s">
        <v>12729</v>
      </c>
      <c r="F184" s="57">
        <v>11000</v>
      </c>
      <c r="G184" s="58">
        <v>1</v>
      </c>
      <c r="I184" s="5"/>
      <c r="J184" s="5"/>
    </row>
    <row r="185" spans="1:10" x14ac:dyDescent="0.2">
      <c r="A185" s="59" t="str">
        <f ca="1">IFERROR(__xludf.DUMMYFUNCTION("TEXTJOIN(""|"",TRUE,UNIQUE(FILTER(SPLIT(B185,"" ""),LEN(SPLIT(B185,"" ""))&gt;2)))"),"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amp;"азвитию|воображения|социальных|коммуникативных|навыков")</f>
        <v>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азвитию|воображения|социальных|коммуникативных|навыков</v>
      </c>
      <c r="B185" s="59" t="str">
        <f ca="1">IFERROR(__xludf.DUMMYFUNCTION("LOWER(REGEXREPLACE(D185&amp;"" ""&amp;E185,""[^а-яa-z0-9 ]"","" ""))"),"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а"&amp;"ксессуаров   пособствует развитию воображения  социальных и коммуникативных навыков ")</f>
        <v xml:space="preserve">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аксессуаров   пособствует развитию воображения  социальных и коммуникативных навыков </v>
      </c>
      <c r="C185" s="61" t="s">
        <v>12730</v>
      </c>
      <c r="D185" s="56" t="s">
        <v>12731</v>
      </c>
      <c r="E185" s="56" t="s">
        <v>12732</v>
      </c>
      <c r="F185" s="57">
        <v>22700</v>
      </c>
      <c r="G185" s="58">
        <v>5</v>
      </c>
      <c r="I185" s="5"/>
      <c r="J185" s="5"/>
    </row>
    <row r="186" spans="1:10" x14ac:dyDescent="0.2">
      <c r="A186" s="59" t="str">
        <f ca="1">IFERROR(__xludf.DUMMYFUNCTION("TEXTJOIN(""|"",TRUE,UNIQUE(FILTER(SPLIT(B186,"" ""),LEN(SPLIT(B186,"" ""))&gt;2)))"),"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f>
        <v>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v>
      </c>
      <c r="B186" s="59" t="str">
        <f ca="1">IFERROR(__xludf.DUMMYFUNCTION("LOWER(REGEXREPLACE(D186&amp;"" ""&amp;E186,""[^а-яa-z0-9 ]"","" ""))"),"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f>
        <v xml:space="preserve">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v>
      </c>
      <c r="C186" s="61" t="s">
        <v>12733</v>
      </c>
      <c r="D186" s="56" t="s">
        <v>12734</v>
      </c>
      <c r="E186" s="56" t="s">
        <v>12735</v>
      </c>
      <c r="F186" s="57">
        <v>66400</v>
      </c>
      <c r="G186" s="58">
        <v>5</v>
      </c>
      <c r="I186" s="5"/>
      <c r="J186" s="5"/>
    </row>
    <row r="187" spans="1:10" x14ac:dyDescent="0.2">
      <c r="A187" s="59" t="str">
        <f ca="1">IFERROR(__xludf.DUMMYFUNCTION("TEXTJOIN(""|"",TRUE,UNIQUE(FILTER(SPLIT(B187,"" ""),LEN(SPLIT(B187,"" ""))&gt;2)))"),"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amp;"ть|проектов|атериал|изготовления|полимер")</f>
        <v>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ть|проектов|атериал|изготовления|полимер</v>
      </c>
      <c r="B187" s="59" t="str">
        <f ca="1">IFERROR(__xludf.DUMMYFUNCTION("LOWER(REGEXREPLACE(D187&amp;"" ""&amp;E187,""[^а-яa-z0-9 ]"","" ""))"),"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"&amp;"и позволяет собрать до 15 проектов   атериал изготовления   полимер ")</f>
        <v xml:space="preserve">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и позволяет собрать до 15 проектов   атериал изготовления   полимер </v>
      </c>
      <c r="C187" s="61" t="s">
        <v>12736</v>
      </c>
      <c r="D187" s="56" t="s">
        <v>12737</v>
      </c>
      <c r="E187" s="56" t="s">
        <v>12738</v>
      </c>
      <c r="F187" s="57">
        <v>27600</v>
      </c>
      <c r="G187" s="58">
        <v>10</v>
      </c>
      <c r="I187" s="5"/>
      <c r="J187" s="5"/>
    </row>
    <row r="188" spans="1:10" x14ac:dyDescent="0.2">
      <c r="A188" s="59" t="str">
        <f ca="1">IFERROR(__xludf.DUMMYFUNCTION("TEXTJOIN(""|"",TRUE,UNIQUE(FILTER(SPLIT(B188,"" ""),LEN(SPLIT(B188,"" ""))&gt;2)))"),"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amp;"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amp;"т|легко|складывать|комплекте|дом|кукла|питомец|мебель|множество|тематических|аксессуаров")</f>
        <v>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т|легко|складывать|комплекте|дом|кукла|питомец|мебель|множество|тематических|аксессуаров</v>
      </c>
      <c r="B188" s="59" t="str">
        <f ca="1">IFERROR(__xludf.DUMMYFUNCTION("LOWER(REGEXREPLACE(D188&amp;"" ""&amp;E188,""[^а-яa-z0-9 ]"","" ""))"),"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ст"&amp;"ильных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столо"&amp;"вую и спальню  оформленные в красочном стиле комплект легко складывать    комплекте  дом  кукла  питомец  мебель и множество тематических аксессуаров ")</f>
        <v xml:space="preserve">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комплекте  дом  кукла  питомец  мебель и множество тематических аксессуаров </v>
      </c>
      <c r="C188" s="61" t="s">
        <v>12739</v>
      </c>
      <c r="D188" s="56" t="s">
        <v>12740</v>
      </c>
      <c r="E188" s="56" t="s">
        <v>12741</v>
      </c>
      <c r="F188" s="57">
        <v>84600</v>
      </c>
      <c r="G188" s="58">
        <v>7</v>
      </c>
      <c r="I188" s="5"/>
      <c r="J188" s="5"/>
    </row>
    <row r="189" spans="1:10" x14ac:dyDescent="0.2">
      <c r="A189" s="59" t="str">
        <f ca="1">IFERROR(__xludf.DUMMYFUNCTION("TEXTJOIN(""|"",TRUE,UNIQUE(FILTER(SPLIT(B189,"" ""),LEN(SPLIT(B189,"" ""))&gt;2)))"),"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f>
        <v>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v>
      </c>
      <c r="B189" s="59" t="str">
        <f ca="1">IFERROR(__xludf.DUMMYFUNCTION("LOWER(REGEXREPLACE(D189&amp;"" ""&amp;E189,""[^а-яa-z0-9 ]"","" ""))"),"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f>
        <v xml:space="preserve">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v>
      </c>
      <c r="C189" s="61" t="s">
        <v>12742</v>
      </c>
      <c r="D189" s="56" t="s">
        <v>12743</v>
      </c>
      <c r="E189" s="56" t="s">
        <v>12744</v>
      </c>
      <c r="F189" s="57">
        <v>9500</v>
      </c>
      <c r="G189" s="58">
        <v>5</v>
      </c>
      <c r="I189" s="5"/>
      <c r="J189" s="5"/>
    </row>
    <row r="190" spans="1:10" x14ac:dyDescent="0.2">
      <c r="A190" s="59" t="str">
        <f ca="1">IFERROR(__xludf.DUMMYFUNCTION("TEXTJOIN(""|"",TRUE,UNIQUE(FILTER(SPLIT(B190,"" ""),LEN(SPLIT(B190,"" ""))&gt;2)))"),"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f>
        <v>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v>
      </c>
      <c r="B190" s="59" t="str">
        <f ca="1">IFERROR(__xludf.DUMMYFUNCTION("LOWER(REGEXREPLACE(D190&amp;"" ""&amp;E190,""[^а-яa-z0-9 ]"","" ""))"),"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f>
        <v xml:space="preserve">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v>
      </c>
      <c r="C190" s="61" t="s">
        <v>12745</v>
      </c>
      <c r="D190" s="56" t="s">
        <v>12746</v>
      </c>
      <c r="E190" s="56" t="s">
        <v>12747</v>
      </c>
      <c r="F190" s="57">
        <v>10500</v>
      </c>
      <c r="G190" s="58">
        <v>5</v>
      </c>
      <c r="I190" s="5"/>
      <c r="J190" s="5"/>
    </row>
    <row r="191" spans="1:10" x14ac:dyDescent="0.2">
      <c r="A191" s="59" t="str">
        <f ca="1">IFERROR(__xludf.DUMMYFUNCTION("TEXTJOIN(""|"",TRUE,UNIQUE(FILTER(SPLIT(B191,"" ""),LEN(SPLIT(B191,"" ""))&gt;2)))"),"гровой|набор|октор|гровой|набор|используется|для|сюжетно|ролевых|игр|тему|медицинской|помощи|ключает|игровые|инструменты|врача|атериал|изготовления|пластик")</f>
        <v>гровой|набор|октор|гровой|набор|используется|для|сюжетно|ролевых|игр|тему|медицинской|помощи|ключает|игровые|инструменты|врача|атериал|изготовления|пластик</v>
      </c>
      <c r="B191" s="59" t="str">
        <f ca="1">IFERROR(__xludf.DUMMYFUNCTION("LOWER(REGEXREPLACE(D191&amp;"" ""&amp;E191,""[^а-яa-z0-9 ]"","" ""))"),"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f>
        <v xml:space="preserve">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v>
      </c>
      <c r="C191" s="61" t="s">
        <v>12748</v>
      </c>
      <c r="D191" s="56" t="s">
        <v>12749</v>
      </c>
      <c r="E191" s="56" t="s">
        <v>12750</v>
      </c>
      <c r="F191" s="57">
        <v>14600</v>
      </c>
      <c r="G191" s="58">
        <v>7</v>
      </c>
      <c r="I191" s="5"/>
      <c r="J191" s="5"/>
    </row>
    <row r="192" spans="1:10" x14ac:dyDescent="0.2">
      <c r="A192" s="59" t="str">
        <f ca="1">IFERROR(__xludf.DUMMYFUNCTION("TEXTJOIN(""|"",TRUE,UNIQUE(FILTER(SPLIT(B192,"" ""),LEN(SPLIT(B192,"" ""))&gt;2)))"),"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amp;"элементарных|математических|представлений")</f>
        <v>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элементарных|математических|представлений</v>
      </c>
      <c r="B192" s="59" t="str">
        <f ca="1">IFERROR(__xludf.DUMMYFUNCTION("LOWER(REGEXREPLACE(D192&amp;"" ""&amp;E192,""[^а-яa-z0-9 ]"","" ""))"),"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развит"&amp;"ия социальных навыков  речи и элементарных математических представлений ")</f>
        <v xml:space="preserve">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развития социальных навыков  речи и элементарных математических представлений </v>
      </c>
      <c r="C192" s="61" t="s">
        <v>12751</v>
      </c>
      <c r="D192" s="56" t="s">
        <v>12752</v>
      </c>
      <c r="E192" s="56" t="s">
        <v>12753</v>
      </c>
      <c r="F192" s="57">
        <v>34000</v>
      </c>
      <c r="G192" s="58">
        <v>5</v>
      </c>
      <c r="I192" s="5"/>
      <c r="J192" s="5"/>
    </row>
    <row r="193" spans="1:10" x14ac:dyDescent="0.2">
      <c r="A193" s="59" t="str">
        <f ca="1">IFERROR(__xludf.DUMMYFUNCTION("TEXTJOIN(""|"",TRUE,UNIQUE(FILTER(SPLIT(B193,"" ""),LEN(SPLIT(B193,"" ""))&gt;2)))"),"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amp;"ик")</f>
        <v>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ик</v>
      </c>
      <c r="B193" s="59" t="str">
        <f ca="1">IFERROR(__xludf.DUMMYFUNCTION("LOWER(REGEXREPLACE(D193&amp;"" ""&amp;E193,""[^а-яa-z0-9 ]"","" ""))"),"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"&amp;" атериал изготовления   пластик ")</f>
        <v xml:space="preserve">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атериал изготовления   пластик </v>
      </c>
      <c r="C193" s="61" t="s">
        <v>12754</v>
      </c>
      <c r="D193" s="56" t="s">
        <v>12755</v>
      </c>
      <c r="E193" s="56" t="s">
        <v>12756</v>
      </c>
      <c r="F193" s="57">
        <v>8500</v>
      </c>
      <c r="G193" s="58">
        <v>5</v>
      </c>
      <c r="I193" s="5"/>
      <c r="J193" s="5"/>
    </row>
    <row r="194" spans="1:10" x14ac:dyDescent="0.2">
      <c r="A194" s="59" t="str">
        <f ca="1">IFERROR(__xludf.DUMMYFUNCTION("TEXTJOIN(""|"",TRUE,UNIQUE(FILTER(SPLIT(B194,"" ""),LEN(SPLIT(B194,"" ""))&gt;2)))"),"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f>
        <v>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v>
      </c>
      <c r="B194" s="59" t="str">
        <f ca="1">IFERROR(__xludf.DUMMYFUNCTION("LOWER(REGEXREPLACE(D194&amp;"" ""&amp;E194,""[^а-яa-z0-9 ]"","" ""))"),"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f>
        <v xml:space="preserve">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v>
      </c>
      <c r="C194" s="61" t="s">
        <v>12757</v>
      </c>
      <c r="D194" s="56" t="s">
        <v>12758</v>
      </c>
      <c r="E194" s="56" t="s">
        <v>12759</v>
      </c>
      <c r="F194" s="57">
        <v>59700</v>
      </c>
      <c r="G194" s="58">
        <v>5</v>
      </c>
      <c r="I194" s="5"/>
      <c r="J194" s="5"/>
    </row>
    <row r="195" spans="1:10" x14ac:dyDescent="0.2">
      <c r="A195" s="59" t="str">
        <f ca="1">IFERROR(__xludf.DUMMYFUNCTION("TEXTJOIN(""|"",TRUE,UNIQUE(FILTER(SPLIT(B195,"" ""),LEN(SPLIT(B195,"" ""))&gt;2)))"),"бай|лова|назидания|бай|брагим|унанбаев")</f>
        <v>бай|лова|назидания|бай|брагим|унанбаев</v>
      </c>
      <c r="B195" s="59" t="str">
        <f ca="1">IFERROR(__xludf.DUMMYFUNCTION("LOWER(REGEXREPLACE(D195&amp;"" ""&amp;E195,""[^а-яa-z0-9 ]"","" ""))")," бай   лова назидания  бай   брагим   унанбаев")</f>
        <v xml:space="preserve"> бай   лова назидания  бай   брагим   унанбаев</v>
      </c>
      <c r="C195" s="61" t="s">
        <v>12760</v>
      </c>
      <c r="D195" s="56" t="s">
        <v>12761</v>
      </c>
      <c r="E195" s="56" t="s">
        <v>12729</v>
      </c>
      <c r="F195" s="57">
        <v>11000</v>
      </c>
      <c r="G195" s="58">
        <v>1</v>
      </c>
      <c r="I195" s="5"/>
      <c r="J195" s="5"/>
    </row>
    <row r="196" spans="1:10" x14ac:dyDescent="0.2">
      <c r="A196" s="59" t="str">
        <f ca="1">IFERROR(__xludf.DUMMYFUNCTION("TEXTJOIN(""|"",TRUE,UNIQUE(FILTER(SPLIT(B196,"" ""),LEN(SPLIT(B196,"" ""))&gt;2)))"),"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f>
        <v>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v>
      </c>
      <c r="B196" s="59" t="str">
        <f ca="1">IFERROR(__xludf.DUMMYFUNCTION("LOWER(REGEXREPLACE(D196&amp;"" ""&amp;E196,""[^а-яa-z0-9 ]"","" ""))"),"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плас"&amp;"тик ")</f>
        <v xml:space="preserve">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пластик </v>
      </c>
      <c r="C196" s="61" t="s">
        <v>12762</v>
      </c>
      <c r="D196" s="56" t="s">
        <v>12763</v>
      </c>
      <c r="E196" s="56" t="s">
        <v>12764</v>
      </c>
      <c r="F196" s="57">
        <v>18300</v>
      </c>
      <c r="G196" s="58">
        <v>5</v>
      </c>
      <c r="I196" s="5"/>
      <c r="J196" s="5"/>
    </row>
    <row r="197" spans="1:10" x14ac:dyDescent="0.2">
      <c r="A197" s="59" t="str">
        <f ca="1">IFERROR(__xludf.DUMMYFUNCTION("TEXTJOIN(""|"",TRUE,UNIQUE(FILTER(SPLIT(B197,"" ""),LEN(SPLIT(B197,"" ""))&gt;2)))"),"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amp;"|координации|движений|навыков|сюжетно|ролевой|игры|кухня|кафе|омплект|включает|менее|элементов|атериал|изготовления|дерево")</f>
        <v>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координации|движений|навыков|сюжетно|ролевой|игры|кухня|кафе|омплект|включает|менее|элементов|атериал|изготовления|дерево</v>
      </c>
      <c r="B197" s="59" t="str">
        <f ca="1">IFERROR(__xludf.DUMMYFUNCTION("LOWER(REGEXREPLACE(D197&amp;"" ""&amp;E197,""[^а-яa-z0-9 ]"","" ""))"),"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деятель"&amp;"ность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f>
        <v xml:space="preserve">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v>
      </c>
      <c r="C197" s="61" t="s">
        <v>12765</v>
      </c>
      <c r="D197" s="56" t="s">
        <v>12766</v>
      </c>
      <c r="E197" s="56" t="s">
        <v>12767</v>
      </c>
      <c r="F197" s="57">
        <v>118600</v>
      </c>
      <c r="G197" s="58">
        <v>12</v>
      </c>
      <c r="I197" s="5"/>
      <c r="J197" s="5"/>
    </row>
    <row r="198" spans="1:10" x14ac:dyDescent="0.2">
      <c r="A198" s="59" t="str">
        <f ca="1">IFERROR(__xludf.DUMMYFUNCTION("TEXTJOIN(""|"",TRUE,UNIQUE(FILTER(SPLIT(B198,"" ""),LEN(SPLIT(B198,"" ""))&gt;2)))"),"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f>
        <v>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v>
      </c>
      <c r="B198" s="59" t="str">
        <f ca="1">IFERROR(__xludf.DUMMYFUNCTION("LOWER(REGEXREPLACE(D198&amp;"" ""&amp;E198,""[^а-яa-z0-9 ]"","" ""))"),"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атериа"&amp;"л изготовления   пластик ")</f>
        <v xml:space="preserve">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атериал изготовления   пластик </v>
      </c>
      <c r="C198" s="61" t="s">
        <v>12768</v>
      </c>
      <c r="D198" s="56" t="s">
        <v>12769</v>
      </c>
      <c r="E198" s="56" t="s">
        <v>12770</v>
      </c>
      <c r="F198" s="57">
        <v>7400</v>
      </c>
      <c r="G198" s="58">
        <v>5</v>
      </c>
      <c r="I198" s="5"/>
      <c r="J198" s="5"/>
    </row>
    <row r="199" spans="1:10" x14ac:dyDescent="0.2">
      <c r="A199" s="59" t="str">
        <f ca="1">IFERROR(__xludf.DUMMYFUNCTION("TEXTJOIN(""|"",TRUE,UNIQUE(FILTER(SPLIT(B199,"" ""),LEN(SPLIT(B199,"" ""))&gt;2)))"),"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f>
        <v>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v>
      </c>
      <c r="B199" s="59" t="str">
        <f ca="1">IFERROR(__xludf.DUMMYFUNCTION("LOWER(REGEXREPLACE(D199&amp;"" ""&amp;E199,""[^а-яa-z0-9 ]"","" ""))"),"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f>
        <v xml:space="preserve">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v>
      </c>
      <c r="C199" s="61" t="s">
        <v>12771</v>
      </c>
      <c r="D199" s="56" t="s">
        <v>12772</v>
      </c>
      <c r="E199" s="56" t="s">
        <v>12773</v>
      </c>
      <c r="F199" s="57">
        <v>17100</v>
      </c>
      <c r="G199" s="58">
        <v>5</v>
      </c>
      <c r="I199" s="5"/>
      <c r="J199" s="5"/>
    </row>
    <row r="200" spans="1:10" x14ac:dyDescent="0.2">
      <c r="A200" s="59" t="str">
        <f ca="1">IFERROR(__xludf.DUMMYFUNCTION("TEXTJOIN(""|"",TRUE,UNIQUE(FILTER(SPLIT(B200,"" ""),LEN(SPLIT(B200,"" ""))&gt;2)))"),"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f>
        <v>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v>
      </c>
      <c r="B200" s="59" t="str">
        <f ca="1">IFERROR(__xludf.DUMMYFUNCTION("LOWER(REGEXREPLACE(D200&amp;"" ""&amp;E200,""[^а-яa-z0-9 ]"","" ""))"),"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предме"&amp;"тов   около 75   атериал   пластик ")</f>
        <v xml:space="preserve">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предметов   около 75   атериал   пластик </v>
      </c>
      <c r="C200" s="61" t="s">
        <v>12774</v>
      </c>
      <c r="D200" s="56" t="s">
        <v>12775</v>
      </c>
      <c r="E200" s="56" t="s">
        <v>12776</v>
      </c>
      <c r="F200" s="57">
        <v>14200</v>
      </c>
      <c r="G200" s="58">
        <v>12</v>
      </c>
      <c r="I200" s="5"/>
      <c r="J200" s="5"/>
    </row>
    <row r="201" spans="1:10" x14ac:dyDescent="0.2">
      <c r="A201" s="59" t="str">
        <f ca="1">IFERROR(__xludf.DUMMYFUNCTION("TEXTJOIN(""|"",TRUE,UNIQUE(FILTER(SPLIT(B201,"" ""),LEN(SPLIT(B201,"" ""))&gt;2)))"),"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f>
        <v>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v>
      </c>
      <c r="B201" s="59" t="str">
        <f ca="1">IFERROR(__xludf.DUMMYFUNCTION("LOWER(REGEXREPLACE(D201&amp;"" ""&amp;E201,""[^а-яa-z0-9 ]"","" ""))"),"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f>
        <v xml:space="preserve">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v>
      </c>
      <c r="C201" s="61" t="s">
        <v>12777</v>
      </c>
      <c r="D201" s="56" t="s">
        <v>12778</v>
      </c>
      <c r="E201" s="56" t="s">
        <v>12779</v>
      </c>
      <c r="F201" s="57">
        <v>52400</v>
      </c>
      <c r="G201" s="58">
        <v>10</v>
      </c>
      <c r="I201" s="5"/>
      <c r="J201" s="5"/>
    </row>
    <row r="202" spans="1:10" x14ac:dyDescent="0.2">
      <c r="A202" s="59" t="str">
        <f ca="1">IFERROR(__xludf.DUMMYFUNCTION("TEXTJOIN(""|"",TRUE,UNIQUE(FILTER(SPLIT(B202,"" ""),LEN(SPLIT(B202,"" ""))&gt;2)))"),"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f>
        <v>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v>
      </c>
      <c r="B202" s="59" t="str">
        <f ca="1">IFERROR(__xludf.DUMMYFUNCTION("LOWER(REGEXREPLACE(D202&amp;"" ""&amp;E202,""[^а-яa-z0-9 ]"","" ""))"),"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f>
        <v xml:space="preserve">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v>
      </c>
      <c r="C202" s="61" t="s">
        <v>12780</v>
      </c>
      <c r="D202" s="56" t="s">
        <v>12781</v>
      </c>
      <c r="E202" s="56" t="s">
        <v>12782</v>
      </c>
      <c r="F202" s="57">
        <v>7500</v>
      </c>
      <c r="G202" s="58">
        <v>5</v>
      </c>
      <c r="I202" s="5"/>
      <c r="J202" s="5"/>
    </row>
    <row r="203" spans="1:10" x14ac:dyDescent="0.2">
      <c r="A203" s="59" t="str">
        <f ca="1">IFERROR(__xludf.DUMMYFUNCTION("TEXTJOIN(""|"",TRUE,UNIQUE(FILTER(SPLIT(B203,"" ""),LEN(SPLIT(B203,"" ""))&gt;2)))"),"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f>
        <v>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v>
      </c>
      <c r="B203" s="59" t="str">
        <f ca="1">IFERROR(__xludf.DUMMYFUNCTION("LOWER(REGEXREPLACE(D203&amp;"" ""&amp;E203,""[^а-яa-z0-9 ]"","" ""))"),"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окол"&amp;"о 30 предметов ")</f>
        <v xml:space="preserve">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около 30 предметов </v>
      </c>
      <c r="C203" s="61" t="s">
        <v>12783</v>
      </c>
      <c r="D203" s="56" t="s">
        <v>12784</v>
      </c>
      <c r="E203" s="56" t="s">
        <v>12785</v>
      </c>
      <c r="F203" s="57">
        <v>23800</v>
      </c>
      <c r="G203" s="58">
        <v>5</v>
      </c>
      <c r="I203" s="5"/>
      <c r="J203" s="5"/>
    </row>
    <row r="204" spans="1:10" x14ac:dyDescent="0.2">
      <c r="A204" s="59" t="str">
        <f ca="1">IFERROR(__xludf.DUMMYFUNCTION("TEXTJOIN(""|"",TRUE,UNIQUE(FILTER(SPLIT(B204,"" ""),LEN(SPLIT(B204,"" ""))&gt;2)))"),"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f>
        <v>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v>
      </c>
      <c r="B204" s="59" t="str">
        <f ca="1">IFERROR(__xludf.DUMMYFUNCTION("LOWER(REGEXREPLACE(D204&amp;"" ""&amp;E204,""[^а-яa-z0-9 ]"","" ""))"),"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f>
        <v xml:space="preserve">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v>
      </c>
      <c r="C204" s="61" t="s">
        <v>12786</v>
      </c>
      <c r="D204" s="56" t="s">
        <v>12787</v>
      </c>
      <c r="E204" s="56" t="s">
        <v>12788</v>
      </c>
      <c r="F204" s="57">
        <v>19000</v>
      </c>
      <c r="G204" s="58">
        <v>5</v>
      </c>
      <c r="I204" s="5"/>
      <c r="J204" s="5"/>
    </row>
    <row r="205" spans="1:10" x14ac:dyDescent="0.2">
      <c r="A205" s="59" t="str">
        <f ca="1">IFERROR(__xludf.DUMMYFUNCTION("TEXTJOIN(""|"",TRUE,UNIQUE(FILTER(SPLIT(B205,"" ""),LEN(SPLIT(B205,"" ""))&gt;2)))"),"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f>
        <v>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v>
      </c>
      <c r="B205" s="59" t="str">
        <f ca="1">IFERROR(__xludf.DUMMYFUNCTION("LOWER(REGEXREPLACE(D205&amp;"" ""&amp;E205,""[^а-яa-z0-9 ]"","" ""))"),"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f>
        <v xml:space="preserve">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v>
      </c>
      <c r="C205" s="61" t="s">
        <v>12789</v>
      </c>
      <c r="D205" s="56" t="s">
        <v>12790</v>
      </c>
      <c r="E205" s="56" t="s">
        <v>12791</v>
      </c>
      <c r="F205" s="57">
        <v>11700</v>
      </c>
      <c r="G205" s="58">
        <v>14</v>
      </c>
      <c r="I205" s="5"/>
      <c r="J205" s="5"/>
    </row>
    <row r="206" spans="1:10" x14ac:dyDescent="0.2">
      <c r="A206" s="59" t="str">
        <f ca="1">IFERROR(__xludf.DUMMYFUNCTION("TEXTJOIN(""|"",TRUE,UNIQUE(FILTER(SPLIT(B206,"" ""),LEN(SPLIT(B206,"" ""))&gt;2)))"),"дам|денесi|алы|тырмайтын|анатомия|одригес|ида")</f>
        <v>дам|денесi|алы|тырмайтын|анатомия|одригес|ида</v>
      </c>
      <c r="B206" s="59" t="str">
        <f ca="1">IFERROR(__xludf.DUMMYFUNCTION("LOWER(REGEXREPLACE(D206&amp;"" ""&amp;E206,""[^а-яa-z0-9 ]"","" ""))")," дам денесi   алы тырмайтын анатомия  одригес  ида  ")</f>
        <v xml:space="preserve"> дам денесi   алы тырмайтын анатомия  одригес  ида  </v>
      </c>
      <c r="C206" s="61" t="s">
        <v>12792</v>
      </c>
      <c r="D206" s="56" t="s">
        <v>12793</v>
      </c>
      <c r="E206" s="56" t="s">
        <v>12794</v>
      </c>
      <c r="F206" s="57">
        <v>9000</v>
      </c>
      <c r="G206" s="58">
        <v>1</v>
      </c>
      <c r="I206" s="5"/>
      <c r="J206" s="5"/>
    </row>
    <row r="207" spans="1:10" x14ac:dyDescent="0.2">
      <c r="A207" s="59" t="str">
        <f ca="1">IFERROR(__xludf.DUMMYFUNCTION("TEXTJOIN(""|"",TRUE,UNIQUE(FILTER(SPLIT(B207,"" ""),LEN(SPLIT(B207,"" ""))&gt;2)))"),"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f>
        <v>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v>
      </c>
      <c r="B207" s="59" t="str">
        <f ca="1">IFERROR(__xludf.DUMMYFUNCTION("LOWER(REGEXREPLACE(D207&amp;"" ""&amp;E207,""[^а-яa-z0-9 ]"","" ""))"),"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f>
        <v xml:space="preserve">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v>
      </c>
      <c r="C207" s="61" t="s">
        <v>12795</v>
      </c>
      <c r="D207" s="56" t="s">
        <v>12796</v>
      </c>
      <c r="E207" s="56" t="s">
        <v>12797</v>
      </c>
      <c r="F207" s="57">
        <v>7600</v>
      </c>
      <c r="G207" s="58">
        <v>1</v>
      </c>
      <c r="I207" s="5"/>
      <c r="J207" s="5"/>
    </row>
    <row r="208" spans="1:10" x14ac:dyDescent="0.2">
      <c r="A208" s="59" t="str">
        <f ca="1">IFERROR(__xludf.DUMMYFUNCTION("TEXTJOIN(""|"",TRUE,UNIQUE(FILTER(SPLIT(B208,"" ""),LEN(SPLIT(B208,"" ""))&gt;2)))"),"гровой|пазл|форме|машинки|грушка|выполнена|форме|машинки|набором|фигур|процессе|игры|выполняется|сборка|разборка|элементов|атериал|изготовления|дерево")</f>
        <v>гровой|пазл|форме|машинки|грушка|выполнена|форме|машинки|набором|фигур|процессе|игры|выполняется|сборка|разборка|элементов|атериал|изготовления|дерево</v>
      </c>
      <c r="B208" s="59" t="str">
        <f ca="1">IFERROR(__xludf.DUMMYFUNCTION("LOWER(REGEXREPLACE(D208&amp;"" ""&amp;E208,""[^а-яa-z0-9 ]"","" ""))"),"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f>
        <v xml:space="preserve">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v>
      </c>
      <c r="C208" s="61" t="s">
        <v>12798</v>
      </c>
      <c r="D208" s="56" t="s">
        <v>12799</v>
      </c>
      <c r="E208" s="56" t="s">
        <v>12800</v>
      </c>
      <c r="F208" s="57">
        <v>7600</v>
      </c>
      <c r="G208" s="58">
        <v>1</v>
      </c>
      <c r="I208" s="5"/>
      <c r="J208" s="5"/>
    </row>
    <row r="209" spans="1:10" x14ac:dyDescent="0.2">
      <c r="A209" s="59" t="str">
        <f ca="1">IFERROR(__xludf.DUMMYFUNCTION("TEXTJOIN(""|"",TRUE,UNIQUE(FILTER(SPLIT(B209,"" ""),LEN(SPLIT(B209,"" ""))&gt;2)))"),"гровые|фигурки|диких|животных|абор|включает|фигурки|диких|животных|спользуется|для|сюжетных|игр|тематических|занятий|комплект|входит|менее|фигурок")</f>
        <v>гровые|фигурки|диких|животных|абор|включает|фигурки|диких|животных|спользуется|для|сюжетных|игр|тематических|занятий|комплект|входит|менее|фигурок</v>
      </c>
      <c r="B209" s="59" t="str">
        <f ca="1">IFERROR(__xludf.DUMMYFUNCTION("LOWER(REGEXREPLACE(D209&amp;"" ""&amp;E209,""[^а-яa-z0-9 ]"","" ""))"),"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f>
        <v xml:space="preserve">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v>
      </c>
      <c r="C209" s="61" t="s">
        <v>12801</v>
      </c>
      <c r="D209" s="56" t="s">
        <v>12802</v>
      </c>
      <c r="E209" s="56" t="s">
        <v>12803</v>
      </c>
      <c r="F209" s="57">
        <v>37400</v>
      </c>
      <c r="G209" s="58">
        <v>5</v>
      </c>
      <c r="I209" s="5"/>
      <c r="J209" s="5"/>
    </row>
    <row r="210" spans="1:10" x14ac:dyDescent="0.2">
      <c r="A210" s="59" t="str">
        <f ca="1">IFERROR(__xludf.DUMMYFUNCTION("TEXTJOIN(""|"",TRUE,UNIQUE(FILTER(SPLIT(B210,"" ""),LEN(SPLIT(B210,"" ""))&gt;2)))"),"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f>
        <v>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v>
      </c>
      <c r="B210" s="59" t="str">
        <f ca="1">IFERROR(__xludf.DUMMYFUNCTION("LOWER(REGEXREPLACE(D210&amp;"" ""&amp;E210,""[^а-яa-z0-9 ]"","" ""))"),"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f>
        <v xml:space="preserve">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v>
      </c>
      <c r="C210" s="61" t="s">
        <v>12804</v>
      </c>
      <c r="D210" s="56" t="s">
        <v>12805</v>
      </c>
      <c r="E210" s="56" t="s">
        <v>12806</v>
      </c>
      <c r="F210" s="57">
        <v>22800</v>
      </c>
      <c r="G210" s="58">
        <v>7</v>
      </c>
      <c r="I210" s="5"/>
      <c r="J210" s="5"/>
    </row>
    <row r="211" spans="1:10" x14ac:dyDescent="0.2">
      <c r="A211" s="59" t="str">
        <f ca="1">IFERROR(__xludf.DUMMYFUNCTION("TEXTJOIN(""|"",TRUE,UNIQUE(FILTER(SPLIT(B211,"" ""),LEN(SPLIT(B211,"" ""))&gt;2)))"),"грушечная|ванна|для|кукол|ксессуар|предназначен|для|сюжетно|ролевых|игр|куклами|спользуется|для|имитации|гигиенических|процедур|атериал|изготовления|пластик")</f>
        <v>грушечная|ванна|для|кукол|ксессуар|предназначен|для|сюжетно|ролевых|игр|куклами|спользуется|для|имитации|гигиенических|процедур|атериал|изготовления|пластик</v>
      </c>
      <c r="B211" s="59" t="str">
        <f ca="1">IFERROR(__xludf.DUMMYFUNCTION("LOWER(REGEXREPLACE(D211&amp;"" ""&amp;E211,""[^а-яa-z0-9 ]"","" ""))"),"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f>
        <v xml:space="preserve">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v>
      </c>
      <c r="C211" s="61" t="s">
        <v>12807</v>
      </c>
      <c r="D211" s="56" t="s">
        <v>12808</v>
      </c>
      <c r="E211" s="56" t="s">
        <v>12809</v>
      </c>
      <c r="F211" s="57">
        <v>20300</v>
      </c>
      <c r="G211" s="58">
        <v>5</v>
      </c>
      <c r="I211" s="5"/>
      <c r="J211" s="5"/>
    </row>
    <row r="212" spans="1:10" x14ac:dyDescent="0.2">
      <c r="A212" s="59" t="str">
        <f ca="1">IFERROR(__xludf.DUMMYFUNCTION("TEXTJOIN(""|"",TRUE,UNIQUE(FILTER(SPLIT(B212,"" ""),LEN(SPLIT(B212,"" ""))&gt;2)))"),"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f>
        <v>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v>
      </c>
      <c r="B212" s="59" t="str">
        <f ca="1">IFERROR(__xludf.DUMMYFUNCTION("LOWER(REGEXREPLACE(D212&amp;"" ""&amp;E212,""[^а-яa-z0-9 ]"","" ""))"),"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f>
        <v xml:space="preserve">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v>
      </c>
      <c r="C212" s="61" t="s">
        <v>12810</v>
      </c>
      <c r="D212" s="56" t="s">
        <v>12811</v>
      </c>
      <c r="E212" s="56" t="s">
        <v>12812</v>
      </c>
      <c r="F212" s="57">
        <v>11700</v>
      </c>
      <c r="G212" s="58">
        <v>175</v>
      </c>
      <c r="I212" s="5"/>
      <c r="J212" s="5"/>
    </row>
    <row r="213" spans="1:10" x14ac:dyDescent="0.2">
      <c r="A213" s="59" t="str">
        <f ca="1">IFERROR(__xludf.DUMMYFUNCTION("TEXTJOIN(""|"",TRUE,UNIQUE(FILTER(SPLIT(B213,"" ""),LEN(SPLIT(B213,"" ""))&gt;2)))"),"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f>
        <v>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v>
      </c>
      <c r="B213" s="59" t="str">
        <f ca="1">IFERROR(__xludf.DUMMYFUNCTION("LOWER(REGEXREPLACE(D213&amp;"" ""&amp;E213,""[^а-яa-z0-9 ]"","" ""))"),"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f>
        <v xml:space="preserve">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v>
      </c>
      <c r="C213" s="61" t="s">
        <v>12813</v>
      </c>
      <c r="D213" s="56" t="s">
        <v>12814</v>
      </c>
      <c r="E213" s="56" t="s">
        <v>12815</v>
      </c>
      <c r="F213" s="57">
        <v>14100</v>
      </c>
      <c r="G213" s="58">
        <v>5</v>
      </c>
      <c r="I213" s="5"/>
      <c r="J213" s="5"/>
    </row>
    <row r="214" spans="1:10" x14ac:dyDescent="0.2">
      <c r="A214" s="59" t="str">
        <f ca="1">IFERROR(__xludf.DUMMYFUNCTION("TEXTJOIN(""|"",TRUE,UNIQUE(FILTER(SPLIT(B214,"" ""),LEN(SPLIT(B214,"" ""))&gt;2)))"),"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f>
        <v>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v>
      </c>
      <c r="B214" s="59" t="str">
        <f ca="1">IFERROR(__xludf.DUMMYFUNCTION("LOWER(REGEXREPLACE(D214&amp;"" ""&amp;E214,""[^а-яa-z0-9 ]"","" ""))"),"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f>
        <v xml:space="preserve">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v>
      </c>
      <c r="C214" s="61" t="s">
        <v>12816</v>
      </c>
      <c r="D214" s="56" t="s">
        <v>12817</v>
      </c>
      <c r="E214" s="56" t="s">
        <v>12818</v>
      </c>
      <c r="F214" s="57">
        <v>32300</v>
      </c>
      <c r="G214" s="58">
        <v>5</v>
      </c>
      <c r="I214" s="5"/>
      <c r="J214" s="5"/>
    </row>
    <row r="215" spans="1:10" x14ac:dyDescent="0.2">
      <c r="A215" s="59" t="str">
        <f ca="1">IFERROR(__xludf.DUMMYFUNCTION("TEXTJOIN(""|"",TRUE,UNIQUE(FILTER(SPLIT(B215,"" ""),LEN(SPLIT(B215,"" ""))&gt;2)))"),"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amp;"редставлений|лина|модели|составляет|менее|онструкция|выполнена|прочных|материалов")</f>
        <v>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редставлений|лина|модели|составляет|менее|онструкция|выполнена|прочных|материалов</v>
      </c>
      <c r="B215" s="59" t="str">
        <f ca="1">IFERROR(__xludf.DUMMYFUNCTION("LOWER(REGEXREPLACE(D215&amp;"" ""&amp;E215,""[^а-яa-z0-9 ]"","" ""))"),"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"&amp;"и пространственных представлений   лина модели составляет не менее 30 см   онструкция выполнена из прочных материалов ")</f>
        <v xml:space="preserve">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и пространственных представлений   лина модели составляет не менее 30 см   онструкция выполнена из прочных материалов </v>
      </c>
      <c r="C215" s="61" t="s">
        <v>12819</v>
      </c>
      <c r="D215" s="56" t="s">
        <v>12820</v>
      </c>
      <c r="E215" s="56" t="s">
        <v>12821</v>
      </c>
      <c r="F215" s="57">
        <v>28100</v>
      </c>
      <c r="G215" s="58">
        <v>5</v>
      </c>
      <c r="I215" s="5"/>
      <c r="J215" s="5"/>
    </row>
    <row r="216" spans="1:10" x14ac:dyDescent="0.2">
      <c r="A216" s="59" t="str">
        <f ca="1">IFERROR(__xludf.DUMMYFUNCTION("TEXTJOIN(""|"",TRUE,UNIQUE(FILTER(SPLIT(B216,"" ""),LEN(SPLIT(B216,"" ""))&gt;2)))"),"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amp;"нен|безопасных|материалов")</f>
        <v>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нен|безопасных|материалов</v>
      </c>
      <c r="B216" s="59" t="str">
        <f ca="1">IFERROR(__xludf.DUMMYFUNCTION("LOWER(REGEXREPLACE(D216&amp;"" ""&amp;E216,""[^а-яa-z0-9 ]"","" ""))"),"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с"&amp;"итуациям   орпус выполнен из безопасных материалов ")</f>
        <v xml:space="preserve">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ситуациям   орпус выполнен из безопасных материалов </v>
      </c>
      <c r="C216" s="61" t="s">
        <v>12822</v>
      </c>
      <c r="D216" s="56" t="s">
        <v>12823</v>
      </c>
      <c r="E216" s="56" t="s">
        <v>12824</v>
      </c>
      <c r="F216" s="57">
        <v>4600</v>
      </c>
      <c r="G216" s="58">
        <v>5</v>
      </c>
      <c r="I216" s="5"/>
      <c r="J216" s="5"/>
    </row>
    <row r="217" spans="1:10" x14ac:dyDescent="0.2">
      <c r="A217" s="59" t="str">
        <f ca="1">IFERROR(__xludf.DUMMYFUNCTION("TEXTJOIN(""|"",TRUE,UNIQUE(FILTER(SPLIT(B217,"" ""),LEN(SPLIT(B217,"" ""))&gt;2)))"),"дамдар|алай|мектесуге|болады|помогать|людям|help|people|каз|рус|англ")</f>
        <v>дамдар|алай|мектесуге|болады|помогать|людям|help|people|каз|рус|англ</v>
      </c>
      <c r="B217" s="59" t="str">
        <f ca="1">IFERROR(__xludf.DUMMYFUNCTION("LOWER(REGEXREPLACE(D217&amp;"" ""&amp;E217,""[^а-яa-z0-9 ]"","" ""))")," дамдар а  алай к мектесуге болады   ак помогать людям   ow to help people  каз   рус   англ яз   ")</f>
        <v xml:space="preserve"> дамдар а  алай к мектесуге болады   ак помогать людям   ow to help people  каз   рус   англ яз   </v>
      </c>
      <c r="C217" s="61" t="s">
        <v>12825</v>
      </c>
      <c r="D217" s="56" t="s">
        <v>12826</v>
      </c>
      <c r="E217" s="56"/>
      <c r="F217" s="57">
        <v>1700</v>
      </c>
      <c r="G217" s="58">
        <v>1</v>
      </c>
      <c r="I217" s="5"/>
      <c r="J217" s="5"/>
    </row>
    <row r="218" spans="1:10" x14ac:dyDescent="0.2">
      <c r="A218" s="59" t="str">
        <f ca="1">IFERROR(__xludf.DUMMYFUNCTION("TEXTJOIN(""|"",TRUE,UNIQUE(FILTER(SPLIT(B218,"" ""),LEN(SPLIT(B218,"" ""))&gt;2)))"),"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f>
        <v>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v>
      </c>
      <c r="B218" s="59" t="str">
        <f ca="1">IFERROR(__xludf.DUMMYFUNCTION("LOWER(REGEXREPLACE(D218&amp;"" ""&amp;E218,""[^а-яa-z0-9 ]"","" ""))"),"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f>
        <v xml:space="preserve">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v>
      </c>
      <c r="C218" s="61" t="s">
        <v>12827</v>
      </c>
      <c r="D218" s="56" t="s">
        <v>12828</v>
      </c>
      <c r="E218" s="56" t="s">
        <v>12829</v>
      </c>
      <c r="F218" s="57">
        <v>27600</v>
      </c>
      <c r="G218" s="58">
        <v>1</v>
      </c>
      <c r="I218" s="5"/>
      <c r="J218" s="5"/>
    </row>
    <row r="219" spans="1:10" x14ac:dyDescent="0.2">
      <c r="A219" s="59" t="str">
        <f ca="1">IFERROR(__xludf.DUMMYFUNCTION("TEXTJOIN(""|"",TRUE,UNIQUE(FILTER(SPLIT(B219,"" ""),LEN(SPLIT(B219,"" ""))&gt;2)))"),"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f>
        <v>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v>
      </c>
      <c r="B219" s="59" t="str">
        <f ca="1">IFERROR(__xludf.DUMMYFUNCTION("LOWER(REGEXREPLACE(D219&amp;"" ""&amp;E219,""[^а-яa-z0-9 ]"","" ""))"),"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f>
        <v xml:space="preserve">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v>
      </c>
      <c r="C219" s="61" t="s">
        <v>12830</v>
      </c>
      <c r="D219" s="61" t="s">
        <v>12831</v>
      </c>
      <c r="E219" s="56" t="s">
        <v>12832</v>
      </c>
      <c r="F219" s="57">
        <v>29900</v>
      </c>
      <c r="G219" s="58">
        <v>5</v>
      </c>
      <c r="I219" s="5"/>
      <c r="J219" s="5"/>
    </row>
    <row r="220" spans="1:10" x14ac:dyDescent="0.2">
      <c r="A220" s="59" t="str">
        <f ca="1">IFERROR(__xludf.DUMMYFUNCTION("TEXTJOIN(""|"",TRUE,UNIQUE(FILTER(SPLIT(B220,"" ""),LEN(SPLIT(B220,"" ""))&gt;2)))"),"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amp;"ехники|зделие|выполнено|пластика|рассчитано|игровое|использование")</f>
        <v>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ехники|зделие|выполнено|пластика|рассчитано|игровое|использование</v>
      </c>
      <c r="B220" s="59" t="str">
        <f ca="1">IFERROR(__xludf.DUMMYFUNCTION("LOWER(REGEXREPLACE(D220&amp;"" ""&amp;E220,""[^а-яa-z0-9 ]"","" ""))"),"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переме"&amp;"щению и имитации работы техники   зделие выполнено из пластика и рассчитано на игровое использование ")</f>
        <v xml:space="preserve">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перемещению и имитации работы техники   зделие выполнено из пластика и рассчитано на игровое использование </v>
      </c>
      <c r="C220" s="61" t="s">
        <v>12833</v>
      </c>
      <c r="D220" s="56" t="s">
        <v>12834</v>
      </c>
      <c r="E220" s="56" t="s">
        <v>12835</v>
      </c>
      <c r="F220" s="57">
        <v>20500</v>
      </c>
      <c r="G220" s="58">
        <v>5</v>
      </c>
      <c r="I220" s="5"/>
      <c r="J220" s="5"/>
    </row>
    <row r="221" spans="1:10" x14ac:dyDescent="0.2">
      <c r="A221" s="59" t="str">
        <f ca="1">IFERROR(__xludf.DUMMYFUNCTION("TEXTJOIN(""|"",TRUE,UNIQUE(FILTER(SPLIT(B221,"" ""),LEN(SPLIT(B221,"" ""))&gt;2)))"),"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amp;"чень|ситуативное|чувство|замены")</f>
        <v>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чень|ситуативное|чувство|замены</v>
      </c>
      <c r="B221" s="59" t="str">
        <f ca="1">IFERROR(__xludf.DUMMYFUNCTION("LOWER(REGEXREPLACE(D221&amp;"" ""&amp;E221,""[^а-яa-z0-9 ]"","" ""))"),"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вокру"&amp;"г детей   огда ребенок читает  у него возникает очень ситуативное чувство замены ")</f>
        <v xml:space="preserve">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вокруг детей   огда ребенок читает  у него возникает очень ситуативное чувство замены </v>
      </c>
      <c r="C221" s="61" t="s">
        <v>12836</v>
      </c>
      <c r="D221" s="56" t="s">
        <v>12837</v>
      </c>
      <c r="E221" s="56" t="s">
        <v>12838</v>
      </c>
      <c r="F221" s="57">
        <v>18600</v>
      </c>
      <c r="G221" s="58">
        <v>7</v>
      </c>
      <c r="I221" s="5"/>
      <c r="J221" s="5"/>
    </row>
    <row r="222" spans="1:10" x14ac:dyDescent="0.2">
      <c r="A222" s="59" t="str">
        <f ca="1">IFERROR(__xludf.DUMMYFUNCTION("TEXTJOIN(""|"",TRUE,UNIQUE(FILTER(SPLIT(B222,"" ""),LEN(SPLIT(B222,"" ""))&gt;2)))"),"грушка|забава|грушка|используется|для|свободной|игровой|деятельности|азначение|зависит|конструкции|изделия")</f>
        <v>грушка|забава|грушка|используется|для|свободной|игровой|деятельности|азначение|зависит|конструкции|изделия</v>
      </c>
      <c r="B222" s="59" t="str">
        <f ca="1">IFERROR(__xludf.DUMMYFUNCTION("LOWER(REGEXREPLACE(D222&amp;"" ""&amp;E222,""[^а-яa-z0-9 ]"","" ""))")," грушка забава  грушка используется для свободной игровой деятельности   азначение зависит от конструкции изделия ")</f>
        <v xml:space="preserve"> грушка забава  грушка используется для свободной игровой деятельности   азначение зависит от конструкции изделия </v>
      </c>
      <c r="C222" s="61" t="s">
        <v>12839</v>
      </c>
      <c r="D222" s="56" t="s">
        <v>12840</v>
      </c>
      <c r="E222" s="56" t="s">
        <v>12841</v>
      </c>
      <c r="F222" s="57">
        <v>2000</v>
      </c>
      <c r="G222" s="58">
        <v>35</v>
      </c>
      <c r="I222" s="5"/>
      <c r="J222" s="5"/>
    </row>
    <row r="223" spans="1:10" x14ac:dyDescent="0.2">
      <c r="A223" s="59" t="str">
        <f ca="1">IFERROR(__xludf.DUMMYFUNCTION("TEXTJOIN(""|"",TRUE,UNIQUE(FILTER(SPLIT(B223,"" ""),LEN(SPLIT(B223,"" ""))&gt;2)))"),"грушка|каталка|грушка|предназначена|для|перемещения|поверхности|пут|толкания|спользуется|подвижных|играх|атериал|изготовления|пластик")</f>
        <v>грушка|каталка|грушка|предназначена|для|перемещения|поверхности|пут|толкания|спользуется|подвижных|играх|атериал|изготовления|пластик</v>
      </c>
      <c r="B223" s="59" t="str">
        <f ca="1">IFERROR(__xludf.DUMMYFUNCTION("LOWER(REGEXREPLACE(D223&amp;"" ""&amp;E223,""[^а-яa-z0-9 ]"","" ""))")," грушка каталка  грушка предназначена для перемещения по поверхности пут м толкания   спользуется в подвижных играх   атериал изготовления   пластик ")</f>
        <v xml:space="preserve"> грушка каталка  грушка предназначена для перемещения по поверхности пут м толкания   спользуется в подвижных играх   атериал изготовления   пластик </v>
      </c>
      <c r="C223" s="61" t="s">
        <v>12842</v>
      </c>
      <c r="D223" s="56" t="s">
        <v>12843</v>
      </c>
      <c r="E223" s="56" t="s">
        <v>12844</v>
      </c>
      <c r="F223" s="57">
        <v>19000</v>
      </c>
      <c r="G223" s="58">
        <v>1</v>
      </c>
      <c r="I223" s="5"/>
      <c r="J223" s="5"/>
    </row>
    <row r="224" spans="1:10" x14ac:dyDescent="0.2">
      <c r="A224" s="59" t="str">
        <f ca="1">IFERROR(__xludf.DUMMYFUNCTION("TEXTJOIN(""|"",TRUE,UNIQUE(FILTER(SPLIT(B224,"" ""),LEN(SPLIT(B224,"" ""))&gt;2)))"),"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amp;"ики|атериал|изготовления|пластик")</f>
        <v>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ики|атериал|изготовления|пластик</v>
      </c>
      <c r="B224" s="59" t="str">
        <f ca="1">IFERROR(__xludf.DUMMYFUNCTION("LOWER(REGEXREPLACE(D224&amp;"" ""&amp;E224,""[^а-яa-z0-9 ]"","" ""))"),"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поддер"&amp;"живает развитие общей моторики   атериал изготовления   пластик ")</f>
        <v xml:space="preserve">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поддерживает развитие общей моторики   атериал изготовления   пластик </v>
      </c>
      <c r="C224" s="61" t="s">
        <v>12845</v>
      </c>
      <c r="D224" s="56" t="s">
        <v>12846</v>
      </c>
      <c r="E224" s="56" t="s">
        <v>12847</v>
      </c>
      <c r="F224" s="57">
        <v>9500</v>
      </c>
      <c r="G224" s="58">
        <v>1</v>
      </c>
      <c r="I224" s="5"/>
      <c r="J224" s="5"/>
    </row>
    <row r="225" spans="1:10" x14ac:dyDescent="0.2">
      <c r="A225" s="59" t="str">
        <f ca="1">IFERROR(__xludf.DUMMYFUNCTION("TEXTJOIN(""|"",TRUE,UNIQUE(FILTER(SPLIT(B225,"" ""),LEN(SPLIT(B225,"" ""))&gt;2)))"),"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f>
        <v>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v>
      </c>
      <c r="B225" s="59" t="str">
        <f ca="1">IFERROR(__xludf.DUMMYFUNCTION("LOWER(REGEXREPLACE(D225&amp;"" ""&amp;E225,""[^а-яa-z0-9 ]"","" ""))"),"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регул"&amp;"ярную эксплуатацию ")</f>
        <v xml:space="preserve">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регулярную эксплуатацию </v>
      </c>
      <c r="C225" s="61" t="s">
        <v>12848</v>
      </c>
      <c r="D225" s="56" t="s">
        <v>12849</v>
      </c>
      <c r="E225" s="56" t="s">
        <v>12850</v>
      </c>
      <c r="F225" s="57">
        <v>19000</v>
      </c>
      <c r="G225" s="58">
        <v>1</v>
      </c>
      <c r="I225" s="5"/>
      <c r="J225" s="5"/>
    </row>
    <row r="226" spans="1:10" x14ac:dyDescent="0.2">
      <c r="A226" s="59" t="str">
        <f ca="1">IFERROR(__xludf.DUMMYFUNCTION("TEXTJOIN(""|"",TRUE,UNIQUE(FILTER(SPLIT(B226,"" ""),LEN(SPLIT(B226,"" ""))&gt;2)))"),"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f>
        <v>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v>
      </c>
      <c r="B226" s="59" t="str">
        <f ca="1">IFERROR(__xludf.DUMMYFUNCTION("LOWER(REGEXREPLACE(D226&amp;"" ""&amp;E226,""[^а-яa-z0-9 ]"","" ""))"),"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f>
        <v xml:space="preserve">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v>
      </c>
      <c r="C226" s="61" t="s">
        <v>12851</v>
      </c>
      <c r="D226" s="56" t="s">
        <v>12852</v>
      </c>
      <c r="E226" s="56" t="s">
        <v>12853</v>
      </c>
      <c r="F226" s="57">
        <v>11500</v>
      </c>
      <c r="G226" s="58">
        <v>10</v>
      </c>
      <c r="I226" s="5"/>
      <c r="J226" s="5"/>
    </row>
    <row r="227" spans="1:10" x14ac:dyDescent="0.2">
      <c r="A227" s="59" t="str">
        <f ca="1">IFERROR(__xludf.DUMMYFUNCTION("TEXTJOIN(""|"",TRUE,UNIQUE(FILTER(SPLIT(B227,"" ""),LEN(SPLIT(B227,"" ""))&gt;2)))"),"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f>
        <v>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v>
      </c>
      <c r="B227" s="59" t="str">
        <f ca="1">IFERROR(__xludf.DUMMYFUNCTION("LOWER(REGEXREPLACE(D227&amp;"" ""&amp;E227,""[^а-яa-z0-9 ]"","" ""))"),"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f>
        <v xml:space="preserve">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v>
      </c>
      <c r="C227" s="61" t="s">
        <v>12854</v>
      </c>
      <c r="D227" s="56" t="s">
        <v>12855</v>
      </c>
      <c r="E227" s="56" t="s">
        <v>12856</v>
      </c>
      <c r="F227" s="57">
        <v>10400</v>
      </c>
      <c r="G227" s="58">
        <v>1</v>
      </c>
      <c r="I227" s="5"/>
      <c r="J227" s="5"/>
    </row>
    <row r="228" spans="1:10" x14ac:dyDescent="0.2">
      <c r="A228" s="59" t="str">
        <f ca="1">IFERROR(__xludf.DUMMYFUNCTION("TEXTJOIN(""|"",TRUE,UNIQUE(FILTER(SPLIT(B228,"" ""),LEN(SPLIT(B228,"" ""))&gt;2)))"),"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amp;"и|аккуратности|цветового|восприятия|раски|безвредны|предназначены|для|использования|детской|среде")</f>
        <v>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и|аккуратности|цветового|восприятия|раски|безвредны|предназначены|для|использования|детской|среде</v>
      </c>
      <c r="B228" s="59" t="str">
        <f ca="1">IFERROR(__xludf.DUMMYFUNCTION("LOWER(REGEXREPLACE(D228&amp;"" ""&amp;E228,""[^а-яa-z0-9 ]"","" ""))"),"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рисован"&amp;"ия формируются навыки аккуратности и цветового восприятия   раски безвредны и предназначены для использования в детской среде ")</f>
        <v xml:space="preserve">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рисования формируются навыки аккуратности и цветового восприятия   раски безвредны и предназначены для использования в детской среде </v>
      </c>
      <c r="C228" s="61" t="s">
        <v>12857</v>
      </c>
      <c r="D228" s="56" t="s">
        <v>12858</v>
      </c>
      <c r="E228" s="56" t="s">
        <v>12859</v>
      </c>
      <c r="F228" s="57">
        <v>14200</v>
      </c>
      <c r="G228" s="58">
        <v>25</v>
      </c>
      <c r="I228" s="5"/>
      <c r="J228" s="5"/>
    </row>
    <row r="229" spans="1:10" x14ac:dyDescent="0.2">
      <c r="A229" s="59" t="str">
        <f ca="1">IFERROR(__xludf.DUMMYFUNCTION("TEXTJOIN(""|"",TRUE,UNIQUE(FILTER(SPLIT(B229,"" ""),LEN(SPLIT(B229,"" ""))&gt;2)))"),"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f>
        <v>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v>
      </c>
      <c r="B229" s="59" t="str">
        <f ca="1">IFERROR(__xludf.DUMMYFUNCTION("LOWER(REGEXREPLACE(D229&amp;"" ""&amp;E229,""[^а-яa-z0-9 ]"","" ""))"),"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f>
        <v xml:space="preserve">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v>
      </c>
      <c r="C229" s="61" t="s">
        <v>12860</v>
      </c>
      <c r="D229" s="56" t="s">
        <v>12861</v>
      </c>
      <c r="E229" s="56" t="s">
        <v>12862</v>
      </c>
      <c r="F229" s="57">
        <v>28500</v>
      </c>
      <c r="G229" s="58">
        <v>7</v>
      </c>
      <c r="I229" s="5"/>
      <c r="J229" s="5"/>
    </row>
    <row r="230" spans="1:10" x14ac:dyDescent="0.2">
      <c r="A230" s="59" t="str">
        <f ca="1">IFERROR(__xludf.DUMMYFUNCTION("TEXTJOIN(""|"",TRUE,UNIQUE(FILTER(SPLIT(B230,"" ""),LEN(SPLIT(B230,"" ""))&gt;2)))"),"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amp;"чтении|тематических|занятиях|екст|изображения|направлены|расширение|кругозора|формирование|представлений|живой|природе")</f>
        <v>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чтении|тематических|занятиях|екст|изображения|направлены|расширение|кругозора|формирование|представлений|живой|природе</v>
      </c>
      <c r="B230" s="59" t="str">
        <f ca="1">IFERROR(__xludf.DUMMYFUNCTION("LOWER(REGEXREPLACE(D230&amp;"" ""&amp;E230,""[^а-яa-z0-9 ]"","" ""))"),"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к"&amp;"нигу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f>
        <v xml:space="preserve">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v>
      </c>
      <c r="C230" s="61" t="s">
        <v>12863</v>
      </c>
      <c r="D230" s="56" t="s">
        <v>12864</v>
      </c>
      <c r="E230" s="56" t="s">
        <v>12865</v>
      </c>
      <c r="F230" s="57">
        <v>19400</v>
      </c>
      <c r="G230" s="58">
        <v>5</v>
      </c>
      <c r="I230" s="5"/>
      <c r="J230" s="5"/>
    </row>
    <row r="231" spans="1:10" x14ac:dyDescent="0.2">
      <c r="A231" s="59" t="str">
        <f ca="1">IFERROR(__xludf.DUMMYFUNCTION("TEXTJOIN(""|"",TRUE,UNIQUE(FILTER(SPLIT(B231,"" ""),LEN(SPLIT(B231,"" ""))&gt;2)))"),"нерционные|машинки|набор|абор|включает|инерционные|машинки|спользуются|для|свободных|сюжетных|подвижных|игр|атериал|изготовления|пластик")</f>
        <v>нерционные|машинки|набор|абор|включает|инерционные|машинки|спользуются|для|свободных|сюжетных|подвижных|игр|атериал|изготовления|пластик</v>
      </c>
      <c r="B231" s="59" t="str">
        <f ca="1">IFERROR(__xludf.DUMMYFUNCTION("LOWER(REGEXREPLACE(D231&amp;"" ""&amp;E231,""[^а-яa-z0-9 ]"","" ""))")," нерционные машинки  набор   абор включает инерционные машинки   спользуются для свободных сюжетных и подвижных игр   атериал изготовления   пластик ")</f>
        <v xml:space="preserve"> нерционные машинки  набор   абор включает инерционные машинки   спользуются для свободных сюжетных и подвижных игр   атериал изготовления   пластик </v>
      </c>
      <c r="C231" s="61" t="s">
        <v>12866</v>
      </c>
      <c r="D231" s="56" t="s">
        <v>12867</v>
      </c>
      <c r="E231" s="56" t="s">
        <v>12868</v>
      </c>
      <c r="F231" s="57">
        <v>20900</v>
      </c>
      <c r="G231" s="58">
        <v>1</v>
      </c>
      <c r="I231" s="5"/>
      <c r="J231" s="5"/>
    </row>
    <row r="232" spans="1:10" x14ac:dyDescent="0.2">
      <c r="A232" s="59" t="str">
        <f ca="1">IFERROR(__xludf.DUMMYFUNCTION("TEXTJOIN(""|"",TRUE,UNIQUE(FILTER(SPLIT(B232,"" ""),LEN(SPLIT(B232,"" ""))&gt;2)))"),"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amp;"а|формирование|представлений|буквах|слогах|структуре|слова|также|развитие|речевых|навыков|омплект|содержит|карточки|заданиями|подставку|для|размещения")</f>
        <v>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а|формирование|представлений|буквах|слогах|структуре|слова|также|развитие|речевых|навыков|омплект|содержит|карточки|заданиями|подставку|для|размещения</v>
      </c>
      <c r="B232" s="59" t="str">
        <f ca="1">IFERROR(__xludf.DUMMYFUNCTION("LOWER(REGEXREPLACE(D232&amp;"" ""&amp;E232,""[^а-яa-z0-9 ]"","" ""))"),"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ак"&amp;"ая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f>
        <v xml:space="preserve">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v>
      </c>
      <c r="C232" s="61" t="s">
        <v>12869</v>
      </c>
      <c r="D232" s="56" t="s">
        <v>12870</v>
      </c>
      <c r="E232" s="56" t="s">
        <v>12871</v>
      </c>
      <c r="F232" s="57">
        <v>20500</v>
      </c>
      <c r="G232" s="58">
        <v>1</v>
      </c>
      <c r="I232" s="5"/>
      <c r="J232" s="5"/>
    </row>
    <row r="233" spans="1:10" x14ac:dyDescent="0.2">
      <c r="A233" s="59" t="str">
        <f ca="1">IFERROR(__xludf.DUMMYFUNCTION("TEXTJOIN(""|"",TRUE,UNIQUE(FILTER(SPLIT(B233,"" ""),LEN(SPLIT(B233,"" ""))&gt;2)))"),"нтерактивная|книжка|нижка|используется|для|рассматривания|выполнения|игровых|заданий|одержит|сюжетные|изображения|атериал|страниц|картон")</f>
        <v>нтерактивная|книжка|нижка|используется|для|рассматривания|выполнения|игровых|заданий|одержит|сюжетные|изображения|атериал|страниц|картон</v>
      </c>
      <c r="B233" s="59" t="str">
        <f ca="1">IFERROR(__xludf.DUMMYFUNCTION("LOWER(REGEXREPLACE(D233&amp;"" ""&amp;E233,""[^а-яa-z0-9 ]"","" ""))")," нтерактивная книжка  нижка используется для рассматривания и выполнения игровых заданий   одержит сюжетные изображения   атериал страниц   картон ")</f>
        <v xml:space="preserve"> нтерактивная книжка  нижка используется для рассматривания и выполнения игровых заданий   одержит сюжетные изображения   атериал страниц   картон </v>
      </c>
      <c r="C233" s="61" t="s">
        <v>12872</v>
      </c>
      <c r="D233" s="56" t="s">
        <v>12873</v>
      </c>
      <c r="E233" s="56" t="s">
        <v>12874</v>
      </c>
      <c r="F233" s="57">
        <v>4800</v>
      </c>
      <c r="G233" s="58">
        <v>1</v>
      </c>
      <c r="I233" s="5"/>
      <c r="J233" s="5"/>
    </row>
    <row r="234" spans="1:10" x14ac:dyDescent="0.2">
      <c r="A234" s="59" t="str">
        <f ca="1">IFERROR(__xludf.DUMMYFUNCTION("TEXTJOIN(""|"",TRUE,UNIQUE(FILTER(SPLIT(B234,"" ""),LEN(SPLIT(B234,"" ""))&gt;2)))"),"нтерактивное|зеркало|нтерактивное|зеркало|используется|коррекционно|развивающей|работе|рименяется|совместно|логопедическим|оборудованием")</f>
        <v>нтерактивное|зеркало|нтерактивное|зеркало|используется|коррекционно|развивающей|работе|рименяется|совместно|логопедическим|оборудованием</v>
      </c>
      <c r="B234" s="59" t="str">
        <f ca="1">IFERROR(__xludf.DUMMYFUNCTION("LOWER(REGEXREPLACE(D234&amp;"" ""&amp;E234,""[^а-яa-z0-9 ]"","" ""))")," нтерактивное зеркало  нтерактивное зеркало используется в коррекционно развивающей работе   рименяется совместно с логопедическим оборудованием ")</f>
        <v xml:space="preserve"> нтерактивное зеркало  нтерактивное зеркало используется в коррекционно развивающей работе   рименяется совместно с логопедическим оборудованием </v>
      </c>
      <c r="C234" s="61" t="s">
        <v>12875</v>
      </c>
      <c r="D234" s="56" t="s">
        <v>12876</v>
      </c>
      <c r="E234" s="56" t="s">
        <v>12877</v>
      </c>
      <c r="F234" s="57">
        <v>570000</v>
      </c>
      <c r="G234" s="58">
        <v>1</v>
      </c>
      <c r="I234" s="5"/>
      <c r="J234" s="5"/>
    </row>
    <row r="235" spans="1:10" x14ac:dyDescent="0.2">
      <c r="A235" s="59" t="str">
        <f ca="1">IFERROR(__xludf.DUMMYFUNCTION("TEXTJOIN(""|"",TRUE,UNIQUE(FILTER(SPLIT(B235,"" ""),LEN(SPLIT(B235,"" ""))&gt;2)))"),"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f>
        <v>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v>
      </c>
      <c r="B235" s="59" t="str">
        <f ca="1">IFERROR(__xludf.DUMMYFUNCTION("LOWER(REGEXREPLACE(D235&amp;"" ""&amp;E235,""[^а-яa-z0-9 ]"","" ""))"),"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f>
        <v xml:space="preserve">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v>
      </c>
      <c r="C235" s="61" t="s">
        <v>12878</v>
      </c>
      <c r="D235" s="56" t="s">
        <v>12879</v>
      </c>
      <c r="E235" s="56" t="s">
        <v>12880</v>
      </c>
      <c r="F235" s="57">
        <v>93300</v>
      </c>
      <c r="G235" s="58">
        <v>5</v>
      </c>
      <c r="I235" s="5"/>
      <c r="J235" s="5"/>
    </row>
    <row r="236" spans="1:10" x14ac:dyDescent="0.2">
      <c r="A236" s="59" t="str">
        <f ca="1">IFERROR(__xludf.DUMMYFUNCTION("TEXTJOIN(""|"",TRUE,UNIQUE(FILTER(SPLIT(B236,"" ""),LEN(SPLIT(B236,"" ""))&gt;2)))"),"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amp;"вательной|деятельности")</f>
        <v>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вательной|деятельности</v>
      </c>
      <c r="B236" s="59" t="str">
        <f ca="1">IFERROR(__xludf.DUMMYFUNCTION("LOWER(REGEXREPLACE(D236&amp;"" ""&amp;E236,""[^а-яa-z0-9 ]"","" ""))"),"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"&amp;"к творческой и познавательной деятельности ")</f>
        <v xml:space="preserve">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к творческой и познавательной деятельности </v>
      </c>
      <c r="C236" s="61" t="s">
        <v>12881</v>
      </c>
      <c r="D236" s="56" t="s">
        <v>12882</v>
      </c>
      <c r="E236" s="56" t="s">
        <v>12883</v>
      </c>
      <c r="F236" s="57">
        <v>22800</v>
      </c>
      <c r="G236" s="58">
        <v>10</v>
      </c>
      <c r="I236" s="5"/>
      <c r="J236" s="5"/>
    </row>
    <row r="237" spans="1:10" x14ac:dyDescent="0.2">
      <c r="A237" s="59" t="str">
        <f ca="1">IFERROR(__xludf.DUMMYFUNCTION("TEXTJOIN(""|"",TRUE,UNIQUE(FILTER(SPLIT(B237,"" ""),LEN(SPLIT(B237,"" ""))&gt;2)))"),"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f>
        <v>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v>
      </c>
      <c r="B237" s="59" t="str">
        <f ca="1">IFERROR(__xludf.DUMMYFUNCTION("LOWER(REGEXREPLACE(D237&amp;"" ""&amp;E237,""[^а-яa-z0-9 ]"","" ""))"),"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f>
        <v xml:space="preserve">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v>
      </c>
      <c r="C237" s="61" t="s">
        <v>12884</v>
      </c>
      <c r="D237" s="56" t="s">
        <v>12885</v>
      </c>
      <c r="E237" s="56" t="s">
        <v>12886</v>
      </c>
      <c r="F237" s="57">
        <v>14400</v>
      </c>
      <c r="G237" s="58">
        <v>3</v>
      </c>
      <c r="I237" s="5"/>
      <c r="J237" s="5"/>
    </row>
    <row r="238" spans="1:10" x14ac:dyDescent="0.2">
      <c r="A238" s="59" t="str">
        <f ca="1">IFERROR(__xludf.DUMMYFUNCTION("TEXTJOIN(""|"",TRUE,UNIQUE(FILTER(SPLIT(B238,"" ""),LEN(SPLIT(B238,"" ""))&gt;2)))"),"скусство|ннотированное|амирова")</f>
        <v>скусство|ннотированное|амирова</v>
      </c>
      <c r="B238" s="59" t="str">
        <f ca="1">IFERROR(__xludf.DUMMYFUNCTION("LOWER(REGEXREPLACE(D238&amp;"" ""&amp;E238,""[^а-яa-z0-9 ]"","" ""))")," скусство   ннотированное  амирова     ")</f>
        <v xml:space="preserve"> скусство   ннотированное  амирова     </v>
      </c>
      <c r="C238" s="61" t="s">
        <v>12887</v>
      </c>
      <c r="D238" s="56" t="s">
        <v>12888</v>
      </c>
      <c r="E238" s="56" t="s">
        <v>12889</v>
      </c>
      <c r="F238" s="57">
        <v>40800</v>
      </c>
      <c r="G238" s="58">
        <v>1</v>
      </c>
      <c r="I238" s="5"/>
      <c r="J238" s="5"/>
    </row>
    <row r="239" spans="1:10" x14ac:dyDescent="0.2">
      <c r="A239" s="59" t="str">
        <f ca="1">IFERROR(__xludf.DUMMYFUNCTION("TEXTJOIN(""|"",TRUE,UNIQUE(FILTER(SPLIT(B239,"" ""),LEN(SPLIT(B239,"" ""))&gt;2)))"),"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amp;"жания|аквариума|составляет|менее|абаритные|размеры|менее")</f>
        <v>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жания|аквариума|составляет|менее|абаритные|размеры|менее</v>
      </c>
      <c r="B239" s="59" t="str">
        <f ca="1">IFERROR(__xludf.DUMMYFUNCTION("LOWER(REGEXREPLACE(D239&amp;"" ""&amp;E239,""[^а-яa-z0-9 ]"","" ""))"),"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подде"&amp;"ржания условий содержания   бъ м аквариума составляет не менее 48 л   абаритные размеры   не менее 55 30 29 см ")</f>
        <v xml:space="preserve">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поддержания условий содержания   бъ м аквариума составляет не менее 48 л   абаритные размеры   не менее 55 30 29 см </v>
      </c>
      <c r="C239" s="61" t="s">
        <v>12890</v>
      </c>
      <c r="D239" s="56" t="s">
        <v>12891</v>
      </c>
      <c r="E239" s="56" t="s">
        <v>12892</v>
      </c>
      <c r="F239" s="57">
        <v>102600</v>
      </c>
      <c r="G239" s="58">
        <v>1</v>
      </c>
      <c r="I239" s="5"/>
      <c r="J239" s="5"/>
    </row>
    <row r="240" spans="1:10" x14ac:dyDescent="0.2">
      <c r="A240" s="59" t="str">
        <f ca="1">IFERROR(__xludf.DUMMYFUNCTION("TEXTJOIN(""|"",TRUE,UNIQUE(FILTER(SPLIT(B240,"" ""),LEN(SPLIT(B240,"" ""))&gt;2)))"),"азахские|сказки|оставитель|аева")</f>
        <v>азахские|сказки|оставитель|аева</v>
      </c>
      <c r="B240" s="59" t="str">
        <f ca="1">IFERROR(__xludf.DUMMYFUNCTION("LOWER(REGEXREPLACE(D240&amp;"" ""&amp;E240,""[^а-яa-z0-9 ]"","" ""))")," азахские сказки  оставитель  аева     ")</f>
        <v xml:space="preserve"> азахские сказки  оставитель  аева     </v>
      </c>
      <c r="C240" s="61" t="s">
        <v>12893</v>
      </c>
      <c r="D240" s="56" t="s">
        <v>12894</v>
      </c>
      <c r="E240" s="56" t="s">
        <v>12895</v>
      </c>
      <c r="F240" s="57">
        <v>12000</v>
      </c>
      <c r="G240" s="58">
        <v>1</v>
      </c>
      <c r="I240" s="5"/>
      <c r="J240" s="5"/>
    </row>
    <row r="241" spans="1:10" x14ac:dyDescent="0.2">
      <c r="A241" s="59" t="str">
        <f ca="1">IFERROR(__xludf.DUMMYFUNCTION("TEXTJOIN(""|"",TRUE,UNIQUE(FILTER(SPLIT(B241,"" ""),LEN(SPLIT(B241,"" ""))&gt;2)))"),"все|работает|нциклопедия|под|ред|ренсис|ьюстон|перевод|аталова")</f>
        <v>все|работает|нциклопедия|под|ред|ренсис|ьюстон|перевод|аталова</v>
      </c>
      <c r="B241" s="59" t="str">
        <f ca="1">IFERROR(__xludf.DUMMYFUNCTION("LOWER(REGEXREPLACE(D241&amp;"" ""&amp;E241,""[^а-яa-z0-9 ]"","" ""))")," ак все работает   нциклопедия под ред      ренсис      ьюстон  перевод  аталова    ")</f>
        <v xml:space="preserve"> ак все работает   нциклопедия под ред      ренсис      ьюстон  перевод  аталова    </v>
      </c>
      <c r="C241" s="61" t="s">
        <v>12896</v>
      </c>
      <c r="D241" s="56" t="s">
        <v>12897</v>
      </c>
      <c r="E241" s="56" t="s">
        <v>12898</v>
      </c>
      <c r="F241" s="57">
        <v>24900</v>
      </c>
      <c r="G241" s="58">
        <v>1</v>
      </c>
      <c r="I241" s="5"/>
      <c r="J241" s="5"/>
    </row>
    <row r="242" spans="1:10" x14ac:dyDescent="0.2">
      <c r="A242" s="59" t="str">
        <f ca="1">IFERROR(__xludf.DUMMYFUNCTION("TEXTJOIN(""|"",TRUE,UNIQUE(FILTER(SPLIT(B242,"" ""),LEN(SPLIT(B242,"" ""))&gt;2)))"),"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amp;"еса|симметрии|цветовым|сочетаниям|орпус|выполнен|пластика|бумаги")</f>
        <v>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еса|симметрии|цветовым|сочетаниям|орпус|выполнен|пластика|бумаги</v>
      </c>
      <c r="B242" s="59" t="str">
        <f ca="1">IFERROR(__xludf.DUMMYFUNCTION("LOWER(REGEXREPLACE(D242&amp;"" ""&amp;E242,""[^а-яa-z0-9 ]"","" ""))"),"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восп"&amp;"риятия и интереса к симметрии и цветовым сочетаниям   орпус выполнен из пластика и бумаги ")</f>
        <v xml:space="preserve">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восприятия и интереса к симметрии и цветовым сочетаниям   орпус выполнен из пластика и бумаги </v>
      </c>
      <c r="C242" s="61" t="s">
        <v>12899</v>
      </c>
      <c r="D242" s="56" t="s">
        <v>12900</v>
      </c>
      <c r="E242" s="56" t="s">
        <v>12901</v>
      </c>
      <c r="F242" s="57">
        <v>4400</v>
      </c>
      <c r="G242" s="58">
        <v>5</v>
      </c>
      <c r="I242" s="5"/>
      <c r="J242" s="5"/>
    </row>
    <row r="243" spans="1:10" x14ac:dyDescent="0.2">
      <c r="A243" s="59" t="str">
        <f ca="1">IFERROR(__xludf.DUMMYFUNCTION("TEXTJOIN(""|"",TRUE,UNIQUE(FILTER(SPLIT(B243,"" ""),LEN(SPLIT(B243,"" ""))&gt;2)))"),"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amp;"|температура|осадки|облачность|удобной|форме|ассчитан|регулярное|использование|помещении")</f>
        <v>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температура|осадки|облачность|удобной|форме|ассчитан|регулярное|использование|помещении</v>
      </c>
      <c r="B243" s="59" t="str">
        <f ca="1">IFERROR(__xludf.DUMMYFUNCTION("LOWER(REGEXREPLACE(D243&amp;"" ""&amp;E243,""[^а-яa-z0-9 ]"","" ""))"),"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предусм"&amp;"атривает размещение обозначений  температура  осадки  облачность  в удобной форме   ассчитан на регулярное использование в помещении ")</f>
        <v xml:space="preserve">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предусматривает размещение обозначений  температура  осадки  облачность  в удобной форме   ассчитан на регулярное использование в помещении </v>
      </c>
      <c r="C243" s="61" t="s">
        <v>12902</v>
      </c>
      <c r="D243" s="56" t="s">
        <v>12903</v>
      </c>
      <c r="E243" s="56" t="s">
        <v>12904</v>
      </c>
      <c r="F243" s="57">
        <v>15200</v>
      </c>
      <c r="G243" s="58">
        <v>1</v>
      </c>
      <c r="I243" s="5"/>
      <c r="J243" s="5"/>
    </row>
    <row r="244" spans="1:10" x14ac:dyDescent="0.2">
      <c r="A244" s="59" t="str">
        <f ca="1">IFERROR(__xludf.DUMMYFUNCTION("TEXTJOIN(""|"",TRUE,UNIQUE(FILTER(SPLIT(B244,"" ""),LEN(SPLIT(B244,"" ""))&gt;2)))"),"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amp;"иальной|роли|профессии|ответственности|атериалы|текстиль|пластик")</f>
        <v>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иальной|роли|профессии|ответственности|атериалы|текстиль|пластик</v>
      </c>
      <c r="B244" s="59" t="str">
        <f ca="1">IFERROR(__xludf.DUMMYFUNCTION("LOWER(REGEXREPLACE(D244&amp;"" ""&amp;E244,""[^а-яa-z0-9 ]"","" ""))"),"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формир"&amp;"уя представления о социальной роли профессии и ответственности   атериалы   текстиль и пластик ")</f>
        <v xml:space="preserve">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формируя представления о социальной роли профессии и ответственности   атериалы   текстиль и пластик </v>
      </c>
      <c r="C244" s="61" t="s">
        <v>12905</v>
      </c>
      <c r="D244" s="56" t="s">
        <v>12906</v>
      </c>
      <c r="E244" s="56" t="s">
        <v>12907</v>
      </c>
      <c r="F244" s="57">
        <v>47500</v>
      </c>
      <c r="G244" s="58">
        <v>19</v>
      </c>
      <c r="I244" s="5"/>
      <c r="J244" s="5"/>
    </row>
    <row r="245" spans="1:10" x14ac:dyDescent="0.2">
      <c r="A245" s="59" t="str">
        <f ca="1">IFERROR(__xludf.DUMMYFUNCTION("TEXTJOIN(""|"",TRUE,UNIQUE(FILTER(SPLIT(B245,"" ""),LEN(SPLIT(B245,"" ""))&gt;2)))"),"апитан|aptain|ook|каз|рус|англ|евин|перевод|ужикова|санова")</f>
        <v>апитан|aptain|ook|каз|рус|англ|евин|перевод|ужикова|санова</v>
      </c>
      <c r="B245" s="59" t="str">
        <f ca="1">IFERROR(__xludf.DUMMYFUNCTION("LOWER(REGEXREPLACE(D245&amp;"" ""&amp;E245,""[^а-яa-z0-9 ]"","" ""))")," апитан  ук   aptain  ook  каз   рус   англ яз      евин  перевод  ужикова      санова    ")</f>
        <v xml:space="preserve"> апитан  ук   aptain  ook  каз   рус   англ яз      евин  перевод  ужикова      санова    </v>
      </c>
      <c r="C245" s="61" t="s">
        <v>12908</v>
      </c>
      <c r="D245" s="56" t="s">
        <v>12909</v>
      </c>
      <c r="E245" s="56" t="s">
        <v>12910</v>
      </c>
      <c r="F245" s="57">
        <v>3600</v>
      </c>
      <c r="G245" s="58">
        <v>1</v>
      </c>
      <c r="I245" s="5"/>
      <c r="J245" s="5"/>
    </row>
    <row r="246" spans="1:10" x14ac:dyDescent="0.2">
      <c r="A246" s="59" t="str">
        <f ca="1">IFERROR(__xludf.DUMMYFUNCTION("TEXTJOIN(""|"",TRUE,UNIQUE(FILTER(SPLIT(B246,"" ""),LEN(SPLIT(B246,"" ""))&gt;2)))"),"аракусбай|азахская|сказка")</f>
        <v>аракусбай|азахская|сказка</v>
      </c>
      <c r="B246" s="59" t="str">
        <f ca="1">IFERROR(__xludf.DUMMYFUNCTION("LOWER(REGEXREPLACE(D246&amp;"" ""&amp;E246,""[^а-яa-z0-9 ]"","" ""))")," аракусбай   азахская сказка ")</f>
        <v xml:space="preserve"> аракусбай   азахская сказка </v>
      </c>
      <c r="C246" s="61" t="s">
        <v>12911</v>
      </c>
      <c r="D246" s="56" t="s">
        <v>12912</v>
      </c>
      <c r="E246" s="56"/>
      <c r="F246" s="57">
        <v>1300</v>
      </c>
      <c r="G246" s="58">
        <v>1</v>
      </c>
      <c r="I246" s="5"/>
      <c r="J246" s="5"/>
    </row>
    <row r="247" spans="1:10" x14ac:dyDescent="0.2">
      <c r="A247" s="59" t="str">
        <f ca="1">IFERROR(__xludf.DUMMYFUNCTION("TEXTJOIN(""|"",TRUE,UNIQUE(FILTER(SPLIT(B247,"" ""),LEN(SPLIT(B247,"" ""))&gt;2)))"),"арнавальный|костюм|аяц|аяц|серый|110|мех|атик|можно|интернет|магазине|urzilka|ыгодные|цены|ыстрая|доставка|азахстану")</f>
        <v>арнавальный|костюм|аяц|аяц|серый|110|мех|атик|можно|интернет|магазине|urzilka|ыгодные|цены|ыстрая|доставка|азахстану</v>
      </c>
      <c r="B247" s="59" t="str">
        <f ca="1">IFERROR(__xludf.DUMMYFUNCTION("LOWER(REGEXREPLACE(D247&amp;"" ""&amp;E247,""[^а-яa-z0-9 ]"","" ""))")," арнавальный костюм   аяц    аяц серый р 110 56  мех   атик   можно в интернет магазине  urzilka   ыгодные цены   ыстрая доставка по  азахстану ")</f>
        <v xml:space="preserve"> арнавальный костюм   аяц    аяц серый р 110 56  мех   атик   можно в интернет магазине  urzilka   ыгодные цены   ыстрая доставка по  азахстану </v>
      </c>
      <c r="C247" s="61" t="s">
        <v>12913</v>
      </c>
      <c r="D247" s="56" t="s">
        <v>12914</v>
      </c>
      <c r="E247" s="56" t="s">
        <v>12915</v>
      </c>
      <c r="F247" s="57">
        <v>10500</v>
      </c>
      <c r="G247" s="58">
        <v>10</v>
      </c>
      <c r="I247" s="5"/>
      <c r="J247" s="5"/>
    </row>
    <row r="248" spans="1:10" x14ac:dyDescent="0.2">
      <c r="A248" s="59" t="str">
        <f ca="1">IFERROR(__xludf.DUMMYFUNCTION("TEXTJOIN(""|"",TRUE,UNIQUE(FILTER(SPLIT(B248,"" ""),LEN(SPLIT(B248,"" ""))&gt;2)))"),"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amp;"ние|детей")</f>
        <v>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ние|детей</v>
      </c>
      <c r="B248" s="59" t="str">
        <f ca="1">IFERROR(__xludf.DUMMYFUNCTION("LOWER(REGEXREPLACE(D248&amp;"" ""&amp;E248,""[^а-яa-z0-9 ]"","" ""))"),"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ре"&amp;"дназначен для ролевых игр и развивает воображение детей ")</f>
        <v xml:space="preserve">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редназначен для ролевых игр и развивает воображение детей </v>
      </c>
      <c r="C248" s="61" t="s">
        <v>12916</v>
      </c>
      <c r="D248" s="56" t="s">
        <v>12917</v>
      </c>
      <c r="E248" s="56" t="s">
        <v>12918</v>
      </c>
      <c r="F248" s="57">
        <v>10500</v>
      </c>
      <c r="G248" s="58">
        <v>6</v>
      </c>
      <c r="I248" s="5"/>
      <c r="J248" s="5"/>
    </row>
    <row r="249" spans="1:10" x14ac:dyDescent="0.2">
      <c r="A249" s="59" t="str">
        <f ca="1">IFERROR(__xludf.DUMMYFUNCTION("TEXTJOIN(""|"",TRUE,UNIQUE(FILTER(SPLIT(B249,"" ""),LEN(SPLIT(B249,"" ""))&gt;2)))"),"лдар|борник|сказок|каз|рус|англ|каз|адаптац|ырза")</f>
        <v>лдар|борник|сказок|каз|рус|англ|каз|адаптац|ырза</v>
      </c>
      <c r="B249" s="59" t="str">
        <f ca="1">IFERROR(__xludf.DUMMYFUNCTION("LOWER(REGEXREPLACE(D249&amp;"" ""&amp;E249,""[^а-яa-z0-9 ]"","" ""))")," лдар   се   борник сказок  каз   рус   англ яз   каз адаптац   ырза  ли   ")</f>
        <v xml:space="preserve"> лдар   се   борник сказок  каз   рус   англ яз   каз адаптац   ырза  ли   </v>
      </c>
      <c r="C249" s="61" t="s">
        <v>12919</v>
      </c>
      <c r="D249" s="56" t="s">
        <v>12920</v>
      </c>
      <c r="E249" s="56" t="s">
        <v>12921</v>
      </c>
      <c r="F249" s="57">
        <v>7400</v>
      </c>
      <c r="G249" s="58">
        <v>1</v>
      </c>
      <c r="I249" s="5"/>
      <c r="J249" s="5"/>
    </row>
    <row r="250" spans="1:10" x14ac:dyDescent="0.2">
      <c r="A250" s="59" t="str">
        <f ca="1">IFERROR(__xludf.DUMMYFUNCTION("TEXTJOIN(""|"",TRUE,UNIQUE(FILTER(SPLIT(B250,"" ""),LEN(SPLIT(B250,"" ""))&gt;2)))"),"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amp;"|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amp;"рко|голову|ранжевый|нос|морковка|резинке")</f>
        <v>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рко|голову|ранжевый|нос|морковка|резинке</v>
      </c>
      <c r="B250" s="59" t="str">
        <f ca="1">IFERROR(__xludf.DUMMYFUNCTION("LOWER(REGEXREPLACE(D250&amp;"" ""&amp;E250,""[^а-яa-z0-9 ]"","" ""))"),"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пр"&amp;"осто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"&amp;" иние помпоны спереди  еребристое текстильное ведерко на голову  ранжевый нос морковка на резинке ")</f>
        <v xml:space="preserve">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иние помпоны спереди  еребристое текстильное ведерко на голову  ранжевый нос морковка на резинке </v>
      </c>
      <c r="C250" s="61" t="s">
        <v>12922</v>
      </c>
      <c r="D250" s="56" t="s">
        <v>12923</v>
      </c>
      <c r="E250" s="56" t="s">
        <v>12924</v>
      </c>
      <c r="F250" s="57">
        <v>25900</v>
      </c>
      <c r="G250" s="58">
        <v>5</v>
      </c>
      <c r="I250" s="5"/>
      <c r="J250" s="5"/>
    </row>
    <row r="251" spans="1:10" x14ac:dyDescent="0.2">
      <c r="A251" s="59" t="str">
        <f ca="1">IFERROR(__xludf.DUMMYFUNCTION("TEXTJOIN(""|"",TRUE,UNIQUE(FILTER(SPLIT(B251,"" ""),LEN(SPLIT(B251,"" ""))&gt;2)))"),"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amp;"вание|одходит|для|организации|новогодних|представлений|игровых|сценариев")</f>
        <v>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вание|одходит|для|организации|новогодних|представлений|игровых|сценариев</v>
      </c>
      <c r="B251" s="59" t="str">
        <f ca="1">IFERROR(__xludf.DUMMYFUNCTION("LOWER(REGEXREPLACE(D251&amp;"" ""&amp;E251,""[^а-яa-z0-9 ]"","" ""))"),"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рассчитан"&amp;"ных на многократное использование   одходит для организации новогодних представлений и игровых сценариев ")</f>
        <v xml:space="preserve">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рассчитанных на многократное использование   одходит для организации новогодних представлений и игровых сценариев </v>
      </c>
      <c r="C251" s="61" t="s">
        <v>12925</v>
      </c>
      <c r="D251" s="56" t="s">
        <v>12926</v>
      </c>
      <c r="E251" s="56" t="s">
        <v>12927</v>
      </c>
      <c r="F251" s="57">
        <v>392900</v>
      </c>
      <c r="G251" s="58">
        <v>1</v>
      </c>
      <c r="I251" s="5"/>
      <c r="J251" s="5"/>
    </row>
    <row r="252" spans="1:10" x14ac:dyDescent="0.2">
      <c r="A252" s="59" t="str">
        <f ca="1">IFERROR(__xludf.DUMMYFUNCTION("TEXTJOIN(""|"",TRUE,UNIQUE(FILTER(SPLIT(B252,"" ""),LEN(SPLIT(B252,"" ""))&gt;2)))"),"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amp;"|атериалы|костюма|рассчитаны|регулярное|использование")</f>
        <v>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атериалы|костюма|рассчитаны|регулярное|использование</v>
      </c>
      <c r="B252" s="59" t="str">
        <f ca="1">IFERROR(__xludf.DUMMYFUNCTION("LOWER(REGEXREPLACE(D252&amp;"" ""&amp;E252,""[^а-яa-z0-9 ]"","" ""))"),"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"&amp;"требуется узнаваемый персонаж   атериалы костюма рассчитаны на регулярное использование ")</f>
        <v xml:space="preserve">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требуется узнаваемый персонаж   атериалы костюма рассчитаны на регулярное использование </v>
      </c>
      <c r="C252" s="61" t="s">
        <v>12928</v>
      </c>
      <c r="D252" s="56" t="s">
        <v>12929</v>
      </c>
      <c r="E252" s="56" t="s">
        <v>12930</v>
      </c>
      <c r="F252" s="57">
        <v>9200</v>
      </c>
      <c r="G252" s="58">
        <v>5</v>
      </c>
      <c r="I252" s="5"/>
      <c r="J252" s="5"/>
    </row>
    <row r="253" spans="1:10" x14ac:dyDescent="0.2">
      <c r="A253" s="59" t="str">
        <f ca="1">IFERROR(__xludf.DUMMYFUNCTION("TEXTJOIN(""|"",TRUE,UNIQUE(FILTER(SPLIT(B253,"" ""),LEN(SPLIT(B253,"" ""))&gt;2)))"),"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amp;"кратное|использование|помещении")</f>
        <v>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кратное|использование|помещении</v>
      </c>
      <c r="B253" s="59" t="str">
        <f ca="1">IFERROR(__xludf.DUMMYFUNCTION("LOWER(REGEXREPLACE(D253&amp;"" ""&amp;E253,""[^а-яa-z0-9 ]"","" ""))"),"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ш"&amp;" лк или аналогичный материал   ассчитан на многократное использование в помещении ")</f>
        <v xml:space="preserve">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 лк или аналогичный материал   ассчитан на многократное использование в помещении </v>
      </c>
      <c r="C253" s="61" t="s">
        <v>12931</v>
      </c>
      <c r="D253" s="56" t="s">
        <v>12932</v>
      </c>
      <c r="E253" s="56" t="s">
        <v>12933</v>
      </c>
      <c r="F253" s="57">
        <v>6500</v>
      </c>
      <c r="G253" s="58">
        <v>5</v>
      </c>
      <c r="I253" s="5"/>
      <c r="J253" s="5"/>
    </row>
    <row r="254" spans="1:10" x14ac:dyDescent="0.2">
      <c r="A254" s="59" t="str">
        <f ca="1">IFERROR(__xludf.DUMMYFUNCTION("TEXTJOIN(""|"",TRUE,UNIQUE(FILTER(SPLIT(B254,"" ""),LEN(SPLIT(B254,"" ""))&gt;2)))"),"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amp;"тано|многократное|использование")</f>
        <v>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тано|многократное|использование</v>
      </c>
      <c r="B254" s="59" t="str">
        <f ca="1">IFERROR(__xludf.DUMMYFUNCTION("LOWER(REGEXREPLACE(D254&amp;"" ""&amp;E254,""[^а-яa-z0-9 ]"","" ""))"),"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актив"&amp;"ного движения   зделие рассчитано на многократное использование ")</f>
        <v xml:space="preserve">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активного движения   зделие рассчитано на многократное использование </v>
      </c>
      <c r="C254" s="61" t="s">
        <v>12934</v>
      </c>
      <c r="D254" s="56" t="s">
        <v>12935</v>
      </c>
      <c r="E254" s="56" t="s">
        <v>12936</v>
      </c>
      <c r="F254" s="57">
        <v>103500</v>
      </c>
      <c r="G254" s="58">
        <v>1</v>
      </c>
      <c r="I254" s="5"/>
      <c r="J254" s="5"/>
    </row>
    <row r="255" spans="1:10" x14ac:dyDescent="0.2">
      <c r="A255" s="59" t="str">
        <f ca="1">IFERROR(__xludf.DUMMYFUNCTION("TEXTJOIN(""|"",TRUE,UNIQUE(FILTER(SPLIT(B255,"" ""),LEN(SPLIT(B255,"" ""))&gt;2)))"),"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amp;"ов|ассчитан|использование|творческих|занятиях")</f>
        <v>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ов|ассчитан|использование|творческих|занятиях</v>
      </c>
      <c r="B255" s="59" t="str">
        <f ca="1">IFERROR(__xludf.DUMMYFUNCTION("LOWER(REGEXREPLACE(D255&amp;"" ""&amp;E255,""[^а-яa-z0-9 ]"","" ""))"),"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оставляет"&amp;"ся в виде набора листов   ассчитан на использование в творческих занятиях ")</f>
        <v xml:space="preserve">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оставляется в виде набора листов   ассчитан на использование в творческих занятиях </v>
      </c>
      <c r="C255" s="61" t="s">
        <v>12937</v>
      </c>
      <c r="D255" s="56" t="s">
        <v>12938</v>
      </c>
      <c r="E255" s="56" t="s">
        <v>12939</v>
      </c>
      <c r="F255" s="57">
        <v>2500</v>
      </c>
      <c r="G255" s="58">
        <v>25</v>
      </c>
      <c r="I255" s="5"/>
      <c r="J255" s="5"/>
    </row>
    <row r="256" spans="1:10" x14ac:dyDescent="0.2">
      <c r="A256" s="59" t="str">
        <f ca="1">IFERROR(__xludf.DUMMYFUNCTION("TEXTJOIN(""|"",TRUE,UNIQUE(FILTER(SPLIT(B256,"" ""),LEN(SPLIT(B256,"" ""))&gt;2)))"),"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amp;"нятий|игр|теме|животных|звуков")</f>
        <v>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нятий|игр|теме|животных|звуков</v>
      </c>
      <c r="B256" s="59" t="str">
        <f ca="1">IFERROR(__xludf.DUMMYFUNCTION("LOWER(REGEXREPLACE(D256&amp;"" ""&amp;E256,""[^а-яa-z0-9 ]"","" ""))"),"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шт"&amp;"   азмер карточек   не менее 10 15 см   одходит для занятий и игр по теме животных и звуков ")</f>
        <v xml:space="preserve">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   азмер карточек   не менее 10 15 см   одходит для занятий и игр по теме животных и звуков </v>
      </c>
      <c r="C256" s="61" t="s">
        <v>12940</v>
      </c>
      <c r="D256" s="56" t="s">
        <v>12941</v>
      </c>
      <c r="E256" s="56" t="s">
        <v>12942</v>
      </c>
      <c r="F256" s="57">
        <v>9500</v>
      </c>
      <c r="G256" s="58">
        <v>7</v>
      </c>
      <c r="I256" s="5"/>
      <c r="J256" s="5"/>
    </row>
    <row r="257" spans="1:10" x14ac:dyDescent="0.2">
      <c r="A257" s="59" t="str">
        <f ca="1">IFERROR(__xludf.DUMMYFUNCTION("TEXTJOIN(""|"",TRUE,UNIQUE(FILTER(SPLIT(B257,"" ""),LEN(SPLIT(B257,"" ""))&gt;2)))"),"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amp;"в|навыков|самоорганизации|арточки|выполнены|плотного|материала|для|регулярного|использования")</f>
        <v>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в|навыков|самоорганизации|арточки|выполнены|плотного|материала|для|регулярного|использования</v>
      </c>
      <c r="B257" s="59" t="str">
        <f ca="1">IFERROR(__xludf.DUMMYFUNCTION("LOWER(REGEXREPLACE(D257&amp;"" ""&amp;E257,""[^а-яa-z0-9 ]"","" ""))"),"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обсужде"&amp;"нии режимных моментов и навыков самоорганизации   арточки выполнены из плотного материала для регулярного использования ")</f>
        <v xml:space="preserve">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обсуждении режимных моментов и навыков самоорганизации   арточки выполнены из плотного материала для регулярного использования </v>
      </c>
      <c r="C257" s="61" t="s">
        <v>12943</v>
      </c>
      <c r="D257" s="56" t="s">
        <v>12944</v>
      </c>
      <c r="E257" s="56" t="s">
        <v>12945</v>
      </c>
      <c r="F257" s="57">
        <v>39900</v>
      </c>
      <c r="G257" s="58">
        <v>1</v>
      </c>
      <c r="I257" s="5"/>
      <c r="J257" s="5"/>
    </row>
    <row r="258" spans="1:10" x14ac:dyDescent="0.2">
      <c r="A258" s="59" t="str">
        <f ca="1">IFERROR(__xludf.DUMMYFUNCTION("TEXTJOIN(""|"",TRUE,UNIQUE(FILTER(SPLIT(B258,"" ""),LEN(SPLIT(B258,"" ""))&gt;2)))"),"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amp;"лассификацию|арточки|рассчитаны|регулярное|использование|хранение|комплекте")</f>
        <v>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лассификацию|арточки|рассчитаны|регулярное|использование|хранение|комплекте</v>
      </c>
      <c r="B258" s="59" t="str">
        <f ca="1">IFERROR(__xludf.DUMMYFUNCTION("LOWER(REGEXREPLACE(D258&amp;"" ""&amp;E258,""[^а-яa-z0-9 ]"","" ""))"),"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расширени"&amp;"я словаря и упражнений на классификацию   арточки рассчитаны на регулярное использование и хранение в комплекте ")</f>
        <v xml:space="preserve">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расширения словаря и упражнений на классификацию   арточки рассчитаны на регулярное использование и хранение в комплекте </v>
      </c>
      <c r="C258" s="61" t="s">
        <v>12946</v>
      </c>
      <c r="D258" s="56" t="s">
        <v>12947</v>
      </c>
      <c r="E258" s="56" t="s">
        <v>12948</v>
      </c>
      <c r="F258" s="57">
        <v>3200</v>
      </c>
      <c r="G258" s="58">
        <v>1</v>
      </c>
      <c r="I258" s="5"/>
      <c r="J258" s="5"/>
    </row>
    <row r="259" spans="1:10" x14ac:dyDescent="0.2">
      <c r="A259" s="59" t="str">
        <f ca="1">IFERROR(__xludf.DUMMYFUNCTION("TEXTJOIN(""|"",TRUE,UNIQUE(FILTER(SPLIT(B259,"" ""),LEN(SPLIT(B259,"" ""))&gt;2)))"),"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amp;"ование")</f>
        <v>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ование</v>
      </c>
      <c r="B259" s="59" t="str">
        <f ca="1">IFERROR(__xludf.DUMMYFUNCTION("LOWER(REGEXREPLACE(D259&amp;"" ""&amp;E259,""[^а-яa-z0-9 ]"","" ""))"),"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ассчит"&amp;"ан на многократное использование ")</f>
        <v xml:space="preserve">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ассчитан на многократное использование </v>
      </c>
      <c r="C259" s="61" t="s">
        <v>12949</v>
      </c>
      <c r="D259" s="56" t="s">
        <v>12950</v>
      </c>
      <c r="E259" s="56" t="s">
        <v>12951</v>
      </c>
      <c r="F259" s="57">
        <v>11800</v>
      </c>
      <c r="G259" s="58">
        <v>1</v>
      </c>
      <c r="I259" s="5"/>
      <c r="J259" s="5"/>
    </row>
    <row r="260" spans="1:10" x14ac:dyDescent="0.2">
      <c r="A260" s="59" t="str">
        <f ca="1">IFERROR(__xludf.DUMMYFUNCTION("TEXTJOIN(""|"",TRUE,UNIQUE(FILTER(SPLIT(B260,"" ""),LEN(SPLIT(B260,"" ""))&gt;2)))"),"лпамыс|батыр|каз|ылш|мдеген|сбаев")</f>
        <v>лпамыс|батыр|каз|ылш|мдеген|сбаев</v>
      </c>
      <c r="B260" s="59" t="str">
        <f ca="1">IFERROR(__xludf.DUMMYFUNCTION("LOWER(REGEXREPLACE(D260&amp;"" ""&amp;E260,""[^а-яa-z0-9 ]"","" ""))")," лпамыс батыр  каз   а ылш    ей мдеген    ум сбаев")</f>
        <v xml:space="preserve"> лпамыс батыр  каз   а ылш    ей мдеген    ум сбаев</v>
      </c>
      <c r="C260" s="61" t="s">
        <v>12952</v>
      </c>
      <c r="D260" s="56" t="s">
        <v>12953</v>
      </c>
      <c r="E260" s="56" t="s">
        <v>12625</v>
      </c>
      <c r="F260" s="57">
        <v>6800</v>
      </c>
      <c r="G260" s="58">
        <v>1</v>
      </c>
      <c r="I260" s="5"/>
      <c r="J260" s="5"/>
    </row>
    <row r="261" spans="1:10" x14ac:dyDescent="0.2">
      <c r="A261" s="59" t="str">
        <f ca="1">IFERROR(__xludf.DUMMYFUNCTION("TEXTJOIN(""|"",TRUE,UNIQUE(FILTER(SPLIT(B261,"" ""),LEN(SPLIT(B261,"" ""))&gt;2)))"),"арынбай|азахская|сказка")</f>
        <v>арынбай|азахская|сказка</v>
      </c>
      <c r="B261" s="59" t="str">
        <f ca="1">IFERROR(__xludf.DUMMYFUNCTION("LOWER(REGEXREPLACE(D261&amp;"" ""&amp;E261,""[^а-яa-z0-9 ]"","" ""))")," арынбай   азахская сказка ")</f>
        <v xml:space="preserve"> арынбай   азахская сказка </v>
      </c>
      <c r="C261" s="61" t="s">
        <v>12954</v>
      </c>
      <c r="D261" s="56" t="s">
        <v>12955</v>
      </c>
      <c r="E261" s="56"/>
      <c r="F261" s="57">
        <v>1300</v>
      </c>
      <c r="G261" s="58">
        <v>1</v>
      </c>
      <c r="I261" s="5"/>
      <c r="J261" s="5"/>
    </row>
    <row r="262" spans="1:10" x14ac:dyDescent="0.2">
      <c r="A262" s="59" t="str">
        <f ca="1">IFERROR(__xludf.DUMMYFUNCTION("TEXTJOIN(""|"",TRUE,UNIQUE(FILTER(SPLIT(B262,"" ""),LEN(SPLIT(B262,"" ""))&gt;2)))"),"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amp;"ти|атериал|рассчитан|регулярное|использование")</f>
        <v>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ти|атериал|рассчитан|регулярное|использование</v>
      </c>
      <c r="B262" s="59" t="str">
        <f ca="1">IFERROR(__xludf.DUMMYFUNCTION("LOWER(REGEXREPLACE(D262&amp;"" ""&amp;E262,""[^а-яa-z0-9 ]"","" ""))"),"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одходи"&amp;"т для настольной учебно игровой деятельности   атериал рассчитан на регулярное использование ")</f>
        <v xml:space="preserve">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одходит для настольной учебно игровой деятельности   атериал рассчитан на регулярное использование </v>
      </c>
      <c r="C262" s="61" t="s">
        <v>12956</v>
      </c>
      <c r="D262" s="56" t="s">
        <v>12957</v>
      </c>
      <c r="E262" s="56" t="s">
        <v>12958</v>
      </c>
      <c r="F262" s="57">
        <v>6900</v>
      </c>
      <c r="G262" s="58">
        <v>1</v>
      </c>
      <c r="I262" s="5"/>
      <c r="J262" s="5"/>
    </row>
    <row r="263" spans="1:10" x14ac:dyDescent="0.2">
      <c r="A263" s="59" t="str">
        <f ca="1">IFERROR(__xludf.DUMMYFUNCTION("TEXTJOIN(""|"",TRUE,UNIQUE(FILTER(SPLIT(B263,"" ""),LEN(SPLIT(B263,"" ""))&gt;2)))"),"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amp;"стиранию")</f>
        <v>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стиранию</v>
      </c>
      <c r="B263" s="59" t="str">
        <f ca="1">IFERROR(__xludf.DUMMYFUNCTION("LOWER(REGEXREPLACE(D263&amp;"" ""&amp;E263,""[^а-яa-z0-9 ]"","" ""))"),"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арто"&amp;"чки имеют крупный шрифт и устойчивы к истиранию ")</f>
        <v xml:space="preserve">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арточки имеют крупный шрифт и устойчивы к истиранию </v>
      </c>
      <c r="C263" s="61" t="s">
        <v>12959</v>
      </c>
      <c r="D263" s="56" t="s">
        <v>12960</v>
      </c>
      <c r="E263" s="56" t="s">
        <v>12961</v>
      </c>
      <c r="F263" s="57">
        <v>4100</v>
      </c>
      <c r="G263" s="58">
        <v>125</v>
      </c>
      <c r="I263" s="5"/>
      <c r="J263" s="5"/>
    </row>
    <row r="264" spans="1:10" x14ac:dyDescent="0.2">
      <c r="A264" s="59" t="str">
        <f ca="1">IFERROR(__xludf.DUMMYFUNCTION("TEXTJOIN(""|"",TRUE,UNIQUE(FILTER(SPLIT(B264,"" ""),LEN(SPLIT(B264,"" ""))&gt;2)))"),"ойнайы|бала|мжанов")</f>
        <v>ойнайы|бала|мжанов</v>
      </c>
      <c r="B264" s="59" t="str">
        <f ca="1">IFERROR(__xludf.DUMMYFUNCTION("LOWER(REGEXREPLACE(D264&amp;"" ""&amp;E264,""[^а-яa-z0-9 ]"","" ""))")," ел  ойнайы   бала ай   л мжанов   ")</f>
        <v xml:space="preserve"> ел  ойнайы   бала ай   л мжанов   </v>
      </c>
      <c r="C264" s="61" t="s">
        <v>12962</v>
      </c>
      <c r="D264" s="56" t="s">
        <v>12963</v>
      </c>
      <c r="E264" s="56" t="s">
        <v>12964</v>
      </c>
      <c r="F264" s="57">
        <v>7800</v>
      </c>
      <c r="G264" s="58">
        <v>1</v>
      </c>
      <c r="I264" s="5"/>
      <c r="J264" s="5"/>
    </row>
    <row r="265" spans="1:10" x14ac:dyDescent="0.2">
      <c r="A265" s="59" t="str">
        <f ca="1">IFERROR(__xludf.DUMMYFUNCTION("TEXTJOIN(""|"",TRUE,UNIQUE(FILTER(SPLIT(B265,"" ""),LEN(SPLIT(B265,"" ""))&gt;2)))"),"ерек|тап|ыпбек")</f>
        <v>ерек|тап|ыпбек</v>
      </c>
      <c r="B265" s="59" t="str">
        <f ca="1">IFERROR(__xludf.DUMMYFUNCTION("LOWER(REGEXREPLACE(D265&amp;"" ""&amp;E265,""[^а-яa-z0-9 ]"","" ""))")," ерек к тап   ыпбек лы   ")</f>
        <v xml:space="preserve"> ерек к тап   ыпбек лы   </v>
      </c>
      <c r="C265" s="61" t="s">
        <v>12965</v>
      </c>
      <c r="D265" s="56" t="s">
        <v>12966</v>
      </c>
      <c r="E265" s="56" t="s">
        <v>12967</v>
      </c>
      <c r="F265" s="57">
        <v>7000</v>
      </c>
      <c r="G265" s="58">
        <v>1</v>
      </c>
      <c r="I265" s="5"/>
      <c r="J265" s="5"/>
    </row>
    <row r="266" spans="1:10" x14ac:dyDescent="0.2">
      <c r="A266" s="59" t="str">
        <f ca="1">IFERROR(__xludf.DUMMYFUNCTION("TEXTJOIN(""|"",TRUE,UNIQUE(FILTER(SPLIT(B266,"" ""),LEN(SPLIT(B266,"" ""))&gt;2)))"),"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f>
        <v>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v>
      </c>
      <c r="B266" s="59" t="str">
        <f ca="1">IFERROR(__xludf.DUMMYFUNCTION("LOWER(REGEXREPLACE(D266&amp;"" ""&amp;E266,""[^а-яa-z0-9 ]"","" ""))"),"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мотори"&amp;"ки у детей ")</f>
        <v xml:space="preserve">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моторики у детей </v>
      </c>
      <c r="C266" s="61" t="s">
        <v>12968</v>
      </c>
      <c r="D266" s="56" t="s">
        <v>12969</v>
      </c>
      <c r="E266" s="56" t="s">
        <v>12970</v>
      </c>
      <c r="F266" s="57">
        <v>7600</v>
      </c>
      <c r="G266" s="58">
        <v>5</v>
      </c>
      <c r="I266" s="5"/>
      <c r="J266" s="5"/>
    </row>
    <row r="267" spans="1:10" x14ac:dyDescent="0.2">
      <c r="A267" s="59" t="str">
        <f ca="1">IFERROR(__xludf.DUMMYFUNCTION("TEXTJOIN(""|"",TRUE,UNIQUE(FILTER(SPLIT(B267,"" ""),LEN(SPLIT(B267,"" ""))&gt;2)))"),"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f>
        <v>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v>
      </c>
      <c r="B267" s="59" t="str">
        <f ca="1">IFERROR(__xludf.DUMMYFUNCTION("LOWER(REGEXREPLACE(D267&amp;"" ""&amp;E267,""[^а-яa-z0-9 ]"","" ""))"),"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в"&amp;" игровой среде ")</f>
        <v xml:space="preserve">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 игровой среде </v>
      </c>
      <c r="C267" s="61" t="s">
        <v>12971</v>
      </c>
      <c r="D267" s="56" t="s">
        <v>12972</v>
      </c>
      <c r="E267" s="56" t="s">
        <v>12973</v>
      </c>
      <c r="F267" s="57">
        <v>2600</v>
      </c>
      <c r="G267" s="58">
        <v>5</v>
      </c>
      <c r="I267" s="5"/>
      <c r="J267" s="5"/>
    </row>
    <row r="268" spans="1:10" x14ac:dyDescent="0.2">
      <c r="A268" s="59" t="str">
        <f ca="1">IFERROR(__xludf.DUMMYFUNCTION("TEXTJOIN(""|"",TRUE,UNIQUE(FILTER(SPLIT(B268,"" ""),LEN(SPLIT(B268,"" ""))&gt;2)))"),"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amp;"ногократное|использование|при|соблюдении|правил|ухода")</f>
        <v>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ногократное|использование|при|соблюдении|правил|ухода</v>
      </c>
      <c r="B268" s="59" t="str">
        <f ca="1">IFERROR(__xludf.DUMMYFUNCTION("LOWER(REGEXREPLACE(D268&amp;"" ""&amp;E268,""[^а-яa-z0-9 ]"","" ""))"),"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"&amp;" исти рассчитаны на многократное использование при соблюдении правил ухода ")</f>
        <v xml:space="preserve">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исти рассчитаны на многократное использование при соблюдении правил ухода </v>
      </c>
      <c r="C268" s="61" t="s">
        <v>12974</v>
      </c>
      <c r="D268" s="56" t="s">
        <v>12975</v>
      </c>
      <c r="E268" s="56" t="s">
        <v>12976</v>
      </c>
      <c r="F268" s="57">
        <v>2100</v>
      </c>
      <c r="G268" s="58">
        <v>25</v>
      </c>
      <c r="I268" s="5"/>
      <c r="J268" s="5"/>
    </row>
    <row r="269" spans="1:10" x14ac:dyDescent="0.2">
      <c r="A269" s="59" t="str">
        <f ca="1">IFERROR(__xludf.DUMMYFUNCTION("TEXTJOIN(""|"",TRUE,UNIQUE(FILTER(SPLIT(B269,"" ""),LEN(SPLIT(B269,"" ""))&gt;2)))"),"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amp;"ый|деформации|укоятки|деревянные|удобные|для|удержания|исти|подходят|для|регулярного|использования|при|выполнении|художественных|работ")</f>
        <v>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ый|деформации|укоятки|деревянные|удобные|для|удержания|исти|подходят|для|регулярного|использования|при|выполнении|художественных|работ</v>
      </c>
      <c r="B269" s="59" t="str">
        <f ca="1">IFERROR(__xludf.DUMMYFUNCTION("LOWER(REGEXREPLACE(D269&amp;"" ""&amp;E269,""[^а-яa-z0-9 ]"","" ""))"),"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синтетич"&amp;"еский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f>
        <v xml:space="preserve">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v>
      </c>
      <c r="C269" s="61" t="s">
        <v>12977</v>
      </c>
      <c r="D269" s="56" t="s">
        <v>12978</v>
      </c>
      <c r="E269" s="56" t="s">
        <v>12979</v>
      </c>
      <c r="F269" s="57">
        <v>41700</v>
      </c>
      <c r="G269" s="58">
        <v>10</v>
      </c>
      <c r="I269" s="5"/>
      <c r="J269" s="5"/>
    </row>
    <row r="270" spans="1:10" x14ac:dyDescent="0.2">
      <c r="A270" s="59" t="str">
        <f ca="1">IFERROR(__xludf.DUMMYFUNCTION("TEXTJOIN(""|"",TRUE,UNIQUE(FILTER(SPLIT(B270,"" ""),LEN(SPLIT(B270,"" ""))&gt;2)))"),"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amp;"истке")</f>
        <v>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истке</v>
      </c>
      <c r="B270" s="59" t="str">
        <f ca="1">IFERROR(__xludf.DUMMYFUNCTION("LOWER(REGEXREPLACE(D270&amp;"" ""&amp;E270,""[^а-яa-z0-9 ]"","" ""))"),"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"&amp;"поверхностей при своевременной очистке ")</f>
        <v xml:space="preserve">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поверхностей при своевременной очистке </v>
      </c>
      <c r="C270" s="61" t="s">
        <v>12980</v>
      </c>
      <c r="D270" s="56" t="s">
        <v>12981</v>
      </c>
      <c r="E270" s="56" t="s">
        <v>12982</v>
      </c>
      <c r="F270" s="57">
        <v>3000</v>
      </c>
      <c r="G270" s="58">
        <v>12</v>
      </c>
      <c r="I270" s="5"/>
      <c r="J270" s="5"/>
    </row>
    <row r="271" spans="1:10" x14ac:dyDescent="0.2">
      <c r="A271" s="59" t="str">
        <f ca="1">IFERROR(__xludf.DUMMYFUNCTION("TEXTJOIN(""|"",TRUE,UNIQUE(FILTER(SPLIT(B271,"" ""),LEN(SPLIT(B271,"" ""))&gt;2)))"),"лпамыс|батыр|рус|англ|дапт|умисбаев")</f>
        <v>лпамыс|батыр|рус|англ|дапт|умисбаев</v>
      </c>
      <c r="B271" s="59" t="str">
        <f ca="1">IFERROR(__xludf.DUMMYFUNCTION("LOWER(REGEXREPLACE(D271&amp;"" ""&amp;E271,""[^а-яa-z0-9 ]"","" ""))")," лпамыс батыр  рус   англ    дапт   умисбаев   ")</f>
        <v xml:space="preserve"> лпамыс батыр  рус   англ    дапт   умисбаев   </v>
      </c>
      <c r="C271" s="61" t="s">
        <v>12983</v>
      </c>
      <c r="D271" s="56" t="s">
        <v>12984</v>
      </c>
      <c r="E271" s="56" t="s">
        <v>12622</v>
      </c>
      <c r="F271" s="57">
        <v>7500</v>
      </c>
      <c r="G271" s="58">
        <v>1</v>
      </c>
      <c r="I271" s="5"/>
      <c r="J271" s="5"/>
    </row>
    <row r="272" spans="1:10" x14ac:dyDescent="0.2">
      <c r="A272" s="59" t="str">
        <f ca="1">IFERROR(__xludf.DUMMYFUNCTION("TEXTJOIN(""|"",TRUE,UNIQUE(FILTER(SPLIT(B272,"" ""),LEN(SPLIT(B272,"" ""))&gt;2)))"),"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f>
        <v>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v>
      </c>
      <c r="B272" s="59" t="str">
        <f ca="1">IFERROR(__xludf.DUMMYFUNCTION("LOWER(REGEXREPLACE(D272&amp;"" ""&amp;E272,""[^а-яa-z0-9 ]"","" ""))"),"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f>
        <v xml:space="preserve">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v>
      </c>
      <c r="C272" s="61" t="s">
        <v>12985</v>
      </c>
      <c r="D272" s="56" t="s">
        <v>12986</v>
      </c>
      <c r="E272" s="56" t="s">
        <v>12987</v>
      </c>
      <c r="F272" s="57">
        <v>1800</v>
      </c>
      <c r="G272" s="58">
        <v>25</v>
      </c>
      <c r="I272" s="5"/>
      <c r="J272" s="5"/>
    </row>
    <row r="273" spans="1:10" x14ac:dyDescent="0.2">
      <c r="A273" s="59" t="str">
        <f ca="1">IFERROR(__xludf.DUMMYFUNCTION("TEXTJOIN(""|"",TRUE,UNIQUE(FILTER(SPLIT(B273,"" ""),LEN(SPLIT(B273,"" ""))&gt;2)))"),"леопатра|leopatra|каз|рус|англ|ейнз|перевод|ужикова|санова")</f>
        <v>леопатра|leopatra|каз|рус|англ|ейнз|перевод|ужикова|санова</v>
      </c>
      <c r="B273" s="59" t="str">
        <f ca="1">IFERROR(__xludf.DUMMYFUNCTION("LOWER(REGEXREPLACE(D273&amp;"" ""&amp;E273,""[^а-яa-z0-9 ]"","" ""))")," леопатра   leopatra  каз   рус   англ яз      ейнз  перевод  ужикова      санова    ")</f>
        <v xml:space="preserve"> леопатра   leopatra  каз   рус   англ яз      ейнз  перевод  ужикова      санова    </v>
      </c>
      <c r="C273" s="61" t="s">
        <v>12988</v>
      </c>
      <c r="D273" s="56" t="s">
        <v>12989</v>
      </c>
      <c r="E273" s="56" t="s">
        <v>12990</v>
      </c>
      <c r="F273" s="57">
        <v>3600</v>
      </c>
      <c r="G273" s="58">
        <v>1</v>
      </c>
      <c r="I273" s="5"/>
      <c r="J273" s="5"/>
    </row>
    <row r="274" spans="1:10" x14ac:dyDescent="0.2">
      <c r="A274" s="59" t="str">
        <f ca="1">IFERROR(__xludf.DUMMYFUNCTION("TEXTJOIN(""|"",TRUE,UNIQUE(FILTER(SPLIT(B274,"" ""),LEN(SPLIT(B274,"" ""))&gt;2)))"),"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f>
        <v>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v>
      </c>
      <c r="B274" s="59" t="str">
        <f ca="1">IFERROR(__xludf.DUMMYFUNCTION("LOWER(REGEXREPLACE(D274&amp;"" ""&amp;E274,""[^а-яa-z0-9 ]"","" ""))"),"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использова"&amp;"ния ")</f>
        <v xml:space="preserve">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использования </v>
      </c>
      <c r="C274" s="61" t="s">
        <v>12991</v>
      </c>
      <c r="D274" s="56" t="s">
        <v>12992</v>
      </c>
      <c r="E274" s="56" t="s">
        <v>12993</v>
      </c>
      <c r="F274" s="57">
        <v>5700</v>
      </c>
      <c r="G274" s="58">
        <v>1</v>
      </c>
      <c r="I274" s="5"/>
      <c r="J274" s="5"/>
    </row>
    <row r="275" spans="1:10" x14ac:dyDescent="0.2">
      <c r="A275" s="59" t="str">
        <f ca="1">IFERROR(__xludf.DUMMYFUNCTION("TEXTJOIN(""|"",TRUE,UNIQUE(FILTER(SPLIT(B275,"" ""),LEN(SPLIT(B275,"" ""))&gt;2)))"),"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f>
        <v>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v>
      </c>
      <c r="B275" s="59" t="str">
        <f ca="1">IFERROR(__xludf.DUMMYFUNCTION("LOWER(REGEXREPLACE(D275&amp;"" ""&amp;E275,""[^а-яa-z0-9 ]"","" ""))"),"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f>
        <v xml:space="preserve">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v>
      </c>
      <c r="C275" s="61" t="s">
        <v>12994</v>
      </c>
      <c r="D275" s="56" t="s">
        <v>12995</v>
      </c>
      <c r="E275" s="56" t="s">
        <v>12996</v>
      </c>
      <c r="F275" s="57">
        <v>700</v>
      </c>
      <c r="G275" s="58">
        <v>5</v>
      </c>
      <c r="I275" s="5"/>
      <c r="J275" s="5"/>
    </row>
    <row r="276" spans="1:10" x14ac:dyDescent="0.2">
      <c r="A276" s="59" t="str">
        <f ca="1">IFERROR(__xludf.DUMMYFUNCTION("TEXTJOIN(""|"",TRUE,UNIQUE(FILTER(SPLIT(B276,"" ""),LEN(SPLIT(B276,"" ""))&gt;2)))"),"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f>
        <v>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v>
      </c>
      <c r="B276" s="59" t="str">
        <f ca="1">IFERROR(__xludf.DUMMYFUNCTION("LOWER(REGEXREPLACE(D276&amp;"" ""&amp;E276,""[^а-яa-z0-9 ]"","" ""))"),"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f>
        <v xml:space="preserve">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v>
      </c>
      <c r="C276" s="61" t="s">
        <v>12997</v>
      </c>
      <c r="D276" s="56" t="s">
        <v>12998</v>
      </c>
      <c r="E276" s="56" t="s">
        <v>12999</v>
      </c>
      <c r="F276" s="57">
        <v>700</v>
      </c>
      <c r="G276" s="58">
        <v>5</v>
      </c>
      <c r="I276" s="5"/>
      <c r="J276" s="5"/>
    </row>
    <row r="277" spans="1:10" x14ac:dyDescent="0.2">
      <c r="A277" s="59" t="str">
        <f ca="1">IFERROR(__xludf.DUMMYFUNCTION("TEXTJOIN(""|"",TRUE,UNIQUE(FILTER(SPLIT(B277,"" ""),LEN(SPLIT(B277,"" ""))&gt;2)))"),"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f>
        <v>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v>
      </c>
      <c r="B277" s="59" t="str">
        <f ca="1">IFERROR(__xludf.DUMMYFUNCTION("LOWER(REGEXREPLACE(D277&amp;"" ""&amp;E277,""[^а-яa-z0-9 ]"","" ""))"),"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f>
        <v xml:space="preserve">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v>
      </c>
      <c r="C277" s="61" t="s">
        <v>13000</v>
      </c>
      <c r="D277" s="56" t="s">
        <v>13001</v>
      </c>
      <c r="E277" s="56" t="s">
        <v>13002</v>
      </c>
      <c r="F277" s="57">
        <v>700</v>
      </c>
      <c r="G277" s="58">
        <v>5</v>
      </c>
      <c r="I277" s="5"/>
      <c r="J277" s="5"/>
    </row>
    <row r="278" spans="1:10" x14ac:dyDescent="0.2">
      <c r="A278" s="59" t="str">
        <f ca="1">IFERROR(__xludf.DUMMYFUNCTION("TEXTJOIN(""|"",TRUE,UNIQUE(FILTER(SPLIT(B278,"" ""),LEN(SPLIT(B278,"" ""))&gt;2)))"),"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f>
        <v>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v>
      </c>
      <c r="B278" s="59" t="str">
        <f ca="1">IFERROR(__xludf.DUMMYFUNCTION("LOWER(REGEXREPLACE(D278&amp;"" ""&amp;E278,""[^а-яa-z0-9 ]"","" ""))"),"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помещении"&amp;" ")</f>
        <v xml:space="preserve">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 </v>
      </c>
      <c r="C278" s="61" t="s">
        <v>13003</v>
      </c>
      <c r="D278" s="56" t="s">
        <v>13004</v>
      </c>
      <c r="E278" s="56" t="s">
        <v>13005</v>
      </c>
      <c r="F278" s="57">
        <v>9500</v>
      </c>
      <c r="G278" s="58">
        <v>7</v>
      </c>
      <c r="I278" s="5"/>
      <c r="J278" s="5"/>
    </row>
    <row r="279" spans="1:10" x14ac:dyDescent="0.2">
      <c r="A279" s="59" t="str">
        <f ca="1">IFERROR(__xludf.DUMMYFUNCTION("TEXTJOIN(""|"",TRUE,UNIQUE(FILTER(SPLIT(B279,"" ""),LEN(SPLIT(B279,"" ""))&gt;2)))"),"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amp;"ому|наследию|расширение|кругозора|одходит|для|чтения|педагогом|или|родителями|также|для|тематических|занятий|бесед")</f>
        <v>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ому|наследию|расширение|кругозора|одходит|для|чтения|педагогом|или|родителями|также|для|тематических|занятий|бесед</v>
      </c>
      <c r="B279" s="59" t="str">
        <f ca="1">IFERROR(__xludf.DUMMYFUNCTION("LOWER(REGEXREPLACE(D279&amp;"" ""&amp;E279,""[^а-яa-z0-9 ]"","" ""))"),"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идент"&amp;"ичности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f>
        <v xml:space="preserve">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v>
      </c>
      <c r="C279" s="61" t="s">
        <v>13006</v>
      </c>
      <c r="D279" s="56" t="s">
        <v>13007</v>
      </c>
      <c r="E279" s="56" t="s">
        <v>13008</v>
      </c>
      <c r="F279" s="57">
        <v>35700</v>
      </c>
      <c r="G279" s="58">
        <v>7</v>
      </c>
      <c r="I279" s="5"/>
      <c r="J279" s="5"/>
    </row>
    <row r="280" spans="1:10" x14ac:dyDescent="0.2">
      <c r="A280" s="59" t="str">
        <f ca="1">IFERROR(__xludf.DUMMYFUNCTION("TEXTJOIN(""|"",TRUE,UNIQUE(FILTER(SPLIT(B280,"" ""),LEN(SPLIT(B280,"" ""))&gt;2)))"),"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f>
        <v>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v>
      </c>
      <c r="B280" s="59" t="str">
        <f ca="1">IFERROR(__xludf.DUMMYFUNCTION("LOWER(REGEXREPLACE(D280&amp;"" ""&amp;E280,""[^а-яa-z0-9 ]"","" ""))"),"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о"&amp;"дходит для тематических занятий ")</f>
        <v xml:space="preserve">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одходит для тематических занятий </v>
      </c>
      <c r="C280" s="61" t="s">
        <v>13009</v>
      </c>
      <c r="D280" s="56" t="s">
        <v>13010</v>
      </c>
      <c r="E280" s="56" t="s">
        <v>13011</v>
      </c>
      <c r="F280" s="57">
        <v>4000</v>
      </c>
      <c r="G280" s="58">
        <v>1</v>
      </c>
      <c r="I280" s="5"/>
      <c r="J280" s="5"/>
    </row>
    <row r="281" spans="1:10" x14ac:dyDescent="0.2">
      <c r="A281" s="59" t="str">
        <f ca="1">IFERROR(__xludf.DUMMYFUNCTION("TEXTJOIN(""|"",TRUE,UNIQUE(FILTER(SPLIT(B281,"" ""),LEN(SPLIT(B281,"" ""))&gt;2)))"),"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amp;"анятий|спокойной|деятельности")</f>
        <v>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анятий|спокойной|деятельности</v>
      </c>
      <c r="B281" s="59" t="str">
        <f ca="1">IFERROR(__xludf.DUMMYFUNCTION("LOWER(REGEXREPLACE(D281&amp;"" ""&amp;E281,""[^а-яa-z0-9 ]"","" ""))"),"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одх"&amp;"одит для тематических занятий и спокойной деятельности ")</f>
        <v xml:space="preserve">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одходит для тематических занятий и спокойной деятельности </v>
      </c>
      <c r="C281" s="61" t="s">
        <v>13012</v>
      </c>
      <c r="D281" s="56" t="s">
        <v>13013</v>
      </c>
      <c r="E281" s="56" t="s">
        <v>13014</v>
      </c>
      <c r="F281" s="57">
        <v>12700</v>
      </c>
      <c r="G281" s="58">
        <v>1</v>
      </c>
      <c r="I281" s="5"/>
      <c r="J281" s="5"/>
    </row>
    <row r="282" spans="1:10" x14ac:dyDescent="0.2">
      <c r="A282" s="59" t="str">
        <f ca="1">IFERROR(__xludf.DUMMYFUNCTION("TEXTJOIN(""|"",TRUE,UNIQUE(FILTER(SPLIT(B282,"" ""),LEN(SPLIT(B282,"" ""))&gt;2)))"),"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amp;"тся|при|рассматривании|изображений|обсуждении|расширении|представлений|окружающем|мире|льбомы|подходят|для|использования|образовательной|практике")</f>
        <v>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тся|при|рассматривании|изображений|обсуждении|расширении|представлений|окружающем|мире|льбомы|подходят|для|использования|образовательной|практике</v>
      </c>
      <c r="B282" s="59" t="str">
        <f ca="1">IFERROR(__xludf.DUMMYFUNCTION("LOWER(REGEXREPLACE(D282&amp;"" ""&amp;E282,""[^а-яa-z0-9 ]"","" ""))"),"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профессиям"&amp;"и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f>
        <v xml:space="preserve">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v>
      </c>
      <c r="C282" s="61" t="s">
        <v>13015</v>
      </c>
      <c r="D282" s="56" t="s">
        <v>13016</v>
      </c>
      <c r="E282" s="56" t="s">
        <v>13017</v>
      </c>
      <c r="F282" s="57">
        <v>6700</v>
      </c>
      <c r="G282" s="58">
        <v>5</v>
      </c>
      <c r="I282" s="5"/>
      <c r="J282" s="5"/>
    </row>
    <row r="283" spans="1:10" x14ac:dyDescent="0.2">
      <c r="A283" s="59" t="str">
        <f ca="1">IFERROR(__xludf.DUMMYFUNCTION("TEXTJOIN(""|"",TRUE,UNIQUE(FILTER(SPLIT(B283,"" ""),LEN(SPLIT(B283,"" ""))&gt;2)))"),"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amp;"яется|при|совместном|чтении|тематических|занятиях")</f>
        <v>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яется|при|совместном|чтении|тематических|занятиях</v>
      </c>
      <c r="B283" s="59" t="str">
        <f ca="1">IFERROR(__xludf.DUMMYFUNCTION("LOWER(REGEXREPLACE(D283&amp;"" ""&amp;E283,""[^а-яa-z0-9 ]"","" ""))"),"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аккура"&amp;"тное многократное использование   рименяется при совместном чтении и тематических занятиях ")</f>
        <v xml:space="preserve">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аккуратное многократное использование   рименяется при совместном чтении и тематических занятиях </v>
      </c>
      <c r="C283" s="61" t="s">
        <v>13018</v>
      </c>
      <c r="D283" s="56" t="s">
        <v>13019</v>
      </c>
      <c r="E283" s="56" t="s">
        <v>13020</v>
      </c>
      <c r="F283" s="57">
        <v>7400</v>
      </c>
      <c r="G283" s="58">
        <v>5</v>
      </c>
      <c r="I283" s="5"/>
      <c r="J283" s="5"/>
    </row>
    <row r="284" spans="1:10" x14ac:dyDescent="0.2">
      <c r="A284" s="59" t="str">
        <f ca="1">IFERROR(__xludf.DUMMYFUNCTION("TEXTJOIN(""|"",TRUE,UNIQUE(FILTER(SPLIT(B284,"" ""),LEN(SPLIT(B284,"" ""))&gt;2)))"),"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amp;"|при|совместном|чтении|тематических|занятиях")</f>
        <v>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при|совместном|чтении|тематических|занятиях</v>
      </c>
      <c r="B284" s="59" t="str">
        <f ca="1">IFERROR(__xludf.DUMMYFUNCTION("LOWER(REGEXREPLACE(D284&amp;"" ""&amp;E284,""[^а-яa-z0-9 ]"","" ""))"),"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ак"&amp;"куратного использования   рименяется при совместном чтении и тематических занятиях ")</f>
        <v xml:space="preserve">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аккуратного использования   рименяется при совместном чтении и тематических занятиях </v>
      </c>
      <c r="C284" s="61" t="s">
        <v>13021</v>
      </c>
      <c r="D284" s="56" t="s">
        <v>13022</v>
      </c>
      <c r="E284" s="56" t="s">
        <v>13023</v>
      </c>
      <c r="F284" s="57">
        <v>7400</v>
      </c>
      <c r="G284" s="58">
        <v>5</v>
      </c>
      <c r="I284" s="5"/>
      <c r="J284" s="5"/>
    </row>
    <row r="285" spans="1:10" x14ac:dyDescent="0.2">
      <c r="A285" s="59" t="str">
        <f ca="1">IFERROR(__xludf.DUMMYFUNCTION("TEXTJOIN(""|"",TRUE,UNIQUE(FILTER(SPLIT(B285,"" ""),LEN(SPLIT(B285,"" ""))&gt;2)))"),"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amp;"считаны|многократное|использование")</f>
        <v>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считаны|многократное|использование</v>
      </c>
      <c r="B285" s="59" t="str">
        <f ca="1">IFERROR(__xludf.DUMMYFUNCTION("LOWER(REGEXREPLACE(D285&amp;"" ""&amp;E285,""[^а-яa-z0-9 ]"","" ""))"),"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рассматривания"&amp;"   артонные страницы рассчитаны на многократное использование ")</f>
        <v xml:space="preserve">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   артонные страницы рассчитаны на многократное использование </v>
      </c>
      <c r="C285" s="61" t="s">
        <v>13024</v>
      </c>
      <c r="D285" s="56" t="s">
        <v>13025</v>
      </c>
      <c r="E285" s="56" t="s">
        <v>13026</v>
      </c>
      <c r="F285" s="57">
        <v>9500</v>
      </c>
      <c r="G285" s="58">
        <v>1</v>
      </c>
      <c r="I285" s="5"/>
      <c r="J285" s="5"/>
    </row>
    <row r="286" spans="1:10" x14ac:dyDescent="0.2">
      <c r="A286" s="59" t="str">
        <f ca="1">IFERROR(__xludf.DUMMYFUNCTION("TEXTJOIN(""|"",TRUE,UNIQUE(FILTER(SPLIT(B286,"" ""),LEN(SPLIT(B286,"" ""))&gt;2)))"),"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amp;"ние|использование")</f>
        <v>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ние|использование</v>
      </c>
      <c r="B286" s="59" t="str">
        <f ca="1">IFERROR(__xludf.DUMMYFUNCTION("LOWER(REGEXREPLACE(D286&amp;"" ""&amp;E286,""[^а-яa-z0-9 ]"","" ""))"),"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ас"&amp;"считан на длительное хранение и использование ")</f>
        <v xml:space="preserve">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ассчитан на длительное хранение и использование </v>
      </c>
      <c r="C286" s="61" t="s">
        <v>13027</v>
      </c>
      <c r="D286" s="56" t="s">
        <v>13028</v>
      </c>
      <c r="E286" s="56" t="s">
        <v>13029</v>
      </c>
      <c r="F286" s="57">
        <v>10600</v>
      </c>
      <c r="G286" s="58">
        <v>10</v>
      </c>
      <c r="I286" s="5"/>
      <c r="J286" s="5"/>
    </row>
    <row r="287" spans="1:10" x14ac:dyDescent="0.2">
      <c r="A287" s="59" t="str">
        <f ca="1">IFERROR(__xludf.DUMMYFUNCTION("TEXTJOIN(""|"",TRUE,UNIQUE(FILTER(SPLIT(B287,"" ""),LEN(SPLIT(B287,"" ""))&gt;2)))"),"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f>
        <v>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v>
      </c>
      <c r="B287" s="59" t="str">
        <f ca="1">IFERROR(__xludf.DUMMYFUNCTION("LOWER(REGEXREPLACE(D287&amp;"" ""&amp;E287,""[^а-яa-z0-9 ]"","" ""))"),"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f>
        <v xml:space="preserve">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v>
      </c>
      <c r="C287" s="61" t="s">
        <v>13030</v>
      </c>
      <c r="D287" s="61" t="s">
        <v>13031</v>
      </c>
      <c r="E287" s="56" t="s">
        <v>13032</v>
      </c>
      <c r="F287" s="57">
        <v>152000</v>
      </c>
      <c r="G287" s="58">
        <v>18</v>
      </c>
      <c r="I287" s="5"/>
      <c r="J287" s="5"/>
    </row>
    <row r="288" spans="1:10" x14ac:dyDescent="0.2">
      <c r="A288" s="59" t="str">
        <f ca="1">IFERROR(__xludf.DUMMYFUNCTION("TEXTJOIN(""|"",TRUE,UNIQUE(FILTER(SPLIT(B288,"" ""),LEN(SPLIT(B288,"" ""))&gt;2)))"),"теллаж|двусторонний|полки|размер|менее|800х600х1100")</f>
        <v>теллаж|двусторонний|полки|размер|менее|800х600х1100</v>
      </c>
      <c r="B288" s="59" t="str">
        <f ca="1">IFERROR(__xludf.DUMMYFUNCTION("LOWER(REGEXREPLACE(D288&amp;"" ""&amp;E288,""[^а-яa-z0-9 ]"","" ""))"),"  теллаж двусторонний  3 полки  размер не менее 800х600х1100 мм")</f>
        <v xml:space="preserve">  теллаж двусторонний  3 полки  размер не менее 800х600х1100 мм</v>
      </c>
      <c r="C288" s="56"/>
      <c r="D288" s="56"/>
      <c r="E288" s="63" t="s">
        <v>13033</v>
      </c>
      <c r="F288" s="57">
        <v>34799</v>
      </c>
      <c r="G288" s="58">
        <v>1</v>
      </c>
      <c r="I288" s="5"/>
      <c r="J288" s="5"/>
    </row>
    <row r="289" spans="1:10" x14ac:dyDescent="0.2">
      <c r="A289" s="59" t="str">
        <f ca="1">IFERROR(__xludf.DUMMYFUNCTION("TEXTJOIN(""|"",TRUE,UNIQUE(FILTER(SPLIT(B289,"" ""),LEN(SPLIT(B289,"" ""))&gt;2)))"),"казахскими|орнаментами|ягкий|ков|для|зоны|чтения|отдыха|традиционными|казахскими|узорами|снащ|антискользящим|основанием")</f>
        <v>казахскими|орнаментами|ягкий|ков|для|зоны|чтения|отдыха|традиционными|казахскими|узорами|снащ|антискользящим|основанием</v>
      </c>
      <c r="B289" s="59" t="str">
        <f ca="1">IFERROR(__xludf.DUMMYFUNCTION("LOWER(REGEXREPLACE(D289&amp;"" ""&amp;E289,""[^а-яa-z0-9 ]"","" ""))")," ов р с казахскими орнаментами  ягкий ков р для зоны чтения и отдыха с традиционными казахскими узорами   снащ н антискользящим основанием ")</f>
        <v xml:space="preserve"> ов р с казахскими орнаментами  ягкий ков р для зоны чтения и отдыха с традиционными казахскими узорами   снащ н антискользящим основанием </v>
      </c>
      <c r="C289" s="61" t="s">
        <v>13034</v>
      </c>
      <c r="D289" s="56" t="s">
        <v>13035</v>
      </c>
      <c r="E289" s="56" t="s">
        <v>13036</v>
      </c>
      <c r="F289" s="57">
        <v>20700</v>
      </c>
      <c r="G289" s="58">
        <v>1</v>
      </c>
      <c r="I289" s="5"/>
      <c r="J289" s="5"/>
    </row>
    <row r="290" spans="1:10" x14ac:dyDescent="0.2">
      <c r="A290" s="59" t="str">
        <f ca="1">IFERROR(__xludf.DUMMYFUNCTION("TEXTJOIN(""|"",TRUE,UNIQUE(FILTER(SPLIT(B290,"" ""),LEN(SPLIT(B290,"" ""))&gt;2)))"),"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f>
        <v>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v>
      </c>
      <c r="B290" s="59" t="str">
        <f ca="1">IFERROR(__xludf.DUMMYFUNCTION("LOWER(REGEXREPLACE(D290&amp;"" ""&amp;E290,""[^а-яa-z0-9 ]"","" ""))"),"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скольжени"&amp;"ю и л гкий в уходе   ассчитан на регулярное использование ")</f>
        <v xml:space="preserve">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скольжению и л гкий в уходе   ассчитан на регулярное использование </v>
      </c>
      <c r="C290" s="61" t="s">
        <v>13037</v>
      </c>
      <c r="D290" s="56" t="s">
        <v>13038</v>
      </c>
      <c r="E290" s="56" t="s">
        <v>13039</v>
      </c>
      <c r="F290" s="57">
        <v>4500</v>
      </c>
      <c r="G290" s="58">
        <v>25</v>
      </c>
      <c r="I290" s="5"/>
      <c r="J290" s="5"/>
    </row>
    <row r="291" spans="1:10" x14ac:dyDescent="0.2">
      <c r="A291" s="59" t="str">
        <f ca="1">IFERROR(__xludf.DUMMYFUNCTION("TEXTJOIN(""|"",TRUE,UNIQUE(FILTER(SPLIT(B291,"" ""),LEN(SPLIT(B291,"" ""))&gt;2)))"),"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amp;"е|ковриков|азмер|одного|коврика|менее|возможны|дополнительные|меньшие|форматы")</f>
        <v>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е|ковриков|азмер|одного|коврика|менее|возможны|дополнительные|меньшие|форматы</v>
      </c>
      <c r="B291" s="59" t="str">
        <f ca="1">IFERROR(__xludf.DUMMYFUNCTION("LOWER(REGEXREPLACE(D291&amp;"" ""&amp;E291,""[^а-яa-z0-9 ]"","" ""))"),"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м"&amp;"еста    комплект входит не менее 4 ковриков   азмер одного коврика   не менее 39 29 см  возможны дополнительные меньшие форматы  ")</f>
        <v xml:space="preserve">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места    комплект входит не менее 4 ковриков   азмер одного коврика   не менее 39 29 см  возможны дополнительные меньшие форматы  </v>
      </c>
      <c r="C291" s="61" t="s">
        <v>13040</v>
      </c>
      <c r="D291" s="56" t="s">
        <v>13041</v>
      </c>
      <c r="E291" s="56" t="s">
        <v>13042</v>
      </c>
      <c r="F291" s="57">
        <v>2900</v>
      </c>
      <c r="G291" s="58">
        <v>15</v>
      </c>
      <c r="I291" s="5"/>
      <c r="J291" s="5"/>
    </row>
    <row r="292" spans="1:10" x14ac:dyDescent="0.2">
      <c r="A292" s="59" t="str">
        <f ca="1">IFERROR(__xludf.DUMMYFUNCTION("TEXTJOIN(""|"",TRUE,UNIQUE(FILTER(SPLIT(B292,"" ""),LEN(SPLIT(B292,"" ""))&gt;2)))"),"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amp;"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f>
        <v>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v>
      </c>
      <c r="B292" s="59" t="str">
        <f ca="1">IFERROR(__xludf.DUMMYFUNCTION("LOWER(REGEXREPLACE(D292&amp;"" ""&amp;E292,""[^а-яa-z0-9 ]"","" ""))"),"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пастельн"&amp;"ые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f>
        <v xml:space="preserve">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v>
      </c>
      <c r="C292" s="61" t="s">
        <v>13043</v>
      </c>
      <c r="D292" s="56" t="s">
        <v>13044</v>
      </c>
      <c r="E292" s="56" t="s">
        <v>13045</v>
      </c>
      <c r="F292" s="57">
        <v>12400</v>
      </c>
      <c r="G292" s="58">
        <v>1</v>
      </c>
      <c r="I292" s="5"/>
      <c r="J292" s="5"/>
    </row>
    <row r="293" spans="1:10" x14ac:dyDescent="0.2">
      <c r="A293" s="59" t="str">
        <f ca="1">IFERROR(__xludf.DUMMYFUNCTION("TEXTJOIN(""|"",TRUE,UNIQUE(FILTER(SPLIT(B293,"" ""),LEN(SPLIT(B293,"" ""))&gt;2)))"),"озы|орпеш|аян|сулу|рус|англ|дапт|умисбаев")</f>
        <v>озы|орпеш|аян|сулу|рус|англ|дапт|умисбаев</v>
      </c>
      <c r="B293" s="59" t="str">
        <f ca="1">IFERROR(__xludf.DUMMYFUNCTION("LOWER(REGEXREPLACE(D293&amp;"" ""&amp;E293,""[^а-яa-z0-9 ]"","" ""))")," озы  орпеш    аян сулу  рус   англ    дапт   умисбаев   ")</f>
        <v xml:space="preserve"> озы  орпеш    аян сулу  рус   англ    дапт   умисбаев   </v>
      </c>
      <c r="C293" s="61" t="s">
        <v>13046</v>
      </c>
      <c r="D293" s="56" t="s">
        <v>13047</v>
      </c>
      <c r="E293" s="56" t="s">
        <v>12622</v>
      </c>
      <c r="F293" s="57">
        <v>7900</v>
      </c>
      <c r="G293" s="58">
        <v>1</v>
      </c>
      <c r="I293" s="5"/>
      <c r="J293" s="5"/>
    </row>
    <row r="294" spans="1:10" x14ac:dyDescent="0.2">
      <c r="A294" s="59" t="str">
        <f ca="1">IFERROR(__xludf.DUMMYFUNCTION("TEXTJOIN(""|"",TRUE,UNIQUE(FILTER(SPLIT(B294,"" ""),LEN(SPLIT(B294,"" ""))&gt;2)))"),"ылды|бояма|мная|раскраска|аскрась|коду|енаги")</f>
        <v>ылды|бояма|мная|раскраска|аскрась|коду|енаги</v>
      </c>
      <c r="B294" s="59" t="str">
        <f ca="1">IFERROR(__xludf.DUMMYFUNCTION("LOWER(REGEXREPLACE(D294&amp;"" ""&amp;E294,""[^а-яa-z0-9 ]"","" ""))"),"   ылды  бояма    й    мная  раскраска   аскрась по коду   ом  енаги   ")</f>
        <v xml:space="preserve">   ылды  бояма    й    мная  раскраска   аскрась по коду   ом  енаги   </v>
      </c>
      <c r="C294" s="61" t="s">
        <v>13048</v>
      </c>
      <c r="D294" s="56" t="s">
        <v>13049</v>
      </c>
      <c r="E294" s="56" t="s">
        <v>12368</v>
      </c>
      <c r="F294" s="57">
        <v>1400</v>
      </c>
      <c r="G294" s="58">
        <v>1</v>
      </c>
      <c r="I294" s="5"/>
      <c r="J294" s="5"/>
    </row>
    <row r="295" spans="1:10" x14ac:dyDescent="0.2">
      <c r="A295" s="59" t="str">
        <f ca="1">IFERROR(__xludf.DUMMYFUNCTION("TEXTJOIN(""|"",TRUE,UNIQUE(FILTER(SPLIT(B295,"" ""),LEN(SPLIT(B295,"" ""))&gt;2)))"),"нтология|планеты|земля|лдершоу")</f>
        <v>нтология|планеты|земля|лдершоу</v>
      </c>
      <c r="B295" s="59" t="str">
        <f ca="1">IFERROR(__xludf.DUMMYFUNCTION("LOWER(REGEXREPLACE(D295&amp;"" ""&amp;E295,""[^а-яa-z0-9 ]"","" ""))")," нтология планеты земля  лдершоу   ")</f>
        <v xml:space="preserve"> нтология планеты земля  лдершоу   </v>
      </c>
      <c r="C295" s="61" t="s">
        <v>13050</v>
      </c>
      <c r="D295" s="56" t="s">
        <v>13051</v>
      </c>
      <c r="E295" s="56" t="s">
        <v>12674</v>
      </c>
      <c r="F295" s="57">
        <v>19000</v>
      </c>
      <c r="G295" s="58">
        <v>1</v>
      </c>
      <c r="I295" s="5"/>
      <c r="J295" s="5"/>
    </row>
    <row r="296" spans="1:10" x14ac:dyDescent="0.2">
      <c r="A296" s="59" t="str">
        <f ca="1">IFERROR(__xludf.DUMMYFUNCTION("TEXTJOIN(""|"",TRUE,UNIQUE(FILTER(SPLIT(B296,"" ""),LEN(SPLIT(B296,"" ""))&gt;2)))"),"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amp;"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f>
        <v>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v>
      </c>
      <c r="B296" s="59" t="str">
        <f ca="1">IFERROR(__xludf.DUMMYFUNCTION("LOWER(REGEXREPLACE(D296&amp;"" ""&amp;E296,""[^а-яa-z0-9 ]"","" ""))"),"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должны"&amp;"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f>
        <v xml:space="preserve">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v>
      </c>
      <c r="C296" s="61" t="s">
        <v>13052</v>
      </c>
      <c r="D296" s="56" t="s">
        <v>13053</v>
      </c>
      <c r="E296" s="56" t="s">
        <v>13054</v>
      </c>
      <c r="F296" s="57">
        <v>18400</v>
      </c>
      <c r="G296" s="58">
        <v>10</v>
      </c>
      <c r="I296" s="5"/>
      <c r="J296" s="5"/>
    </row>
    <row r="297" spans="1:10" x14ac:dyDescent="0.2">
      <c r="A297" s="59" t="str">
        <f ca="1">IFERROR(__xludf.DUMMYFUNCTION("TEXTJOIN(""|"",TRUE,UNIQUE(FILTER(SPLIT(B297,"" ""),LEN(SPLIT(B297,"" ""))&gt;2)))"),"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amp;"авке|единицей|товара|ветовая|гамма|допускает|различные|варианты|ассортименту")</f>
        <v>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авке|единицей|товара|ветовая|гамма|допускает|различные|варианты|ассортименту</v>
      </c>
      <c r="B297" s="59" t="str">
        <f ca="1">IFERROR(__xludf.DUMMYFUNCTION("LOWER(REGEXREPLACE(D297&amp;"" ""&amp;E297,""[^а-яa-z0-9 ]"","" ""))"),"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о"&amp;"треза ткани   не менее 1 м  при поставке единицей товара    ветовая гамма допускает различные варианты по ассортименту ")</f>
        <v xml:space="preserve">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отреза ткани   не менее 1 м  при поставке единицей товара    ветовая гамма допускает различные варианты по ассортименту </v>
      </c>
      <c r="C297" s="61" t="s">
        <v>13055</v>
      </c>
      <c r="D297" s="56" t="s">
        <v>13056</v>
      </c>
      <c r="E297" s="56" t="s">
        <v>13057</v>
      </c>
      <c r="F297" s="57">
        <v>22800</v>
      </c>
      <c r="G297" s="58">
        <v>1</v>
      </c>
      <c r="I297" s="5"/>
      <c r="J297" s="5"/>
    </row>
    <row r="298" spans="1:10" x14ac:dyDescent="0.2">
      <c r="A298" s="59" t="str">
        <f ca="1">IFERROR(__xludf.DUMMYFUNCTION("TEXTJOIN(""|"",TRUE,UNIQUE(FILTER(SPLIT(B298,"" ""),LEN(SPLIT(B298,"" ""))&gt;2)))"),"олода|для|рубки|мяса|верх|ekp70x70|ержавеющая|сталь|430|олщина|полиэтилена|бортиком|без|полки|араметры|700x700x850")</f>
        <v>олода|для|рубки|мяса|верх|ekp70x70|ержавеющая|сталь|430|олщина|полиэтилена|бортиком|без|полки|араметры|700x700x850</v>
      </c>
      <c r="B298" s="59" t="str">
        <f ca="1">IFERROR(__xludf.DUMMYFUNCTION("LOWER(REGEXREPLACE(D298&amp;"" ""&amp;E298,""[^а-яa-z0-9 ]"","" ""))")," олода для рубки мяса верх пэ ce ekp70x70  ержавеющая сталь 430   олщина  полиэтилена  10 cm    бортиком  без полки   араметры  700x700x850 мм")</f>
        <v xml:space="preserve"> олода для рубки мяса верх пэ ce ekp70x70  ержавеющая сталь 430   олщина  полиэтилена  10 cm    бортиком  без полки   араметры  700x700x850 мм</v>
      </c>
      <c r="C298" s="61" t="s">
        <v>13058</v>
      </c>
      <c r="D298" s="56" t="s">
        <v>13059</v>
      </c>
      <c r="E298" s="56" t="s">
        <v>13060</v>
      </c>
      <c r="F298" s="57">
        <v>470300</v>
      </c>
      <c r="G298" s="58">
        <v>1</v>
      </c>
      <c r="I298" s="5"/>
      <c r="J298" s="5"/>
    </row>
    <row r="299" spans="1:10" x14ac:dyDescent="0.2">
      <c r="A299" s="59" t="str">
        <f ca="1">IFERROR(__xludf.DUMMYFUNCTION("TEXTJOIN(""|"",TRUE,UNIQUE(FILTER(SPLIT(B299,"" ""),LEN(SPLIT(B299,"" ""))&gt;2)))"),"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amp;"ржания|абариты|изделия|составляют|менее|ассчитан|многократное|использование|помещении")</f>
        <v>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ржания|абариты|изделия|составляют|менее|ассчитан|многократное|использование|помещении</v>
      </c>
      <c r="B299" s="59" t="str">
        <f ca="1">IFERROR(__xludf.DUMMYFUNCTION("LOWER(REGEXREPLACE(D299&amp;"" ""&amp;E299,""[^а-яa-z0-9 ]"","" ""))"),"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проч"&amp;"ность и удобство удержания   абариты изделия составляют не менее 6 5 6 5 12 см   ассчитан на многократное использование в помещении ")</f>
        <v xml:space="preserve">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прочность и удобство удержания   абариты изделия составляют не менее 6 5 6 5 12 см   ассчитан на многократное использование в помещении </v>
      </c>
      <c r="C299" s="61" t="s">
        <v>13061</v>
      </c>
      <c r="D299" s="56" t="s">
        <v>13062</v>
      </c>
      <c r="E299" s="56" t="s">
        <v>13063</v>
      </c>
      <c r="F299" s="57">
        <v>4500</v>
      </c>
      <c r="G299" s="58">
        <v>175</v>
      </c>
      <c r="I299" s="5"/>
      <c r="J299" s="5"/>
    </row>
    <row r="300" spans="1:10" x14ac:dyDescent="0.2">
      <c r="A300" s="59" t="str">
        <f ca="1">IFERROR(__xludf.DUMMYFUNCTION("TEXTJOIN(""|"",TRUE,UNIQUE(FILTER(SPLIT(B300,"" ""),LEN(SPLIT(B300,"" ""))&gt;2)))"),"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amp;"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f>
        <v>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v>
      </c>
      <c r="B300" s="59" t="str">
        <f ca="1">IFERROR(__xludf.DUMMYFUNCTION("LOWER(REGEXREPLACE(D300&amp;"" ""&amp;E300,""[^а-яa-z0-9 ]"","" ""))"),"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"&amp;"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f>
        <v xml:space="preserve">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v>
      </c>
      <c r="C300" s="61" t="s">
        <v>13064</v>
      </c>
      <c r="D300" s="56" t="s">
        <v>13065</v>
      </c>
      <c r="E300" s="56" t="s">
        <v>13066</v>
      </c>
      <c r="F300" s="57">
        <v>19000</v>
      </c>
      <c r="G300" s="58">
        <v>2</v>
      </c>
      <c r="I300" s="5"/>
      <c r="J300" s="5"/>
    </row>
    <row r="301" spans="1:10" x14ac:dyDescent="0.2">
      <c r="A301" s="59" t="str">
        <f ca="1">IFERROR(__xludf.DUMMYFUNCTION("TEXTJOIN(""|"",TRUE,UNIQUE(FILTER(SPLIT(B301,"" ""),LEN(SPLIT(B301,"" ""))&gt;2)))"),"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amp;"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f>
        <v>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v>
      </c>
      <c r="B301" s="59" t="str">
        <f ca="1">IFERROR(__xludf.DUMMYFUNCTION("LOWER(REGEXREPLACE(D301&amp;"" ""&amp;E301,""[^а-яa-z0-9 ]"","" ""))"),"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игровые"&amp;"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"&amp;"время игры ")</f>
        <v xml:space="preserve">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время игры </v>
      </c>
      <c r="C301" s="61" t="s">
        <v>13067</v>
      </c>
      <c r="D301" s="56" t="s">
        <v>13068</v>
      </c>
      <c r="E301" s="56" t="s">
        <v>13069</v>
      </c>
      <c r="F301" s="57">
        <v>23500</v>
      </c>
      <c r="G301" s="58">
        <v>10</v>
      </c>
      <c r="I301" s="5"/>
      <c r="J301" s="5"/>
    </row>
    <row r="302" spans="1:10" x14ac:dyDescent="0.2">
      <c r="A302" s="59" t="str">
        <f ca="1">IFERROR(__xludf.DUMMYFUNCTION("TEXTJOIN(""|"",TRUE,UNIQUE(FILTER(SPLIT(B302,"" ""),LEN(SPLIT(B302,"" ""))&gt;2)))"),"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amp;"жения|эмоционального|напряжения|онструкция|устойчивая|предназначена|для|стационарного|размещения|сенсорных|психологических|зонах")</f>
        <v>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жения|эмоционального|напряжения|онструкция|устойчивая|предназначена|для|стационарного|размещения|сенсорных|психологических|зонах</v>
      </c>
      <c r="B302" s="59" t="str">
        <f ca="1">IFERROR(__xludf.DUMMYFUNCTION("LOWER(REGEXREPLACE(D302&amp;"" ""&amp;E302,""[^а-яa-z0-9 ]"","" ""))"),"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стимул"&amp;"яции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f>
        <v xml:space="preserve">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v>
      </c>
      <c r="C302" s="61" t="s">
        <v>13070</v>
      </c>
      <c r="D302" s="56" t="s">
        <v>13071</v>
      </c>
      <c r="E302" s="56" t="s">
        <v>13072</v>
      </c>
      <c r="F302" s="57">
        <v>1472500</v>
      </c>
      <c r="G302" s="58">
        <v>1</v>
      </c>
      <c r="I302" s="5"/>
      <c r="J302" s="5"/>
    </row>
    <row r="303" spans="1:10" x14ac:dyDescent="0.2">
      <c r="A303" s="59" t="str">
        <f ca="1">IFERROR(__xludf.DUMMYFUNCTION("TEXTJOIN(""|"",TRUE,UNIQUE(FILTER(SPLIT(B303,"" ""),LEN(SPLIT(B303,"" ""))&gt;2)))"),"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amp;"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f>
        <v>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v>
      </c>
      <c r="B303" s="59" t="str">
        <f ca="1">IFERROR(__xludf.DUMMYFUNCTION("LOWER(REGEXREPLACE(D303&amp;"" ""&amp;E303,""[^а-яa-z0-9 ]"","" ""))"),"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цветораз"&amp;"личения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f>
        <v xml:space="preserve">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v>
      </c>
      <c r="C303" s="61" t="s">
        <v>13073</v>
      </c>
      <c r="D303" s="56" t="s">
        <v>13074</v>
      </c>
      <c r="E303" s="56" t="s">
        <v>13075</v>
      </c>
      <c r="F303" s="57">
        <v>9100</v>
      </c>
      <c r="G303" s="58">
        <v>25</v>
      </c>
      <c r="I303" s="5"/>
      <c r="J303" s="5"/>
    </row>
    <row r="304" spans="1:10" x14ac:dyDescent="0.2">
      <c r="A304" s="59" t="str">
        <f ca="1">IFERROR(__xludf.DUMMYFUNCTION("TEXTJOIN(""|"",TRUE,UNIQUE(FILTER(SPLIT(B304,"" ""),LEN(SPLIT(B304,"" ""))&gt;2)))"),"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amp;"ечь|эмоциональный|интеллект|навыки|взаимодействия|спользуется|психологических|игровых|кабинетах")</f>
        <v>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ечь|эмоциональный|интеллект|навыки|взаимодействия|спользуется|психологических|игровых|кабинетах</v>
      </c>
      <c r="B304" s="59" t="str">
        <f ca="1">IFERROR(__xludf.DUMMYFUNCTION("LOWER(REGEXREPLACE(D304&amp;"" ""&amp;E304,""[^а-яa-z0-9 ]"","" ""))"),"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социаль"&amp;"ные навыки  речь  эмоциональный интеллект и навыки взаимодействия   спользуется в психологических и игровых кабинетах ")</f>
        <v xml:space="preserve">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социальные навыки  речь  эмоциональный интеллект и навыки взаимодействия   спользуется в психологических и игровых кабинетах </v>
      </c>
      <c r="C304" s="61" t="s">
        <v>13076</v>
      </c>
      <c r="D304" s="56" t="s">
        <v>13077</v>
      </c>
      <c r="E304" s="56" t="s">
        <v>13078</v>
      </c>
      <c r="F304" s="57">
        <v>195400</v>
      </c>
      <c r="G304" s="58">
        <v>1</v>
      </c>
      <c r="I304" s="5"/>
      <c r="J304" s="5"/>
    </row>
    <row r="305" spans="1:10" x14ac:dyDescent="0.2">
      <c r="A305" s="59" t="str">
        <f ca="1">IFERROR(__xludf.DUMMYFUNCTION("TEXTJOIN(""|"",TRUE,UNIQUE(FILTER(SPLIT(B305,"" ""),LEN(SPLIT(B305,"" ""))&gt;2)))"),"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amp;"овых|занятий|также|коррекционно|развивающей|практике")</f>
        <v>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овых|занятий|также|коррекционно|развивающей|практике</v>
      </c>
      <c r="B305" s="59" t="str">
        <f ca="1">IFERROR(__xludf.DUMMYFUNCTION("LOWER(REGEXREPLACE(D305&amp;"" ""&amp;E305,""[^а-яa-z0-9 ]"","" ""))"),"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для"&amp;" индивидуальных и подгрупповых занятий  а также в коррекционно развивающей практике ")</f>
        <v xml:space="preserve">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 индивидуальных и подгрупповых занятий  а также в коррекционно развивающей практике </v>
      </c>
      <c r="C305" s="61" t="s">
        <v>13079</v>
      </c>
      <c r="D305" s="56" t="s">
        <v>13080</v>
      </c>
      <c r="E305" s="56" t="s">
        <v>13081</v>
      </c>
      <c r="F305" s="57">
        <v>19000</v>
      </c>
      <c r="G305" s="58">
        <v>1</v>
      </c>
      <c r="I305" s="5"/>
      <c r="J305" s="5"/>
    </row>
    <row r="306" spans="1:10" x14ac:dyDescent="0.2">
      <c r="A306" s="59" t="str">
        <f ca="1">IFERROR(__xludf.DUMMYFUNCTION("TEXTJOIN(""|"",TRUE,UNIQUE(FILTER(SPLIT(B306,"" ""),LEN(SPLIT(B306,"" ""))&gt;2)))"),"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amp;"ния")</f>
        <v>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ния</v>
      </c>
      <c r="B306" s="59" t="str">
        <f ca="1">IFERROR(__xludf.DUMMYFUNCTION("LOWER(REGEXREPLACE(D306&amp;"" ""&amp;E306,""[^а-яa-z0-9 ]"","" ""))"),"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"&amp;"помещениях учреждения ")</f>
        <v xml:space="preserve">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помещениях учреждения </v>
      </c>
      <c r="C306" s="61" t="s">
        <v>13082</v>
      </c>
      <c r="D306" s="56" t="s">
        <v>13083</v>
      </c>
      <c r="E306" s="56" t="s">
        <v>13084</v>
      </c>
      <c r="F306" s="57">
        <v>18000</v>
      </c>
      <c r="G306" s="58">
        <v>1</v>
      </c>
      <c r="I306" s="5"/>
      <c r="J306" s="5"/>
    </row>
    <row r="307" spans="1:10" x14ac:dyDescent="0.2">
      <c r="A307" s="59" t="str">
        <f ca="1">IFERROR(__xludf.DUMMYFUNCTION("TEXTJOIN(""|"",TRUE,UNIQUE(FILTER(SPLIT(B307,"" ""),LEN(SPLIT(B307,"" ""))&gt;2)))"),"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amp;"спользование")</f>
        <v>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спользование</v>
      </c>
      <c r="B307" s="59" t="str">
        <f ca="1">IFERROR(__xludf.DUMMYFUNCTION("LOWER(REGEXREPLACE(D307&amp;"" ""&amp;E307,""[^а-яa-z0-9 ]"","" ""))"),"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ар"&amp;"точки рассчитаны на регулярное использование ")</f>
        <v xml:space="preserve">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арточки рассчитаны на регулярное использование </v>
      </c>
      <c r="C307" s="61" t="s">
        <v>13085</v>
      </c>
      <c r="D307" s="56" t="s">
        <v>13086</v>
      </c>
      <c r="E307" s="56" t="s">
        <v>13087</v>
      </c>
      <c r="F307" s="57">
        <v>10600</v>
      </c>
      <c r="G307" s="58">
        <v>5</v>
      </c>
      <c r="I307" s="5"/>
      <c r="J307" s="5"/>
    </row>
    <row r="308" spans="1:10" x14ac:dyDescent="0.2">
      <c r="A308" s="59" t="str">
        <f ca="1">IFERROR(__xludf.DUMMYFUNCTION("TEXTJOIN(""|"",TRUE,UNIQUE(FILTER(SPLIT(B308,"" ""),LEN(SPLIT(B308,"" ""))&gt;2)))"),"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amp;"|занятий|ассчитан|регулярное|использование")</f>
        <v>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занятий|ассчитан|регулярное|использование</v>
      </c>
      <c r="B308" s="59" t="str">
        <f ca="1">IFERROR(__xludf.DUMMYFUNCTION("LOWER(REGEXREPLACE(D308&amp;"" ""&amp;E308,""[^а-яa-z0-9 ]"","" ""))"),"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для"&amp;" организации книжного уголка и тематических занятий   ассчитан на регулярное использование ")</f>
        <v xml:space="preserve">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 организации книжного уголка и тематических занятий   ассчитан на регулярное использование </v>
      </c>
      <c r="C308" s="61" t="s">
        <v>13088</v>
      </c>
      <c r="D308" s="56" t="s">
        <v>13089</v>
      </c>
      <c r="E308" s="56" t="s">
        <v>13090</v>
      </c>
      <c r="F308" s="57">
        <v>47500</v>
      </c>
      <c r="G308" s="58">
        <v>7</v>
      </c>
      <c r="I308" s="5"/>
      <c r="J308" s="5"/>
    </row>
    <row r="309" spans="1:10" x14ac:dyDescent="0.2">
      <c r="A309" s="59" t="str">
        <f ca="1">IFERROR(__xludf.DUMMYFUNCTION("TEXTJOIN(""|"",TRUE,UNIQUE(FILTER(SPLIT(B309,"" ""),LEN(SPLIT(B309,"" ""))&gt;2)))"),"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amp;"говечность")</f>
        <v>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говечность</v>
      </c>
      <c r="B309" s="59" t="str">
        <f ca="1">IFERROR(__xludf.DUMMYFUNCTION("LOWER(REGEXREPLACE(D309&amp;"" ""&amp;E309,""[^а-яa-z0-9 ]"","" ""))"),"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гк"&amp;"ость ухода  износостойкость и долговечность ")</f>
        <v xml:space="preserve">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гкость ухода  износостойкость и долговечность </v>
      </c>
      <c r="C309" s="61" t="s">
        <v>13091</v>
      </c>
      <c r="D309" s="56" t="s">
        <v>13092</v>
      </c>
      <c r="E309" s="56" t="s">
        <v>13093</v>
      </c>
      <c r="F309" s="57">
        <v>714000</v>
      </c>
      <c r="G309" s="58">
        <v>45</v>
      </c>
      <c r="I309" s="5"/>
      <c r="J309" s="5"/>
    </row>
    <row r="310" spans="1:10" x14ac:dyDescent="0.2">
      <c r="A310" s="59" t="str">
        <f ca="1">IFERROR(__xludf.DUMMYFUNCTION("TEXTJOIN(""|"",TRUE,UNIQUE(FILTER(SPLIT(B310,"" ""),LEN(SPLIT(B310,"" ""))&gt;2)))"),"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f>
        <v>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v>
      </c>
      <c r="B310" s="59" t="str">
        <f ca="1">IFERROR(__xludf.DUMMYFUNCTION("LOWER(REGEXREPLACE(D310&amp;"" ""&amp;E310,""[^а-яa-z0-9 ]"","" ""))"),"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обработки"&amp;" ")</f>
        <v xml:space="preserve">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 </v>
      </c>
      <c r="C310" s="61" t="s">
        <v>13094</v>
      </c>
      <c r="D310" s="56" t="s">
        <v>13095</v>
      </c>
      <c r="E310" s="56" t="s">
        <v>13096</v>
      </c>
      <c r="F310" s="57">
        <v>36000</v>
      </c>
      <c r="G310" s="58">
        <v>960</v>
      </c>
      <c r="I310" s="5"/>
      <c r="J310" s="5"/>
    </row>
    <row r="311" spans="1:10" x14ac:dyDescent="0.2">
      <c r="A311" s="59" t="str">
        <f ca="1">IFERROR(__xludf.DUMMYFUNCTION("TEXTJOIN(""|"",TRUE,UNIQUE(FILTER(SPLIT(B311,"" ""),LEN(SPLIT(B311,"" ""))&gt;2)))"),"омпьютерл|программалау|алалар|арнал|ордерман")</f>
        <v>омпьютерл|программалау|алалар|арнал|ордерман</v>
      </c>
      <c r="B311" s="59" t="str">
        <f ca="1">IFERROR(__xludf.DUMMYFUNCTION("LOWER(REGEXREPLACE(D311&amp;"" ""&amp;E311,""[^а-яa-z0-9 ]"","" ""))")," омпьютерл к программалау   алалар а арнал ан  ордерман   ")</f>
        <v xml:space="preserve"> омпьютерл к программалау   алалар а арнал ан  ордерман   </v>
      </c>
      <c r="C311" s="61" t="s">
        <v>13097</v>
      </c>
      <c r="D311" s="56" t="s">
        <v>13098</v>
      </c>
      <c r="E311" s="56" t="s">
        <v>13099</v>
      </c>
      <c r="F311" s="57">
        <v>5700</v>
      </c>
      <c r="G311" s="58">
        <v>1</v>
      </c>
      <c r="I311" s="5"/>
      <c r="J311" s="5"/>
    </row>
    <row r="312" spans="1:10" x14ac:dyDescent="0.2">
      <c r="A312" s="59" t="str">
        <f ca="1">IFERROR(__xludf.DUMMYFUNCTION("TEXTJOIN(""|"",TRUE,UNIQUE(FILTER(SPLIT(B312,"" ""),LEN(SPLIT(B312,"" ""))&gt;2)))"),"онный|мир|казахов|октабай")</f>
        <v>онный|мир|казахов|октабай</v>
      </c>
      <c r="B312" s="59" t="str">
        <f ca="1">IFERROR(__xludf.DUMMYFUNCTION("LOWER(REGEXREPLACE(D312&amp;"" ""&amp;E312,""[^а-яa-z0-9 ]"","" ""))")," онный мир казахов  октабай   ")</f>
        <v xml:space="preserve"> онный мир казахов  октабай   </v>
      </c>
      <c r="C312" s="61" t="s">
        <v>13100</v>
      </c>
      <c r="D312" s="56" t="s">
        <v>13101</v>
      </c>
      <c r="E312" s="56" t="s">
        <v>13102</v>
      </c>
      <c r="F312" s="57">
        <v>37900</v>
      </c>
      <c r="G312" s="58">
        <v>1</v>
      </c>
      <c r="I312" s="5"/>
      <c r="J312" s="5"/>
    </row>
    <row r="313" spans="1:10" x14ac:dyDescent="0.2">
      <c r="A313" s="59" t="str">
        <f ca="1">IFERROR(__xludf.DUMMYFUNCTION("TEXTJOIN(""|"",TRUE,UNIQUE(FILTER(SPLIT(B313,"" ""),LEN(SPLIT(B313,"" ""))&gt;2)))"),"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f>
        <v>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v>
      </c>
      <c r="B313" s="59" t="str">
        <f ca="1">IFERROR(__xludf.DUMMYFUNCTION("LOWER(REGEXREPLACE(D313&amp;"" ""&amp;E313,""[^а-яa-z0-9 ]"","" ""))"),"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f>
        <v xml:space="preserve">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v>
      </c>
      <c r="C313" s="61" t="s">
        <v>13103</v>
      </c>
      <c r="D313" s="56" t="s">
        <v>13104</v>
      </c>
      <c r="E313" s="56" t="s">
        <v>13105</v>
      </c>
      <c r="F313" s="57">
        <v>14300</v>
      </c>
      <c r="G313" s="58">
        <v>14</v>
      </c>
      <c r="I313" s="5"/>
      <c r="J313" s="5"/>
    </row>
    <row r="314" spans="1:10" x14ac:dyDescent="0.2">
      <c r="A314" s="59" t="str">
        <f ca="1">IFERROR(__xludf.DUMMYFUNCTION("TEXTJOIN(""|"",TRUE,UNIQUE(FILTER(SPLIT(B314,"" ""),LEN(SPLIT(B314,"" ""))&gt;2)))"),"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f>
        <v>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v>
      </c>
      <c r="B314" s="59" t="str">
        <f ca="1">IFERROR(__xludf.DUMMYFUNCTION("LOWER(REGEXREPLACE(D314&amp;"" ""&amp;E314,""[^а-яa-z0-9 ]"","" ""))"),"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f>
        <v xml:space="preserve">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v>
      </c>
      <c r="C314" s="61" t="s">
        <v>13106</v>
      </c>
      <c r="D314" s="56" t="s">
        <v>13107</v>
      </c>
      <c r="E314" s="56" t="s">
        <v>13108</v>
      </c>
      <c r="F314" s="57">
        <v>34700</v>
      </c>
      <c r="G314" s="58">
        <v>1</v>
      </c>
      <c r="I314" s="5"/>
      <c r="J314" s="5"/>
    </row>
    <row r="315" spans="1:10" x14ac:dyDescent="0.2">
      <c r="A315" s="59" t="str">
        <f ca="1">IFERROR(__xludf.DUMMYFUNCTION("TEXTJOIN(""|"",TRUE,UNIQUE(FILTER(SPLIT(B315,"" ""),LEN(SPLIT(B315,"" ""))&gt;2)))"),"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f>
        <v>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v>
      </c>
      <c r="B315" s="59" t="str">
        <f ca="1">IFERROR(__xludf.DUMMYFUNCTION("LOWER(REGEXREPLACE(D315&amp;"" ""&amp;E315,""[^а-яa-z0-9 ]"","" ""))"),"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f>
        <v xml:space="preserve">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v>
      </c>
      <c r="C315" s="61" t="s">
        <v>13109</v>
      </c>
      <c r="D315" s="56" t="s">
        <v>13110</v>
      </c>
      <c r="E315" s="56" t="s">
        <v>13111</v>
      </c>
      <c r="F315" s="57">
        <v>46700</v>
      </c>
      <c r="G315" s="58">
        <v>5</v>
      </c>
      <c r="I315" s="5"/>
      <c r="J315" s="5"/>
    </row>
    <row r="316" spans="1:10" x14ac:dyDescent="0.2">
      <c r="A316" s="59" t="str">
        <f ca="1">IFERROR(__xludf.DUMMYFUNCTION("TEXTJOIN(""|"",TRUE,UNIQUE(FILTER(SPLIT(B316,"" ""),LEN(SPLIT(B316,"" ""))&gt;2)))"),"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amp;"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amp;"ной|среды")</f>
        <v>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ной|среды</v>
      </c>
      <c r="B316" s="59" t="str">
        <f ca="1">IFERROR(__xludf.DUMMYFUNCTION("LOWER(REGEXREPLACE(D316&amp;"" ""&amp;E316,""[^а-яa-z0-9 ]"","" ""))"),"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объек"&amp;"тов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сбор"&amp;"ку и разборку в условиях образовательной среды ")</f>
        <v xml:space="preserve">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сборку и разборку в условиях образовательной среды </v>
      </c>
      <c r="C316" s="61" t="s">
        <v>13112</v>
      </c>
      <c r="D316" s="56" t="s">
        <v>13113</v>
      </c>
      <c r="E316" s="56" t="s">
        <v>13114</v>
      </c>
      <c r="F316" s="57">
        <v>34100</v>
      </c>
      <c r="G316" s="58">
        <v>5</v>
      </c>
      <c r="I316" s="5"/>
      <c r="J316" s="5"/>
    </row>
    <row r="317" spans="1:10" x14ac:dyDescent="0.2">
      <c r="A317" s="59" t="str">
        <f ca="1">IFERROR(__xludf.DUMMYFUNCTION("TEXTJOIN(""|"",TRUE,UNIQUE(FILTER(SPLIT(B317,"" ""),LEN(SPLIT(B317,"" ""))&gt;2)))"),"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amp;"на|хранение|применение|помещениях")</f>
        <v>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на|хранение|применение|помещениях</v>
      </c>
      <c r="B317" s="59" t="str">
        <f ca="1">IFERROR(__xludf.DUMMYFUNCTION("LOWER(REGEXREPLACE(D317&amp;"" ""&amp;E317,""[^а-яa-z0-9 ]"","" ""))"),"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пра"&amp;"вилами   ассчитана на хранение и применение в помещениях ")</f>
        <v xml:space="preserve">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правилами   ассчитана на хранение и применение в помещениях </v>
      </c>
      <c r="C317" s="61" t="s">
        <v>13115</v>
      </c>
      <c r="D317" s="56" t="s">
        <v>13116</v>
      </c>
      <c r="E317" s="56" t="s">
        <v>13117</v>
      </c>
      <c r="F317" s="57">
        <v>43200</v>
      </c>
      <c r="G317" s="58">
        <v>13</v>
      </c>
      <c r="I317" s="5"/>
      <c r="J317" s="5"/>
    </row>
    <row r="318" spans="1:10" x14ac:dyDescent="0.2">
      <c r="A318" s="59" t="str">
        <f ca="1">IFERROR(__xludf.DUMMYFUNCTION("TEXTJOIN(""|"",TRUE,UNIQUE(FILTER(SPLIT(B318,"" ""),LEN(SPLIT(B318,"" ""))&gt;2)))"),"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f>
        <v>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v>
      </c>
      <c r="B318" s="59" t="str">
        <f ca="1">IFERROR(__xludf.DUMMYFUNCTION("LOWER(REGEXREPLACE(D318&amp;"" ""&amp;E318,""[^а-яa-z0-9 ]"","" ""))"),"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f>
        <v xml:space="preserve">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v>
      </c>
      <c r="C318" s="61" t="s">
        <v>13118</v>
      </c>
      <c r="D318" s="56" t="s">
        <v>13119</v>
      </c>
      <c r="E318" s="56" t="s">
        <v>13120</v>
      </c>
      <c r="F318" s="57">
        <v>14600</v>
      </c>
      <c r="G318" s="58">
        <v>7</v>
      </c>
      <c r="I318" s="5"/>
      <c r="J318" s="5"/>
    </row>
    <row r="319" spans="1:10" x14ac:dyDescent="0.2">
      <c r="A319" s="59" t="str">
        <f ca="1">IFERROR(__xludf.DUMMYFUNCTION("TEXTJOIN(""|"",TRUE,UNIQUE(FILTER(SPLIT(B319,"" ""),LEN(SPLIT(B319,"" ""))&gt;2)))"),"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amp;"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f>
        <v>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v>
      </c>
      <c r="B319" s="59" t="str">
        <f ca="1">IFERROR(__xludf.DUMMYFUNCTION("LOWER(REGEXREPLACE(D319&amp;"" ""&amp;E319,""[^а-яa-z0-9 ]"","" ""))"),"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направ"&amp;"ленного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f>
        <v xml:space="preserve">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v>
      </c>
      <c r="C319" s="61" t="s">
        <v>13121</v>
      </c>
      <c r="D319" s="56" t="s">
        <v>13122</v>
      </c>
      <c r="E319" s="56" t="s">
        <v>13123</v>
      </c>
      <c r="F319" s="57">
        <v>66500</v>
      </c>
      <c r="G319" s="58">
        <v>5</v>
      </c>
      <c r="I319" s="5"/>
      <c r="J319" s="5"/>
    </row>
    <row r="320" spans="1:10" x14ac:dyDescent="0.2">
      <c r="A320" s="59" t="str">
        <f ca="1">IFERROR(__xludf.DUMMYFUNCTION("TEXTJOIN(""|"",TRUE,UNIQUE(FILTER(SPLIT(B320,"" ""),LEN(SPLIT(B320,"" ""))&gt;2)))"),"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f>
        <v>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v>
      </c>
      <c r="B320" s="59" t="str">
        <f ca="1">IFERROR(__xludf.DUMMYFUNCTION("LOWER(REGEXREPLACE(D320&amp;"" ""&amp;E320,""[^а-яa-z0-9 ]"","" ""))"),"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f>
        <v xml:space="preserve">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v>
      </c>
      <c r="C320" s="61" t="s">
        <v>13124</v>
      </c>
      <c r="D320" s="56" t="s">
        <v>13125</v>
      </c>
      <c r="E320" s="56" t="s">
        <v>13126</v>
      </c>
      <c r="F320" s="57">
        <v>38000</v>
      </c>
      <c r="G320" s="58">
        <v>1</v>
      </c>
      <c r="I320" s="5"/>
      <c r="J320" s="5"/>
    </row>
    <row r="321" spans="1:10" x14ac:dyDescent="0.2">
      <c r="A321" s="59" t="str">
        <f ca="1">IFERROR(__xludf.DUMMYFUNCTION("TEXTJOIN(""|"",TRUE,UNIQUE(FILTER(SPLIT(B321,"" ""),LEN(SPLIT(B321,"" ""))&gt;2)))"),"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f>
        <v>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v>
      </c>
      <c r="B321" s="59" t="str">
        <f ca="1">IFERROR(__xludf.DUMMYFUNCTION("LOWER(REGEXREPLACE(D321&amp;"" ""&amp;E321,""[^а-яa-z0-9 ]"","" ""))"),"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фа"&amp;"нтазии ")</f>
        <v xml:space="preserve">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фантазии </v>
      </c>
      <c r="C321" s="61" t="s">
        <v>13127</v>
      </c>
      <c r="D321" s="56" t="s">
        <v>13128</v>
      </c>
      <c r="E321" s="56" t="s">
        <v>13129</v>
      </c>
      <c r="F321" s="57">
        <v>20000</v>
      </c>
      <c r="G321" s="58">
        <v>5</v>
      </c>
      <c r="I321" s="5"/>
      <c r="J321" s="5"/>
    </row>
    <row r="322" spans="1:10" x14ac:dyDescent="0.2">
      <c r="A322" s="59" t="str">
        <f ca="1">IFERROR(__xludf.DUMMYFUNCTION("TEXTJOIN(""|"",TRUE,UNIQUE(FILTER(SPLIT(B322,"" ""),LEN(SPLIT(B322,"" ""))&gt;2)))"),"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f>
        <v>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v>
      </c>
      <c r="B322" s="59" t="str">
        <f ca="1">IFERROR(__xludf.DUMMYFUNCTION("LOWER(REGEXREPLACE(D322&amp;"" ""&amp;E322,""[^а-яa-z0-9 ]"","" ""))"),"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f>
        <v xml:space="preserve">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v>
      </c>
      <c r="C322" s="61" t="s">
        <v>13130</v>
      </c>
      <c r="D322" s="56" t="s">
        <v>13131</v>
      </c>
      <c r="E322" s="56" t="s">
        <v>13132</v>
      </c>
      <c r="F322" s="57">
        <v>52700</v>
      </c>
      <c r="G322" s="58">
        <v>5</v>
      </c>
      <c r="I322" s="5"/>
      <c r="J322" s="5"/>
    </row>
    <row r="323" spans="1:10" x14ac:dyDescent="0.2">
      <c r="A323" s="59" t="str">
        <f ca="1">IFERROR(__xludf.DUMMYFUNCTION("TEXTJOIN(""|"",TRUE,UNIQUE(FILTER(SPLIT(B323,"" ""),LEN(SPLIT(B323,"" ""))&gt;2)))"),"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f>
        <v>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v>
      </c>
      <c r="B323" s="59" t="str">
        <f ca="1">IFERROR(__xludf.DUMMYFUNCTION("LOWER(REGEXREPLACE(D323&amp;"" ""&amp;E323,""[^а-яa-z0-9 ]"","" ""))"),"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f>
        <v xml:space="preserve">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v>
      </c>
      <c r="C323" s="61" t="s">
        <v>13133</v>
      </c>
      <c r="D323" s="56" t="s">
        <v>13134</v>
      </c>
      <c r="E323" s="56" t="s">
        <v>13135</v>
      </c>
      <c r="F323" s="57">
        <v>940500</v>
      </c>
      <c r="G323" s="58">
        <v>1</v>
      </c>
      <c r="I323" s="5"/>
      <c r="J323" s="5"/>
    </row>
    <row r="324" spans="1:10" x14ac:dyDescent="0.2">
      <c r="A324" s="59" t="str">
        <f ca="1">IFERROR(__xludf.DUMMYFUNCTION("TEXTJOIN(""|"",TRUE,UNIQUE(FILTER(SPLIT(B324,"" ""),LEN(SPLIT(B324,"" ""))&gt;2)))"),"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f>
        <v>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v>
      </c>
      <c r="B324" s="59" t="str">
        <f ca="1">IFERROR(__xludf.DUMMYFUNCTION("LOWER(REGEXREPLACE(D324&amp;"" ""&amp;E324,""[^а-яa-z0-9 ]"","" ""))"),"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f>
        <v xml:space="preserve">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v>
      </c>
      <c r="C324" s="61" t="s">
        <v>13136</v>
      </c>
      <c r="D324" s="56" t="s">
        <v>13137</v>
      </c>
      <c r="E324" s="56" t="s">
        <v>13138</v>
      </c>
      <c r="F324" s="57">
        <v>47900</v>
      </c>
      <c r="G324" s="58">
        <v>7</v>
      </c>
      <c r="I324" s="5"/>
      <c r="J324" s="5"/>
    </row>
    <row r="325" spans="1:10" x14ac:dyDescent="0.2">
      <c r="A325" s="59" t="str">
        <f ca="1">IFERROR(__xludf.DUMMYFUNCTION("TEXTJOIN(""|"",TRUE,UNIQUE(FILTER(SPLIT(B325,"" ""),LEN(SPLIT(B325,"" ""))&gt;2)))"),"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f>
        <v>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v>
      </c>
      <c r="B325" s="59" t="str">
        <f ca="1">IFERROR(__xludf.DUMMYFUNCTION("LOWER(REGEXREPLACE(D325&amp;"" ""&amp;E325,""[^а-яa-z0-9 ]"","" ""))"),"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f>
        <v xml:space="preserve">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v>
      </c>
      <c r="C325" s="61" t="s">
        <v>13139</v>
      </c>
      <c r="D325" s="56" t="s">
        <v>13140</v>
      </c>
      <c r="E325" s="56" t="s">
        <v>13141</v>
      </c>
      <c r="F325" s="57">
        <v>85500</v>
      </c>
      <c r="G325" s="58">
        <v>1</v>
      </c>
      <c r="I325" s="5"/>
      <c r="J325" s="5"/>
    </row>
    <row r="326" spans="1:10" x14ac:dyDescent="0.2">
      <c r="A326" s="59" t="str">
        <f ca="1">IFERROR(__xludf.DUMMYFUNCTION("TEXTJOIN(""|"",TRUE,UNIQUE(FILTER(SPLIT(B326,"" ""),LEN(SPLIT(B326,"" ""))&gt;2)))"),"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f>
        <v>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v>
      </c>
      <c r="B326" s="59" t="str">
        <f ca="1">IFERROR(__xludf.DUMMYFUNCTION("LOWER(REGEXREPLACE(D326&amp;"" ""&amp;E326,""[^а-яa-z0-9 ]"","" ""))"),"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f>
        <v xml:space="preserve">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v>
      </c>
      <c r="C326" s="61" t="s">
        <v>13142</v>
      </c>
      <c r="D326" s="56" t="s">
        <v>13143</v>
      </c>
      <c r="E326" s="56" t="s">
        <v>13144</v>
      </c>
      <c r="F326" s="57">
        <v>18400</v>
      </c>
      <c r="G326" s="58">
        <v>7</v>
      </c>
      <c r="I326" s="5"/>
      <c r="J326" s="5"/>
    </row>
    <row r="327" spans="1:10" x14ac:dyDescent="0.2">
      <c r="A327" s="59" t="str">
        <f ca="1">IFERROR(__xludf.DUMMYFUNCTION("TEXTJOIN(""|"",TRUE,UNIQUE(FILTER(SPLIT(B327,"" ""),LEN(SPLIT(B327,"" ""))&gt;2)))"),"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f>
        <v>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v>
      </c>
      <c r="B327" s="59" t="str">
        <f ca="1">IFERROR(__xludf.DUMMYFUNCTION("LOWER(REGEXREPLACE(D327&amp;"" ""&amp;E327,""[^а-яa-z0-9 ]"","" ""))"),"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f>
        <v xml:space="preserve">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v>
      </c>
      <c r="C327" s="61" t="s">
        <v>13145</v>
      </c>
      <c r="D327" s="56" t="s">
        <v>13146</v>
      </c>
      <c r="E327" s="56" t="s">
        <v>13147</v>
      </c>
      <c r="F327" s="57">
        <v>30400</v>
      </c>
      <c r="G327" s="58">
        <v>1</v>
      </c>
      <c r="I327" s="5"/>
      <c r="J327" s="5"/>
    </row>
    <row r="328" spans="1:10" x14ac:dyDescent="0.2">
      <c r="A328" s="59" t="str">
        <f ca="1">IFERROR(__xludf.DUMMYFUNCTION("TEXTJOIN(""|"",TRUE,UNIQUE(FILTER(SPLIT(B328,"" ""),LEN(SPLIT(B328,"" ""))&gt;2)))"),"хмет|лаш|арда|тысы|маханбет")</f>
        <v>хмет|лаш|арда|тысы|маханбет</v>
      </c>
      <c r="B328" s="59" t="str">
        <f ca="1">IFERROR(__xludf.DUMMYFUNCTION("LOWER(REGEXREPLACE(D328&amp;"" ""&amp;E328,""[^а-яa-z0-9 ]"","" ""))")," хмет   лаш арда тысы  маханбет     ")</f>
        <v xml:space="preserve"> хмет   лаш арда тысы  маханбет     </v>
      </c>
      <c r="C328" s="61" t="s">
        <v>13148</v>
      </c>
      <c r="D328" s="56" t="s">
        <v>13149</v>
      </c>
      <c r="E328" s="56" t="s">
        <v>13150</v>
      </c>
      <c r="F328" s="57">
        <v>18000</v>
      </c>
      <c r="G328" s="58">
        <v>1</v>
      </c>
      <c r="I328" s="5"/>
      <c r="J328" s="5"/>
    </row>
    <row r="329" spans="1:10" x14ac:dyDescent="0.2">
      <c r="A329" s="59" t="str">
        <f ca="1">IFERROR(__xludf.DUMMYFUNCTION("TEXTJOIN(""|"",TRUE,UNIQUE(FILTER(SPLIT(B329,"" ""),LEN(SPLIT(B329,"" ""))&gt;2)))"),"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amp;"обеспечивает|легкость|мытья")</f>
        <v>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обеспечивает|легкость|мытья</v>
      </c>
      <c r="B329" s="59" t="str">
        <f ca="1">IFERROR(__xludf.DUMMYFUNCTION("LOWER(REGEXREPLACE(D329&amp;"" ""&amp;E329,""[^а-яa-z0-9 ]"","" ""))"),"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п"&amp;"оверхность пластика обеспечивает легкость мытья")</f>
        <v xml:space="preserve">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поверхность пластика обеспечивает легкость мытья</v>
      </c>
      <c r="C329" s="61" t="s">
        <v>13151</v>
      </c>
      <c r="D329" s="56" t="s">
        <v>13152</v>
      </c>
      <c r="E329" s="56" t="s">
        <v>13153</v>
      </c>
      <c r="F329" s="57">
        <v>50400</v>
      </c>
      <c r="G329" s="58">
        <v>2</v>
      </c>
      <c r="I329" s="5"/>
      <c r="J329" s="5"/>
    </row>
    <row r="330" spans="1:10" x14ac:dyDescent="0.2">
      <c r="A330" s="59" t="str">
        <f ca="1">IFERROR(__xludf.DUMMYFUNCTION("TEXTJOIN(""|"",TRUE,UNIQUE(FILTER(SPLIT(B330,"" ""),LEN(SPLIT(B330,"" ""))&gt;2)))"),"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f>
        <v>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v>
      </c>
      <c r="B330" s="59" t="str">
        <f ca="1">IFERROR(__xludf.DUMMYFUNCTION("LOWER(REGEXREPLACE(D330&amp;"" ""&amp;E330,""[^а-яa-z0-9 ]"","" ""))"),"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f>
        <v xml:space="preserve">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v>
      </c>
      <c r="C330" s="61" t="s">
        <v>13154</v>
      </c>
      <c r="D330" s="56" t="s">
        <v>13155</v>
      </c>
      <c r="E330" s="56" t="s">
        <v>13156</v>
      </c>
      <c r="F330" s="57">
        <v>45000</v>
      </c>
      <c r="G330" s="58">
        <v>6</v>
      </c>
      <c r="I330" s="5"/>
      <c r="J330" s="5"/>
    </row>
    <row r="331" spans="1:10" x14ac:dyDescent="0.2">
      <c r="A331" s="59" t="str">
        <f ca="1">IFERROR(__xludf.DUMMYFUNCTION("TEXTJOIN(""|"",TRUE,UNIQUE(FILTER(SPLIT(B331,"" ""),LEN(SPLIT(B331,"" ""))&gt;2)))"),"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f>
        <v>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v>
      </c>
      <c r="B331" s="59" t="str">
        <f ca="1">IFERROR(__xludf.DUMMYFUNCTION("LOWER(REGEXREPLACE(D331&amp;"" ""&amp;E331,""[^а-яa-z0-9 ]"","" ""))"),"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f>
        <v xml:space="preserve">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v>
      </c>
      <c r="C331" s="61" t="s">
        <v>13157</v>
      </c>
      <c r="D331" s="56" t="s">
        <v>13158</v>
      </c>
      <c r="E331" s="56" t="s">
        <v>13159</v>
      </c>
      <c r="F331" s="57">
        <v>13000</v>
      </c>
      <c r="G331" s="58">
        <v>8</v>
      </c>
      <c r="I331" s="5"/>
      <c r="J331" s="5"/>
    </row>
    <row r="332" spans="1:10" x14ac:dyDescent="0.2">
      <c r="A332" s="59" t="str">
        <f ca="1">IFERROR(__xludf.DUMMYFUNCTION("TEXTJOIN(""|"",TRUE,UNIQUE(FILTER(SPLIT(B332,"" ""),LEN(SPLIT(B332,"" ""))&gt;2)))"),"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f>
        <v>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v>
      </c>
      <c r="B332" s="59" t="str">
        <f ca="1">IFERROR(__xludf.DUMMYFUNCTION("LOWER(REGEXREPLACE(D332&amp;"" ""&amp;E332,""[^а-яa-z0-9 ]"","" ""))"),"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f>
        <v xml:space="preserve">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v>
      </c>
      <c r="C332" s="61" t="s">
        <v>13160</v>
      </c>
      <c r="D332" s="56" t="s">
        <v>13161</v>
      </c>
      <c r="E332" s="56" t="s">
        <v>13162</v>
      </c>
      <c r="F332" s="57">
        <v>9700</v>
      </c>
      <c r="G332" s="58">
        <v>3</v>
      </c>
      <c r="I332" s="5"/>
      <c r="J332" s="5"/>
    </row>
    <row r="333" spans="1:10" x14ac:dyDescent="0.2">
      <c r="A333" s="59" t="str">
        <f ca="1">IFERROR(__xludf.DUMMYFUNCTION("TEXTJOIN(""|"",TRUE,UNIQUE(FILTER(SPLIT(B333,"" ""),LEN(SPLIT(B333,"" ""))&gt;2)))"),"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f>
        <v>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v>
      </c>
      <c r="B333" s="59" t="str">
        <f ca="1">IFERROR(__xludf.DUMMYFUNCTION("LOWER(REGEXREPLACE(D333&amp;"" ""&amp;E333,""[^а-яa-z0-9 ]"","" ""))"),"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f>
        <v xml:space="preserve">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v>
      </c>
      <c r="C333" s="61" t="s">
        <v>13163</v>
      </c>
      <c r="D333" s="56" t="s">
        <v>13164</v>
      </c>
      <c r="E333" s="56" t="s">
        <v>13165</v>
      </c>
      <c r="F333" s="57">
        <v>1700</v>
      </c>
      <c r="G333" s="58">
        <v>3</v>
      </c>
      <c r="I333" s="5"/>
      <c r="J333" s="5"/>
    </row>
    <row r="334" spans="1:10" x14ac:dyDescent="0.2">
      <c r="A334" s="59" t="str">
        <f ca="1">IFERROR(__xludf.DUMMYFUNCTION("TEXTJOIN(""|"",TRUE,UNIQUE(FILTER(SPLIT(B334,"" ""),LEN(SPLIT(B334,"" ""))&gt;2)))"),"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f>
        <v>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v>
      </c>
      <c r="B334" s="59" t="str">
        <f ca="1">IFERROR(__xludf.DUMMYFUNCTION("LOWER(REGEXREPLACE(D334&amp;"" ""&amp;E334,""[^а-яa-z0-9 ]"","" ""))"),"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f>
        <v xml:space="preserve">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v>
      </c>
      <c r="C334" s="61" t="s">
        <v>13166</v>
      </c>
      <c r="D334" s="56" t="s">
        <v>13167</v>
      </c>
      <c r="E334" s="56" t="s">
        <v>13168</v>
      </c>
      <c r="F334" s="57">
        <v>10800</v>
      </c>
      <c r="G334" s="58">
        <v>2</v>
      </c>
      <c r="I334" s="5"/>
      <c r="J334" s="5"/>
    </row>
    <row r="335" spans="1:10" x14ac:dyDescent="0.2">
      <c r="A335" s="59" t="str">
        <f ca="1">IFERROR(__xludf.DUMMYFUNCTION("TEXTJOIN(""|"",TRUE,UNIQUE(FILTER(SPLIT(B335,"" ""),LEN(SPLIT(B335,"" ""))&gt;2)))"),"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f>
        <v>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v>
      </c>
      <c r="B335" s="59" t="str">
        <f ca="1">IFERROR(__xludf.DUMMYFUNCTION("LOWER(REGEXREPLACE(D335&amp;"" ""&amp;E335,""[^а-яa-z0-9 ]"","" ""))"),"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f>
        <v xml:space="preserve">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v>
      </c>
      <c r="C335" s="61" t="s">
        <v>13169</v>
      </c>
      <c r="D335" s="56" t="s">
        <v>13170</v>
      </c>
      <c r="E335" s="56" t="s">
        <v>13171</v>
      </c>
      <c r="F335" s="57">
        <v>6700</v>
      </c>
      <c r="G335" s="58">
        <v>7</v>
      </c>
      <c r="I335" s="5"/>
      <c r="J335" s="5"/>
    </row>
    <row r="336" spans="1:10" x14ac:dyDescent="0.2">
      <c r="A336" s="59" t="str">
        <f ca="1">IFERROR(__xludf.DUMMYFUNCTION("TEXTJOIN(""|"",TRUE,UNIQUE(FILTER(SPLIT(B336,"" ""),LEN(SPLIT(B336,"" ""))&gt;2)))"),"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f>
        <v>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v>
      </c>
      <c r="B336" s="59" t="str">
        <f ca="1">IFERROR(__xludf.DUMMYFUNCTION("LOWER(REGEXREPLACE(D336&amp;"" ""&amp;E336,""[^а-яa-z0-9 ]"","" ""))"),"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f>
        <v xml:space="preserve">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v>
      </c>
      <c r="C336" s="61" t="s">
        <v>13172</v>
      </c>
      <c r="D336" s="56" t="s">
        <v>13173</v>
      </c>
      <c r="E336" s="56" t="s">
        <v>13174</v>
      </c>
      <c r="F336" s="57">
        <v>1900</v>
      </c>
      <c r="G336" s="58">
        <v>5</v>
      </c>
      <c r="I336" s="5"/>
      <c r="J336" s="5"/>
    </row>
    <row r="337" spans="1:10" x14ac:dyDescent="0.2">
      <c r="A337" s="59" t="str">
        <f ca="1">IFERROR(__xludf.DUMMYFUNCTION("TEXTJOIN(""|"",TRUE,UNIQUE(FILTER(SPLIT(B337,"" ""),LEN(SPLIT(B337,"" ""))&gt;2)))"),"орзина|для|мусора|сетчатая|етчатая|корзина|для|бумаги|обеспечивает|вентиляцию|визуальный|контроль|наполнения|спользуется|кабинетах|рабочих|зонах")</f>
        <v>орзина|для|мусора|сетчатая|етчатая|корзина|для|бумаги|обеспечивает|вентиляцию|визуальный|контроль|наполнения|спользуется|кабинетах|рабочих|зонах</v>
      </c>
      <c r="B337" s="59" t="str">
        <f ca="1">IFERROR(__xludf.DUMMYFUNCTION("LOWER(REGEXREPLACE(D337&amp;"" ""&amp;E337,""[^а-яa-z0-9 ]"","" ""))"),"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f>
        <v xml:space="preserve">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v>
      </c>
      <c r="C337" s="61" t="s">
        <v>13175</v>
      </c>
      <c r="D337" s="56" t="s">
        <v>13176</v>
      </c>
      <c r="E337" s="56" t="s">
        <v>13177</v>
      </c>
      <c r="F337" s="57">
        <v>1900</v>
      </c>
      <c r="G337" s="58">
        <v>14</v>
      </c>
      <c r="I337" s="5"/>
      <c r="J337" s="5"/>
    </row>
    <row r="338" spans="1:10" x14ac:dyDescent="0.2">
      <c r="A338" s="59" t="str">
        <f ca="1">IFERROR(__xludf.DUMMYFUNCTION("TEXTJOIN(""|"",TRUE,UNIQUE(FILTER(SPLIT(B338,"" ""),LEN(SPLIT(B338,"" ""))&gt;2)))"),"орзина|для|мусора|педалью|онтейнер|для|мусора|педальным|механизмом|открывания|крышки|беспечивает|гигиеничное|использование|без|контакта|рук|крышкой")</f>
        <v>орзина|для|мусора|педалью|онтейнер|для|мусора|педальным|механизмом|открывания|крышки|беспечивает|гигиеничное|использование|без|контакта|рук|крышкой</v>
      </c>
      <c r="B338" s="59" t="str">
        <f ca="1">IFERROR(__xludf.DUMMYFUNCTION("LOWER(REGEXREPLACE(D338&amp;"" ""&amp;E338,""[^а-яa-z0-9 ]"","" ""))"),"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f>
        <v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v>
      </c>
      <c r="C338" s="61" t="s">
        <v>13178</v>
      </c>
      <c r="D338" s="56" t="s">
        <v>12309</v>
      </c>
      <c r="E338" s="56" t="s">
        <v>12310</v>
      </c>
      <c r="F338" s="57">
        <v>35100</v>
      </c>
      <c r="G338" s="58">
        <v>97</v>
      </c>
      <c r="I338" s="5"/>
      <c r="J338" s="5"/>
    </row>
    <row r="339" spans="1:10" x14ac:dyDescent="0.2">
      <c r="A339" s="59" t="str">
        <f ca="1">IFERROR(__xludf.DUMMYFUNCTION("TEXTJOIN(""|"",TRUE,UNIQUE(FILTER(SPLIT(B339,"" ""),LEN(SPLIT(B339,"" ""))&gt;2)))"),"хмет|ордость|нации|маханбет")</f>
        <v>хмет|ордость|нации|маханбет</v>
      </c>
      <c r="B339" s="59" t="str">
        <f ca="1">IFERROR(__xludf.DUMMYFUNCTION("LOWER(REGEXREPLACE(D339&amp;"" ""&amp;E339,""[^а-яa-z0-9 ]"","" ""))")," хмет   ордость нации  маханбет     ")</f>
        <v xml:space="preserve"> хмет   ордость нации  маханбет     </v>
      </c>
      <c r="C339" s="61" t="s">
        <v>13179</v>
      </c>
      <c r="D339" s="56" t="s">
        <v>13180</v>
      </c>
      <c r="E339" s="56" t="s">
        <v>13150</v>
      </c>
      <c r="F339" s="57">
        <v>18000</v>
      </c>
      <c r="G339" s="58">
        <v>1</v>
      </c>
      <c r="I339" s="5"/>
      <c r="J339" s="5"/>
    </row>
    <row r="340" spans="1:10" x14ac:dyDescent="0.2">
      <c r="A340" s="59" t="str">
        <f ca="1">IFERROR(__xludf.DUMMYFUNCTION("TEXTJOIN(""|"",TRUE,UNIQUE(FILTER(SPLIT(B340,"" ""),LEN(SPLIT(B340,"" ""))&gt;2)))"),"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amp;"ортировку|мячей|после|занятий|спользуется|педагогом|или|детьми|под|контролем|взрослого")</f>
        <v>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ортировку|мячей|после|занятий|спользуется|педагогом|или|детьми|под|контролем|взрослого</v>
      </c>
      <c r="B340" s="59" t="str">
        <f ca="1">IFERROR(__xludf.DUMMYFUNCTION("LOWER(REGEXREPLACE(D340&amp;"" ""&amp;E340,""[^а-яa-z0-9 ]"","" ""))"),"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"&amp;"сохраняет форму и облегчает сортировку мячей после занятий   спользуется педагогом или детьми под контролем взрослого ")</f>
        <v xml:space="preserve">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сохраняет форму и облегчает сортировку мячей после занятий   спользуется педагогом или детьми под контролем взрослого </v>
      </c>
      <c r="C340" s="61" t="s">
        <v>13181</v>
      </c>
      <c r="D340" s="56" t="s">
        <v>13182</v>
      </c>
      <c r="E340" s="56" t="s">
        <v>13183</v>
      </c>
      <c r="F340" s="57">
        <v>64600</v>
      </c>
      <c r="G340" s="58">
        <v>1</v>
      </c>
      <c r="I340" s="5"/>
      <c r="J340" s="5"/>
    </row>
    <row r="341" spans="1:10" x14ac:dyDescent="0.2">
      <c r="A341" s="59" t="str">
        <f ca="1">IFERROR(__xludf.DUMMYFUNCTION("TEXTJOIN(""|"",TRUE,UNIQUE(FILTER(SPLIT(B341,"" ""),LEN(SPLIT(B341,"" ""))&gt;2)))"),"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amp;"|детей|навыков|организации|пространства|аккуратного|обращения|оборудованием")</f>
        <v>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детей|навыков|организации|пространства|аккуратного|обращения|оборудованием</v>
      </c>
      <c r="B341" s="59" t="str">
        <f ca="1">IFERROR(__xludf.DUMMYFUNCTION("LOWER(REGEXREPLACE(D341&amp;"" ""&amp;E341,""[^а-яa-z0-9 ]"","" ""))"),"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с"&amp;"пособствует формированию у детей навыков организации пространства и аккуратного обращения с оборудованием ")</f>
        <v xml:space="preserve">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способствует формированию у детей навыков организации пространства и аккуратного обращения с оборудованием </v>
      </c>
      <c r="C341" s="61" t="s">
        <v>13184</v>
      </c>
      <c r="D341" s="56" t="s">
        <v>13185</v>
      </c>
      <c r="E341" s="56" t="s">
        <v>13186</v>
      </c>
      <c r="F341" s="57">
        <v>102600</v>
      </c>
      <c r="G341" s="58">
        <v>1</v>
      </c>
      <c r="I341" s="5"/>
      <c r="J341" s="5"/>
    </row>
    <row r="342" spans="1:10" x14ac:dyDescent="0.2">
      <c r="A342" s="59" t="str">
        <f ca="1">IFERROR(__xludf.DUMMYFUNCTION("TEXTJOIN(""|"",TRUE,UNIQUE(FILTER(SPLIT(B342,"" ""),LEN(SPLIT(B342,"" ""))&gt;2)))"),"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amp;"инистративных|методических|помещениях")</f>
        <v>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инистративных|методических|помещениях</v>
      </c>
      <c r="B342" s="59" t="str">
        <f ca="1">IFERROR(__xludf.DUMMYFUNCTION("LOWER(REGEXREPLACE(D342&amp;"" ""&amp;E342,""[^а-яa-z0-9 ]"","" ""))"),"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системати"&amp;"зации документов в административных и методических помещениях ")</f>
        <v xml:space="preserve">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систематизации документов в административных и методических помещениях </v>
      </c>
      <c r="C342" s="61" t="s">
        <v>13187</v>
      </c>
      <c r="D342" s="56" t="s">
        <v>13188</v>
      </c>
      <c r="E342" s="56" t="s">
        <v>13189</v>
      </c>
      <c r="F342" s="57">
        <v>6300</v>
      </c>
      <c r="G342" s="58">
        <v>50</v>
      </c>
      <c r="I342" s="5"/>
      <c r="J342" s="5"/>
    </row>
    <row r="343" spans="1:10" x14ac:dyDescent="0.2">
      <c r="A343" s="59" t="str">
        <f ca="1">IFERROR(__xludf.DUMMYFUNCTION("TEXTJOIN(""|"",TRUE,UNIQUE(FILTER(SPLIT(B343,"" ""),LEN(SPLIT(B343,"" ""))&gt;2)))"),"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amp;"пасная")</f>
        <v>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пасная</v>
      </c>
      <c r="B343" s="59" t="str">
        <f ca="1">IFERROR(__xludf.DUMMYFUNCTION("LOWER(REGEXREPLACE(D343&amp;"" ""&amp;E343,""[^а-яa-z0-9 ]"","" ""))"),"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конструкци"&amp;"я устойчивая и безопасная ")</f>
        <v xml:space="preserve">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конструкция устойчивая и безопасная </v>
      </c>
      <c r="C343" s="61" t="s">
        <v>13190</v>
      </c>
      <c r="D343" s="56" t="s">
        <v>13191</v>
      </c>
      <c r="E343" s="56" t="s">
        <v>13192</v>
      </c>
      <c r="F343" s="57">
        <v>28100</v>
      </c>
      <c r="G343" s="58">
        <v>5</v>
      </c>
      <c r="I343" s="5"/>
      <c r="J343" s="5"/>
    </row>
    <row r="344" spans="1:10" x14ac:dyDescent="0.2">
      <c r="A344" s="59" t="str">
        <f ca="1">IFERROR(__xludf.DUMMYFUNCTION("TEXTJOIN(""|"",TRUE,UNIQUE(FILTER(SPLIT(B344,"" ""),LEN(SPLIT(B344,"" ""))&gt;2)))"),"оробка|стерилизационная|круглая|бикс|спользуется|для|стерилизации|хранения|медицинских|инструментов")</f>
        <v>оробка|стерилизационная|круглая|бикс|спользуется|для|стерилизации|хранения|медицинских|инструментов</v>
      </c>
      <c r="B344" s="59" t="str">
        <f ca="1">IFERROR(__xludf.DUMMYFUNCTION("LOWER(REGEXREPLACE(D344&amp;"" ""&amp;E344,""[^а-яa-z0-9 ]"","" ""))")," оробка стерилизационная круглая  бикс   спользуется для стерилизации и хранения медицинских инструментов ")</f>
        <v xml:space="preserve"> оробка стерилизационная круглая  бикс   спользуется для стерилизации и хранения медицинских инструментов </v>
      </c>
      <c r="C344" s="61" t="s">
        <v>13193</v>
      </c>
      <c r="D344" s="56" t="s">
        <v>13194</v>
      </c>
      <c r="E344" s="56" t="s">
        <v>13195</v>
      </c>
      <c r="F344" s="57">
        <v>54900</v>
      </c>
      <c r="G344" s="58">
        <v>1</v>
      </c>
      <c r="I344" s="5"/>
      <c r="J344" s="5"/>
    </row>
    <row r="345" spans="1:10" x14ac:dyDescent="0.2">
      <c r="A345" s="59" t="str">
        <f ca="1">IFERROR(__xludf.DUMMYFUNCTION("TEXTJOIN(""|"",TRUE,UNIQUE(FILTER(SPLIT(B345,"" ""),LEN(SPLIT(B345,"" ""))&gt;2)))"),"оробка|стерилизационная|круглая|бикс|большая|редназначена|для|стерилизации|хранения|большего|объ|медицинских|инструментов|материалов")</f>
        <v>оробка|стерилизационная|круглая|бикс|большая|редназначена|для|стерилизации|хранения|большего|объ|медицинских|инструментов|материалов</v>
      </c>
      <c r="B345" s="59" t="str">
        <f ca="1">IFERROR(__xludf.DUMMYFUNCTION("LOWER(REGEXREPLACE(D345&amp;"" ""&amp;E345,""[^а-яa-z0-9 ]"","" ""))")," оробка стерилизационная круглая  бикс  большая  редназначена для стерилизации и хранения большего объ ма медицинских инструментов и материалов ")</f>
        <v xml:space="preserve"> оробка стерилизационная круглая  бикс  большая  редназначена для стерилизации и хранения большего объ ма медицинских инструментов и материалов </v>
      </c>
      <c r="C345" s="61" t="s">
        <v>13196</v>
      </c>
      <c r="D345" s="56" t="s">
        <v>13197</v>
      </c>
      <c r="E345" s="56" t="s">
        <v>13198</v>
      </c>
      <c r="F345" s="57">
        <v>86600</v>
      </c>
      <c r="G345" s="58">
        <v>1</v>
      </c>
      <c r="I345" s="5"/>
      <c r="J345" s="5"/>
    </row>
    <row r="346" spans="1:10" x14ac:dyDescent="0.2">
      <c r="A346" s="59" t="str">
        <f ca="1">IFERROR(__xludf.DUMMYFUNCTION("TEXTJOIN(""|"",TRUE,UNIQUE(FILTER(SPLIT(B346,"" ""),LEN(SPLIT(B346,"" ""))&gt;2)))"),"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f>
        <v>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v>
      </c>
      <c r="B346" s="59" t="str">
        <f ca="1">IFERROR(__xludf.DUMMYFUNCTION("LOWER(REGEXREPLACE(D346&amp;"" ""&amp;E346,""[^а-яa-z0-9 ]"","" ""))"),"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мимики"&amp;" и образного мышления ")</f>
        <v xml:space="preserve">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 и образного мышления </v>
      </c>
      <c r="C346" s="61" t="s">
        <v>13199</v>
      </c>
      <c r="D346" s="56" t="s">
        <v>13200</v>
      </c>
      <c r="E346" s="56" t="s">
        <v>13201</v>
      </c>
      <c r="F346" s="57">
        <v>10500</v>
      </c>
      <c r="G346" s="58">
        <v>4</v>
      </c>
      <c r="I346" s="5"/>
      <c r="J346" s="5"/>
    </row>
    <row r="347" spans="1:10" x14ac:dyDescent="0.2">
      <c r="A347" s="59" t="str">
        <f ca="1">IFERROR(__xludf.DUMMYFUNCTION("TEXTJOIN(""|"",TRUE,UNIQUE(FILTER(SPLIT(B347,"" ""),LEN(SPLIT(B347,"" ""))&gt;2)))"),"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amp;"|навыков")</f>
        <v>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навыков</v>
      </c>
      <c r="B347" s="59" t="str">
        <f ca="1">IFERROR(__xludf.DUMMYFUNCTION("LOWER(REGEXREPLACE(D347&amp;"" ""&amp;E347,""[^а-яa-z0-9 ]"","" ""))"),"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р"&amp;"ечи  коммуникативных и социальных навыков ")</f>
        <v xml:space="preserve">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речи  коммуникативных и социальных навыков </v>
      </c>
      <c r="C347" s="61" t="s">
        <v>13202</v>
      </c>
      <c r="D347" s="56" t="s">
        <v>13203</v>
      </c>
      <c r="E347" s="56" t="s">
        <v>13204</v>
      </c>
      <c r="F347" s="57">
        <v>2900</v>
      </c>
      <c r="G347" s="58">
        <v>5</v>
      </c>
      <c r="I347" s="5"/>
      <c r="J347" s="5"/>
    </row>
    <row r="348" spans="1:10" x14ac:dyDescent="0.2">
      <c r="A348" s="59" t="str">
        <f ca="1">IFERROR(__xludf.DUMMYFUNCTION("TEXTJOIN(""|"",TRUE,UNIQUE(FILTER(SPLIT(B348,"" ""),LEN(SPLIT(B348,"" ""))&gt;2)))"),"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amp;"ия|познавательного|интереса|воображения|сюжетно|ролевой|игры|одходит|для|участия|утренниках|образовательных|проектах")</f>
        <v>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ия|познавательного|интереса|воображения|сюжетно|ролевой|игры|одходит|для|участия|утренниках|образовательных|проектах</v>
      </c>
      <c r="B348" s="59" t="str">
        <f ca="1">IFERROR(__xludf.DUMMYFUNCTION("LOWER(REGEXREPLACE(D348&amp;"" ""&amp;E348,""[^а-яa-z0-9 ]"","" ""))"),"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использован"&amp;"ию   спользуется для развития познавательного интереса  воображения и сюжетно ролевой игры   одходит для участия в утренниках и образовательных проектах ")</f>
        <v xml:space="preserve">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использованию   спользуется для развития познавательного интереса  воображения и сюжетно ролевой игры   одходит для участия в утренниках и образовательных проектах </v>
      </c>
      <c r="C348" s="61" t="s">
        <v>13205</v>
      </c>
      <c r="D348" s="56" t="s">
        <v>13206</v>
      </c>
      <c r="E348" s="56" t="s">
        <v>13207</v>
      </c>
      <c r="F348" s="57">
        <v>39900</v>
      </c>
      <c r="G348" s="58">
        <v>5</v>
      </c>
      <c r="I348" s="5"/>
      <c r="J348" s="5"/>
    </row>
    <row r="349" spans="1:10" x14ac:dyDescent="0.2">
      <c r="A349" s="59" t="str">
        <f ca="1">IFERROR(__xludf.DUMMYFUNCTION("TEXTJOIN(""|"",TRUE,UNIQUE(FILTER(SPLIT(B349,"" ""),LEN(SPLIT(B349,"" ""))&gt;2)))"),"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f>
        <v>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v>
      </c>
      <c r="B349" s="59" t="str">
        <f ca="1">IFERROR(__xludf.DUMMYFUNCTION("LOWER(REGEXREPLACE(D349&amp;"" ""&amp;E349,""[^а-яa-z0-9 ]"","" ""))"),"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f>
        <v xml:space="preserve">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v>
      </c>
      <c r="C349" s="61" t="s">
        <v>13208</v>
      </c>
      <c r="D349" s="56" t="s">
        <v>13209</v>
      </c>
      <c r="E349" s="56" t="s">
        <v>13210</v>
      </c>
      <c r="F349" s="57">
        <v>12200</v>
      </c>
      <c r="G349" s="58">
        <v>14</v>
      </c>
      <c r="I349" s="5"/>
      <c r="J349" s="5"/>
    </row>
    <row r="350" spans="1:10" x14ac:dyDescent="0.2">
      <c r="A350" s="59" t="str">
        <f ca="1">IFERROR(__xludf.DUMMYFUNCTION("TEXTJOIN(""|"",TRUE,UNIQUE(FILTER(SPLIT(B350,"" ""),LEN(SPLIT(B350,"" ""))&gt;2)))"),"шуды|алай|уге|болады|подавить|злость|control|anger|каз|рус|англ")</f>
        <v>шуды|алай|уге|болады|подавить|злость|control|anger|каз|рус|англ</v>
      </c>
      <c r="B350" s="59" t="str">
        <f ca="1">IFERROR(__xludf.DUMMYFUNCTION("LOWER(REGEXREPLACE(D350&amp;"" ""&amp;E350,""[^а-яa-z0-9 ]"","" ""))")," шуды  алай же уге болады   ак подавить злость   ow to control anger  каз   рус   англ яз   ")</f>
        <v xml:space="preserve"> шуды  алай же уге болады   ак подавить злость   ow to control anger  каз   рус   англ яз   </v>
      </c>
      <c r="C350" s="61" t="s">
        <v>13211</v>
      </c>
      <c r="D350" s="56" t="s">
        <v>13212</v>
      </c>
      <c r="E350" s="56"/>
      <c r="F350" s="57">
        <v>1700</v>
      </c>
      <c r="G350" s="58">
        <v>1</v>
      </c>
      <c r="I350" s="5"/>
      <c r="J350" s="5"/>
    </row>
    <row r="351" spans="1:10" x14ac:dyDescent="0.2">
      <c r="A351" s="59" t="str">
        <f ca="1">IFERROR(__xludf.DUMMYFUNCTION("TEXTJOIN(""|"",TRUE,UNIQUE(FILTER(SPLIT(B351,"" ""),LEN(SPLIT(B351,"" ""))&gt;2)))"),"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f>
        <v>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v>
      </c>
      <c r="B351" s="59" t="str">
        <f ca="1">IFERROR(__xludf.DUMMYFUNCTION("LOWER(REGEXREPLACE(D351&amp;"" ""&amp;E351,""[^а-яa-z0-9 ]"","" ""))"),"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социальн"&amp;"ых ролях ")</f>
        <v xml:space="preserve">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социальных ролях </v>
      </c>
      <c r="C351" s="61" t="s">
        <v>13213</v>
      </c>
      <c r="D351" s="56" t="s">
        <v>13214</v>
      </c>
      <c r="E351" s="56" t="s">
        <v>13215</v>
      </c>
      <c r="F351" s="57">
        <v>17500</v>
      </c>
      <c r="G351" s="58">
        <v>14</v>
      </c>
      <c r="I351" s="5"/>
      <c r="J351" s="5"/>
    </row>
    <row r="352" spans="1:10" x14ac:dyDescent="0.2">
      <c r="A352" s="59" t="str">
        <f ca="1">IFERROR(__xludf.DUMMYFUNCTION("TEXTJOIN(""|"",TRUE,UNIQUE(FILTER(SPLIT(B352,"" ""),LEN(SPLIT(B352,"" ""))&gt;2)))"),"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f>
        <v>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v>
      </c>
      <c r="B352" s="59" t="str">
        <f ca="1">IFERROR(__xludf.DUMMYFUNCTION("LOWER(REGEXREPLACE(D352&amp;"" ""&amp;E352,""[^а-яa-z0-9 ]"","" ""))"),"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выразительност"&amp;"и и ролевой игры ")</f>
        <v xml:space="preserve">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выразительности и ролевой игры </v>
      </c>
      <c r="C352" s="61" t="s">
        <v>13216</v>
      </c>
      <c r="D352" s="56" t="s">
        <v>13217</v>
      </c>
      <c r="E352" s="56" t="s">
        <v>13218</v>
      </c>
      <c r="F352" s="57">
        <v>36100</v>
      </c>
      <c r="G352" s="58">
        <v>5</v>
      </c>
      <c r="I352" s="5"/>
      <c r="J352" s="5"/>
    </row>
    <row r="353" spans="1:10" x14ac:dyDescent="0.2">
      <c r="A353" s="59" t="str">
        <f ca="1">IFERROR(__xludf.DUMMYFUNCTION("TEXTJOIN(""|"",TRUE,UNIQUE(FILTER(SPLIT(B353,"" ""),LEN(SPLIT(B353,"" ""))&gt;2)))"),"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f>
        <v>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v>
      </c>
      <c r="B353" s="59" t="str">
        <f ca="1">IFERROR(__xludf.DUMMYFUNCTION("LOWER(REGEXREPLACE(D353&amp;"" ""&amp;E353,""[^а-яa-z0-9 ]"","" ""))"),"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выраз"&amp;"ительность ")</f>
        <v xml:space="preserve">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выразительность </v>
      </c>
      <c r="C353" s="61" t="s">
        <v>13219</v>
      </c>
      <c r="D353" s="56" t="s">
        <v>13220</v>
      </c>
      <c r="E353" s="56" t="s">
        <v>13221</v>
      </c>
      <c r="F353" s="57">
        <v>17800</v>
      </c>
      <c r="G353" s="58">
        <v>12</v>
      </c>
      <c r="I353" s="5"/>
      <c r="J353" s="5"/>
    </row>
    <row r="354" spans="1:10" x14ac:dyDescent="0.2">
      <c r="A354" s="59" t="str">
        <f ca="1">IFERROR(__xludf.DUMMYFUNCTION("TEXTJOIN(""|"",TRUE,UNIQUE(FILTER(SPLIT(B354,"" ""),LEN(SPLIT(B354,"" ""))&gt;2)))"),"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amp;"ьности|взрослых")</f>
        <v>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ьности|взрослых</v>
      </c>
      <c r="B354" s="59" t="str">
        <f ca="1">IFERROR(__xludf.DUMMYFUNCTION("LOWER(REGEXREPLACE(D354&amp;"" ""&amp;E354,""[^а-яa-z0-9 ]"","" ""))"),"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поним"&amp;"ания трудовой деятельности взрослых ")</f>
        <v xml:space="preserve">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понимания трудовой деятельности взрослых </v>
      </c>
      <c r="C354" s="61" t="s">
        <v>13222</v>
      </c>
      <c r="D354" s="56" t="s">
        <v>13223</v>
      </c>
      <c r="E354" s="56" t="s">
        <v>13224</v>
      </c>
      <c r="F354" s="57">
        <v>25500</v>
      </c>
      <c r="G354" s="58">
        <v>5</v>
      </c>
      <c r="I354" s="5"/>
      <c r="J354" s="5"/>
    </row>
    <row r="355" spans="1:10" x14ac:dyDescent="0.2">
      <c r="A355" s="59" t="str">
        <f ca="1">IFERROR(__xludf.DUMMYFUNCTION("TEXTJOIN(""|"",TRUE,UNIQUE(FILTER(SPLIT(B355,"" ""),LEN(SPLIT(B355,"" ""))&gt;2)))"),"остюм|врача|абор|доктора|детский|костюм|врача|для|детей|карнавальный|для|утренника|сада|предмета|медика|халат|колпак|игрушка|стетоскоп")</f>
        <v>остюм|врача|абор|доктора|детский|костюм|врача|для|детей|карнавальный|для|утренника|сада|предмета|медика|халат|колпак|игрушка|стетоскоп</v>
      </c>
      <c r="B355" s="59" t="str">
        <f ca="1">IFERROR(__xludf.DUMMYFUNCTION("LOWER(REGEXREPLACE(D355&amp;"" ""&amp;E355,""[^а-яa-z0-9 ]"","" ""))")," остюм врача  абор доктора детский           костюм врача для детей карнавальный для утренника  сада   3 предмета медика  халат  колпак  игрушка стетоскоп ")</f>
        <v xml:space="preserve"> остюм врача  абор доктора детский           костюм врача для детей карнавальный для утренника  сада   3 предмета медика  халат  колпак  игрушка стетоскоп </v>
      </c>
      <c r="C355" s="61" t="s">
        <v>13225</v>
      </c>
      <c r="D355" s="56" t="s">
        <v>13226</v>
      </c>
      <c r="E355" s="56" t="s">
        <v>13227</v>
      </c>
      <c r="F355" s="57">
        <v>10800</v>
      </c>
      <c r="G355" s="58">
        <v>14</v>
      </c>
      <c r="I355" s="5"/>
      <c r="J355" s="5"/>
    </row>
    <row r="356" spans="1:10" x14ac:dyDescent="0.2">
      <c r="A356" s="59" t="str">
        <f ca="1">IFERROR(__xludf.DUMMYFUNCTION("TEXTJOIN(""|"",TRUE,UNIQUE(FILTER(SPLIT(B356,"" ""),LEN(SPLIT(B356,"" ""))&gt;2)))"),"ксерек|ерый|лютый|каз|рус|уезов")</f>
        <v>ксерек|ерый|лютый|каз|рус|уезов</v>
      </c>
      <c r="B356" s="59" t="str">
        <f ca="1">IFERROR(__xludf.DUMMYFUNCTION("LOWER(REGEXREPLACE(D356&amp;"" ""&amp;E356,""[^а-яa-z0-9 ]"","" ""))"),"  ксерек   ерый лютый  каз рус яз      уезов")</f>
        <v xml:space="preserve">  ксерек   ерый лютый  каз рус яз      уезов</v>
      </c>
      <c r="C356" s="61" t="s">
        <v>13228</v>
      </c>
      <c r="D356" s="56" t="s">
        <v>13229</v>
      </c>
      <c r="E356" s="56" t="s">
        <v>13230</v>
      </c>
      <c r="F356" s="57">
        <v>5200</v>
      </c>
      <c r="G356" s="58">
        <v>1</v>
      </c>
      <c r="I356" s="5"/>
      <c r="J356" s="5"/>
    </row>
    <row r="357" spans="1:10" x14ac:dyDescent="0.2">
      <c r="A357" s="59" t="str">
        <f ca="1">IFERROR(__xludf.DUMMYFUNCTION("TEXTJOIN(""|"",TRUE,UNIQUE(FILTER(SPLIT(B357,"" ""),LEN(SPLIT(B357,"" ""))&gt;2)))"),"ктем|маков")</f>
        <v>ктем|маков</v>
      </c>
      <c r="B357" s="59" t="str">
        <f ca="1">IFERROR(__xludf.DUMMYFUNCTION("LOWER(REGEXREPLACE(D357&amp;"" ""&amp;E357,""[^а-яa-z0-9 ]"","" ""))"),"  ктем к н  к н лд     маков")</f>
        <v xml:space="preserve">  ктем к н  к н лд     маков</v>
      </c>
      <c r="C357" s="61" t="s">
        <v>13231</v>
      </c>
      <c r="D357" s="56" t="s">
        <v>13232</v>
      </c>
      <c r="E357" s="56" t="s">
        <v>13233</v>
      </c>
      <c r="F357" s="57">
        <v>1700</v>
      </c>
      <c r="G357" s="58">
        <v>1</v>
      </c>
      <c r="I357" s="5"/>
      <c r="J357" s="5"/>
    </row>
    <row r="358" spans="1:10" x14ac:dyDescent="0.2">
      <c r="A358" s="59" t="str">
        <f ca="1">IFERROR(__xludf.DUMMYFUNCTION("TEXTJOIN(""|"",TRUE,UNIQUE(FILTER(SPLIT(B358,"" ""),LEN(SPLIT(B358,"" ""))&gt;2)))"),"раски|акриловые|криловые|краски|водной|основе|предназначенные|для|детского|творчества|езопасны|легко|наносятся|быстро|высыхают")</f>
        <v>раски|акриловые|криловые|краски|водной|основе|предназначенные|для|детского|творчества|езопасны|легко|наносятся|быстро|высыхают</v>
      </c>
      <c r="B358" s="59" t="str">
        <f ca="1">IFERROR(__xludf.DUMMYFUNCTION("LOWER(REGEXREPLACE(D358&amp;"" ""&amp;E358,""[^а-яa-z0-9 ]"","" ""))")," раски акриловые  криловые краски на водной основе  предназначенные для детского творчества   езопасны  легко наносятся и быстро высыхают ")</f>
        <v xml:space="preserve"> раски акриловые  криловые краски на водной основе  предназначенные для детского творчества   езопасны  легко наносятся и быстро высыхают </v>
      </c>
      <c r="C358" s="61" t="s">
        <v>13234</v>
      </c>
      <c r="D358" s="56" t="s">
        <v>13235</v>
      </c>
      <c r="E358" s="56" t="s">
        <v>13236</v>
      </c>
      <c r="F358" s="57">
        <v>2800</v>
      </c>
      <c r="G358" s="58">
        <v>10</v>
      </c>
      <c r="I358" s="5"/>
      <c r="J358" s="5"/>
    </row>
    <row r="359" spans="1:10" x14ac:dyDescent="0.2">
      <c r="A359" s="59" t="str">
        <f ca="1">IFERROR(__xludf.DUMMYFUNCTION("TEXTJOIN(""|"",TRUE,UNIQUE(FILTER(SPLIT(B359,"" ""),LEN(SPLIT(B359,"" ""))&gt;2)))"),"дебиет|лем|саяхат|рестоматия|сыныпка|арнал|растыр|фтибекова")</f>
        <v>дебиет|лем|саяхат|рестоматия|сыныпка|арнал|растыр|фтибекова</v>
      </c>
      <c r="B359" s="59" t="str">
        <f ca="1">IFERROR(__xludf.DUMMYFUNCTION("LOWER(REGEXREPLACE(D359&amp;"" ""&amp;E359,""[^а-яa-z0-9 ]"","" ""))")," дебиет  лем не саяхат   рестоматия 2 4 сыныпка арнал ан   растыр ан     фтибекова")</f>
        <v xml:space="preserve"> дебиет  лем не саяхат   рестоматия 2 4 сыныпка арнал ан   растыр ан     фтибекова</v>
      </c>
      <c r="C359" s="61" t="s">
        <v>13237</v>
      </c>
      <c r="D359" s="56" t="s">
        <v>13238</v>
      </c>
      <c r="E359" s="56" t="s">
        <v>13239</v>
      </c>
      <c r="F359" s="57">
        <v>7200</v>
      </c>
      <c r="G359" s="58">
        <v>1</v>
      </c>
      <c r="I359" s="5"/>
      <c r="J359" s="5"/>
    </row>
    <row r="360" spans="1:10" x14ac:dyDescent="0.2">
      <c r="A360" s="59" t="str">
        <f ca="1">IFERROR(__xludf.DUMMYFUNCTION("TEXTJOIN(""|"",TRUE,UNIQUE(FILTER(SPLIT(B360,"" ""),LEN(SPLIT(B360,"" ""))&gt;2)))"),"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amp;"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amp;"мления|среды|одбираются|том|устойчивости|безопасности|удобства|ухода|условиях|постоянного|пребывания|детей")</f>
        <v>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мления|среды|одбираются|том|устойчивости|безопасности|удобства|ухода|условиях|постоянного|пребывания|детей</v>
      </c>
      <c r="B360" s="59" t="str">
        <f ca="1">IFERROR(__xludf.DUMMYFUNCTION("LOWER(REGEXREPLACE(D360&amp;"" ""&amp;E360,""[^а-яa-z0-9 ]"","" ""))"),"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ощущение"&amp;"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част"&amp;"ь декоративного и сенсорного оформления среды   одбираются с уч том устойчивости  безопасности и удобства ухода в условиях постоянного пребывания детей ")</f>
        <v xml:space="preserve">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часть декоративного и сенсорного оформления среды   одбираются с уч том устойчивости  безопасности и удобства ухода в условиях постоянного пребывания детей </v>
      </c>
      <c r="C360" s="61" t="s">
        <v>13240</v>
      </c>
      <c r="D360" s="56" t="s">
        <v>13241</v>
      </c>
      <c r="E360" s="56" t="s">
        <v>13242</v>
      </c>
      <c r="F360" s="57">
        <v>22800</v>
      </c>
      <c r="G360" s="58">
        <v>5</v>
      </c>
      <c r="I360" s="5"/>
      <c r="J360" s="5"/>
    </row>
    <row r="361" spans="1:10" x14ac:dyDescent="0.2">
      <c r="A361" s="59" t="str">
        <f ca="1">IFERROR(__xludf.DUMMYFUNCTION("TEXTJOIN(""|"",TRUE,UNIQUE(FILTER(SPLIT(B361,"" ""),LEN(SPLIT(B361,"" ""))&gt;2)))"),"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amp;"ования|детей|дошкольного|возраста|способствует|развитию|координации|движений|командной|работы")</f>
        <v>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ования|детей|дошкольного|возраста|способствует|развитию|координации|движений|командной|работы</v>
      </c>
      <c r="B361" s="59" t="str">
        <f ca="1">IFERROR(__xludf.DUMMYFUNCTION("LOWER(REGEXREPLACE(D361&amp;"" ""&amp;E361,""[^а-яa-z0-9 ]"","" ""))"),"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прос"&amp;"транственного мышления и навыков конструирования у детей дошкольного возраста  способствует развитию координации движений и командной работы")</f>
        <v xml:space="preserve">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v>
      </c>
      <c r="C361" s="61" t="s">
        <v>13243</v>
      </c>
      <c r="D361" s="56" t="s">
        <v>13244</v>
      </c>
      <c r="E361" s="56" t="s">
        <v>13245</v>
      </c>
      <c r="F361" s="57">
        <v>11400</v>
      </c>
      <c r="G361" s="58">
        <v>1</v>
      </c>
      <c r="I361" s="5"/>
      <c r="J361" s="5"/>
    </row>
    <row r="362" spans="1:10" x14ac:dyDescent="0.2">
      <c r="A362" s="59" t="str">
        <f ca="1">IFERROR(__xludf.DUMMYFUNCTION("TEXTJOIN(""|"",TRUE,UNIQUE(FILTER(SPLIT(B362,"" ""),LEN(SPLIT(B362,"" ""))&gt;2)))"),"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amp;"|форме")</f>
        <v>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форме</v>
      </c>
      <c r="B362" s="59" t="str">
        <f ca="1">IFERROR(__xludf.DUMMYFUNCTION("LOWER(REGEXREPLACE(D362&amp;"" ""&amp;E362,""[^а-яa-z0-9 ]"","" ""))"),"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к"&amp;"лассификации по цвету и форме ")</f>
        <v xml:space="preserve">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классификации по цвету и форме </v>
      </c>
      <c r="C362" s="61" t="s">
        <v>13246</v>
      </c>
      <c r="D362" s="56" t="s">
        <v>13247</v>
      </c>
      <c r="E362" s="56" t="s">
        <v>13248</v>
      </c>
      <c r="F362" s="57">
        <v>9500</v>
      </c>
      <c r="G362" s="58">
        <v>5</v>
      </c>
      <c r="I362" s="5"/>
      <c r="J362" s="5"/>
    </row>
    <row r="363" spans="1:10" x14ac:dyDescent="0.2">
      <c r="A363" s="59" t="str">
        <f ca="1">IFERROR(__xludf.DUMMYFUNCTION("TEXTJOIN(""|"",TRUE,UNIQUE(FILTER(SPLIT(B363,"" ""),LEN(SPLIT(B363,"" ""))&gt;2)))"),"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f>
        <v>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v>
      </c>
      <c r="B363" s="59" t="str">
        <f ca="1">IFERROR(__xludf.DUMMYFUNCTION("LOWER(REGEXREPLACE(D363&amp;"" ""&amp;E363,""[^а-яa-z0-9 ]"","" ""))"),"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испо"&amp;"льзование ")</f>
        <v xml:space="preserve">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использование </v>
      </c>
      <c r="C363" s="61" t="s">
        <v>13249</v>
      </c>
      <c r="D363" s="56" t="s">
        <v>13250</v>
      </c>
      <c r="E363" s="56" t="s">
        <v>13251</v>
      </c>
      <c r="F363" s="57">
        <v>30400</v>
      </c>
      <c r="G363" s="58">
        <v>10</v>
      </c>
      <c r="I363" s="5"/>
      <c r="J363" s="5"/>
    </row>
    <row r="364" spans="1:10" x14ac:dyDescent="0.2">
      <c r="A364" s="59" t="str">
        <f ca="1">IFERROR(__xludf.DUMMYFUNCTION("TEXTJOIN(""|"",TRUE,UNIQUE(FILTER(SPLIT(B364,"" ""),LEN(SPLIT(B364,"" ""))&gt;2)))"),"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f>
        <v>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v>
      </c>
      <c r="B364" s="59" t="str">
        <f ca="1">IFERROR(__xludf.DUMMYFUNCTION("LOWER(REGEXREPLACE(D364&amp;"" ""&amp;E364,""[^а-яa-z0-9 ]"","" ""))"),"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f>
        <v xml:space="preserve">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v>
      </c>
      <c r="C364" s="61" t="s">
        <v>13252</v>
      </c>
      <c r="D364" s="56" t="s">
        <v>13253</v>
      </c>
      <c r="E364" s="56" t="s">
        <v>13254</v>
      </c>
      <c r="F364" s="57">
        <v>15200</v>
      </c>
      <c r="G364" s="58">
        <v>1</v>
      </c>
      <c r="I364" s="5"/>
      <c r="J364" s="5"/>
    </row>
    <row r="365" spans="1:10" x14ac:dyDescent="0.2">
      <c r="A365" s="59" t="str">
        <f ca="1">IFERROR(__xludf.DUMMYFUNCTION("TEXTJOIN(""|"",TRUE,UNIQUE(FILTER(SPLIT(B365,"" ""),LEN(SPLIT(B365,"" ""))&gt;2)))"),"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f>
        <v>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v>
      </c>
      <c r="B365" s="59" t="str">
        <f ca="1">IFERROR(__xludf.DUMMYFUNCTION("LOWER(REGEXREPLACE(D365&amp;"" ""&amp;E365,""[^а-яa-z0-9 ]"","" ""))"),"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f>
        <v xml:space="preserve">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v>
      </c>
      <c r="C365" s="61" t="s">
        <v>13255</v>
      </c>
      <c r="D365" s="56" t="s">
        <v>13256</v>
      </c>
      <c r="E365" s="56" t="s">
        <v>13257</v>
      </c>
      <c r="F365" s="57">
        <v>61400</v>
      </c>
      <c r="G365" s="58">
        <v>7</v>
      </c>
      <c r="I365" s="5"/>
      <c r="J365" s="5"/>
    </row>
    <row r="366" spans="1:10" x14ac:dyDescent="0.2">
      <c r="A366" s="59" t="str">
        <f ca="1">IFERROR(__xludf.DUMMYFUNCTION("TEXTJOIN(""|"",TRUE,UNIQUE(FILTER(SPLIT(B366,"" ""),LEN(SPLIT(B366,"" ""))&gt;2)))"),"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f>
        <v>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v>
      </c>
      <c r="B366" s="59" t="str">
        <f ca="1">IFERROR(__xludf.DUMMYFUNCTION("LOWER(REGEXREPLACE(D366&amp;"" ""&amp;E366,""[^а-яa-z0-9 ]"","" ""))"),"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использован"&amp;"ию ")</f>
        <v xml:space="preserve">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использованию </v>
      </c>
      <c r="C366" s="61" t="s">
        <v>13258</v>
      </c>
      <c r="D366" s="56" t="s">
        <v>13259</v>
      </c>
      <c r="E366" s="56" t="s">
        <v>13260</v>
      </c>
      <c r="F366" s="57">
        <v>29100</v>
      </c>
      <c r="G366" s="58">
        <v>5</v>
      </c>
      <c r="I366" s="5"/>
      <c r="J366" s="5"/>
    </row>
    <row r="367" spans="1:10" x14ac:dyDescent="0.2">
      <c r="A367" s="59" t="str">
        <f ca="1">IFERROR(__xludf.DUMMYFUNCTION("TEXTJOIN(""|"",TRUE,UNIQUE(FILTER(SPLIT(B367,"" ""),LEN(SPLIT(B367,"" ""))&gt;2)))"),"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f>
        <v>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v>
      </c>
      <c r="B367" s="59" t="str">
        <f ca="1">IFERROR(__xludf.DUMMYFUNCTION("LOWER(REGEXREPLACE(D367&amp;"" ""&amp;E367,""[^а-яa-z0-9 ]"","" ""))"),"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f>
        <v xml:space="preserve">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v>
      </c>
      <c r="C367" s="61" t="s">
        <v>13261</v>
      </c>
      <c r="D367" s="56" t="s">
        <v>13262</v>
      </c>
      <c r="E367" s="56" t="s">
        <v>13263</v>
      </c>
      <c r="F367" s="57">
        <v>26800</v>
      </c>
      <c r="G367" s="58">
        <v>5</v>
      </c>
      <c r="I367" s="5"/>
      <c r="J367" s="5"/>
    </row>
    <row r="368" spans="1:10" x14ac:dyDescent="0.2">
      <c r="A368" s="59" t="str">
        <f ca="1">IFERROR(__xludf.DUMMYFUNCTION("TEXTJOIN(""|"",TRUE,UNIQUE(FILTER(SPLIT(B368,"" ""),LEN(SPLIT(B368,"" ""))&gt;2)))"),"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f>
        <v>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v>
      </c>
      <c r="B368" s="59" t="str">
        <f ca="1">IFERROR(__xludf.DUMMYFUNCTION("LOWER(REGEXREPLACE(D368&amp;"" ""&amp;E368,""[^а-яa-z0-9 ]"","" ""))"),"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f>
        <v xml:space="preserve">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v>
      </c>
      <c r="C368" s="61" t="s">
        <v>13264</v>
      </c>
      <c r="D368" s="56" t="s">
        <v>13265</v>
      </c>
      <c r="E368" s="56" t="s">
        <v>13266</v>
      </c>
      <c r="F368" s="57">
        <v>39700</v>
      </c>
      <c r="G368" s="58">
        <v>7</v>
      </c>
      <c r="I368" s="5"/>
      <c r="J368" s="5"/>
    </row>
    <row r="369" spans="1:10" x14ac:dyDescent="0.2">
      <c r="A369" s="59" t="str">
        <f ca="1">IFERROR(__xludf.DUMMYFUNCTION("TEXTJOIN(""|"",TRUE,UNIQUE(FILTER(SPLIT(B369,"" ""),LEN(SPLIT(B369,"" ""))&gt;2)))"),"депт|дем|тет|леу")</f>
        <v>депт|дем|тет|леу</v>
      </c>
      <c r="B369" s="59" t="str">
        <f ca="1">IFERROR(__xludf.DUMMYFUNCTION("LOWER(REGEXREPLACE(D369&amp;"" ""&amp;E369,""[^а-яa-z0-9 ]"","" ""))")," депт л к  дем л к  тет леу лы   ")</f>
        <v xml:space="preserve"> депт л к  дем л к  тет леу лы   </v>
      </c>
      <c r="C369" s="61" t="s">
        <v>13267</v>
      </c>
      <c r="D369" s="56" t="s">
        <v>13268</v>
      </c>
      <c r="E369" s="56" t="s">
        <v>13269</v>
      </c>
      <c r="F369" s="57">
        <v>6800</v>
      </c>
      <c r="G369" s="58">
        <v>1</v>
      </c>
      <c r="I369" s="5"/>
      <c r="J369" s="5"/>
    </row>
    <row r="370" spans="1:10" x14ac:dyDescent="0.2">
      <c r="A370" s="59" t="str">
        <f ca="1">IFERROR(__xludf.DUMMYFUNCTION("TEXTJOIN(""|"",TRUE,UNIQUE(FILTER(SPLIT(B370,"" ""),LEN(SPLIT(B370,"" ""))&gt;2)))"),"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f>
        <v>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v>
      </c>
      <c r="B370" s="59" t="str">
        <f ca="1">IFERROR(__xludf.DUMMYFUNCTION("LOWER(REGEXREPLACE(D370&amp;"" ""&amp;E370,""[^а-яa-z0-9 ]"","" ""))"),"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"&amp;"единица ")</f>
        <v xml:space="preserve">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единица </v>
      </c>
      <c r="C370" s="61" t="s">
        <v>13270</v>
      </c>
      <c r="D370" s="56" t="s">
        <v>13271</v>
      </c>
      <c r="E370" s="56" t="s">
        <v>13272</v>
      </c>
      <c r="F370" s="57">
        <v>24500</v>
      </c>
      <c r="G370" s="58">
        <v>5</v>
      </c>
      <c r="I370" s="5"/>
      <c r="J370" s="5"/>
    </row>
    <row r="371" spans="1:10" x14ac:dyDescent="0.2">
      <c r="A371" s="59" t="str">
        <f ca="1">IFERROR(__xludf.DUMMYFUNCTION("TEXTJOIN(""|"",TRUE,UNIQUE(FILTER(SPLIT(B371,"" ""),LEN(SPLIT(B371,"" ""))&gt;2)))"),"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f>
        <v>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v>
      </c>
      <c r="B371" s="59" t="str">
        <f ca="1">IFERROR(__xludf.DUMMYFUNCTION("LOWER(REGEXREPLACE(D371&amp;"" ""&amp;E371,""[^а-яa-z0-9 ]"","" ""))"),"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f>
        <v xml:space="preserve">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v>
      </c>
      <c r="C371" s="61" t="s">
        <v>13273</v>
      </c>
      <c r="D371" s="56" t="s">
        <v>13274</v>
      </c>
      <c r="E371" s="56" t="s">
        <v>13275</v>
      </c>
      <c r="F371" s="57">
        <v>18100</v>
      </c>
      <c r="G371" s="58">
        <v>1</v>
      </c>
      <c r="I371" s="5"/>
      <c r="J371" s="5"/>
    </row>
    <row r="372" spans="1:10" x14ac:dyDescent="0.2">
      <c r="A372" s="59" t="str">
        <f ca="1">IFERROR(__xludf.DUMMYFUNCTION("TEXTJOIN(""|"",TRUE,UNIQUE(FILTER(SPLIT(B372,"" ""),LEN(SPLIT(B372,"" ""))&gt;2)))"),"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f>
        <v>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v>
      </c>
      <c r="B372" s="59" t="str">
        <f ca="1">IFERROR(__xludf.DUMMYFUNCTION("LOWER(REGEXREPLACE(D372&amp;"" ""&amp;E372,""[^а-яa-z0-9 ]"","" ""))"),"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f>
        <v xml:space="preserve">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v>
      </c>
      <c r="C372" s="61" t="s">
        <v>13276</v>
      </c>
      <c r="D372" s="56" t="s">
        <v>13277</v>
      </c>
      <c r="E372" s="56" t="s">
        <v>13278</v>
      </c>
      <c r="F372" s="57">
        <v>26800</v>
      </c>
      <c r="G372" s="58">
        <v>5</v>
      </c>
      <c r="I372" s="5"/>
      <c r="J372" s="5"/>
    </row>
    <row r="373" spans="1:10" x14ac:dyDescent="0.2">
      <c r="A373" s="59" t="str">
        <f ca="1">IFERROR(__xludf.DUMMYFUNCTION("TEXTJOIN(""|"",TRUE,UNIQUE(FILTER(SPLIT(B373,"" ""),LEN(SPLIT(B373,"" ""))&gt;2)))"),"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f>
        <v>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v>
      </c>
      <c r="B373" s="59" t="str">
        <f ca="1">IFERROR(__xludf.DUMMYFUNCTION("LOWER(REGEXREPLACE(D373&amp;"" ""&amp;E373,""[^а-яa-z0-9 ]"","" ""))"),"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f>
        <v xml:space="preserve">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v>
      </c>
      <c r="C373" s="61" t="s">
        <v>13279</v>
      </c>
      <c r="D373" s="56" t="s">
        <v>13280</v>
      </c>
      <c r="E373" s="56" t="s">
        <v>13281</v>
      </c>
      <c r="F373" s="57">
        <v>47500</v>
      </c>
      <c r="G373" s="58">
        <v>5</v>
      </c>
      <c r="I373" s="5"/>
      <c r="J373" s="5"/>
    </row>
    <row r="374" spans="1:10" x14ac:dyDescent="0.2">
      <c r="A374" s="59" t="str">
        <f ca="1">IFERROR(__xludf.DUMMYFUNCTION("TEXTJOIN(""|"",TRUE,UNIQUE(FILTER(SPLIT(B374,"" ""),LEN(SPLIT(B374,"" ""))&gt;2)))"),"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f>
        <v>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v>
      </c>
      <c r="B374" s="59" t="str">
        <f ca="1">IFERROR(__xludf.DUMMYFUNCTION("LOWER(REGEXREPLACE(D374&amp;"" ""&amp;E374,""[^а-яa-z0-9 ]"","" ""))"),"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f>
        <v xml:space="preserve">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v>
      </c>
      <c r="C374" s="61" t="s">
        <v>13282</v>
      </c>
      <c r="D374" s="56" t="s">
        <v>13283</v>
      </c>
      <c r="E374" s="56" t="s">
        <v>13284</v>
      </c>
      <c r="F374" s="57">
        <v>25800</v>
      </c>
      <c r="G374" s="58">
        <v>5</v>
      </c>
      <c r="I374" s="5"/>
      <c r="J374" s="5"/>
    </row>
    <row r="375" spans="1:10" x14ac:dyDescent="0.2">
      <c r="A375" s="59" t="str">
        <f ca="1">IFERROR(__xludf.DUMMYFUNCTION("TEXTJOIN(""|"",TRUE,UNIQUE(FILTER(SPLIT(B375,"" ""),LEN(SPLIT(B375,"" ""))&gt;2)))"),"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f>
        <v>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v>
      </c>
      <c r="B375" s="59" t="str">
        <f ca="1">IFERROR(__xludf.DUMMYFUNCTION("LOWER(REGEXREPLACE(D375&amp;"" ""&amp;E375,""[^а-яa-z0-9 ]"","" ""))"),"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f>
        <v xml:space="preserve">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v>
      </c>
      <c r="C375" s="61" t="s">
        <v>13285</v>
      </c>
      <c r="D375" s="56" t="s">
        <v>13286</v>
      </c>
      <c r="E375" s="56" t="s">
        <v>13287</v>
      </c>
      <c r="F375" s="57">
        <v>4900</v>
      </c>
      <c r="G375" s="58">
        <v>7</v>
      </c>
      <c r="I375" s="5"/>
      <c r="J375" s="5"/>
    </row>
    <row r="376" spans="1:10" x14ac:dyDescent="0.2">
      <c r="A376" s="59" t="str">
        <f ca="1">IFERROR(__xludf.DUMMYFUNCTION("TEXTJOIN(""|"",TRUE,UNIQUE(FILTER(SPLIT(B376,"" ""),LEN(SPLIT(B376,"" ""))&gt;2)))"),"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amp;"идячем|стоячем|положении")</f>
        <v>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идячем|стоячем|положении</v>
      </c>
      <c r="B376" s="59" t="str">
        <f ca="1">IFERROR(__xludf.DUMMYFUNCTION("LOWER(REGEXREPLACE(D376&amp;"" ""&amp;E376,""[^а-яa-z0-9 ]"","" ""))"),"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п"&amp;"озволяет удерживать куклу в сидячем и стоячем положении ")</f>
        <v xml:space="preserve">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позволяет удерживать куклу в сидячем и стоячем положении </v>
      </c>
      <c r="C376" s="61" t="s">
        <v>13288</v>
      </c>
      <c r="D376" s="56" t="s">
        <v>13289</v>
      </c>
      <c r="E376" s="56" t="s">
        <v>13290</v>
      </c>
      <c r="F376" s="57">
        <v>31900</v>
      </c>
      <c r="G376" s="58">
        <v>10</v>
      </c>
      <c r="I376" s="5"/>
      <c r="J376" s="5"/>
    </row>
    <row r="377" spans="1:10" x14ac:dyDescent="0.2">
      <c r="A377" s="59" t="str">
        <f ca="1">IFERROR(__xludf.DUMMYFUNCTION("TEXTJOIN(""|"",TRUE,UNIQUE(FILTER(SPLIT(B377,"" ""),LEN(SPLIT(B377,"" ""))&gt;2)))"),"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f>
        <v>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v>
      </c>
      <c r="B377" s="59" t="str">
        <f ca="1">IFERROR(__xludf.DUMMYFUNCTION("LOWER(REGEXREPLACE(D377&amp;"" ""&amp;E377,""[^а-яa-z0-9 ]"","" ""))"),"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f>
        <v xml:space="preserve">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v>
      </c>
      <c r="C377" s="61" t="s">
        <v>13291</v>
      </c>
      <c r="D377" s="56" t="s">
        <v>13292</v>
      </c>
      <c r="E377" s="56" t="s">
        <v>13293</v>
      </c>
      <c r="F377" s="57">
        <v>9500</v>
      </c>
      <c r="G377" s="58">
        <v>3</v>
      </c>
      <c r="I377" s="5"/>
      <c r="J377" s="5"/>
    </row>
    <row r="378" spans="1:10" x14ac:dyDescent="0.2">
      <c r="A378" s="59" t="str">
        <f ca="1">IFERROR(__xludf.DUMMYFUNCTION("TEXTJOIN(""|"",TRUE,UNIQUE(FILTER(SPLIT(B378,"" ""),LEN(SPLIT(B378,"" ""))&gt;2)))"),"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f>
        <v>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v>
      </c>
      <c r="B378" s="59" t="str">
        <f ca="1">IFERROR(__xludf.DUMMYFUNCTION("LOWER(REGEXREPLACE(D378&amp;"" ""&amp;E378,""[^а-яa-z0-9 ]"","" ""))"),"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f>
        <v xml:space="preserve">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v>
      </c>
      <c r="C378" s="61" t="s">
        <v>13294</v>
      </c>
      <c r="D378" s="56" t="s">
        <v>13295</v>
      </c>
      <c r="E378" s="56" t="s">
        <v>13296</v>
      </c>
      <c r="F378" s="57">
        <v>14200</v>
      </c>
      <c r="G378" s="58">
        <v>8</v>
      </c>
      <c r="I378" s="5"/>
      <c r="J378" s="5"/>
    </row>
    <row r="379" spans="1:10" x14ac:dyDescent="0.2">
      <c r="A379" s="59" t="str">
        <f ca="1">IFERROR(__xludf.DUMMYFUNCTION("TEXTJOIN(""|"",TRUE,UNIQUE(FILTER(SPLIT(B379,"" ""),LEN(SPLIT(B379,"" ""))&gt;2)))"),"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f>
        <v>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v>
      </c>
      <c r="B379" s="59" t="str">
        <f ca="1">IFERROR(__xludf.DUMMYFUNCTION("LOWER(REGEXREPLACE(D379&amp;"" ""&amp;E379,""[^а-яa-z0-9 ]"","" ""))"),"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f>
        <v xml:space="preserve">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v>
      </c>
      <c r="C379" s="61" t="s">
        <v>13297</v>
      </c>
      <c r="D379" s="56" t="s">
        <v>13298</v>
      </c>
      <c r="E379" s="56" t="s">
        <v>13299</v>
      </c>
      <c r="F379" s="57">
        <v>7600</v>
      </c>
      <c r="G379" s="58">
        <v>1</v>
      </c>
      <c r="I379" s="5"/>
      <c r="J379" s="5"/>
    </row>
    <row r="380" spans="1:10" x14ac:dyDescent="0.2">
      <c r="A380" s="59" t="str">
        <f ca="1">IFERROR(__xludf.DUMMYFUNCTION("TEXTJOIN(""|"",TRUE,UNIQUE(FILTER(SPLIT(B380,"" ""),LEN(SPLIT(B380,"" ""))&gt;2)))"),"лемн|дени|жау|арлары|под|ред|анфорд|перевод|арипова")</f>
        <v>лемн|дени|жау|арлары|под|ред|анфорд|перевод|арипова</v>
      </c>
      <c r="B380" s="59" t="str">
        <f ca="1">IFERROR(__xludf.DUMMYFUNCTION("LOWER(REGEXREPLACE(D380&amp;"" ""&amp;E380,""[^а-яa-z0-9 ]"","" ""))")," лемн   м дени жау арлары под ред      анфорд  перевод  арипова    ")</f>
        <v xml:space="preserve"> лемн   м дени жау арлары под ред      анфорд  перевод  арипова    </v>
      </c>
      <c r="C380" s="61" t="s">
        <v>13300</v>
      </c>
      <c r="D380" s="56" t="s">
        <v>13301</v>
      </c>
      <c r="E380" s="56" t="s">
        <v>13302</v>
      </c>
      <c r="F380" s="57">
        <v>27900</v>
      </c>
      <c r="G380" s="58">
        <v>1</v>
      </c>
      <c r="I380" s="5"/>
      <c r="J380" s="5"/>
    </row>
    <row r="381" spans="1:10" x14ac:dyDescent="0.2">
      <c r="A381" s="59" t="str">
        <f ca="1">IFERROR(__xludf.DUMMYFUNCTION("TEXTJOIN(""|"",TRUE,UNIQUE(FILTER(SPLIT(B381,"" ""),LEN(SPLIT(B381,"" ""))&gt;2)))"),"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f>
        <v>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v>
      </c>
      <c r="B381" s="59" t="str">
        <f ca="1">IFERROR(__xludf.DUMMYFUNCTION("LOWER(REGEXREPLACE(D381&amp;"" ""&amp;E381,""[^а-яa-z0-9 ]"","" ""))"),"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f>
        <v xml:space="preserve">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v>
      </c>
      <c r="C381" s="61" t="s">
        <v>13303</v>
      </c>
      <c r="D381" s="56" t="s">
        <v>13304</v>
      </c>
      <c r="E381" s="56" t="s">
        <v>13305</v>
      </c>
      <c r="F381" s="57">
        <v>21900</v>
      </c>
      <c r="G381" s="58">
        <v>1</v>
      </c>
      <c r="I381" s="5"/>
      <c r="J381" s="5"/>
    </row>
    <row r="382" spans="1:10" x14ac:dyDescent="0.2">
      <c r="A382" s="59" t="str">
        <f ca="1">IFERROR(__xludf.DUMMYFUNCTION("TEXTJOIN(""|"",TRUE,UNIQUE(FILTER(SPLIT(B382,"" ""),LEN(SPLIT(B382,"" ""))&gt;2)))"),"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f>
        <v>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v>
      </c>
      <c r="B382" s="59" t="str">
        <f ca="1">IFERROR(__xludf.DUMMYFUNCTION("LOWER(REGEXREPLACE(D382&amp;"" ""&amp;E382,""[^а-яa-z0-9 ]"","" ""))"),"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соци"&amp;"альных навыков ")</f>
        <v xml:space="preserve">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социальных навыков </v>
      </c>
      <c r="C382" s="61" t="s">
        <v>13306</v>
      </c>
      <c r="D382" s="56" t="s">
        <v>13307</v>
      </c>
      <c r="E382" s="56" t="s">
        <v>13308</v>
      </c>
      <c r="F382" s="57">
        <v>38800</v>
      </c>
      <c r="G382" s="58">
        <v>12</v>
      </c>
      <c r="I382" s="5"/>
      <c r="J382" s="5"/>
    </row>
    <row r="383" spans="1:10" x14ac:dyDescent="0.2">
      <c r="A383" s="59" t="str">
        <f ca="1">IFERROR(__xludf.DUMMYFUNCTION("TEXTJOIN(""|"",TRUE,UNIQUE(FILTER(SPLIT(B383,"" ""),LEN(SPLIT(B383,"" ""))&gt;2)))"),"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f>
        <v>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v>
      </c>
      <c r="B383" s="59" t="str">
        <f ca="1">IFERROR(__xludf.DUMMYFUNCTION("LOWER(REGEXREPLACE(D383&amp;"" ""&amp;E383,""[^а-яa-z0-9 ]"","" ""))"),"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f>
        <v xml:space="preserve">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v>
      </c>
      <c r="C383" s="61" t="s">
        <v>13309</v>
      </c>
      <c r="D383" s="56" t="s">
        <v>13310</v>
      </c>
      <c r="E383" s="56" t="s">
        <v>13311</v>
      </c>
      <c r="F383" s="57">
        <v>11400</v>
      </c>
      <c r="G383" s="58">
        <v>1</v>
      </c>
      <c r="I383" s="5"/>
      <c r="J383" s="5"/>
    </row>
    <row r="384" spans="1:10" x14ac:dyDescent="0.2">
      <c r="A384" s="59" t="str">
        <f ca="1">IFERROR(__xludf.DUMMYFUNCTION("TEXTJOIN(""|"",TRUE,UNIQUE(FILTER(SPLIT(B384,"" ""),LEN(SPLIT(B384,"" ""))&gt;2)))"),"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f>
        <v>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v>
      </c>
      <c r="B384" s="59" t="str">
        <f ca="1">IFERROR(__xludf.DUMMYFUNCTION("LOWER(REGEXREPLACE(D384&amp;"" ""&amp;E384,""[^а-яa-z0-9 ]"","" ""))"),"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f>
        <v xml:space="preserve">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v>
      </c>
      <c r="C384" s="61" t="s">
        <v>13312</v>
      </c>
      <c r="D384" s="56" t="s">
        <v>13313</v>
      </c>
      <c r="E384" s="56" t="s">
        <v>13314</v>
      </c>
      <c r="F384" s="57">
        <v>44400</v>
      </c>
      <c r="G384" s="58">
        <v>7</v>
      </c>
      <c r="I384" s="5"/>
      <c r="J384" s="5"/>
    </row>
    <row r="385" spans="1:10" x14ac:dyDescent="0.2">
      <c r="A385" s="59" t="str">
        <f ca="1">IFERROR(__xludf.DUMMYFUNCTION("TEXTJOIN(""|"",TRUE,UNIQUE(FILTER(SPLIT(B385,"" ""),LEN(SPLIT(B385,"" ""))&gt;2)))"),"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amp;"яет|менять|позы|расширяет|игровые|сценарии")</f>
        <v>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яет|менять|позы|расширяет|игровые|сценарии</v>
      </c>
      <c r="B385" s="59" t="str">
        <f ca="1">IFERROR(__xludf.DUMMYFUNCTION("LOWER(REGEXREPLACE(D385&amp;"" ""&amp;E385,""[^а-яa-z0-9 ]"","" ""))"),"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ст"&amp;"роение позволяет менять позы и расширяет игровые сценарии ")</f>
        <v xml:space="preserve">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строение позволяет менять позы и расширяет игровые сценарии </v>
      </c>
      <c r="C385" s="61" t="s">
        <v>13315</v>
      </c>
      <c r="D385" s="56" t="s">
        <v>13316</v>
      </c>
      <c r="E385" s="56" t="s">
        <v>13317</v>
      </c>
      <c r="F385" s="57">
        <v>5700</v>
      </c>
      <c r="G385" s="58">
        <v>7</v>
      </c>
      <c r="I385" s="5"/>
      <c r="J385" s="5"/>
    </row>
    <row r="386" spans="1:10" x14ac:dyDescent="0.2">
      <c r="A386" s="59" t="str">
        <f ca="1">IFERROR(__xludf.DUMMYFUNCTION("TEXTJOIN(""|"",TRUE,UNIQUE(FILTER(SPLIT(B386,"" ""),LEN(SPLIT(B386,"" ""))&gt;2)))"),"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f>
        <v>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v>
      </c>
      <c r="B386" s="59" t="str">
        <f ca="1">IFERROR(__xludf.DUMMYFUNCTION("LOWER(REGEXREPLACE(D386&amp;"" ""&amp;E386,""[^а-яa-z0-9 ]"","" ""))"),"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де"&amp;"ятельности ")</f>
        <v xml:space="preserve">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деятельности </v>
      </c>
      <c r="C386" s="61" t="s">
        <v>13318</v>
      </c>
      <c r="D386" s="56" t="s">
        <v>13319</v>
      </c>
      <c r="E386" s="56" t="s">
        <v>13320</v>
      </c>
      <c r="F386" s="57">
        <v>22800</v>
      </c>
      <c r="G386" s="58">
        <v>35</v>
      </c>
      <c r="I386" s="5"/>
      <c r="J386" s="5"/>
    </row>
    <row r="387" spans="1:10" x14ac:dyDescent="0.2">
      <c r="A387" s="59" t="str">
        <f ca="1">IFERROR(__xludf.DUMMYFUNCTION("TEXTJOIN(""|"",TRUE,UNIQUE(FILTER(SPLIT(B387,"" ""),LEN(SPLIT(B387,"" ""))&gt;2)))"),"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f>
        <v>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v>
      </c>
      <c r="B387" s="59" t="str">
        <f ca="1">IFERROR(__xludf.DUMMYFUNCTION("LOWER(REGEXREPLACE(D387&amp;"" ""&amp;E387,""[^а-яa-z0-9 ]"","" ""))"),"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f>
        <v xml:space="preserve">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v>
      </c>
      <c r="C387" s="61" t="s">
        <v>13321</v>
      </c>
      <c r="D387" s="56" t="s">
        <v>13322</v>
      </c>
      <c r="E387" s="56" t="s">
        <v>13323</v>
      </c>
      <c r="F387" s="57">
        <v>10800</v>
      </c>
      <c r="G387" s="58">
        <v>5</v>
      </c>
      <c r="I387" s="5"/>
      <c r="J387" s="5"/>
    </row>
    <row r="388" spans="1:10" x14ac:dyDescent="0.2">
      <c r="A388" s="59" t="str">
        <f ca="1">IFERROR(__xludf.DUMMYFUNCTION("TEXTJOIN(""|"",TRUE,UNIQUE(FILTER(SPLIT(B388,"" ""),LEN(SPLIT(B388,"" ""))&gt;2)))"),"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f>
        <v>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v>
      </c>
      <c r="B388" s="59" t="str">
        <f ca="1">IFERROR(__xludf.DUMMYFUNCTION("LOWER(REGEXREPLACE(D388&amp;"" ""&amp;E388,""[^а-яa-z0-9 ]"","" ""))"),"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неско"&amp;"льких детей ")</f>
        <v xml:space="preserve">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нескольких детей </v>
      </c>
      <c r="C388" s="61" t="s">
        <v>13324</v>
      </c>
      <c r="D388" s="56" t="s">
        <v>13325</v>
      </c>
      <c r="E388" s="56" t="s">
        <v>13326</v>
      </c>
      <c r="F388" s="57">
        <v>47500</v>
      </c>
      <c r="G388" s="58">
        <v>12</v>
      </c>
      <c r="I388" s="5"/>
      <c r="J388" s="5"/>
    </row>
    <row r="389" spans="1:10" x14ac:dyDescent="0.2">
      <c r="A389" s="59" t="str">
        <f ca="1">IFERROR(__xludf.DUMMYFUNCTION("TEXTJOIN(""|"",TRUE,UNIQUE(FILTER(SPLIT(B389,"" ""),LEN(SPLIT(B389,"" ""))&gt;2)))"),"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amp;"ал|изготовления|дерево")</f>
        <v>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ал|изготовления|дерево</v>
      </c>
      <c r="B389" s="59" t="str">
        <f ca="1">IFERROR(__xludf.DUMMYFUNCTION("LOWER(REGEXREPLACE(D389&amp;"" ""&amp;E389,""[^а-яa-z0-9 ]"","" ""))"),"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составл"&amp;"яет не менее 70 см   атериал изготовления   дерево ")</f>
        <v xml:space="preserve">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составляет не менее 70 см   атериал изготовления   дерево </v>
      </c>
      <c r="C389" s="61" t="s">
        <v>13327</v>
      </c>
      <c r="D389" s="56" t="s">
        <v>13328</v>
      </c>
      <c r="E389" s="56" t="s">
        <v>13329</v>
      </c>
      <c r="F389" s="57">
        <v>57000</v>
      </c>
      <c r="G389" s="58">
        <v>7</v>
      </c>
      <c r="I389" s="5"/>
      <c r="J389" s="5"/>
    </row>
    <row r="390" spans="1:10" x14ac:dyDescent="0.2">
      <c r="A390" s="59" t="str">
        <f ca="1">IFERROR(__xludf.DUMMYFUNCTION("TEXTJOIN(""|"",TRUE,UNIQUE(FILTER(SPLIT(B390,"" ""),LEN(SPLIT(B390,"" ""))&gt;2)))"),"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f>
        <v>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v>
      </c>
      <c r="B390" s="59" t="str">
        <f ca="1">IFERROR(__xludf.DUMMYFUNCTION("LOWER(REGEXREPLACE(D390&amp;"" ""&amp;E390,""[^а-яa-z0-9 ]"","" ""))"),"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контроле"&amp;"м педагога ")</f>
        <v xml:space="preserve">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контролем педагога </v>
      </c>
      <c r="C390" s="61" t="s">
        <v>13330</v>
      </c>
      <c r="D390" s="56" t="s">
        <v>13331</v>
      </c>
      <c r="E390" s="56" t="s">
        <v>13332</v>
      </c>
      <c r="F390" s="57">
        <v>5700</v>
      </c>
      <c r="G390" s="58">
        <v>5</v>
      </c>
      <c r="I390" s="5"/>
      <c r="J390" s="5"/>
    </row>
    <row r="391" spans="1:10" x14ac:dyDescent="0.2">
      <c r="A391" s="59" t="str">
        <f ca="1">IFERROR(__xludf.DUMMYFUNCTION("TEXTJOIN(""|"",TRUE,UNIQUE(FILTER(SPLIT(B391,"" ""),LEN(SPLIT(B391,"" ""))&gt;2)))"),"лемн|кереметтер")</f>
        <v>лемн|кереметтер</v>
      </c>
      <c r="B391" s="59" t="str">
        <f ca="1">IFERROR(__xludf.DUMMYFUNCTION("LOWER(REGEXREPLACE(D391&amp;"" ""&amp;E391,""[^а-яa-z0-9 ]"","" ""))")," лемн    лы кереметтер   ш   ")</f>
        <v xml:space="preserve"> лемн    лы кереметтер   ш   </v>
      </c>
      <c r="C391" s="61" t="s">
        <v>13333</v>
      </c>
      <c r="D391" s="56" t="s">
        <v>13334</v>
      </c>
      <c r="E391" s="56" t="s">
        <v>13335</v>
      </c>
      <c r="F391" s="57">
        <v>8400</v>
      </c>
      <c r="G391" s="58">
        <v>1</v>
      </c>
      <c r="I391" s="5"/>
      <c r="J391" s="5"/>
    </row>
    <row r="392" spans="1:10" x14ac:dyDescent="0.2">
      <c r="A392" s="59" t="str">
        <f ca="1">IFERROR(__xludf.DUMMYFUNCTION("TEXTJOIN(""|"",TRUE,UNIQUE(FILTER(SPLIT(B392,"" ""),LEN(SPLIT(B392,"" ""))&gt;2)))"),"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amp;"к|комплект|входит|менее|кукол")</f>
        <v>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к|комплект|входит|менее|кукол</v>
      </c>
      <c r="B392" s="59" t="str">
        <f ca="1">IFERROR(__xludf.DUMMYFUNCTION("LOWER(REGEXREPLACE(D392&amp;"" ""&amp;E392,""[^а-яa-z0-9 ]"","" ""))"),"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заняти"&amp;"й и игровых постановок    комплект входит не менее 5 кукол ")</f>
        <v xml:space="preserve">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занятий и игровых постановок    комплект входит не менее 5 кукол </v>
      </c>
      <c r="C392" s="61" t="s">
        <v>13336</v>
      </c>
      <c r="D392" s="56" t="s">
        <v>13337</v>
      </c>
      <c r="E392" s="56" t="s">
        <v>13338</v>
      </c>
      <c r="F392" s="57">
        <v>16800</v>
      </c>
      <c r="G392" s="58">
        <v>5</v>
      </c>
      <c r="I392" s="5"/>
      <c r="J392" s="5"/>
    </row>
    <row r="393" spans="1:10" x14ac:dyDescent="0.2">
      <c r="A393" s="59" t="str">
        <f ca="1">IFERROR(__xludf.DUMMYFUNCTION("TEXTJOIN(""|"",TRUE,UNIQUE(FILTER(SPLIT(B393,"" ""),LEN(SPLIT(B393,"" ""))&gt;2)))"),"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f>
        <v>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v>
      </c>
      <c r="B393" s="59" t="str">
        <f ca="1">IFERROR(__xludf.DUMMYFUNCTION("LOWER(REGEXREPLACE(D393&amp;"" ""&amp;E393,""[^а-яa-z0-9 ]"","" ""))"),"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перчат"&amp;"очных кукол ")</f>
        <v xml:space="preserve">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перчаточных кукол </v>
      </c>
      <c r="C393" s="61" t="s">
        <v>13339</v>
      </c>
      <c r="D393" s="56" t="s">
        <v>13340</v>
      </c>
      <c r="E393" s="56" t="s">
        <v>13341</v>
      </c>
      <c r="F393" s="57">
        <v>14900</v>
      </c>
      <c r="G393" s="58">
        <v>5</v>
      </c>
      <c r="I393" s="5"/>
      <c r="J393" s="5"/>
    </row>
    <row r="394" spans="1:10" x14ac:dyDescent="0.2">
      <c r="A394" s="59" t="str">
        <f ca="1">IFERROR(__xludf.DUMMYFUNCTION("TEXTJOIN(""|"",TRUE,UNIQUE(FILTER(SPLIT(B394,"" ""),LEN(SPLIT(B394,"" ""))&gt;2)))"),"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f>
        <v>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v>
      </c>
      <c r="B394" s="59" t="str">
        <f ca="1">IFERROR(__xludf.DUMMYFUNCTION("LOWER(REGEXREPLACE(D394&amp;"" ""&amp;E394,""[^а-яa-z0-9 ]"","" ""))"),"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f>
        <v xml:space="preserve">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v>
      </c>
      <c r="C394" s="61" t="s">
        <v>13342</v>
      </c>
      <c r="D394" s="56" t="s">
        <v>13343</v>
      </c>
      <c r="E394" s="56" t="s">
        <v>13344</v>
      </c>
      <c r="F394" s="57">
        <v>76500</v>
      </c>
      <c r="G394" s="58">
        <v>2</v>
      </c>
      <c r="I394" s="5"/>
      <c r="J394" s="5"/>
    </row>
    <row r="395" spans="1:10" x14ac:dyDescent="0.2">
      <c r="A395" s="59" t="str">
        <f ca="1">IFERROR(__xludf.DUMMYFUNCTION("TEXTJOIN(""|"",TRUE,UNIQUE(FILTER(SPLIT(B395,"" ""),LEN(SPLIT(B395,"" ""))&gt;2)))"),"ультурные|сокровища|мира|под|ред|анфорд|перевод|санова")</f>
        <v>ультурные|сокровища|мира|под|ред|анфорд|перевод|санова</v>
      </c>
      <c r="B395" s="59" t="str">
        <f ca="1">IFERROR(__xludf.DUMMYFUNCTION("LOWER(REGEXREPLACE(D395&amp;"" ""&amp;E395,""[^а-яa-z0-9 ]"","" ""))")," ультурные сокровища мира под ред      анфорд  перевод  санова    ")</f>
        <v xml:space="preserve"> ультурные сокровища мира под ред      анфорд  перевод  санова    </v>
      </c>
      <c r="C395" s="61" t="s">
        <v>13345</v>
      </c>
      <c r="D395" s="56" t="s">
        <v>13346</v>
      </c>
      <c r="E395" s="56" t="s">
        <v>13347</v>
      </c>
      <c r="F395" s="57">
        <v>27900</v>
      </c>
      <c r="G395" s="58">
        <v>1</v>
      </c>
      <c r="I395" s="5"/>
      <c r="J395" s="5"/>
    </row>
    <row r="396" spans="1:10" x14ac:dyDescent="0.2">
      <c r="A396" s="59" t="str">
        <f ca="1">IFERROR(__xludf.DUMMYFUNCTION("TEXTJOIN(""|"",TRUE,UNIQUE(FILTER(SPLIT(B396,"" ""),LEN(SPLIT(B396,"" ""))&gt;2)))"),"рындай|кей|йымбетов")</f>
        <v>рындай|кей|йымбетов</v>
      </c>
      <c r="B396" s="59" t="str">
        <f ca="1">IFERROR(__xludf.DUMMYFUNCTION("LOWER(REGEXREPLACE(D396&amp;"" ""&amp;E396,""[^а-яa-z0-9 ]"","" ""))"),"  н н рындай   н кей    йымбетов")</f>
        <v xml:space="preserve">  н н рындай   н кей    йымбетов</v>
      </c>
      <c r="C396" s="61" t="s">
        <v>13348</v>
      </c>
      <c r="D396" s="56" t="s">
        <v>13349</v>
      </c>
      <c r="E396" s="56" t="s">
        <v>13350</v>
      </c>
      <c r="F396" s="57">
        <v>8000</v>
      </c>
      <c r="G396" s="58">
        <v>1</v>
      </c>
      <c r="I396" s="5"/>
      <c r="J396" s="5"/>
    </row>
    <row r="397" spans="1:10" x14ac:dyDescent="0.2">
      <c r="A397" s="59" t="str">
        <f ca="1">IFERROR(__xludf.DUMMYFUNCTION("TEXTJOIN(""|"",TRUE,UNIQUE(FILTER(SPLIT(B397,"" ""),LEN(SPLIT(B397,"" ""))&gt;2)))"),"сыры|неде|ызы|физика|аммонд")</f>
        <v>сыры|неде|ызы|физика|аммонд</v>
      </c>
      <c r="B397" s="59" t="str">
        <f ca="1">IFERROR(__xludf.DUMMYFUNCTION("LOWER(REGEXREPLACE(D397&amp;"" ""&amp;E397,""[^а-яa-z0-9 ]"","" ""))"),"  шт н сыры неде   ызы ты физика  аммонд   ")</f>
        <v xml:space="preserve">  шт н сыры неде   ызы ты физика  аммонд   </v>
      </c>
      <c r="C397" s="61" t="s">
        <v>13351</v>
      </c>
      <c r="D397" s="56" t="s">
        <v>13352</v>
      </c>
      <c r="E397" s="56" t="s">
        <v>13353</v>
      </c>
      <c r="F397" s="57">
        <v>8000</v>
      </c>
      <c r="G397" s="58">
        <v>1</v>
      </c>
      <c r="I397" s="5"/>
      <c r="J397" s="5"/>
    </row>
    <row r="398" spans="1:10" x14ac:dyDescent="0.2">
      <c r="A398" s="59" t="str">
        <f ca="1">IFERROR(__xludf.DUMMYFUNCTION("TEXTJOIN(""|"",TRUE,UNIQUE(FILTER(SPLIT(B398,"" ""),LEN(SPLIT(B398,"" ""))&gt;2)))"),"аза|афоризмдер|аймерденов")</f>
        <v>аза|афоризмдер|аймерденов</v>
      </c>
      <c r="B398" s="59" t="str">
        <f ca="1">IFERROR(__xludf.DUMMYFUNCTION("LOWER(REGEXREPLACE(D398&amp;"" ""&amp;E398,""[^а-яa-z0-9 ]"","" ""))")," аза  афоризмдер   аймерденов   ")</f>
        <v xml:space="preserve"> аза  афоризмдер   аймерденов   </v>
      </c>
      <c r="C398" s="61" t="s">
        <v>13354</v>
      </c>
      <c r="D398" s="56" t="s">
        <v>13355</v>
      </c>
      <c r="E398" s="56" t="s">
        <v>13356</v>
      </c>
      <c r="F398" s="57">
        <v>15900</v>
      </c>
      <c r="G398" s="58">
        <v>1</v>
      </c>
      <c r="I398" s="5"/>
      <c r="J398" s="5"/>
    </row>
    <row r="399" spans="1:10" x14ac:dyDescent="0.2">
      <c r="A399" s="59" t="str">
        <f ca="1">IFERROR(__xludf.DUMMYFUNCTION("TEXTJOIN(""|"",TRUE,UNIQUE(FILTER(SPLIT(B399,"" ""),LEN(SPLIT(B399,"" ""))&gt;2)))"),"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f>
        <v>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v>
      </c>
      <c r="B399" s="59" t="str">
        <f ca="1">IFERROR(__xludf.DUMMYFUNCTION("LOWER(REGEXREPLACE(D399&amp;"" ""&amp;E399,""[^а-яa-z0-9 ]"","" ""))"),"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f>
        <v xml:space="preserve">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v>
      </c>
      <c r="C399" s="61" t="s">
        <v>13357</v>
      </c>
      <c r="D399" s="56" t="s">
        <v>13358</v>
      </c>
      <c r="E399" s="56" t="s">
        <v>13359</v>
      </c>
      <c r="F399" s="57">
        <v>12000</v>
      </c>
      <c r="G399" s="58">
        <v>7</v>
      </c>
      <c r="I399" s="5"/>
      <c r="J399" s="5"/>
    </row>
    <row r="400" spans="1:10" x14ac:dyDescent="0.2">
      <c r="A400" s="59" t="str">
        <f ca="1">IFERROR(__xludf.DUMMYFUNCTION("TEXTJOIN(""|"",TRUE,UNIQUE(FILTER(SPLIT(B400,"" ""),LEN(SPLIT(B400,"" ""))&gt;2)))"),"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f>
        <v>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v>
      </c>
      <c r="B400" s="59" t="str">
        <f ca="1">IFERROR(__xludf.DUMMYFUNCTION("LOWER(REGEXREPLACE(D400&amp;"" ""&amp;E400,""[^а-яa-z0-9 ]"","" ""))"),"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f>
        <v xml:space="preserve">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v>
      </c>
      <c r="C400" s="61" t="s">
        <v>13360</v>
      </c>
      <c r="D400" s="56" t="s">
        <v>13361</v>
      </c>
      <c r="E400" s="56" t="s">
        <v>13362</v>
      </c>
      <c r="F400" s="57">
        <v>12400</v>
      </c>
      <c r="G400" s="58">
        <v>125</v>
      </c>
      <c r="I400" s="5"/>
      <c r="J400" s="5"/>
    </row>
    <row r="401" spans="1:10" x14ac:dyDescent="0.2">
      <c r="A401" s="59" t="str">
        <f ca="1">IFERROR(__xludf.DUMMYFUNCTION("TEXTJOIN(""|"",TRUE,UNIQUE(FILTER(SPLIT(B401,"" ""),LEN(SPLIT(B401,"" ""))&gt;2)))"),"аза|ертег|лер|растар|аева")</f>
        <v>аза|ертег|лер|растар|аева</v>
      </c>
      <c r="B401" s="59" t="str">
        <f ca="1">IFERROR(__xludf.DUMMYFUNCTION("LOWER(REGEXREPLACE(D401&amp;"" ""&amp;E401,""[^а-яa-z0-9 ]"","" ""))")," аза  ертег лер     растар ан   аева    ")</f>
        <v xml:space="preserve"> аза  ертег лер     растар ан   аева    </v>
      </c>
      <c r="C401" s="61" t="s">
        <v>13363</v>
      </c>
      <c r="D401" s="56" t="s">
        <v>13364</v>
      </c>
      <c r="E401" s="56" t="s">
        <v>13365</v>
      </c>
      <c r="F401" s="57">
        <v>12000</v>
      </c>
      <c r="G401" s="58">
        <v>1</v>
      </c>
      <c r="I401" s="5"/>
      <c r="J401" s="5"/>
    </row>
    <row r="402" spans="1:10" x14ac:dyDescent="0.2">
      <c r="A402" s="59" t="str">
        <f ca="1">IFERROR(__xludf.DUMMYFUNCTION("TEXTJOIN(""|"",TRUE,UNIQUE(FILTER(SPLIT(B402,"" ""),LEN(SPLIT(B402,"" ""))&gt;2)))"),"ылды|бояма|ермада|мная|раскраска|аскрась|коду|ферме|енаги")</f>
        <v>ылды|бояма|ермада|мная|раскраска|аскрась|коду|ферме|енаги</v>
      </c>
      <c r="B402" s="59" t="str">
        <f ca="1">IFERROR(__xludf.DUMMYFUNCTION("LOWER(REGEXREPLACE(D402&amp;"" ""&amp;E402,""[^а-яa-z0-9 ]"","" ""))"),"   ылды  бояма    ермада    мная  раскраска   аскрась по коду   а ферме  енаги   ")</f>
        <v xml:space="preserve">   ылды  бояма    ермада    мная  раскраска   аскрась по коду   а ферме  енаги   </v>
      </c>
      <c r="C402" s="61" t="s">
        <v>13366</v>
      </c>
      <c r="D402" s="56" t="s">
        <v>13367</v>
      </c>
      <c r="E402" s="56" t="s">
        <v>12368</v>
      </c>
      <c r="F402" s="57">
        <v>1400</v>
      </c>
      <c r="G402" s="58">
        <v>1</v>
      </c>
      <c r="I402" s="5"/>
      <c r="J402" s="5"/>
    </row>
    <row r="403" spans="1:10" x14ac:dyDescent="0.2">
      <c r="A403" s="59" t="str">
        <f ca="1">IFERROR(__xludf.DUMMYFUNCTION("TEXTJOIN(""|"",TRUE,UNIQUE(FILTER(SPLIT(B403,"" ""),LEN(SPLIT(B403,"" ""))&gt;2)))"),"алалар|аманат|олда|алиев")</f>
        <v>алалар|аманат|олда|алиев</v>
      </c>
      <c r="B403" s="59" t="str">
        <f ca="1">IFERROR(__xludf.DUMMYFUNCTION("LOWER(REGEXREPLACE(D403&amp;"" ""&amp;E403,""[^а-яa-z0-9 ]"","" ""))")," алалар а аманат     олда алиев")</f>
        <v xml:space="preserve"> алалар а аманат     олда алиев</v>
      </c>
      <c r="C403" s="61" t="s">
        <v>13368</v>
      </c>
      <c r="D403" s="56" t="s">
        <v>13369</v>
      </c>
      <c r="E403" s="56" t="s">
        <v>13370</v>
      </c>
      <c r="F403" s="57">
        <v>10000</v>
      </c>
      <c r="G403" s="58">
        <v>1</v>
      </c>
      <c r="I403" s="5"/>
      <c r="J403" s="5"/>
    </row>
    <row r="404" spans="1:10" x14ac:dyDescent="0.2">
      <c r="A404" s="59" t="str">
        <f ca="1">IFERROR(__xludf.DUMMYFUNCTION("TEXTJOIN(""|"",TRUE,UNIQUE(FILTER(SPLIT(B404,"" ""),LEN(SPLIT(B404,"" ""))&gt;2)))"),"аза|мателдерi|азахские|пословицы|поговорки|каз|рус|сост|ужикова")</f>
        <v>аза|мателдерi|азахские|пословицы|поговорки|каз|рус|сост|ужикова</v>
      </c>
      <c r="B404" s="59" t="str">
        <f ca="1">IFERROR(__xludf.DUMMYFUNCTION("LOWER(REGEXREPLACE(D404&amp;"" ""&amp;E404,""[^а-яa-z0-9 ]"","" ""))")," аза  ма ал мателдерi   азахские пословицы и поговорки  каз   рус яз   сост    ужикова   ")</f>
        <v xml:space="preserve"> аза  ма ал мателдерi   азахские пословицы и поговорки  каз   рус яз   сост    ужикова   </v>
      </c>
      <c r="C404" s="61" t="s">
        <v>13371</v>
      </c>
      <c r="D404" s="56" t="s">
        <v>13372</v>
      </c>
      <c r="E404" s="56" t="s">
        <v>13373</v>
      </c>
      <c r="F404" s="57">
        <v>14000</v>
      </c>
      <c r="G404" s="58">
        <v>1</v>
      </c>
      <c r="I404" s="5"/>
      <c r="J404" s="5"/>
    </row>
    <row r="405" spans="1:10" x14ac:dyDescent="0.2">
      <c r="A405" s="59" t="str">
        <f ca="1">IFERROR(__xludf.DUMMYFUNCTION("TEXTJOIN(""|"",TRUE,UNIQUE(FILTER(SPLIT(B405,"" ""),LEN(SPLIT(B405,"" ""))&gt;2)))"),"аза|оркестр|азахский|оркестр|каз|рус|англ|тет|леу")</f>
        <v>аза|оркестр|азахский|оркестр|каз|рус|англ|тет|леу</v>
      </c>
      <c r="B405" s="59" t="str">
        <f ca="1">IFERROR(__xludf.DUMMYFUNCTION("LOWER(REGEXREPLACE(D405&amp;"" ""&amp;E405,""[^а-яa-z0-9 ]"","" ""))")," аза  оркестр    азахский оркестр  каз   рус   англ яз    тет леу лы   ")</f>
        <v xml:space="preserve"> аза  оркестр    азахский оркестр  каз   рус   англ яз    тет леу лы   </v>
      </c>
      <c r="C405" s="61" t="s">
        <v>13374</v>
      </c>
      <c r="D405" s="56" t="s">
        <v>13375</v>
      </c>
      <c r="E405" s="56" t="s">
        <v>13269</v>
      </c>
      <c r="F405" s="57">
        <v>700</v>
      </c>
      <c r="G405" s="58">
        <v>1</v>
      </c>
      <c r="I405" s="5"/>
      <c r="J405" s="5"/>
    </row>
    <row r="406" spans="1:10" x14ac:dyDescent="0.2">
      <c r="A406" s="59" t="str">
        <f ca="1">IFERROR(__xludf.DUMMYFUNCTION("TEXTJOIN(""|"",TRUE,UNIQUE(FILTER(SPLIT(B406,"" ""),LEN(SPLIT(B406,"" ""))&gt;2)))"),"аза|портреттер|тарихы|танымды|басылым|скенд|бдешев")</f>
        <v>аза|портреттер|тарихы|танымды|басылым|скенд|бдешев</v>
      </c>
      <c r="B406" s="59" t="str">
        <f ca="1">IFERROR(__xludf.DUMMYFUNCTION("LOWER(REGEXREPLACE(D406&amp;"" ""&amp;E406,""[^а-яa-z0-9 ]"","" ""))")," аза  портреттер н   тарихы    пш л к   танымды  басылым  скенд р  бдешев   ")</f>
        <v xml:space="preserve"> аза  портреттер н   тарихы    пш л к   танымды  басылым  скенд р  бдешев   </v>
      </c>
      <c r="C406" s="61" t="s">
        <v>13376</v>
      </c>
      <c r="D406" s="56" t="s">
        <v>13377</v>
      </c>
      <c r="E406" s="56" t="s">
        <v>13378</v>
      </c>
      <c r="F406" s="57">
        <v>10600</v>
      </c>
      <c r="G406" s="58">
        <v>1</v>
      </c>
      <c r="I406" s="5"/>
      <c r="J406" s="5"/>
    </row>
    <row r="407" spans="1:10" x14ac:dyDescent="0.2">
      <c r="A407" s="59" t="str">
        <f ca="1">IFERROR(__xludf.DUMMYFUNCTION("TEXTJOIN(""|"",TRUE,UNIQUE(FILTER(SPLIT(B407,"" ""),LEN(SPLIT(B407,"" ""))&gt;2)))"),"аза|хал|ыны|салт|стурлерi|радиции|обряды|казахского|народа|azakh|traditions|and|customs|каз|рус|англ|енжеахметулы")</f>
        <v>аза|хал|ыны|салт|стурлерi|радиции|обряды|казахского|народа|azakh|traditions|and|customs|каз|рус|англ|енжеахметулы</v>
      </c>
      <c r="B407" s="59" t="str">
        <f ca="1">IFERROR(__xludf.DUMMYFUNCTION("LOWER(REGEXREPLACE(D407&amp;"" ""&amp;E407,""[^а-яa-z0-9 ]"","" ""))")," аза  хал ыны  салт д стурлерi   радиции и обряды казахского народа   azakh traditions and customs  каз   рус   англ яз      енжеахметулы")</f>
        <v xml:space="preserve"> аза  хал ыны  салт д стурлерi   радиции и обряды казахского народа   azakh traditions and customs  каз   рус   англ яз      енжеахметулы</v>
      </c>
      <c r="C407" s="61" t="s">
        <v>13379</v>
      </c>
      <c r="D407" s="56" t="s">
        <v>13380</v>
      </c>
      <c r="E407" s="56" t="s">
        <v>13381</v>
      </c>
      <c r="F407" s="57">
        <v>5900</v>
      </c>
      <c r="G407" s="58">
        <v>1</v>
      </c>
      <c r="I407" s="5"/>
      <c r="J407" s="5"/>
    </row>
    <row r="408" spans="1:10" x14ac:dyDescent="0.2">
      <c r="A408" s="59" t="str">
        <f ca="1">IFERROR(__xludf.DUMMYFUNCTION("TEXTJOIN(""|"",TRUE,UNIQUE(FILTER(SPLIT(B408,"" ""),LEN(SPLIT(B408,"" ""))&gt;2)))"),"аза|хал|ыны|рмысы|мен|дениет|культура|казахского|народа|ife|and|culture|the|azakh|people|каз|рус|англ|енжеахмет")</f>
        <v>аза|хал|ыны|рмысы|мен|дениет|культура|казахского|народа|ife|and|culture|the|azakh|people|каз|рус|англ|енжеахмет</v>
      </c>
      <c r="B408" s="59" t="str">
        <f ca="1">IFERROR(__xludf.DUMMYFUNCTION("LOWER(REGEXREPLACE(D408&amp;"" ""&amp;E408,""[^а-яa-z0-9 ]"","" ""))")," аза  хал ыны  т рмысы мен м дениет    ыт и культура казахского народа   ife and culture of the  azakh people  каз   рус   англ яз      енжеахмет лы")</f>
        <v xml:space="preserve"> аза  хал ыны  т рмысы мен м дениет    ыт и культура казахского народа   ife and culture of the  azakh people  каз   рус   англ яз      енжеахмет лы</v>
      </c>
      <c r="C408" s="61" t="s">
        <v>13382</v>
      </c>
      <c r="D408" s="56" t="s">
        <v>13383</v>
      </c>
      <c r="E408" s="56" t="s">
        <v>13384</v>
      </c>
      <c r="F408" s="57">
        <v>24900</v>
      </c>
      <c r="G408" s="58">
        <v>1</v>
      </c>
      <c r="I408" s="5"/>
      <c r="J408" s="5"/>
    </row>
    <row r="409" spans="1:10" x14ac:dyDescent="0.2">
      <c r="A409" s="59" t="str">
        <f ca="1">IFERROR(__xludf.DUMMYFUNCTION("TEXTJOIN(""|"",TRUE,UNIQUE(FILTER(SPLIT(B409,"" ""),LEN(SPLIT(B409,"" ""))&gt;2)))"),"аза|хал|ыны|лтты|мдер|ациональная|одежда|казахского|народа|ational|clofhes|azakh|people|каз|рус|англ|инаят")</f>
        <v>аза|хал|ыны|лтты|мдер|ациональная|одежда|казахского|народа|ational|clofhes|azakh|people|каз|рус|англ|инаят</v>
      </c>
      <c r="B409" s="59" t="str">
        <f ca="1">IFERROR(__xludf.DUMMYFUNCTION("LOWER(REGEXREPLACE(D409&amp;"" ""&amp;E409,""[^а-яa-z0-9 ]"","" ""))")," аза  хал ыны   лтты  ки мдер    ациональная одежда казахского народа   ational clofhes of  azakh people  каз   рус   англ яз    инаят   ")</f>
        <v xml:space="preserve"> аза  хал ыны   лтты  ки мдер    ациональная одежда казахского народа   ational clofhes of  azakh people  каз   рус   англ яз    инаят   </v>
      </c>
      <c r="C409" s="61" t="s">
        <v>13385</v>
      </c>
      <c r="D409" s="56" t="s">
        <v>13386</v>
      </c>
      <c r="E409" s="56" t="s">
        <v>13387</v>
      </c>
      <c r="F409" s="57">
        <v>24900</v>
      </c>
      <c r="G409" s="58">
        <v>1</v>
      </c>
      <c r="I409" s="5"/>
      <c r="J409" s="5"/>
    </row>
    <row r="410" spans="1:10" x14ac:dyDescent="0.2">
      <c r="A410" s="59" t="str">
        <f ca="1">IFERROR(__xludf.DUMMYFUNCTION("TEXTJOIN(""|"",TRUE,UNIQUE(FILTER(SPLIT(B410,"" ""),LEN(SPLIT(B410,"" ""))&gt;2)))"),"аза|стан|оры|тары|аповедный|азахстан|azakhstan|protected|wilderness|каз|рус|англ|кушкин")</f>
        <v>аза|стан|оры|тары|аповедный|азахстан|azakhstan|protected|wilderness|каз|рус|англ|кушкин</v>
      </c>
      <c r="B410" s="59" t="str">
        <f ca="1">IFERROR(__xludf.DUMMYFUNCTION("LOWER(REGEXREPLACE(D410&amp;"" ""&amp;E410,""[^а-яa-z0-9 ]"","" ""))")," аза стан  оры тары   аповедный  азахстан  azakhstan protected wilderness  каз рус англ   кушкин   ")</f>
        <v xml:space="preserve"> аза стан  оры тары   аповедный  азахстан  azakhstan protected wilderness  каз рус англ   кушкин   </v>
      </c>
      <c r="C410" s="61" t="s">
        <v>13388</v>
      </c>
      <c r="D410" s="56" t="s">
        <v>13389</v>
      </c>
      <c r="E410" s="56" t="s">
        <v>13390</v>
      </c>
      <c r="F410" s="57">
        <v>25100</v>
      </c>
      <c r="G410" s="58">
        <v>1</v>
      </c>
      <c r="I410" s="5"/>
      <c r="J410" s="5"/>
    </row>
    <row r="411" spans="1:10" x14ac:dyDescent="0.2">
      <c r="A411" s="59" t="str">
        <f ca="1">IFERROR(__xludf.DUMMYFUNCTION("TEXTJOIN(""|"",TRUE,UNIQUE(FILTER(SPLIT(B411,"" ""),LEN(SPLIT(B411,"" ""))&gt;2)))"),"аза|стан|хал|ертег|лер|жас|аралы|ында|балалар|арнал|растар|лпей|сова")</f>
        <v>аза|стан|хал|ертег|лер|жас|аралы|ында|балалар|арнал|растар|лпей|сова</v>
      </c>
      <c r="B411" s="59" t="str">
        <f ca="1">IFERROR(__xludf.DUMMYFUNCTION("LOWER(REGEXREPLACE(D411&amp;"" ""&amp;E411,""[^а-яa-z0-9 ]"","" ""))")," аза стан хал ы ертег лер   4 7 жас аралы ында ы балалар а арнал ан   растар ан     лпей сова")</f>
        <v xml:space="preserve"> аза стан хал ы ертег лер   4 7 жас аралы ында ы балалар а арнал ан   растар ан     лпей сова</v>
      </c>
      <c r="C411" s="61" t="s">
        <v>13391</v>
      </c>
      <c r="D411" s="56" t="s">
        <v>13392</v>
      </c>
      <c r="E411" s="56" t="s">
        <v>13393</v>
      </c>
      <c r="F411" s="57">
        <v>11000</v>
      </c>
      <c r="G411" s="58">
        <v>1</v>
      </c>
      <c r="I411" s="5"/>
      <c r="J411" s="5"/>
    </row>
    <row r="412" spans="1:10" x14ac:dyDescent="0.2">
      <c r="A412" s="59" t="str">
        <f ca="1">IFERROR(__xludf.DUMMYFUNCTION("TEXTJOIN(""|"",TRUE,UNIQUE(FILTER(SPLIT(B412,"" ""),LEN(SPLIT(B412,"" ""))&gt;2)))"),"аза|стан|хал|ертег|лер|жас|аралы|ында|балалар|арнал|растар|лпей|сова")</f>
        <v>аза|стан|хал|ертег|лер|жас|аралы|ында|балалар|арнал|растар|лпей|сова</v>
      </c>
      <c r="B412" s="59" t="str">
        <f ca="1">IFERROR(__xludf.DUMMYFUNCTION("LOWER(REGEXREPLACE(D412&amp;"" ""&amp;E412,""[^а-яa-z0-9 ]"","" ""))")," аза стан хал ы ертег лер   8 11 жас аралы ында ы балалар а арнал ан   растар ан     лпей сова")</f>
        <v xml:space="preserve"> аза стан хал ы ертег лер   8 11 жас аралы ында ы балалар а арнал ан   растар ан     лпей сова</v>
      </c>
      <c r="C412" s="61" t="s">
        <v>13394</v>
      </c>
      <c r="D412" s="56" t="s">
        <v>13395</v>
      </c>
      <c r="E412" s="56" t="s">
        <v>13393</v>
      </c>
      <c r="F412" s="57">
        <v>11000</v>
      </c>
      <c r="G412" s="58">
        <v>1</v>
      </c>
      <c r="I412" s="5"/>
      <c r="J412" s="5"/>
    </row>
    <row r="413" spans="1:10" x14ac:dyDescent="0.2">
      <c r="A413" s="59" t="str">
        <f ca="1">IFERROR(__xludf.DUMMYFUNCTION("TEXTJOIN(""|"",TRUE,UNIQUE(FILTER(SPLIT(B413,"" ""),LEN(SPLIT(B413,"" ""))&gt;2)))"),"аза|станны|ажайып|таби|аты|дивительная|природа|азахстана|wondering|nature|azakhstan|каз|рус|англ|кушкин")</f>
        <v>аза|станны|ажайып|таби|аты|дивительная|природа|азахстана|wondering|nature|azakhstan|каз|рус|англ|кушкин</v>
      </c>
      <c r="B413" s="59" t="str">
        <f ca="1">IFERROR(__xludf.DUMMYFUNCTION("LOWER(REGEXREPLACE(D413&amp;"" ""&amp;E413,""[^а-яa-z0-9 ]"","" ""))")," аза станны   ажайып таби аты  дивительная природа  азахстана  he wondering nature of  azakhstan  каз   рус   англ яз    кушкин   ")</f>
        <v xml:space="preserve"> аза станны   ажайып таби аты  дивительная природа  азахстана  he wondering nature of  azakhstan  каз   рус   англ яз    кушкин   </v>
      </c>
      <c r="C413" s="61" t="s">
        <v>13396</v>
      </c>
      <c r="D413" s="56" t="s">
        <v>13397</v>
      </c>
      <c r="E413" s="56" t="s">
        <v>13390</v>
      </c>
      <c r="F413" s="57">
        <v>31900</v>
      </c>
      <c r="G413" s="58">
        <v>1</v>
      </c>
      <c r="I413" s="5"/>
      <c r="J413" s="5"/>
    </row>
    <row r="414" spans="1:10" x14ac:dyDescent="0.2">
      <c r="A414" s="59" t="str">
        <f ca="1">IFERROR(__xludf.DUMMYFUNCTION("TEXTJOIN(""|"",TRUE,UNIQUE(FILTER(SPLIT(B414,"" ""),LEN(SPLIT(B414,"" ""))&gt;2)))"),"алалар|аза|стан|еспубликасыны|онституциясы|туралы|спанова")</f>
        <v>алалар|аза|стан|еспубликасыны|онституциясы|туралы|спанова</v>
      </c>
      <c r="B414" s="59" t="str">
        <f ca="1">IFERROR(__xludf.DUMMYFUNCTION("LOWER(REGEXREPLACE(D414&amp;"" ""&amp;E414,""[^а-яa-z0-9 ]"","" ""))")," алалар а  аза стан  еспубликасыны   онституциясы туралы  спанова   ")</f>
        <v xml:space="preserve"> алалар а  аза стан  еспубликасыны   онституциясы туралы  спанова   </v>
      </c>
      <c r="C414" s="61" t="s">
        <v>13398</v>
      </c>
      <c r="D414" s="56" t="s">
        <v>13399</v>
      </c>
      <c r="E414" s="56" t="s">
        <v>12536</v>
      </c>
      <c r="F414" s="57">
        <v>19900</v>
      </c>
      <c r="G414" s="58">
        <v>1</v>
      </c>
      <c r="I414" s="5"/>
      <c r="J414" s="5"/>
    </row>
    <row r="415" spans="1:10" x14ac:dyDescent="0.2">
      <c r="A415" s="59" t="str">
        <f ca="1">IFERROR(__xludf.DUMMYFUNCTION("TEXTJOIN(""|"",TRUE,UNIQUE(FILTER(SPLIT(B415,"" ""),LEN(SPLIT(B415,"" ""))&gt;2)))"),"аза|дар|дастар|аны|ациональная|кухня|казахов|енжеахмет")</f>
        <v>аза|дар|дастар|аны|ациональная|кухня|казахов|енжеахмет</v>
      </c>
      <c r="B415" s="59" t="str">
        <f ca="1">IFERROR(__xludf.DUMMYFUNCTION("LOWER(REGEXREPLACE(D415&amp;"" ""&amp;E415,""[^а-яa-z0-9 ]"","" ""))")," аза ты  дар ан дастар аны   ациональная кухня казахов  енжеахмет лы   ")</f>
        <v xml:space="preserve"> аза ты  дар ан дастар аны   ациональная кухня казахов  енжеахмет лы   </v>
      </c>
      <c r="C415" s="61" t="s">
        <v>13400</v>
      </c>
      <c r="D415" s="56" t="s">
        <v>13401</v>
      </c>
      <c r="E415" s="56" t="s">
        <v>13402</v>
      </c>
      <c r="F415" s="57">
        <v>23900</v>
      </c>
      <c r="G415" s="58">
        <v>1</v>
      </c>
      <c r="I415" s="5"/>
      <c r="J415" s="5"/>
    </row>
    <row r="416" spans="1:10" x14ac:dyDescent="0.2">
      <c r="A416" s="59" t="str">
        <f ca="1">IFERROR(__xludf.DUMMYFUNCTION("TEXTJOIN(""|"",TRUE,UNIQUE(FILTER(SPLIT(B416,"" ""),LEN(SPLIT(B416,"" ""))&gt;2)))"),"аза|стурл|кару|жара|ыны|этнографиясы|хметжан")</f>
        <v>аза|стурл|кару|жара|ыны|этнографиясы|хметжан</v>
      </c>
      <c r="B416" s="59" t="str">
        <f ca="1">IFERROR(__xludf.DUMMYFUNCTION("LOWER(REGEXREPLACE(D416&amp;"" ""&amp;E416,""[^а-яa-z0-9 ]"","" ""))")," аза ты  д стурл  кару жара ыны  этнографиясы     хметжан")</f>
        <v xml:space="preserve"> аза ты  д стурл  кару жара ыны  этнографиясы     хметжан</v>
      </c>
      <c r="C416" s="61" t="s">
        <v>13403</v>
      </c>
      <c r="D416" s="56" t="s">
        <v>13404</v>
      </c>
      <c r="E416" s="56" t="s">
        <v>13405</v>
      </c>
      <c r="F416" s="57">
        <v>21000</v>
      </c>
      <c r="G416" s="58">
        <v>1</v>
      </c>
      <c r="I416" s="5"/>
      <c r="J416" s="5"/>
    </row>
    <row r="417" spans="1:10" x14ac:dyDescent="0.2">
      <c r="A417" s="59" t="str">
        <f ca="1">IFERROR(__xludf.DUMMYFUNCTION("TEXTJOIN(""|"",TRUE,UNIQUE(FILTER(SPLIT(B417,"" ""),LEN(SPLIT(B417,"" ""))&gt;2)))"),"аза|стурл|музыкалы|аспаптары|акишева")</f>
        <v>аза|стурл|музыкалы|аспаптары|акишева</v>
      </c>
      <c r="B417" s="59" t="str">
        <f ca="1">IFERROR(__xludf.DUMMYFUNCTION("LOWER(REGEXREPLACE(D417&amp;"" ""&amp;E417,""[^а-яa-z0-9 ]"","" ""))")," аза ты  д стурл  музыкалы  аспаптары  акишева   ")</f>
        <v xml:space="preserve"> аза ты  д стурл  музыкалы  аспаптары  акишева   </v>
      </c>
      <c r="C417" s="61" t="s">
        <v>13406</v>
      </c>
      <c r="D417" s="56" t="s">
        <v>13407</v>
      </c>
      <c r="E417" s="56" t="s">
        <v>13408</v>
      </c>
      <c r="F417" s="57">
        <v>21900</v>
      </c>
      <c r="G417" s="58">
        <v>1</v>
      </c>
      <c r="I417" s="5"/>
      <c r="J417" s="5"/>
    </row>
    <row r="418" spans="1:10" x14ac:dyDescent="0.2">
      <c r="A418" s="59" t="str">
        <f ca="1">IFERROR(__xludf.DUMMYFUNCTION("TEXTJOIN(""|"",TRUE,UNIQUE(FILTER(SPLIT(B418,"" ""),LEN(SPLIT(B418,"" ""))&gt;2)))"),"аза|йымдары|радиционные|лоскутные|изделия|казахов|azakh|traditional|patchwork|каз|рус|англ|екеева")</f>
        <v>аза|йымдары|радиционные|лоскутные|изделия|казахов|azakh|traditional|patchwork|каз|рус|англ|екеева</v>
      </c>
      <c r="B418" s="59" t="str">
        <f ca="1">IFERROR(__xludf.DUMMYFUNCTION("LOWER(REGEXREPLACE(D418&amp;"" ""&amp;E418,""[^а-яa-z0-9 ]"","" ""))")," аза ты  д ст рл    ра  б йымдары   радиционные лоскутные изделия казахов   azakh traditional patchwork  каз   рус   англ яз    екеева     ")</f>
        <v xml:space="preserve"> аза ты  д ст рл    ра  б йымдары   радиционные лоскутные изделия казахов   azakh traditional patchwork  каз   рус   англ яз    екеева     </v>
      </c>
      <c r="C418" s="61" t="s">
        <v>13409</v>
      </c>
      <c r="D418" s="56" t="s">
        <v>13410</v>
      </c>
      <c r="E418" s="56" t="s">
        <v>13411</v>
      </c>
      <c r="F418" s="57">
        <v>23900</v>
      </c>
      <c r="G418" s="58">
        <v>1</v>
      </c>
      <c r="I418" s="5"/>
      <c r="J418" s="5"/>
    </row>
    <row r="419" spans="1:10" x14ac:dyDescent="0.2">
      <c r="A419" s="59" t="str">
        <f ca="1">IFERROR(__xludf.DUMMYFUNCTION("TEXTJOIN(""|"",TRUE,UNIQUE(FILTER(SPLIT(B419,"" ""),LEN(SPLIT(B419,"" ""))&gt;2)))"),"аза|зергел|нер|велирное|искусство|казахов|eweler|art|azakhs|каз|рус|англ|охтабаева")</f>
        <v>аза|зергел|нер|велирное|искусство|казахов|eweler|art|azakhs|каз|рус|англ|охтабаева</v>
      </c>
      <c r="B419" s="59" t="str">
        <f ca="1">IFERROR(__xludf.DUMMYFUNCTION("LOWER(REGEXREPLACE(D419&amp;"" ""&amp;E419,""[^а-яa-z0-9 ]"","" ""))")," аза ты  зергел к  нер   велирное искусство казахов   eweler s art of  azakhs  каз   рус   англ яз      охтабаева")</f>
        <v xml:space="preserve"> аза ты  зергел к  нер   велирное искусство казахов   eweler s art of  azakhs  каз   рус   англ яз      охтабаева</v>
      </c>
      <c r="C419" s="61" t="s">
        <v>13412</v>
      </c>
      <c r="D419" s="56" t="s">
        <v>13413</v>
      </c>
      <c r="E419" s="56" t="s">
        <v>13414</v>
      </c>
      <c r="F419" s="57">
        <v>23900</v>
      </c>
      <c r="G419" s="58">
        <v>1</v>
      </c>
      <c r="I419" s="5"/>
      <c r="J419" s="5"/>
    </row>
    <row r="420" spans="1:10" x14ac:dyDescent="0.2">
      <c r="A420" s="59" t="str">
        <f ca="1">IFERROR(__xludf.DUMMYFUNCTION("TEXTJOIN(""|"",TRUE,UNIQUE(FILTER(SPLIT(B420,"" ""),LEN(SPLIT(B420,"" ""))&gt;2)))"),"аза|кесте|нер|ышивальное|искусство|казахов|mbroidery|art|azakhs|охтабаева")</f>
        <v>аза|кесте|нер|ышивальное|искусство|казахов|mbroidery|art|azakhs|охтабаева</v>
      </c>
      <c r="B420" s="59" t="str">
        <f ca="1">IFERROR(__xludf.DUMMYFUNCTION("LOWER(REGEXREPLACE(D420&amp;"" ""&amp;E420,""[^а-яa-z0-9 ]"","" ""))")," аза ты  кесте т гу  нер    ышивальное искусство казахов   mbroidery art of  azakhs  охтабаева   ")</f>
        <v xml:space="preserve"> аза ты  кесте т гу  нер    ышивальное искусство казахов   mbroidery art of  azakhs  охтабаева   </v>
      </c>
      <c r="C420" s="61" t="s">
        <v>13415</v>
      </c>
      <c r="D420" s="56" t="s">
        <v>13416</v>
      </c>
      <c r="E420" s="56" t="s">
        <v>13417</v>
      </c>
      <c r="F420" s="57">
        <v>27900</v>
      </c>
      <c r="G420" s="58">
        <v>1</v>
      </c>
      <c r="I420" s="5"/>
      <c r="J420" s="5"/>
    </row>
    <row r="421" spans="1:10" x14ac:dyDescent="0.2">
      <c r="A421" s="59" t="str">
        <f ca="1">IFERROR(__xludf.DUMMYFUNCTION("TEXTJOIN(""|"",TRUE,UNIQUE(FILTER(SPLIT(B421,"" ""),LEN(SPLIT(B421,"" ""))&gt;2)))"),"алай|сыпайы|йлесуге|болады|вести|себя|вежливо|speak|well")</f>
        <v>алай|сыпайы|йлесуге|болады|вести|себя|вежливо|speak|well</v>
      </c>
      <c r="B421" s="59" t="str">
        <f ca="1">IFERROR(__xludf.DUMMYFUNCTION("LOWER(REGEXREPLACE(D421&amp;"" ""&amp;E421,""[^а-яa-z0-9 ]"","" ""))")," алай сыпайы с йлесуге болады   ак вести себя вежливо   ow to speak well ")</f>
        <v xml:space="preserve"> алай сыпайы с йлесуге болады   ак вести себя вежливо   ow to speak well </v>
      </c>
      <c r="C421" s="61" t="s">
        <v>13418</v>
      </c>
      <c r="D421" s="56" t="s">
        <v>13419</v>
      </c>
      <c r="E421" s="56"/>
      <c r="F421" s="57">
        <v>1700</v>
      </c>
      <c r="G421" s="58">
        <v>1</v>
      </c>
      <c r="I421" s="5"/>
      <c r="J421" s="5"/>
    </row>
    <row r="422" spans="1:10" x14ac:dyDescent="0.2">
      <c r="A422" s="59" t="str">
        <f ca="1">IFERROR(__xludf.DUMMYFUNCTION("TEXTJOIN(""|"",TRUE,UNIQUE(FILTER(SPLIT(B422,"" ""),LEN(SPLIT(B422,"" ""))&gt;2)))"),"ара|шылар|туралы|ертолет")</f>
        <v>ара|шылар|туралы|ертолет</v>
      </c>
      <c r="B422" s="59" t="str">
        <f ca="1">IFERROR(__xludf.DUMMYFUNCTION("LOWER(REGEXREPLACE(D422&amp;"" ""&amp;E422,""[^а-яa-z0-9 ]"","" ""))")," ара шылар туралы 10 о и а  ертолет   ")</f>
        <v xml:space="preserve"> ара шылар туралы 10 о и а  ертолет   </v>
      </c>
      <c r="C422" s="61" t="s">
        <v>13420</v>
      </c>
      <c r="D422" s="56" t="s">
        <v>13421</v>
      </c>
      <c r="E422" s="56" t="s">
        <v>12637</v>
      </c>
      <c r="F422" s="57">
        <v>4800</v>
      </c>
      <c r="G422" s="58">
        <v>1</v>
      </c>
      <c r="I422" s="5"/>
      <c r="J422" s="5"/>
    </row>
    <row r="423" spans="1:10" x14ac:dyDescent="0.2">
      <c r="A423" s="59" t="str">
        <f ca="1">IFERROR(__xludf.DUMMYFUNCTION("TEXTJOIN(""|"",TRUE,UNIQUE(FILTER(SPLIT(B423,"" ""),LEN(SPLIT(B423,"" ""))&gt;2)))"),"обыланды|батыр|каз|ылш|мдеген|сбаев")</f>
        <v>обыланды|батыр|каз|ылш|мдеген|сбаев</v>
      </c>
      <c r="B423" s="59" t="str">
        <f ca="1">IFERROR(__xludf.DUMMYFUNCTION("LOWER(REGEXREPLACE(D423&amp;"" ""&amp;E423,""[^а-яa-z0-9 ]"","" ""))")," обыланды батыр  каз   а ылш    ей мдеген    ум сбаев")</f>
        <v xml:space="preserve"> обыланды батыр  каз   а ылш    ей мдеген    ум сбаев</v>
      </c>
      <c r="C423" s="61" t="s">
        <v>13422</v>
      </c>
      <c r="D423" s="56" t="s">
        <v>13423</v>
      </c>
      <c r="E423" s="56" t="s">
        <v>12625</v>
      </c>
      <c r="F423" s="57">
        <v>7900</v>
      </c>
      <c r="G423" s="58">
        <v>1</v>
      </c>
      <c r="I423" s="5"/>
      <c r="J423" s="5"/>
    </row>
    <row r="424" spans="1:10" x14ac:dyDescent="0.2">
      <c r="A424" s="59" t="str">
        <f ca="1">IFERROR(__xludf.DUMMYFUNCTION("TEXTJOIN(""|"",TRUE,UNIQUE(FILTER(SPLIT(B424,"" ""),LEN(SPLIT(B424,"" ""))&gt;2)))"),"обыланды|батыр|рус|англ|дапт|умисбаев")</f>
        <v>обыланды|батыр|рус|англ|дапт|умисбаев</v>
      </c>
      <c r="B424" s="59" t="str">
        <f ca="1">IFERROR(__xludf.DUMMYFUNCTION("LOWER(REGEXREPLACE(D424&amp;"" ""&amp;E424,""[^а-яa-z0-9 ]"","" ""))")," обыланды батыр  рус   англ    дапт   умисбаев   ")</f>
        <v xml:space="preserve"> обыланды батыр  рус   англ    дапт   умисбаев   </v>
      </c>
      <c r="C424" s="61" t="s">
        <v>13424</v>
      </c>
      <c r="D424" s="56" t="s">
        <v>13425</v>
      </c>
      <c r="E424" s="56" t="s">
        <v>12622</v>
      </c>
      <c r="F424" s="57">
        <v>6400</v>
      </c>
      <c r="G424" s="58">
        <v>1</v>
      </c>
      <c r="I424" s="5"/>
      <c r="J424" s="5"/>
    </row>
    <row r="425" spans="1:10" x14ac:dyDescent="0.2">
      <c r="A425" s="59" t="str">
        <f ca="1">IFERROR(__xludf.DUMMYFUNCTION("TEXTJOIN(""|"",TRUE,UNIQUE(FILTER(SPLIT(B425,"" ""),LEN(SPLIT(B425,"" ""))&gt;2)))"),"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amp;"значена|для|сенсорных|двигательных|упражнений")</f>
        <v>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значена|для|сенсорных|двигательных|упражнений</v>
      </c>
      <c r="B425" s="59" t="str">
        <f ca="1">IFERROR(__xludf.DUMMYFUNCTION("LOWER(REGEXREPLACE(D425&amp;"" ""&amp;E425,""[^а-яa-z0-9 ]"","" ""))"),"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"&amp;"улитки и камней   редназначена для сенсорных и двигательных упражнений ")</f>
        <v xml:space="preserve">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улитки и камней   редназначена для сенсорных и двигательных упражнений </v>
      </c>
      <c r="C425" s="61" t="s">
        <v>13426</v>
      </c>
      <c r="D425" s="56" t="s">
        <v>13427</v>
      </c>
      <c r="E425" s="56" t="s">
        <v>13428</v>
      </c>
      <c r="F425" s="57">
        <v>39900</v>
      </c>
      <c r="G425" s="58">
        <v>21</v>
      </c>
      <c r="I425" s="5"/>
      <c r="J425" s="5"/>
    </row>
    <row r="426" spans="1:10" x14ac:dyDescent="0.2">
      <c r="A426" s="59" t="str">
        <f ca="1">IFERROR(__xludf.DUMMYFUNCTION("TEXTJOIN(""|"",TRUE,UNIQUE(FILTER(SPLIT(B426,"" ""),LEN(SPLIT(B426,"" ""))&gt;2)))"),"озы|орпеш|аян|сулу|каз|агылш|мдеген|сбаев")</f>
        <v>озы|орпеш|аян|сулу|каз|агылш|мдеген|сбаев</v>
      </c>
      <c r="B426" s="59" t="str">
        <f ca="1">IFERROR(__xludf.DUMMYFUNCTION("LOWER(REGEXREPLACE(D426&amp;"" ""&amp;E426,""[^а-яa-z0-9 ]"","" ""))")," озы  орпеш    аян сулу  каз   агылш    ей мдеген    ум сбаев")</f>
        <v xml:space="preserve"> озы  орпеш    аян сулу  каз   агылш    ей мдеген    ум сбаев</v>
      </c>
      <c r="C426" s="61" t="s">
        <v>13429</v>
      </c>
      <c r="D426" s="56" t="s">
        <v>13430</v>
      </c>
      <c r="E426" s="56" t="s">
        <v>12625</v>
      </c>
      <c r="F426" s="57">
        <v>7900</v>
      </c>
      <c r="G426" s="58">
        <v>1</v>
      </c>
      <c r="I426" s="5"/>
      <c r="J426" s="5"/>
    </row>
    <row r="427" spans="1:10" x14ac:dyDescent="0.2">
      <c r="A427" s="59" t="str">
        <f ca="1">IFERROR(__xludf.DUMMYFUNCTION("TEXTJOIN(""|"",TRUE,UNIQUE(FILTER(SPLIT(B427,"" ""),LEN(SPLIT(B427,"" ""))&gt;2)))"),"келд|аурыз|санды|тап|спанова")</f>
        <v>келд|аурыз|санды|тап|спанова</v>
      </c>
      <c r="B427" s="59" t="str">
        <f ca="1">IFERROR(__xludf.DUMMYFUNCTION("LOWER(REGEXREPLACE(D427&amp;"" ""&amp;E427,""[^а-яa-z0-9 ]"","" ""))")," ош келд     з  аурыз   санды   к тап      спанова")</f>
        <v xml:space="preserve"> ош келд     з  аурыз   санды   к тап      спанова</v>
      </c>
      <c r="C427" s="61" t="s">
        <v>13431</v>
      </c>
      <c r="D427" s="56" t="s">
        <v>13432</v>
      </c>
      <c r="E427" s="56" t="s">
        <v>12569</v>
      </c>
      <c r="F427" s="57">
        <v>21900</v>
      </c>
      <c r="G427" s="58">
        <v>1</v>
      </c>
      <c r="I427" s="5"/>
      <c r="J427" s="5"/>
    </row>
    <row r="428" spans="1:10" x14ac:dyDescent="0.2">
      <c r="A428" s="59" t="str">
        <f ca="1">IFERROR(__xludf.DUMMYFUNCTION("TEXTJOIN(""|"",TRUE,UNIQUE(FILTER(SPLIT(B428,"" ""),LEN(SPLIT(B428,"" ""))&gt;2)))"),"уырмаш|тар|ылтпаштар|мбактар|мен|телдер|аева")</f>
        <v>уырмаш|тар|ылтпаштар|мбактар|мен|телдер|аева</v>
      </c>
      <c r="B428" s="59" t="str">
        <f ca="1">IFERROR(__xludf.DUMMYFUNCTION("LOWER(REGEXREPLACE(D428&amp;"" ""&amp;E428,""[^а-яa-z0-9 ]"","" ""))")," уырмаш  та па тар  жа ылтпаштар  ж мбактар мен ма ал м телдер     аева")</f>
        <v xml:space="preserve"> уырмаш  та па тар  жа ылтпаштар  ж мбактар мен ма ал м телдер     аева</v>
      </c>
      <c r="C428" s="61" t="s">
        <v>13433</v>
      </c>
      <c r="D428" s="56" t="s">
        <v>13434</v>
      </c>
      <c r="E428" s="56" t="s">
        <v>13435</v>
      </c>
      <c r="F428" s="57">
        <v>4000</v>
      </c>
      <c r="G428" s="58">
        <v>1</v>
      </c>
      <c r="I428" s="5"/>
      <c r="J428" s="5"/>
    </row>
    <row r="429" spans="1:10" x14ac:dyDescent="0.2">
      <c r="A429" s="59" t="str">
        <f ca="1">IFERROR(__xludf.DUMMYFUNCTION("TEXTJOIN(""|"",TRUE,UNIQUE(FILTER(SPLIT(B429,"" ""),LEN(SPLIT(B429,"" ""))&gt;2)))"),"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f>
        <v>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v>
      </c>
      <c r="B429" s="59" t="str">
        <f ca="1">IFERROR(__xludf.DUMMYFUNCTION("LOWER(REGEXREPLACE(D429&amp;"" ""&amp;E429,""[^а-яa-z0-9 ]"","" ""))"),"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f>
        <v xml:space="preserve">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v>
      </c>
      <c r="C429" s="61" t="s">
        <v>13436</v>
      </c>
      <c r="D429" s="56" t="s">
        <v>13437</v>
      </c>
      <c r="E429" s="56" t="s">
        <v>13438</v>
      </c>
      <c r="F429" s="57">
        <v>6100</v>
      </c>
      <c r="G429" s="58">
        <v>5</v>
      </c>
      <c r="I429" s="5"/>
      <c r="J429" s="5"/>
    </row>
    <row r="430" spans="1:10" x14ac:dyDescent="0.2">
      <c r="A430" s="59" t="str">
        <f ca="1">IFERROR(__xludf.DUMMYFUNCTION("TEXTJOIN(""|"",TRUE,UNIQUE(FILTER(SPLIT(B430,"" ""),LEN(SPLIT(B430,"" ""))&gt;2)))"),"iбек|каз|мдеген|айзулла")</f>
        <v>iбек|каз|мдеген|айзулла</v>
      </c>
      <c r="B430" s="59" t="str">
        <f ca="1">IFERROR(__xludf.DUMMYFUNCTION("LOWER(REGEXREPLACE(D430&amp;"" ""&amp;E430,""[^а-яa-z0-9 ]"","" ""))")," ыз  iбек  каз    ей мдеген    айзулла лы")</f>
        <v xml:space="preserve"> ыз  iбек  каз    ей мдеген    айзулла лы</v>
      </c>
      <c r="C430" s="61" t="s">
        <v>13439</v>
      </c>
      <c r="D430" s="56" t="s">
        <v>13440</v>
      </c>
      <c r="E430" s="56" t="s">
        <v>13441</v>
      </c>
      <c r="F430" s="57">
        <v>7000</v>
      </c>
      <c r="G430" s="58">
        <v>1</v>
      </c>
      <c r="I430" s="5"/>
      <c r="J430" s="5"/>
    </row>
    <row r="431" spans="1:10" x14ac:dyDescent="0.2">
      <c r="A431" s="59" t="str">
        <f ca="1">IFERROR(__xludf.DUMMYFUNCTION("TEXTJOIN(""|"",TRUE,UNIQUE(FILTER(SPLIT(B431,"" ""),LEN(SPLIT(B431,"" ""))&gt;2)))"),"iбек|рус|дапт|айзулла")</f>
        <v>iбек|рус|дапт|айзулла</v>
      </c>
      <c r="B431" s="59" t="str">
        <f ca="1">IFERROR(__xludf.DUMMYFUNCTION("LOWER(REGEXREPLACE(D431&amp;"" ""&amp;E431,""[^а-яa-z0-9 ]"","" ""))")," ыз  iбек  рус    дапт      айзулла лы")</f>
        <v xml:space="preserve"> ыз  iбек  рус    дапт      айзулла лы</v>
      </c>
      <c r="C431" s="61" t="s">
        <v>13442</v>
      </c>
      <c r="D431" s="56" t="s">
        <v>13443</v>
      </c>
      <c r="E431" s="56" t="s">
        <v>13444</v>
      </c>
      <c r="F431" s="57">
        <v>5800</v>
      </c>
      <c r="G431" s="58">
        <v>1</v>
      </c>
      <c r="I431" s="5"/>
      <c r="J431" s="5"/>
    </row>
    <row r="432" spans="1:10" x14ac:dyDescent="0.2">
      <c r="A432" s="59" t="str">
        <f ca="1">IFERROR(__xludf.DUMMYFUNCTION("TEXTJOIN(""|"",TRUE,UNIQUE(FILTER(SPLIT(B432,"" ""),LEN(SPLIT(B432,"" ""))&gt;2)))"),"аныштан|алай|тыламын|побороть|себе|зависть|remove|jealousy")</f>
        <v>аныштан|алай|тыламын|побороть|себе|зависть|remove|jealousy</v>
      </c>
      <c r="B432" s="59" t="str">
        <f ca="1">IFERROR(__xludf.DUMMYFUNCTION("LOWER(REGEXREPLACE(D432&amp;"" ""&amp;E432,""[^а-яa-z0-9 ]"","" ""))")," ыз аныштан  алай   тыламын   ак побороть в себе зависть   ow to remove jealousy ")</f>
        <v xml:space="preserve"> ыз аныштан  алай   тыламын   ак побороть в себе зависть   ow to remove jealousy </v>
      </c>
      <c r="C432" s="61" t="s">
        <v>13445</v>
      </c>
      <c r="D432" s="56" t="s">
        <v>13446</v>
      </c>
      <c r="E432" s="56"/>
      <c r="F432" s="57">
        <v>1700</v>
      </c>
      <c r="G432" s="58">
        <v>1</v>
      </c>
      <c r="I432" s="5"/>
      <c r="J432" s="5"/>
    </row>
    <row r="433" spans="1:10" x14ac:dyDescent="0.2">
      <c r="A433" s="59" t="str">
        <f ca="1">IFERROR(__xludf.DUMMYFUNCTION("TEXTJOIN(""|"",TRUE,UNIQUE(FILTER(SPLIT(B433,"" ""),LEN(SPLIT(B433,"" ""))&gt;2)))"),"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f>
        <v>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v>
      </c>
      <c r="B433" s="59" t="str">
        <f ca="1">IFERROR(__xludf.DUMMYFUNCTION("LOWER(REGEXREPLACE(D433&amp;"" ""&amp;E433,""[^а-яa-z0-9 ]"","" ""))"),"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де"&amp;"тской среде ")</f>
        <v xml:space="preserve">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детской среде </v>
      </c>
      <c r="C433" s="61" t="s">
        <v>13447</v>
      </c>
      <c r="D433" s="56" t="s">
        <v>13448</v>
      </c>
      <c r="E433" s="56" t="s">
        <v>13449</v>
      </c>
      <c r="F433" s="57">
        <v>10500</v>
      </c>
      <c r="G433" s="58">
        <v>2</v>
      </c>
      <c r="I433" s="5"/>
      <c r="J433" s="5"/>
    </row>
    <row r="434" spans="1:10" x14ac:dyDescent="0.2">
      <c r="A434" s="59" t="str">
        <f ca="1">IFERROR(__xludf.DUMMYFUNCTION("TEXTJOIN(""|"",TRUE,UNIQUE(FILTER(SPLIT(B434,"" ""),LEN(SPLIT(B434,"" ""))&gt;2)))"),"еонардо|инчи|eonardo|inci|каз|рус|англ|арен|перевод|ужикова|санова")</f>
        <v>еонардо|инчи|eonardo|inci|каз|рус|англ|арен|перевод|ужикова|санова</v>
      </c>
      <c r="B434" s="59" t="str">
        <f ca="1">IFERROR(__xludf.DUMMYFUNCTION("LOWER(REGEXREPLACE(D434&amp;"" ""&amp;E434,""[^а-яa-z0-9 ]"","" ""))")," еонардо да  инчи   eonardo da  inci  каз   рус   англ яз    арен  ол  перевод  ужикова      санова    ")</f>
        <v xml:space="preserve"> еонардо да  инчи   eonardo da  inci  каз   рус   англ яз    арен  ол  перевод  ужикова      санова    </v>
      </c>
      <c r="C434" s="61" t="s">
        <v>13450</v>
      </c>
      <c r="D434" s="56" t="s">
        <v>13451</v>
      </c>
      <c r="E434" s="56" t="s">
        <v>13452</v>
      </c>
      <c r="F434" s="57">
        <v>3600</v>
      </c>
      <c r="G434" s="58">
        <v>1</v>
      </c>
      <c r="I434" s="5"/>
      <c r="J434" s="5"/>
    </row>
    <row r="435" spans="1:10" x14ac:dyDescent="0.2">
      <c r="A435" s="59" t="str">
        <f ca="1">IFERROR(__xludf.DUMMYFUNCTION("TEXTJOIN(""|"",TRUE,UNIQUE(FILTER(SPLIT(B435,"" ""),LEN(SPLIT(B435,"" ""))&gt;2)))"),"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f>
        <v>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v>
      </c>
      <c r="B435" s="59" t="str">
        <f ca="1">IFERROR(__xludf.DUMMYFUNCTION("LOWER(REGEXREPLACE(D435&amp;"" ""&amp;E435,""[^а-яa-z0-9 ]"","" ""))"),"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f>
        <v xml:space="preserve">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v>
      </c>
      <c r="C435" s="61" t="s">
        <v>13453</v>
      </c>
      <c r="D435" s="56" t="s">
        <v>13454</v>
      </c>
      <c r="E435" s="56" t="s">
        <v>13455</v>
      </c>
      <c r="F435" s="57">
        <v>5400</v>
      </c>
      <c r="G435" s="58">
        <v>2</v>
      </c>
      <c r="I435" s="5"/>
      <c r="J435" s="5"/>
    </row>
    <row r="436" spans="1:10" x14ac:dyDescent="0.2">
      <c r="A436" s="59" t="str">
        <f ca="1">IFERROR(__xludf.DUMMYFUNCTION("TEXTJOIN(""|"",TRUE,UNIQUE(FILTER(SPLIT(B436,"" ""),LEN(SPLIT(B436,"" ""))&gt;2)))"),"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amp;"|подушки|составляет|менее|атериал|водонепроницаемый|рассчитан|многократное|использование")</f>
        <v>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подушки|составляет|менее|атериал|водонепроницаемый|рассчитан|многократное|использование</v>
      </c>
      <c r="B436" s="59" t="str">
        <f ca="1">IFERROR(__xludf.DUMMYFUNCTION("LOWER(REGEXREPLACE(D436&amp;"" ""&amp;E436,""[^а-яa-z0-9 ]"","" ""))"),"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удержани"&amp;"е баланса   азмер подушки составляет не менее 16 16 см   атериал водонепроницаемый и рассчитан на многократное использование ")</f>
        <v xml:space="preserve">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удержание баланса   азмер подушки составляет не менее 16 16 см   атериал водонепроницаемый и рассчитан на многократное использование </v>
      </c>
      <c r="C436" s="61" t="s">
        <v>13456</v>
      </c>
      <c r="D436" s="56" t="s">
        <v>13457</v>
      </c>
      <c r="E436" s="56" t="s">
        <v>13458</v>
      </c>
      <c r="F436" s="57">
        <v>7600</v>
      </c>
      <c r="G436" s="58">
        <v>2</v>
      </c>
      <c r="I436" s="5"/>
      <c r="J436" s="5"/>
    </row>
    <row r="437" spans="1:10" x14ac:dyDescent="0.2">
      <c r="A437" s="59" t="str">
        <f ca="1">IFERROR(__xludf.DUMMYFUNCTION("TEXTJOIN(""|"",TRUE,UNIQUE(FILTER(SPLIT(B437,"" ""),LEN(SPLIT(B437,"" ""))&gt;2)))"),"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f>
        <v>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v>
      </c>
      <c r="B437" s="59" t="str">
        <f ca="1">IFERROR(__xludf.DUMMYFUNCTION("LOWER(REGEXREPLACE(D437&amp;"" ""&amp;E437,""[^а-яa-z0-9 ]"","" ""))"),"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f>
        <v xml:space="preserve">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v>
      </c>
      <c r="C437" s="61" t="s">
        <v>13459</v>
      </c>
      <c r="D437" s="56" t="s">
        <v>13460</v>
      </c>
      <c r="E437" s="56" t="s">
        <v>13461</v>
      </c>
      <c r="F437" s="57">
        <v>45000</v>
      </c>
      <c r="G437" s="58">
        <v>1</v>
      </c>
      <c r="I437" s="5"/>
      <c r="J437" s="5"/>
    </row>
    <row r="438" spans="1:10" x14ac:dyDescent="0.2">
      <c r="A438" s="59" t="str">
        <f ca="1">IFERROR(__xludf.DUMMYFUNCTION("TEXTJOIN(""|"",TRUE,UNIQUE(FILTER(SPLIT(B438,"" ""),LEN(SPLIT(B438,"" ""))&gt;2)))"),"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f>
        <v>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v>
      </c>
      <c r="B438" s="59" t="str">
        <f ca="1">IFERROR(__xludf.DUMMYFUNCTION("LOWER(REGEXREPLACE(D438&amp;"" ""&amp;E438,""[^а-яa-z0-9 ]"","" ""))"),"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f>
        <v xml:space="preserve">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v>
      </c>
      <c r="C438" s="61" t="s">
        <v>13462</v>
      </c>
      <c r="D438" s="56" t="s">
        <v>13463</v>
      </c>
      <c r="E438" s="56" t="s">
        <v>13464</v>
      </c>
      <c r="F438" s="57">
        <v>4700</v>
      </c>
      <c r="G438" s="58">
        <v>2</v>
      </c>
      <c r="I438" s="5"/>
      <c r="J438" s="5"/>
    </row>
    <row r="439" spans="1:10" x14ac:dyDescent="0.2">
      <c r="A439" s="59" t="str">
        <f ca="1">IFERROR(__xludf.DUMMYFUNCTION("TEXTJOIN(""|"",TRUE,UNIQUE(FILTER(SPLIT(B439,"" ""),LEN(SPLIT(B439,"" ""))&gt;2)))"),"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f>
        <v>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v>
      </c>
      <c r="B439" s="59" t="str">
        <f ca="1">IFERROR(__xludf.DUMMYFUNCTION("LOWER(REGEXREPLACE(D439&amp;"" ""&amp;E439,""[^а-яa-z0-9 ]"","" ""))"),"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f>
        <v xml:space="preserve">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v>
      </c>
      <c r="C439" s="61" t="s">
        <v>13465</v>
      </c>
      <c r="D439" s="56" t="s">
        <v>13466</v>
      </c>
      <c r="E439" s="56" t="s">
        <v>13467</v>
      </c>
      <c r="F439" s="57">
        <v>8600</v>
      </c>
      <c r="G439" s="58">
        <v>2</v>
      </c>
      <c r="I439" s="5"/>
      <c r="J439" s="5"/>
    </row>
    <row r="440" spans="1:10" x14ac:dyDescent="0.2">
      <c r="A440" s="59" t="str">
        <f ca="1">IFERROR(__xludf.DUMMYFUNCTION("TEXTJOIN(""|"",TRUE,UNIQUE(FILTER(SPLIT(B440,"" ""),LEN(SPLIT(B440,"" ""))&gt;2)))"),"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f>
        <v>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v>
      </c>
      <c r="B440" s="59" t="str">
        <f ca="1">IFERROR(__xludf.DUMMYFUNCTION("LOWER(REGEXREPLACE(D440&amp;"" ""&amp;E440,""[^а-яa-z0-9 ]"","" ""))"),"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f>
        <v xml:space="preserve">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v>
      </c>
      <c r="C440" s="61" t="s">
        <v>13468</v>
      </c>
      <c r="D440" s="56" t="s">
        <v>13469</v>
      </c>
      <c r="E440" s="56" t="s">
        <v>13470</v>
      </c>
      <c r="F440" s="57">
        <v>7600</v>
      </c>
      <c r="G440" s="58">
        <v>1</v>
      </c>
      <c r="I440" s="5"/>
      <c r="J440" s="5"/>
    </row>
    <row r="441" spans="1:10" x14ac:dyDescent="0.2">
      <c r="A441" s="59" t="str">
        <f ca="1">IFERROR(__xludf.DUMMYFUNCTION("TEXTJOIN(""|"",TRUE,UNIQUE(FILTER(SPLIT(B441,"" ""),LEN(SPLIT(B441,"" ""))&gt;2)))"),"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f>
        <v>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v>
      </c>
      <c r="B441" s="59" t="str">
        <f ca="1">IFERROR(__xludf.DUMMYFUNCTION("LOWER(REGEXREPLACE(D441&amp;"" ""&amp;E441,""[^а-яa-z0-9 ]"","" ""))"),"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шар"&amp;"ика ")</f>
        <v xml:space="preserve">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шарика </v>
      </c>
      <c r="C441" s="61" t="s">
        <v>13471</v>
      </c>
      <c r="D441" s="56" t="s">
        <v>13472</v>
      </c>
      <c r="E441" s="56" t="s">
        <v>13473</v>
      </c>
      <c r="F441" s="57">
        <v>6500</v>
      </c>
      <c r="G441" s="58">
        <v>5</v>
      </c>
      <c r="I441" s="5"/>
      <c r="J441" s="5"/>
    </row>
    <row r="442" spans="1:10" x14ac:dyDescent="0.2">
      <c r="A442" s="59" t="str">
        <f ca="1">IFERROR(__xludf.DUMMYFUNCTION("TEXTJOIN(""|"",TRUE,UNIQUE(FILTER(SPLIT(B442,"" ""),LEN(SPLIT(B442,"" ""))&gt;2)))"),"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amp;"й|удобный|использовании")</f>
        <v>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й|удобный|использовании</v>
      </c>
      <c r="B442" s="59" t="str">
        <f ca="1">IFERROR(__xludf.DUMMYFUNCTION("LOWER(REGEXREPLACE(D442&amp;"" ""&amp;E442,""[^а-яa-z0-9 ]"","" ""))"),"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"&amp;" материал износостойкий и удобный в использовании ")</f>
        <v xml:space="preserve">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материал износостойкий и удобный в использовании </v>
      </c>
      <c r="C442" s="61" t="s">
        <v>13474</v>
      </c>
      <c r="D442" s="56" t="s">
        <v>13475</v>
      </c>
      <c r="E442" s="56" t="s">
        <v>13476</v>
      </c>
      <c r="F442" s="57">
        <v>35900</v>
      </c>
      <c r="G442" s="58">
        <v>7</v>
      </c>
      <c r="I442" s="5"/>
      <c r="J442" s="5"/>
    </row>
    <row r="443" spans="1:10" x14ac:dyDescent="0.2">
      <c r="A443" s="59" t="str">
        <f ca="1">IFERROR(__xludf.DUMMYFUNCTION("TEXTJOIN(""|"",TRUE,UNIQUE(FILTER(SPLIT(B443,"" ""),LEN(SPLIT(B443,"" ""))&gt;2)))"),"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f>
        <v>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v>
      </c>
      <c r="B443" s="59" t="str">
        <f ca="1">IFERROR(__xludf.DUMMYFUNCTION("LOWER(REGEXREPLACE(D443&amp;"" ""&amp;E443,""[^а-яa-z0-9 ]"","" ""))"),"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f>
        <v xml:space="preserve">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v>
      </c>
      <c r="C443" s="61" t="s">
        <v>13477</v>
      </c>
      <c r="D443" s="56" t="s">
        <v>13478</v>
      </c>
      <c r="E443" s="56" t="s">
        <v>13479</v>
      </c>
      <c r="F443" s="57">
        <v>4000</v>
      </c>
      <c r="G443" s="58">
        <v>50</v>
      </c>
      <c r="I443" s="5"/>
      <c r="J443" s="5"/>
    </row>
    <row r="444" spans="1:10" x14ac:dyDescent="0.2">
      <c r="A444" s="59" t="str">
        <f ca="1">IFERROR(__xludf.DUMMYFUNCTION("TEXTJOIN(""|"",TRUE,UNIQUE(FILTER(SPLIT(B444,"" ""),LEN(SPLIT(B444,"" ""))&gt;2)))"),"оток|медицинский|почкообразный|редназначен|для|размещения|инструментов|расходных|материалов|время|процедур")</f>
        <v>оток|медицинский|почкообразный|редназначен|для|размещения|инструментов|расходных|материалов|время|процедур</v>
      </c>
      <c r="B444" s="59" t="str">
        <f ca="1">IFERROR(__xludf.DUMMYFUNCTION("LOWER(REGEXREPLACE(D444&amp;"" ""&amp;E444,""[^а-яa-z0-9 ]"","" ""))")," оток медицинский почкообразный  редназначен для размещения инструментов и расходных материалов во время процедур ")</f>
        <v xml:space="preserve"> оток медицинский почкообразный  редназначен для размещения инструментов и расходных материалов во время процедур </v>
      </c>
      <c r="C444" s="61" t="s">
        <v>13480</v>
      </c>
      <c r="D444" s="56" t="s">
        <v>12311</v>
      </c>
      <c r="E444" s="56" t="s">
        <v>12312</v>
      </c>
      <c r="F444" s="57">
        <v>8000</v>
      </c>
      <c r="G444" s="58">
        <v>2</v>
      </c>
      <c r="I444" s="5"/>
      <c r="J444" s="5"/>
    </row>
    <row r="445" spans="1:10" x14ac:dyDescent="0.2">
      <c r="A445" s="59" t="str">
        <f ca="1">IFERROR(__xludf.DUMMYFUNCTION("TEXTJOIN(""|"",TRUE,UNIQUE(FILTER(SPLIT(B445,"" ""),LEN(SPLIT(B445,"" ""))&gt;2)))"),"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f>
        <v>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v>
      </c>
      <c r="B445" s="59" t="str">
        <f ca="1">IFERROR(__xludf.DUMMYFUNCTION("LOWER(REGEXREPLACE(D445&amp;"" ""&amp;E445,""[^а-яa-z0-9 ]"","" ""))"),"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f>
        <v xml:space="preserve">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v>
      </c>
      <c r="C445" s="61" t="s">
        <v>13481</v>
      </c>
      <c r="D445" s="56" t="s">
        <v>13482</v>
      </c>
      <c r="E445" s="56" t="s">
        <v>13483</v>
      </c>
      <c r="F445" s="57">
        <v>1000</v>
      </c>
      <c r="G445" s="58">
        <v>40</v>
      </c>
      <c r="I445" s="5"/>
      <c r="J445" s="5"/>
    </row>
    <row r="446" spans="1:10" x14ac:dyDescent="0.2">
      <c r="A446" s="59" t="str">
        <f ca="1">IFERROR(__xludf.DUMMYFUNCTION("TEXTJOIN(""|"",TRUE,UNIQUE(FILTER(SPLIT(B446,"" ""),LEN(SPLIT(B446,"" ""))&gt;2)))"),"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f>
        <v>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v>
      </c>
      <c r="B446" s="59" t="str">
        <f ca="1">IFERROR(__xludf.DUMMYFUNCTION("LOWER(REGEXREPLACE(D446&amp;"" ""&amp;E446,""[^а-яa-z0-9 ]"","" ""))"),"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f>
        <v xml:space="preserve">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v>
      </c>
      <c r="C446" s="61" t="s">
        <v>13484</v>
      </c>
      <c r="D446" s="56" t="s">
        <v>13485</v>
      </c>
      <c r="E446" s="56" t="s">
        <v>13486</v>
      </c>
      <c r="F446" s="57">
        <v>1400</v>
      </c>
      <c r="G446" s="58">
        <v>5</v>
      </c>
      <c r="I446" s="5"/>
      <c r="J446" s="5"/>
    </row>
    <row r="447" spans="1:10" x14ac:dyDescent="0.2">
      <c r="A447" s="59" t="str">
        <f ca="1">IFERROR(__xludf.DUMMYFUNCTION("TEXTJOIN(""|"",TRUE,UNIQUE(FILTER(SPLIT(B447,"" ""),LEN(SPLIT(B447,"" ""))&gt;2)))"),"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amp;"сть|онструкция|рассчитана|напольное|размещение|использование|помещениях")</f>
        <v>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сть|онструкция|рассчитана|напольное|размещение|использование|помещениях</v>
      </c>
      <c r="B447" s="59" t="str">
        <f ca="1">IFERROR(__xludf.DUMMYFUNCTION("LOWER(REGEXREPLACE(D447&amp;"" ""&amp;E447,""[^а-яa-z0-9 ]"","" ""))"),"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коор"&amp;"динацию и устойчивость   онструкция рассчитана на напольное размещение и использование в помещениях ")</f>
        <v xml:space="preserve">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координацию и устойчивость   онструкция рассчитана на напольное размещение и использование в помещениях </v>
      </c>
      <c r="C447" s="61" t="s">
        <v>13487</v>
      </c>
      <c r="D447" s="56" t="s">
        <v>13488</v>
      </c>
      <c r="E447" s="56" t="s">
        <v>13489</v>
      </c>
      <c r="F447" s="57">
        <v>285000</v>
      </c>
      <c r="G447" s="58">
        <v>3</v>
      </c>
      <c r="I447" s="5"/>
      <c r="J447" s="5"/>
    </row>
    <row r="448" spans="1:10" x14ac:dyDescent="0.2">
      <c r="A448" s="59" t="str">
        <f ca="1">IFERROR(__xludf.DUMMYFUNCTION("TEXTJOIN(""|"",TRUE,UNIQUE(FILTER(SPLIT(B448,"" ""),LEN(SPLIT(B448,"" ""))&gt;2)))"),"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f>
        <v>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v>
      </c>
      <c r="B448" s="59" t="str">
        <f ca="1">IFERROR(__xludf.DUMMYFUNCTION("LOWER(REGEXREPLACE(D448&amp;"" ""&amp;E448,""[^а-яa-z0-9 ]"","" ""))"),"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f>
        <v xml:space="preserve">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v>
      </c>
      <c r="C448" s="61" t="s">
        <v>13490</v>
      </c>
      <c r="D448" s="56" t="s">
        <v>13491</v>
      </c>
      <c r="E448" s="56" t="s">
        <v>13492</v>
      </c>
      <c r="F448" s="57">
        <v>6800</v>
      </c>
      <c r="G448" s="58">
        <v>5</v>
      </c>
      <c r="I448" s="5"/>
      <c r="J448" s="5"/>
    </row>
    <row r="449" spans="1:10" x14ac:dyDescent="0.2">
      <c r="A449" s="59" t="str">
        <f ca="1">IFERROR(__xludf.DUMMYFUNCTION("TEXTJOIN(""|"",TRUE,UNIQUE(FILTER(SPLIT(B449,"" ""),LEN(SPLIT(B449,"" ""))&gt;2)))"),"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f>
        <v>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v>
      </c>
      <c r="B449" s="59" t="str">
        <f ca="1">IFERROR(__xludf.DUMMYFUNCTION("LOWER(REGEXREPLACE(D449&amp;"" ""&amp;E449,""[^а-яa-z0-9 ]"","" ""))"),"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f>
        <v xml:space="preserve">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v>
      </c>
      <c r="C449" s="61" t="s">
        <v>13493</v>
      </c>
      <c r="D449" s="56" t="s">
        <v>13494</v>
      </c>
      <c r="E449" s="56" t="s">
        <v>13495</v>
      </c>
      <c r="F449" s="57">
        <v>32300</v>
      </c>
      <c r="G449" s="58">
        <v>5</v>
      </c>
      <c r="I449" s="5"/>
      <c r="J449" s="5"/>
    </row>
    <row r="450" spans="1:10" x14ac:dyDescent="0.2">
      <c r="A450" s="59" t="str">
        <f ca="1">IFERROR(__xludf.DUMMYFUNCTION("TEXTJOIN(""|"",TRUE,UNIQUE(FILTER(SPLIT(B450,"" ""),LEN(SPLIT(B450,"" ""))&gt;2)))"),"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f>
        <v>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v>
      </c>
      <c r="B450" s="59" t="str">
        <f ca="1">IFERROR(__xludf.DUMMYFUNCTION("LOWER(REGEXREPLACE(D450&amp;"" ""&amp;E450,""[^а-яa-z0-9 ]"","" ""))"),"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f>
        <v xml:space="preserve">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v>
      </c>
      <c r="C450" s="61" t="s">
        <v>13496</v>
      </c>
      <c r="D450" s="56" t="s">
        <v>13497</v>
      </c>
      <c r="E450" s="56" t="s">
        <v>13498</v>
      </c>
      <c r="F450" s="57">
        <v>4600</v>
      </c>
      <c r="G450" s="58">
        <v>5</v>
      </c>
      <c r="I450" s="5"/>
      <c r="J450" s="5"/>
    </row>
    <row r="451" spans="1:10" x14ac:dyDescent="0.2">
      <c r="A451" s="59" t="str">
        <f ca="1">IFERROR(__xludf.DUMMYFUNCTION("TEXTJOIN(""|"",TRUE,UNIQUE(FILTER(SPLIT(B451,"" ""),LEN(SPLIT(B451,"" ""))&gt;2)))"),"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f>
        <v>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v>
      </c>
      <c r="B451" s="59" t="str">
        <f ca="1">IFERROR(__xludf.DUMMYFUNCTION("LOWER(REGEXREPLACE(D451&amp;"" ""&amp;E451,""[^а-яa-z0-9 ]"","" ""))"),"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f>
        <v xml:space="preserve">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v>
      </c>
      <c r="C451" s="61" t="s">
        <v>13499</v>
      </c>
      <c r="D451" s="56" t="s">
        <v>13500</v>
      </c>
      <c r="E451" s="56" t="s">
        <v>13501</v>
      </c>
      <c r="F451" s="57">
        <v>22500</v>
      </c>
      <c r="G451" s="58">
        <v>7</v>
      </c>
      <c r="I451" s="5"/>
      <c r="J451" s="5"/>
    </row>
    <row r="452" spans="1:10" x14ac:dyDescent="0.2">
      <c r="A452" s="59" t="str">
        <f ca="1">IFERROR(__xludf.DUMMYFUNCTION("TEXTJOIN(""|"",TRUE,UNIQUE(FILTER(SPLIT(B452,"" ""),LEN(SPLIT(B452,"" ""))&gt;2)))"),"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amp;"транственного|мышления|координации|движений|оличество|элементов|наборе|менее|возможны|варианты|комплектации|100|деталей")</f>
        <v>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транственного|мышления|координации|движений|оличество|элементов|наборе|менее|возможны|варианты|комплектации|100|деталей</v>
      </c>
      <c r="B452" s="59" t="str">
        <f ca="1">IFERROR(__xludf.DUMMYFUNCTION("LOWER(REGEXREPLACE(D452&amp;"" ""&amp;E452,""[^а-яa-z0-9 ]"","" ""))"),"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"&amp;"развитию пространственного мышления и координации движений   оличество элементов в наборе   не менее 40  возможны варианты комплектации до 100 деталей ")</f>
        <v xml:space="preserve">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развитию пространственного мышления и координации движений   оличество элементов в наборе   не менее 40  возможны варианты комплектации до 100 деталей </v>
      </c>
      <c r="C452" s="61" t="s">
        <v>13502</v>
      </c>
      <c r="D452" s="56" t="s">
        <v>13503</v>
      </c>
      <c r="E452" s="56" t="s">
        <v>13504</v>
      </c>
      <c r="F452" s="57">
        <v>60600</v>
      </c>
      <c r="G452" s="58">
        <v>10</v>
      </c>
      <c r="I452" s="5"/>
      <c r="J452" s="5"/>
    </row>
    <row r="453" spans="1:10" x14ac:dyDescent="0.2">
      <c r="A453" s="59" t="str">
        <f ca="1">IFERROR(__xludf.DUMMYFUNCTION("TEXTJOIN(""|"",TRUE,UNIQUE(FILTER(SPLIT(B453,"" ""),LEN(SPLIT(B453,"" ""))&gt;2)))"),"агнитофон|удиооборудование|для|воспроизведения|звуковых|музыкальных|материалов|спользуется|музыкальных|занятиях|праздниках|образовательной|деятельности")</f>
        <v>агнитофон|удиооборудование|для|воспроизведения|звуковых|музыкальных|материалов|спользуется|музыкальных|занятиях|праздниках|образовательной|деятельности</v>
      </c>
      <c r="B453" s="59" t="str">
        <f ca="1">IFERROR(__xludf.DUMMYFUNCTION("LOWER(REGEXREPLACE(D453&amp;"" ""&amp;E453,""[^а-яa-z0-9 ]"","" ""))"),"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f>
        <v xml:space="preserve">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v>
      </c>
      <c r="C453" s="61" t="s">
        <v>13505</v>
      </c>
      <c r="D453" s="56" t="s">
        <v>13506</v>
      </c>
      <c r="E453" s="56" t="s">
        <v>13507</v>
      </c>
      <c r="F453" s="57">
        <v>24700</v>
      </c>
      <c r="G453" s="58">
        <v>5</v>
      </c>
      <c r="I453" s="5"/>
      <c r="J453" s="5"/>
    </row>
    <row r="454" spans="1:10" x14ac:dyDescent="0.2">
      <c r="A454" s="59" t="str">
        <f ca="1">IFERROR(__xludf.DUMMYFUNCTION("TEXTJOIN(""|"",TRUE,UNIQUE(FILTER(SPLIT(B454,"" ""),LEN(SPLIT(B454,"" ""))&gt;2)))"),"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f>
        <v>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v>
      </c>
      <c r="B454" s="59" t="str">
        <f ca="1">IFERROR(__xludf.DUMMYFUNCTION("LOWER(REGEXREPLACE(D454&amp;"" ""&amp;E454,""[^а-яa-z0-9 ]"","" ""))"),"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f>
        <v xml:space="preserve">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v>
      </c>
      <c r="C454" s="61" t="s">
        <v>13508</v>
      </c>
      <c r="D454" s="56" t="s">
        <v>13509</v>
      </c>
      <c r="E454" s="56" t="s">
        <v>13510</v>
      </c>
      <c r="F454" s="57">
        <v>36800</v>
      </c>
      <c r="G454" s="58">
        <v>7</v>
      </c>
      <c r="I454" s="5"/>
      <c r="J454" s="5"/>
    </row>
    <row r="455" spans="1:10" x14ac:dyDescent="0.2">
      <c r="A455" s="59" t="str">
        <f ca="1">IFERROR(__xludf.DUMMYFUNCTION("TEXTJOIN(""|"",TRUE,UNIQUE(FILTER(SPLIT(B455,"" ""),LEN(SPLIT(B455,"" ""))&gt;2)))"),"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f>
        <v>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v>
      </c>
      <c r="B455" s="59" t="str">
        <f ca="1">IFERROR(__xludf.DUMMYFUNCTION("LOWER(REGEXREPLACE(D455&amp;"" ""&amp;E455,""[^а-яa-z0-9 ]"","" ""))"),"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f>
        <v xml:space="preserve">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v>
      </c>
      <c r="C455" s="61" t="s">
        <v>13511</v>
      </c>
      <c r="D455" s="56" t="s">
        <v>13512</v>
      </c>
      <c r="E455" s="56" t="s">
        <v>13513</v>
      </c>
      <c r="F455" s="57">
        <v>5700</v>
      </c>
      <c r="G455" s="58">
        <v>10</v>
      </c>
      <c r="I455" s="5"/>
      <c r="J455" s="5"/>
    </row>
    <row r="456" spans="1:10" x14ac:dyDescent="0.2">
      <c r="A456" s="59" t="str">
        <f ca="1">IFERROR(__xludf.DUMMYFUNCTION("TEXTJOIN(""|"",TRUE,UNIQUE(FILTER(SPLIT(B456,"" ""),LEN(SPLIT(B456,"" ""))&gt;2)))"),"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f>
        <v>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v>
      </c>
      <c r="B456" s="59" t="str">
        <f ca="1">IFERROR(__xludf.DUMMYFUNCTION("LOWER(REGEXREPLACE(D456&amp;"" ""&amp;E456,""[^а-яa-z0-9 ]"","" ""))"),"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f>
        <v xml:space="preserve">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v>
      </c>
      <c r="C456" s="61" t="s">
        <v>13514</v>
      </c>
      <c r="D456" s="56" t="s">
        <v>13515</v>
      </c>
      <c r="E456" s="56" t="s">
        <v>13516</v>
      </c>
      <c r="F456" s="57">
        <v>1300</v>
      </c>
      <c r="G456" s="58">
        <v>10</v>
      </c>
      <c r="I456" s="5"/>
      <c r="J456" s="5"/>
    </row>
    <row r="457" spans="1:10" x14ac:dyDescent="0.2">
      <c r="A457" s="59" t="str">
        <f ca="1">IFERROR(__xludf.DUMMYFUNCTION("TEXTJOIN(""|"",TRUE,UNIQUE(FILTER(SPLIT(B457,"" ""),LEN(SPLIT(B457,"" ""))&gt;2)))"),"атематика|под|ред|аклауд|перевод|абиев")</f>
        <v>атематика|под|ред|аклауд|перевод|абиев</v>
      </c>
      <c r="B457" s="59" t="str">
        <f ca="1">IFERROR(__xludf.DUMMYFUNCTION("LOWER(REGEXREPLACE(D457&amp;"" ""&amp;E457,""[^а-яa-z0-9 ]"","" ""))")," атематика    ай  р  же  л под ред      аклауд  перевод  абиев    ")</f>
        <v xml:space="preserve"> атематика    ай  р  же  л под ред      аклауд  перевод  абиев    </v>
      </c>
      <c r="C457" s="61" t="s">
        <v>13517</v>
      </c>
      <c r="D457" s="56" t="s">
        <v>13518</v>
      </c>
      <c r="E457" s="56" t="s">
        <v>13519</v>
      </c>
      <c r="F457" s="57">
        <v>15000</v>
      </c>
      <c r="G457" s="58">
        <v>1</v>
      </c>
      <c r="I457" s="5"/>
      <c r="J457" s="5"/>
    </row>
    <row r="458" spans="1:10" x14ac:dyDescent="0.2">
      <c r="A458" s="59" t="str">
        <f ca="1">IFERROR(__xludf.DUMMYFUNCTION("TEXTJOIN(""|"",TRUE,UNIQUE(FILTER(SPLIT(B458,"" ""),LEN(SPLIT(B458,"" ""))&gt;2)))"),"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amp;"го|изделия|менее|атериалы|рассчитаны|интенсивную|эксплуатацию")</f>
        <v>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го|изделия|менее|атериалы|рассчитаны|интенсивную|эксплуатацию</v>
      </c>
      <c r="B458" s="59" t="str">
        <f ca="1">IFERROR(__xludf.DUMMYFUNCTION("LOWER(REGEXREPLACE(D458&amp;"" ""&amp;E458,""[^а-яa-z0-9 ]"","" ""))"),"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"&amp;"опору   азмер каждого изделия   не менее 16 16 см   атериалы рассчитаны на интенсивную эксплуатацию ")</f>
        <v xml:space="preserve">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опору   азмер каждого изделия   не менее 16 16 см   атериалы рассчитаны на интенсивную эксплуатацию </v>
      </c>
      <c r="C458" s="61" t="s">
        <v>13520</v>
      </c>
      <c r="D458" s="56" t="s">
        <v>13521</v>
      </c>
      <c r="E458" s="56" t="s">
        <v>13522</v>
      </c>
      <c r="F458" s="57">
        <v>4600</v>
      </c>
      <c r="G458" s="58">
        <v>2</v>
      </c>
      <c r="I458" s="5"/>
      <c r="J458" s="5"/>
    </row>
    <row r="459" spans="1:10" x14ac:dyDescent="0.2">
      <c r="A459" s="59" t="str">
        <f ca="1">IFERROR(__xludf.DUMMYFUNCTION("TEXTJOIN(""|"",TRUE,UNIQUE(FILTER(SPLIT(B459,"" ""),LEN(SPLIT(B459,"" ""))&gt;2)))"),"атематика|росто|легко|под|ред|аклауд|перевод|аяхметов")</f>
        <v>атематика|росто|легко|под|ред|аклауд|перевод|аяхметов</v>
      </c>
      <c r="B459" s="59" t="str">
        <f ca="1">IFERROR(__xludf.DUMMYFUNCTION("LOWER(REGEXREPLACE(D459&amp;"" ""&amp;E459,""[^а-яa-z0-9 ]"","" ""))")," атематика   росто и легко под ред      аклауд  перевод  аяхметов   ")</f>
        <v xml:space="preserve"> атематика   росто и легко под ред      аклауд  перевод  аяхметов   </v>
      </c>
      <c r="C459" s="61" t="s">
        <v>13523</v>
      </c>
      <c r="D459" s="56" t="s">
        <v>13524</v>
      </c>
      <c r="E459" s="56" t="s">
        <v>13525</v>
      </c>
      <c r="F459" s="57">
        <v>15000</v>
      </c>
      <c r="G459" s="58">
        <v>1</v>
      </c>
      <c r="I459" s="5"/>
      <c r="J459" s="5"/>
    </row>
    <row r="460" spans="1:10" x14ac:dyDescent="0.2">
      <c r="A460" s="59" t="str">
        <f ca="1">IFERROR(__xludf.DUMMYFUNCTION("TEXTJOIN(""|"",TRUE,UNIQUE(FILTER(SPLIT(B460,"" ""),LEN(SPLIT(B460,"" ""))&gt;2)))"),"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f>
        <v>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v>
      </c>
      <c r="B460" s="59" t="str">
        <f ca="1">IFERROR(__xludf.DUMMYFUNCTION("LOWER(REGEXREPLACE(D460&amp;"" ""&amp;E460,""[^а-яa-z0-9 ]"","" ""))"),"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f>
        <v xml:space="preserve">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v>
      </c>
      <c r="C460" s="61" t="s">
        <v>13526</v>
      </c>
      <c r="D460" s="56" t="s">
        <v>13527</v>
      </c>
      <c r="E460" s="56" t="s">
        <v>13528</v>
      </c>
      <c r="F460" s="57">
        <v>22000</v>
      </c>
      <c r="G460" s="58">
        <v>14</v>
      </c>
      <c r="I460" s="5"/>
      <c r="J460" s="5"/>
    </row>
    <row r="461" spans="1:10" x14ac:dyDescent="0.2">
      <c r="A461" s="59" t="str">
        <f ca="1">IFERROR(__xludf.DUMMYFUNCTION("TEXTJOIN(""|"",TRUE,UNIQUE(FILTER(SPLIT(B461,"" ""),LEN(SPLIT(B461,"" ""))&gt;2)))"),"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amp;"ляцию|ассчитаны|регулярное|применение")</f>
        <v>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ляцию|ассчитаны|регулярное|применение</v>
      </c>
      <c r="B461" s="59" t="str">
        <f ca="1">IFERROR(__xludf.DUMMYFUNCTION("LOWER(REGEXREPLACE(D461&amp;"" ""&amp;E461,""[^а-яa-z0-9 ]"","" ""))"),"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звукопроизноше"&amp;"ние  дыхание и артикуляцию   ассчитаны на регулярное применение ")</f>
        <v xml:space="preserve">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звукопроизношение  дыхание и артикуляцию   ассчитаны на регулярное применение </v>
      </c>
      <c r="C461" s="61" t="s">
        <v>13529</v>
      </c>
      <c r="D461" s="56" t="s">
        <v>13530</v>
      </c>
      <c r="E461" s="56" t="s">
        <v>13531</v>
      </c>
      <c r="F461" s="57">
        <v>2800</v>
      </c>
      <c r="G461" s="58">
        <v>1</v>
      </c>
      <c r="I461" s="5"/>
      <c r="J461" s="5"/>
    </row>
    <row r="462" spans="1:10" x14ac:dyDescent="0.2">
      <c r="A462" s="59" t="str">
        <f ca="1">IFERROR(__xludf.DUMMYFUNCTION("TEXTJOIN(""|"",TRUE,UNIQUE(FILTER(SPLIT(B462,"" ""),LEN(SPLIT(B462,"" ""))&gt;2)))"),"атериалы|инструменты|для|апликации|цветная|бумага|цветной|белый|картон|ткань|клей|ножницы|клейкая|лент")</f>
        <v>атериалы|инструменты|для|апликации|цветная|бумага|цветной|белый|картон|ткань|клей|ножницы|клейкая|лент</v>
      </c>
      <c r="B462" s="59" t="str">
        <f ca="1">IFERROR(__xludf.DUMMYFUNCTION("LOWER(REGEXREPLACE(D462&amp;"" ""&amp;E462,""[^а-яa-z0-9 ]"","" ""))")," атериалы и инструменты для апликации  цветная бумага  цветной и белый картон  ткань  клей  ножницы  клейкая лент")</f>
        <v xml:space="preserve"> атериалы и инструменты для апликации  цветная бумага  цветной и белый картон  ткань  клей  ножницы  клейкая лент</v>
      </c>
      <c r="C462" s="61" t="s">
        <v>13532</v>
      </c>
      <c r="D462" s="56" t="s">
        <v>13533</v>
      </c>
      <c r="E462" s="56" t="s">
        <v>13534</v>
      </c>
      <c r="F462" s="57">
        <v>6700</v>
      </c>
      <c r="G462" s="58">
        <v>175</v>
      </c>
      <c r="I462" s="5"/>
      <c r="J462" s="5"/>
    </row>
    <row r="463" spans="1:10" x14ac:dyDescent="0.2">
      <c r="A463" s="59" t="str">
        <f ca="1">IFERROR(__xludf.DUMMYFUNCTION("TEXTJOIN(""|"",TRUE,UNIQUE(FILTER(SPLIT(B463,"" ""),LEN(SPLIT(B463,"" ""))&gt;2)))"),"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f>
        <v>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v>
      </c>
      <c r="B463" s="59" t="str">
        <f ca="1">IFERROR(__xludf.DUMMYFUNCTION("LOWER(REGEXREPLACE(D463&amp;"" ""&amp;E463,""[^а-яa-z0-9 ]"","" ""))"),"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f>
        <v xml:space="preserve">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v>
      </c>
      <c r="C463" s="61" t="s">
        <v>13535</v>
      </c>
      <c r="D463" s="56" t="s">
        <v>13536</v>
      </c>
      <c r="E463" s="56" t="s">
        <v>13537</v>
      </c>
      <c r="F463" s="57">
        <v>500</v>
      </c>
      <c r="G463" s="58">
        <v>125</v>
      </c>
      <c r="I463" s="5"/>
      <c r="J463" s="5"/>
    </row>
    <row r="464" spans="1:10" x14ac:dyDescent="0.2">
      <c r="A464" s="59" t="str">
        <f ca="1">IFERROR(__xludf.DUMMYFUNCTION("TEXTJOIN(""|"",TRUE,UNIQUE(FILTER(SPLIT(B464,"" ""),LEN(SPLIT(B464,"" ""))&gt;2)))"),"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f>
        <v>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v>
      </c>
      <c r="B464" s="59" t="str">
        <f ca="1">IFERROR(__xludf.DUMMYFUNCTION("LOWER(REGEXREPLACE(D464&amp;"" ""&amp;E464,""[^а-яa-z0-9 ]"","" ""))"),"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f>
        <v xml:space="preserve">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v>
      </c>
      <c r="C464" s="61" t="s">
        <v>13538</v>
      </c>
      <c r="D464" s="56" t="s">
        <v>13539</v>
      </c>
      <c r="E464" s="56" t="s">
        <v>13540</v>
      </c>
      <c r="F464" s="57">
        <v>2600</v>
      </c>
      <c r="G464" s="58">
        <v>125</v>
      </c>
      <c r="I464" s="5"/>
      <c r="J464" s="5"/>
    </row>
    <row r="465" spans="1:10" x14ac:dyDescent="0.2">
      <c r="A465" s="59" t="str">
        <f ca="1">IFERROR(__xludf.DUMMYFUNCTION("TEXTJOIN(""|"",TRUE,UNIQUE(FILTER(SPLIT(B465,"" ""),LEN(SPLIT(B465,"" ""))&gt;2)))"),"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amp;"азвитию|мелкой|моторики|воображения|сенсорного|восприятия|творческого|мышления")</f>
        <v>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азвитию|мелкой|моторики|воображения|сенсорного|восприятия|творческого|мышления</v>
      </c>
      <c r="B465" s="59" t="str">
        <f ca="1">IFERROR(__xludf.DUMMYFUNCTION("LOWER(REGEXREPLACE(D465&amp;"" ""&amp;E465,""[^а-яa-z0-9 ]"","" ""))"),"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разв"&amp;"итию   пособствует развитию мелкой моторики  воображения  сенсорного восприятия и творческого мышления ")</f>
        <v xml:space="preserve">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развитию   пособствует развитию мелкой моторики  воображения  сенсорного восприятия и творческого мышления </v>
      </c>
      <c r="C465" s="61" t="s">
        <v>13541</v>
      </c>
      <c r="D465" s="56" t="s">
        <v>13542</v>
      </c>
      <c r="E465" s="56" t="s">
        <v>13543</v>
      </c>
      <c r="F465" s="57">
        <v>11400</v>
      </c>
      <c r="G465" s="58">
        <v>125</v>
      </c>
      <c r="I465" s="5"/>
      <c r="J465" s="5"/>
    </row>
    <row r="466" spans="1:10" x14ac:dyDescent="0.2">
      <c r="A466" s="59" t="str">
        <f ca="1">IFERROR(__xludf.DUMMYFUNCTION("TEXTJOIN(""|"",TRUE,UNIQUE(FILTER(SPLIT(B466,"" ""),LEN(SPLIT(B466,"" ""))&gt;2)))"),"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f>
        <v>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v>
      </c>
      <c r="B466" s="59" t="str">
        <f ca="1">IFERROR(__xludf.DUMMYFUNCTION("LOWER(REGEXREPLACE(D466&amp;"" ""&amp;E466,""[^а-яa-z0-9 ]"","" ""))"),"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f>
        <v xml:space="preserve">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v>
      </c>
      <c r="C466" s="61" t="s">
        <v>13544</v>
      </c>
      <c r="D466" s="56" t="s">
        <v>13545</v>
      </c>
      <c r="E466" s="56" t="s">
        <v>13546</v>
      </c>
      <c r="F466" s="57">
        <v>9800</v>
      </c>
      <c r="G466" s="58">
        <v>3</v>
      </c>
      <c r="I466" s="5"/>
      <c r="J466" s="5"/>
    </row>
    <row r="467" spans="1:10" x14ac:dyDescent="0.2">
      <c r="A467" s="59" t="str">
        <f ca="1">IFERROR(__xludf.DUMMYFUNCTION("TEXTJOIN(""|"",TRUE,UNIQUE(FILTER(SPLIT(B467,"" ""),LEN(SPLIT(B467,"" ""))&gt;2)))"),"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f>
        <v>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v>
      </c>
      <c r="B467" s="59" t="str">
        <f ca="1">IFERROR(__xludf.DUMMYFUNCTION("LOWER(REGEXREPLACE(D467&amp;"" ""&amp;E467,""[^а-яa-z0-9 ]"","" ""))"),"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f>
        <v xml:space="preserve">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v>
      </c>
      <c r="C467" s="61" t="s">
        <v>13547</v>
      </c>
      <c r="D467" s="56" t="s">
        <v>13548</v>
      </c>
      <c r="E467" s="56" t="s">
        <v>13549</v>
      </c>
      <c r="F467" s="57">
        <v>81700</v>
      </c>
      <c r="G467" s="58">
        <v>5</v>
      </c>
      <c r="I467" s="5"/>
      <c r="J467" s="5"/>
    </row>
    <row r="468" spans="1:10" x14ac:dyDescent="0.2">
      <c r="A468" s="59" t="str">
        <f ca="1">IFERROR(__xludf.DUMMYFUNCTION("TEXTJOIN(""|"",TRUE,UNIQUE(FILTER(SPLIT(B468,"" ""),LEN(SPLIT(B468,"" ""))&gt;2)))"),"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amp;"иту|ударов|предотвращают|скольжение")</f>
        <v>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иту|ударов|предотвращают|скольжение</v>
      </c>
      <c r="B468" s="59" t="str">
        <f ca="1">IFERROR(__xludf.DUMMYFUNCTION("LOWER(REGEXREPLACE(D468&amp;"" ""&amp;E468,""[^а-яa-z0-9 ]"","" ""))"),"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а"&amp;"териалы обеспечивают защиту от ударов и предотвращают скольжение ")</f>
        <v xml:space="preserve">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атериалы обеспечивают защиту от ударов и предотвращают скольжение </v>
      </c>
      <c r="C468" s="61" t="s">
        <v>13550</v>
      </c>
      <c r="D468" s="56" t="s">
        <v>13551</v>
      </c>
      <c r="E468" s="56" t="s">
        <v>13552</v>
      </c>
      <c r="F468" s="57">
        <v>81700</v>
      </c>
      <c r="G468" s="58">
        <v>10</v>
      </c>
      <c r="I468" s="5"/>
      <c r="J468" s="5"/>
    </row>
    <row r="469" spans="1:10" x14ac:dyDescent="0.2">
      <c r="A469" s="59" t="str">
        <f ca="1">IFERROR(__xludf.DUMMYFUNCTION("TEXTJOIN(""|"",TRUE,UNIQUE(FILTER(SPLIT(B469,"" ""),LEN(SPLIT(B469,"" ""))&gt;2)))"),"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amp;"зических|упражнениях|азмер|каждой|полусферы|менее|комплект|входит|изделия")</f>
        <v>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зических|упражнениях|азмер|каждой|полусферы|менее|комплект|входит|изделия</v>
      </c>
      <c r="B469" s="59" t="str">
        <f ca="1">IFERROR(__xludf.DUMMYFUNCTION("LOWER(REGEXREPLACE(D469&amp;"" ""&amp;E469,""[^а-яa-z0-9 ]"","" ""))"),"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двигатель"&amp;"ной активности и физических упражнениях   азмер каждой полусферы   не менее 16 16 см    комплект входит 2 изделия ")</f>
        <v xml:space="preserve">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двигательной активности и физических упражнениях   азмер каждой полусферы   не менее 16 16 см    комплект входит 2 изделия </v>
      </c>
      <c r="C469" s="61" t="s">
        <v>13553</v>
      </c>
      <c r="D469" s="56" t="s">
        <v>13554</v>
      </c>
      <c r="E469" s="56" t="s">
        <v>13555</v>
      </c>
      <c r="F469" s="57">
        <v>8200</v>
      </c>
      <c r="G469" s="58">
        <v>5</v>
      </c>
      <c r="I469" s="5"/>
      <c r="J469" s="5"/>
    </row>
    <row r="470" spans="1:10" x14ac:dyDescent="0.2">
      <c r="A470" s="59" t="str">
        <f ca="1">IFERROR(__xludf.DUMMYFUNCTION("TEXTJOIN(""|"",TRUE,UNIQUE(FILTER(SPLIT(B470,"" ""),LEN(SPLIT(B470,"" ""))&gt;2)))"),"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f>
        <v>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v>
      </c>
      <c r="B470" s="59" t="str">
        <f ca="1">IFERROR(__xludf.DUMMYFUNCTION("LOWER(REGEXREPLACE(D470&amp;"" ""&amp;E470,""[^а-яa-z0-9 ]"","" ""))"),"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f>
        <v xml:space="preserve">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v>
      </c>
      <c r="C470" s="61" t="s">
        <v>13556</v>
      </c>
      <c r="D470" s="56" t="s">
        <v>13557</v>
      </c>
      <c r="E470" s="56" t="s">
        <v>13558</v>
      </c>
      <c r="F470" s="57">
        <v>81700</v>
      </c>
      <c r="G470" s="58">
        <v>8</v>
      </c>
      <c r="I470" s="5"/>
      <c r="J470" s="5"/>
    </row>
    <row r="471" spans="1:10" x14ac:dyDescent="0.2">
      <c r="A471" s="59" t="str">
        <f ca="1">IFERROR(__xludf.DUMMYFUNCTION("TEXTJOIN(""|"",TRUE,UNIQUE(FILTER(SPLIT(B471,"" ""),LEN(SPLIT(B471,"" ""))&gt;2)))"),"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f>
        <v>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v>
      </c>
      <c r="B471" s="59" t="str">
        <f ca="1">IFERROR(__xludf.DUMMYFUNCTION("LOWER(REGEXREPLACE(D471&amp;"" ""&amp;E471,""[^а-яa-z0-9 ]"","" ""))"),"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f>
        <v xml:space="preserve">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v>
      </c>
      <c r="C471" s="61" t="s">
        <v>13559</v>
      </c>
      <c r="D471" s="56" t="s">
        <v>13560</v>
      </c>
      <c r="E471" s="56" t="s">
        <v>13561</v>
      </c>
      <c r="F471" s="57">
        <v>45400</v>
      </c>
      <c r="G471" s="58">
        <v>42</v>
      </c>
      <c r="I471" s="5"/>
      <c r="J471" s="5"/>
    </row>
    <row r="472" spans="1:10" x14ac:dyDescent="0.2">
      <c r="A472" s="59" t="str">
        <f ca="1">IFERROR(__xludf.DUMMYFUNCTION("TEXTJOIN(""|"",TRUE,UNIQUE(FILTER(SPLIT(B472,"" ""),LEN(SPLIT(B472,"" ""))&gt;2)))"),"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f>
        <v>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v>
      </c>
      <c r="B472" s="59" t="str">
        <f ca="1">IFERROR(__xludf.DUMMYFUNCTION("LOWER(REGEXREPLACE(D472&amp;"" ""&amp;E472,""[^а-яa-z0-9 ]"","" ""))"),"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f>
        <v xml:space="preserve">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v>
      </c>
      <c r="C472" s="61" t="s">
        <v>13562</v>
      </c>
      <c r="D472" s="56" t="s">
        <v>13563</v>
      </c>
      <c r="E472" s="56" t="s">
        <v>13564</v>
      </c>
      <c r="F472" s="57">
        <v>72200</v>
      </c>
      <c r="G472" s="58">
        <v>5</v>
      </c>
      <c r="I472" s="5"/>
      <c r="J472" s="5"/>
    </row>
    <row r="473" spans="1:10" x14ac:dyDescent="0.2">
      <c r="A473" s="59" t="str">
        <f ca="1">IFERROR(__xludf.DUMMYFUNCTION("TEXTJOIN(""|"",TRUE,UNIQUE(FILTER(SPLIT(B473,"" ""),LEN(SPLIT(B473,"" ""))&gt;2)))"),"ашинка|етская|машинка|толокар|предназначенная|для|активных|игр|спользуется|для|развития|общей|моторики|координации|ориентации|пространстве")</f>
        <v>ашинка|етская|машинка|толокар|предназначенная|для|активных|игр|спользуется|для|развития|общей|моторики|координации|ориентации|пространстве</v>
      </c>
      <c r="B473" s="59" t="str">
        <f ca="1">IFERROR(__xludf.DUMMYFUNCTION("LOWER(REGEXREPLACE(D473&amp;"" ""&amp;E473,""[^а-яa-z0-9 ]"","" ""))")," ашинка  етская машинка толокар  предназначенная для активных игр   спользуется для развития общей моторики  координации и ориентации в пространстве ")</f>
        <v xml:space="preserve"> ашинка  етская машинка толокар  предназначенная для активных игр   спользуется для развития общей моторики  координации и ориентации в пространстве </v>
      </c>
      <c r="C473" s="61" t="s">
        <v>13565</v>
      </c>
      <c r="D473" s="56" t="s">
        <v>13566</v>
      </c>
      <c r="E473" s="56" t="s">
        <v>13567</v>
      </c>
      <c r="F473" s="57">
        <v>28500</v>
      </c>
      <c r="G473" s="58">
        <v>5</v>
      </c>
      <c r="I473" s="5"/>
      <c r="J473" s="5"/>
    </row>
    <row r="474" spans="1:10" x14ac:dyDescent="0.2">
      <c r="A474" s="59" t="str">
        <f ca="1">IFERROR(__xludf.DUMMYFUNCTION("TEXTJOIN(""|"",TRUE,UNIQUE(FILTER(SPLIT(B474,"" ""),LEN(SPLIT(B474,"" ""))&gt;2)))"),"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f>
        <v>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v>
      </c>
      <c r="B474" s="59" t="str">
        <f ca="1">IFERROR(__xludf.DUMMYFUNCTION("LOWER(REGEXREPLACE(D474&amp;"" ""&amp;E474,""[^а-яa-z0-9 ]"","" ""))"),"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f>
        <v xml:space="preserve">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v>
      </c>
      <c r="C474" s="61" t="s">
        <v>13568</v>
      </c>
      <c r="D474" s="56" t="s">
        <v>13569</v>
      </c>
      <c r="E474" s="56" t="s">
        <v>13570</v>
      </c>
      <c r="F474" s="57">
        <v>11200</v>
      </c>
      <c r="G474" s="58">
        <v>7</v>
      </c>
      <c r="I474" s="5"/>
      <c r="J474" s="5"/>
    </row>
    <row r="475" spans="1:10" x14ac:dyDescent="0.2">
      <c r="A475" s="59" t="str">
        <f ca="1">IFERROR(__xludf.DUMMYFUNCTION("TEXTJOIN(""|"",TRUE,UNIQUE(FILTER(SPLIT(B475,"" ""),LEN(SPLIT(B475,"" ""))&gt;2)))"),"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f>
        <v>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v>
      </c>
      <c r="B475" s="59" t="str">
        <f ca="1">IFERROR(__xludf.DUMMYFUNCTION("LOWER(REGEXREPLACE(D475&amp;"" ""&amp;E475,""[^а-яa-z0-9 ]"","" ""))"),"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f>
        <v xml:space="preserve">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v>
      </c>
      <c r="C475" s="61" t="s">
        <v>13571</v>
      </c>
      <c r="D475" s="56" t="s">
        <v>13572</v>
      </c>
      <c r="E475" s="56" t="s">
        <v>13573</v>
      </c>
      <c r="F475" s="57">
        <v>13900</v>
      </c>
      <c r="G475" s="58">
        <v>7</v>
      </c>
      <c r="I475" s="5"/>
      <c r="J475" s="5"/>
    </row>
    <row r="476" spans="1:10" x14ac:dyDescent="0.2">
      <c r="A476" s="59" t="str">
        <f ca="1">IFERROR(__xludf.DUMMYFUNCTION("TEXTJOIN(""|"",TRUE,UNIQUE(FILTER(SPLIT(B476,"" ""),LEN(SPLIT(B476,"" ""))&gt;2)))"),"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f>
        <v>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v>
      </c>
      <c r="B476" s="59" t="str">
        <f ca="1">IFERROR(__xludf.DUMMYFUNCTION("LOWER(REGEXREPLACE(D476&amp;"" ""&amp;E476,""[^а-яa-z0-9 ]"","" ""))"),"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f>
        <v xml:space="preserve">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v>
      </c>
      <c r="C476" s="61" t="s">
        <v>13574</v>
      </c>
      <c r="D476" s="56" t="s">
        <v>13575</v>
      </c>
      <c r="E476" s="56" t="s">
        <v>13576</v>
      </c>
      <c r="F476" s="57">
        <v>20500</v>
      </c>
      <c r="G476" s="58">
        <v>7</v>
      </c>
      <c r="I476" s="5"/>
      <c r="J476" s="5"/>
    </row>
    <row r="477" spans="1:10" x14ac:dyDescent="0.2">
      <c r="A477" s="59" t="str">
        <f ca="1">IFERROR(__xludf.DUMMYFUNCTION("TEXTJOIN(""|"",TRUE,UNIQUE(FILTER(SPLIT(B477,"" ""),LEN(SPLIT(B477,"" ""))&gt;2)))"),"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f>
        <v>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v>
      </c>
      <c r="B477" s="59" t="str">
        <f ca="1">IFERROR(__xludf.DUMMYFUNCTION("LOWER(REGEXREPLACE(D477&amp;"" ""&amp;E477,""[^а-яa-z0-9 ]"","" ""))"),"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f>
        <v xml:space="preserve">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v>
      </c>
      <c r="C477" s="61" t="s">
        <v>13577</v>
      </c>
      <c r="D477" s="56" t="s">
        <v>13578</v>
      </c>
      <c r="E477" s="56" t="s">
        <v>13579</v>
      </c>
      <c r="F477" s="57">
        <v>71800</v>
      </c>
      <c r="G477" s="58">
        <v>7</v>
      </c>
      <c r="I477" s="5"/>
      <c r="J477" s="5"/>
    </row>
    <row r="478" spans="1:10" x14ac:dyDescent="0.2">
      <c r="A478" s="59" t="str">
        <f ca="1">IFERROR(__xludf.DUMMYFUNCTION("TEXTJOIN(""|"",TRUE,UNIQUE(FILTER(SPLIT(B478,"" ""),LEN(SPLIT(B478,"" ""))&gt;2)))"),"ашинка|самосвал|нерционная|игрушечная|машина|используемая|сюжетных|играх|азвивает|воображение|мелкую|моторику|интерес|техническим|объектам")</f>
        <v>ашинка|самосвал|нерционная|игрушечная|машина|используемая|сюжетных|играх|азвивает|воображение|мелкую|моторику|интерес|техническим|объектам</v>
      </c>
      <c r="B478" s="59" t="str">
        <f ca="1">IFERROR(__xludf.DUMMYFUNCTION("LOWER(REGEXREPLACE(D478&amp;"" ""&amp;E478,""[^а-яa-z0-9 ]"","" ""))")," ашинка самосвал  нерционная игрушечная машина  используемая в сюжетных играх   азвивает воображение  мелкую моторику и интерес к техническим объектам ")</f>
        <v xml:space="preserve"> ашинка самосвал  нерционная игрушечная машина  используемая в сюжетных играх   азвивает воображение  мелкую моторику и интерес к техническим объектам </v>
      </c>
      <c r="C478" s="61" t="s">
        <v>13580</v>
      </c>
      <c r="D478" s="56" t="s">
        <v>13581</v>
      </c>
      <c r="E478" s="56" t="s">
        <v>13582</v>
      </c>
      <c r="F478" s="57">
        <v>13700</v>
      </c>
      <c r="G478" s="58">
        <v>9</v>
      </c>
      <c r="I478" s="5"/>
      <c r="J478" s="5"/>
    </row>
    <row r="479" spans="1:10" x14ac:dyDescent="0.2">
      <c r="A479" s="59" t="str">
        <f ca="1">IFERROR(__xludf.DUMMYFUNCTION("TEXTJOIN(""|"",TRUE,UNIQUE(FILTER(SPLIT(B479,"" ""),LEN(SPLIT(B479,"" ""))&gt;2)))"),"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f>
        <v>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v>
      </c>
      <c r="B479" s="59" t="str">
        <f ca="1">IFERROR(__xludf.DUMMYFUNCTION("LOWER(REGEXREPLACE(D479&amp;"" ""&amp;E479,""[^а-яa-z0-9 ]"","" ""))"),"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f>
        <v xml:space="preserve">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v>
      </c>
      <c r="C479" s="61" t="s">
        <v>13583</v>
      </c>
      <c r="D479" s="56" t="s">
        <v>13584</v>
      </c>
      <c r="E479" s="56" t="s">
        <v>13585</v>
      </c>
      <c r="F479" s="57">
        <v>37600</v>
      </c>
      <c r="G479" s="58">
        <v>7</v>
      </c>
      <c r="I479" s="5"/>
      <c r="J479" s="5"/>
    </row>
    <row r="480" spans="1:10" x14ac:dyDescent="0.2">
      <c r="A480" s="59" t="str">
        <f ca="1">IFERROR(__xludf.DUMMYFUNCTION("TEXTJOIN(""|"",TRUE,UNIQUE(FILTER(SPLIT(B480,"" ""),LEN(SPLIT(B480,"" ""))&gt;2)))"),"аластан|тет|леу")</f>
        <v>аластан|тет|леу</v>
      </c>
      <c r="B480" s="59" t="str">
        <f ca="1">IFERROR(__xludf.DUMMYFUNCTION("LOWER(REGEXREPLACE(D480&amp;"" ""&amp;E480,""[^а-яa-z0-9 ]"","" ""))")," аластан  тет леу лы   ")</f>
        <v xml:space="preserve"> аластан  тет леу лы   </v>
      </c>
      <c r="C480" s="61" t="s">
        <v>13586</v>
      </c>
      <c r="D480" s="56" t="s">
        <v>13587</v>
      </c>
      <c r="E480" s="56" t="s">
        <v>13269</v>
      </c>
      <c r="F480" s="57">
        <v>6600</v>
      </c>
      <c r="G480" s="58">
        <v>1</v>
      </c>
      <c r="I480" s="5"/>
      <c r="J480" s="5"/>
    </row>
    <row r="481" spans="1:10" x14ac:dyDescent="0.2">
      <c r="A481" s="59" t="str">
        <f ca="1">IFERROR(__xludf.DUMMYFUNCTION("TEXTJOIN(""|"",TRUE,UNIQUE(FILTER(SPLIT(B481,"" ""),LEN(SPLIT(B481,"" ""))&gt;2)))"),"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f>
        <v>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v>
      </c>
      <c r="B481" s="59" t="str">
        <f ca="1">IFERROR(__xludf.DUMMYFUNCTION("LOWER(REGEXREPLACE(D481&amp;"" ""&amp;E481,""[^а-яa-z0-9 ]"","" ""))"),"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f>
        <v xml:space="preserve">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v>
      </c>
      <c r="C481" s="61" t="s">
        <v>13588</v>
      </c>
      <c r="D481" s="56" t="s">
        <v>13589</v>
      </c>
      <c r="E481" s="56" t="s">
        <v>13590</v>
      </c>
      <c r="F481" s="57">
        <v>22800</v>
      </c>
      <c r="G481" s="58">
        <v>7</v>
      </c>
      <c r="I481" s="5"/>
      <c r="J481" s="5"/>
    </row>
    <row r="482" spans="1:10" x14ac:dyDescent="0.2">
      <c r="A482" s="59" t="str">
        <f ca="1">IFERROR(__xludf.DUMMYFUNCTION("TEXTJOIN(""|"",TRUE,UNIQUE(FILTER(SPLIT(B482,"" ""),LEN(SPLIT(B482,"" ""))&gt;2)))"),"ашинки|деревянные|абор|деревянных|машинок|без|механизма|спользуется|для|сюжетно|ролевых|игр|развития|тактильных|ощущений|воображения|мелкой|моторики")</f>
        <v>ашинки|деревянные|абор|деревянных|машинок|без|механизма|спользуется|для|сюжетно|ролевых|игр|развития|тактильных|ощущений|воображения|мелкой|моторики</v>
      </c>
      <c r="B482" s="59" t="str">
        <f ca="1">IFERROR(__xludf.DUMMYFUNCTION("LOWER(REGEXREPLACE(D482&amp;"" ""&amp;E482,""[^а-яa-z0-9 ]"","" ""))"),"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f>
        <v xml:space="preserve">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v>
      </c>
      <c r="C482" s="61" t="s">
        <v>13591</v>
      </c>
      <c r="D482" s="56" t="s">
        <v>13592</v>
      </c>
      <c r="E482" s="56" t="s">
        <v>13593</v>
      </c>
      <c r="F482" s="57">
        <v>9500</v>
      </c>
      <c r="G482" s="58">
        <v>1</v>
      </c>
      <c r="I482" s="5"/>
      <c r="J482" s="5"/>
    </row>
    <row r="483" spans="1:10" x14ac:dyDescent="0.2">
      <c r="A483" s="59" t="str">
        <f ca="1">IFERROR(__xludf.DUMMYFUNCTION("TEXTJOIN(""|"",TRUE,UNIQUE(FILTER(SPLIT(B483,"" ""),LEN(SPLIT(B483,"" ""))&gt;2)))"),"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f>
        <v>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v>
      </c>
      <c r="B483" s="59" t="str">
        <f ca="1">IFERROR(__xludf.DUMMYFUNCTION("LOWER(REGEXREPLACE(D483&amp;"" ""&amp;E483,""[^а-яa-z0-9 ]"","" ""))"),"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f>
        <v xml:space="preserve">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v>
      </c>
      <c r="C483" s="61" t="s">
        <v>13594</v>
      </c>
      <c r="D483" s="56" t="s">
        <v>13595</v>
      </c>
      <c r="E483" s="56" t="s">
        <v>13596</v>
      </c>
      <c r="F483" s="57">
        <v>20900</v>
      </c>
      <c r="G483" s="58">
        <v>1</v>
      </c>
      <c r="I483" s="5"/>
      <c r="J483" s="5"/>
    </row>
    <row r="484" spans="1:10" x14ac:dyDescent="0.2">
      <c r="A484" s="59" t="str">
        <f ca="1">IFERROR(__xludf.DUMMYFUNCTION("TEXTJOIN(""|"",TRUE,UNIQUE(FILTER(SPLIT(B484,"" ""),LEN(SPLIT(B484,"" ""))&gt;2)))"),"бай|книга|альбом|буб|ужикова|айрамбаева")</f>
        <v>бай|книга|альбом|буб|ужикова|айрамбаева</v>
      </c>
      <c r="B484" s="59" t="str">
        <f ca="1">IFERROR(__xludf.DUMMYFUNCTION("LOWER(REGEXREPLACE(D484&amp;"" ""&amp;E484,""[^а-яa-z0-9 ]"","" ""))"),"  нг л к т л а    лы  бай  книга альбом   буб к р      ужикова      айрамбаева   ")</f>
        <v xml:space="preserve">  нг л к т л а    лы  бай  книга альбом   буб к р      ужикова      айрамбаева   </v>
      </c>
      <c r="C484" s="61" t="s">
        <v>13597</v>
      </c>
      <c r="D484" s="56" t="s">
        <v>13598</v>
      </c>
      <c r="E484" s="56" t="s">
        <v>13599</v>
      </c>
      <c r="F484" s="57">
        <v>18000</v>
      </c>
      <c r="G484" s="58">
        <v>1</v>
      </c>
      <c r="I484" s="5"/>
      <c r="J484" s="5"/>
    </row>
    <row r="485" spans="1:10" x14ac:dyDescent="0.2">
      <c r="A485" s="59" t="str">
        <f ca="1">IFERROR(__xludf.DUMMYFUNCTION("TEXTJOIN(""|"",TRUE,UNIQUE(FILTER(SPLIT(B485,"" ""),LEN(SPLIT(B485,"" ""))&gt;2)))"),"баламды|лем|ала|психологиясы|туралы|ата|ана|мек|эри")</f>
        <v>баламды|лем|ала|психологиясы|туралы|ата|ана|мек|эри</v>
      </c>
      <c r="B485" s="59" t="str">
        <f ca="1">IFERROR(__xludf.DUMMYFUNCTION("LOWER(REGEXREPLACE(D485&amp;"" ""&amp;E485,""[^а-яa-z0-9 ]"","" ""))")," ен баламды б лем н бе   ала психологиясы туралы ата ана а к мек  эри   ")</f>
        <v xml:space="preserve"> ен баламды б лем н бе   ала психологиясы туралы ата ана а к мек  эри   </v>
      </c>
      <c r="C485" s="61" t="s">
        <v>13600</v>
      </c>
      <c r="D485" s="56" t="s">
        <v>13601</v>
      </c>
      <c r="E485" s="56" t="s">
        <v>12686</v>
      </c>
      <c r="F485" s="57">
        <v>13600</v>
      </c>
      <c r="G485" s="58">
        <v>1</v>
      </c>
      <c r="I485" s="5"/>
      <c r="J485" s="5"/>
    </row>
    <row r="486" spans="1:10" x14ac:dyDescent="0.2">
      <c r="A486" s="59" t="str">
        <f ca="1">IFERROR(__xludf.DUMMYFUNCTION("TEXTJOIN(""|"",TRUE,UNIQUE(FILTER(SPLIT(B486,"" ""),LEN(SPLIT(B486,"" ""))&gt;2)))"),"мба|даммын|оны|ойла|бай|унанбаев")</f>
        <v>мба|даммын|оны|ойла|бай|унанбаев</v>
      </c>
      <c r="B486" s="59" t="str">
        <f ca="1">IFERROR(__xludf.DUMMYFUNCTION("LOWER(REGEXREPLACE(D486&amp;"" ""&amp;E486,""[^а-яa-z0-9 ]"","" ""))")," ен б р ж мба    даммын оны да ойла      бай  унанбаев")</f>
        <v xml:space="preserve"> ен б р ж мба    даммын оны да ойла      бай  унанбаев</v>
      </c>
      <c r="C486" s="61" t="s">
        <v>13602</v>
      </c>
      <c r="D486" s="56" t="s">
        <v>13603</v>
      </c>
      <c r="E486" s="56" t="s">
        <v>13604</v>
      </c>
      <c r="F486" s="57">
        <v>6600</v>
      </c>
      <c r="G486" s="58">
        <v>1</v>
      </c>
      <c r="I486" s="5"/>
      <c r="J486" s="5"/>
    </row>
    <row r="487" spans="1:10" x14ac:dyDescent="0.2">
      <c r="A487" s="59" t="str">
        <f ca="1">IFERROR(__xludf.DUMMYFUNCTION("TEXTJOIN(""|"",TRUE,UNIQUE(FILTER(SPLIT(B487,"" ""),LEN(SPLIT(B487,"" ""))&gt;2)))"),"таным|аза|стан|юрта|ужикова")</f>
        <v>таным|аза|стан|юрта|ужикова</v>
      </c>
      <c r="B487" s="59" t="str">
        <f ca="1">IFERROR(__xludf.DUMMYFUNCTION("LOWER(REGEXREPLACE(D487&amp;"" ""&amp;E487,""[^а-яa-z0-9 ]"","" ""))")," ен    таным    аза стан  юрта      ужикова")</f>
        <v xml:space="preserve"> ен    таным    аза стан  юрта      ужикова</v>
      </c>
      <c r="C487" s="61" t="s">
        <v>13605</v>
      </c>
      <c r="D487" s="56" t="s">
        <v>13606</v>
      </c>
      <c r="E487" s="56" t="s">
        <v>13607</v>
      </c>
      <c r="F487" s="57">
        <v>30700</v>
      </c>
      <c r="G487" s="58">
        <v>1</v>
      </c>
      <c r="I487" s="5"/>
      <c r="J487" s="5"/>
    </row>
    <row r="488" spans="1:10" x14ac:dyDescent="0.2">
      <c r="A488" s="59" t="str">
        <f ca="1">IFERROR(__xludf.DUMMYFUNCTION("TEXTJOIN(""|"",TRUE,UNIQUE(FILTER(SPLIT(B488,"" ""),LEN(SPLIT(B488,"" ""))&gt;2)))"),"енменд|алай|уге|болады|преодолеть|гордыню|overcome|pride")</f>
        <v>енменд|алай|уге|болады|преодолеть|гордыню|overcome|pride</v>
      </c>
      <c r="B488" s="59" t="str">
        <f ca="1">IFERROR(__xludf.DUMMYFUNCTION("LOWER(REGEXREPLACE(D488&amp;"" ""&amp;E488,""[^а-яa-z0-9 ]"","" ""))")," енменд кт   алай же уге болады   ак преодолеть гордыню   ow to overcome pride ")</f>
        <v xml:space="preserve"> енменд кт   алай же уге болады   ак преодолеть гордыню   ow to overcome pride </v>
      </c>
      <c r="C488" s="61" t="s">
        <v>13608</v>
      </c>
      <c r="D488" s="56" t="s">
        <v>13609</v>
      </c>
      <c r="E488" s="56"/>
      <c r="F488" s="57">
        <v>1700</v>
      </c>
      <c r="G488" s="58">
        <v>1</v>
      </c>
      <c r="I488" s="5"/>
      <c r="J488" s="5"/>
    </row>
    <row r="489" spans="1:10" x14ac:dyDescent="0.2">
      <c r="A489" s="59" t="str">
        <f ca="1">IFERROR(__xludf.DUMMYFUNCTION("TEXTJOIN(""|"",TRUE,UNIQUE(FILTER(SPLIT(B489,"" ""),LEN(SPLIT(B489,"" ""))&gt;2)))"),"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f>
        <v>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v>
      </c>
      <c r="B489" s="59" t="str">
        <f ca="1">IFERROR(__xludf.DUMMYFUNCTION("LOWER(REGEXREPLACE(D489&amp;"" ""&amp;E489,""[^а-яa-z0-9 ]"","" ""))"),"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f>
        <v xml:space="preserve">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v>
      </c>
      <c r="C489" s="61" t="s">
        <v>13610</v>
      </c>
      <c r="D489" s="56" t="s">
        <v>13611</v>
      </c>
      <c r="E489" s="56" t="s">
        <v>13612</v>
      </c>
      <c r="F489" s="57">
        <v>28500</v>
      </c>
      <c r="G489" s="58">
        <v>5</v>
      </c>
      <c r="I489" s="5"/>
      <c r="J489" s="5"/>
    </row>
    <row r="490" spans="1:10" x14ac:dyDescent="0.2">
      <c r="A490" s="59" t="str">
        <f ca="1">IFERROR(__xludf.DUMMYFUNCTION("TEXTJOIN(""|"",TRUE,UNIQUE(FILTER(SPLIT(B490,"" ""),LEN(SPLIT(B490,"" ""))&gt;2)))"),"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f>
        <v>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v>
      </c>
      <c r="B490" s="59" t="str">
        <f ca="1">IFERROR(__xludf.DUMMYFUNCTION("LOWER(REGEXREPLACE(D490&amp;"" ""&amp;E490,""[^а-яa-z0-9 ]"","" ""))"),"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f>
        <v xml:space="preserve">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v>
      </c>
      <c r="C490" s="61" t="s">
        <v>13613</v>
      </c>
      <c r="D490" s="56" t="s">
        <v>13614</v>
      </c>
      <c r="E490" s="56" t="s">
        <v>13615</v>
      </c>
      <c r="F490" s="57">
        <v>28500</v>
      </c>
      <c r="G490" s="58">
        <v>1</v>
      </c>
      <c r="I490" s="5"/>
      <c r="J490" s="5"/>
    </row>
    <row r="491" spans="1:10" x14ac:dyDescent="0.2">
      <c r="A491" s="59" t="str">
        <f ca="1">IFERROR(__xludf.DUMMYFUNCTION("TEXTJOIN(""|"",TRUE,UNIQUE(FILTER(SPLIT(B491,"" ""),LEN(SPLIT(B491,"" ""))&gt;2)))"),"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amp;"|выполнена|прочного|пластика|предназначена|для|эксплуатации|помещениях")</f>
        <v>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выполнена|прочного|пластика|предназначена|для|эксплуатации|помещениях</v>
      </c>
      <c r="B491" s="59" t="str">
        <f ca="1">IFERROR(__xludf.DUMMYFUNCTION("LOWER(REGEXREPLACE(D491&amp;"" ""&amp;E491,""[^а-яa-z0-9 ]"","" ""))"),"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де"&amp;"йствий   онструкция выполнена из прочного пластика и предназначена для эксплуатации в помещениях ")</f>
        <v xml:space="preserve">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действий   онструкция выполнена из прочного пластика и предназначена для эксплуатации в помещениях </v>
      </c>
      <c r="C491" s="61" t="s">
        <v>13616</v>
      </c>
      <c r="D491" s="56" t="s">
        <v>13617</v>
      </c>
      <c r="E491" s="56" t="s">
        <v>13618</v>
      </c>
      <c r="F491" s="57">
        <v>41800</v>
      </c>
      <c r="G491" s="58">
        <v>2</v>
      </c>
      <c r="I491" s="5"/>
      <c r="J491" s="5"/>
    </row>
    <row r="492" spans="1:10" x14ac:dyDescent="0.2">
      <c r="A492" s="59" t="str">
        <f ca="1">IFERROR(__xludf.DUMMYFUNCTION("TEXTJOIN(""|"",TRUE,UNIQUE(FILTER(SPLIT(B492,"" ""),LEN(SPLIT(B492,"" ""))&gt;2)))"),"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f>
        <v>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v>
      </c>
      <c r="B492" s="59" t="str">
        <f ca="1">IFERROR(__xludf.DUMMYFUNCTION("LOWER(REGEXREPLACE(D492&amp;"" ""&amp;E492,""[^а-яa-z0-9 ]"","" ""))"),"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f>
        <v xml:space="preserve">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v>
      </c>
      <c r="C492" s="61" t="s">
        <v>13619</v>
      </c>
      <c r="D492" s="56" t="s">
        <v>13620</v>
      </c>
      <c r="E492" s="56" t="s">
        <v>13621</v>
      </c>
      <c r="F492" s="57">
        <v>2600</v>
      </c>
      <c r="G492" s="58">
        <v>10</v>
      </c>
      <c r="I492" s="5"/>
      <c r="J492" s="5"/>
    </row>
    <row r="493" spans="1:10" x14ac:dyDescent="0.2">
      <c r="A493" s="59" t="str">
        <f ca="1">IFERROR(__xludf.DUMMYFUNCTION("TEXTJOIN(""|"",TRUE,UNIQUE(FILTER(SPLIT(B493,"" ""),LEN(SPLIT(B493,"" ""))&gt;2)))"),"ешочки|песком|тяжел|нные|мешочки|для|упражнений|сенсорных|игр|спользуются|для|развития|координации|тактильных|ощущений|мышечного|контроля")</f>
        <v>ешочки|песком|тяжел|нные|мешочки|для|упражнений|сенсорных|игр|спользуются|для|развития|координации|тактильных|ощущений|мышечного|контроля</v>
      </c>
      <c r="B493" s="59" t="str">
        <f ca="1">IFERROR(__xludf.DUMMYFUNCTION("LOWER(REGEXREPLACE(D493&amp;"" ""&amp;E493,""[^а-яa-z0-9 ]"","" ""))")," ешочки с песком  тяжел нные мешочки для упражнений и сенсорных игр   спользуются для развития координации  тактильных ощущений и мышечного контроля ")</f>
        <v xml:space="preserve"> ешочки с песком  тяжел нные мешочки для упражнений и сенсорных игр   спользуются для развития координации  тактильных ощущений и мышечного контроля </v>
      </c>
      <c r="C493" s="61" t="s">
        <v>13622</v>
      </c>
      <c r="D493" s="56" t="s">
        <v>13623</v>
      </c>
      <c r="E493" s="56" t="s">
        <v>13624</v>
      </c>
      <c r="F493" s="57">
        <v>2900</v>
      </c>
      <c r="G493" s="58">
        <v>10</v>
      </c>
      <c r="I493" s="5"/>
      <c r="J493" s="5"/>
    </row>
    <row r="494" spans="1:10" x14ac:dyDescent="0.2">
      <c r="A494" s="59" t="str">
        <f ca="1">IFERROR(__xludf.DUMMYFUNCTION("TEXTJOIN(""|"",TRUE,UNIQUE(FILTER(SPLIT(B494,"" ""),LEN(SPLIT(B494,"" ""))&gt;2)))"),"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amp;"тельность|развивает|мелкую|моторику|внимание|навыки|соотнесения|онструкция|выполнена|дерева")</f>
        <v>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тельность|развивает|мелкую|моторику|внимание|навыки|соотнесения|онструкция|выполнена|дерева</v>
      </c>
      <c r="B494" s="59" t="str">
        <f ca="1">IFERROR(__xludf.DUMMYFUNCTION("LOWER(REGEXREPLACE(D494&amp;"" ""&amp;E494,""[^а-яa-z0-9 ]"","" ""))"),"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отверстиях"&amp;" и продеванию шнурка   акая деятельность развивает мелкую моторику  внимание и навыки соотнесения   онструкция выполнена из дерева ")</f>
        <v xml:space="preserve">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 и продеванию шнурка   акая деятельность развивает мелкую моторику  внимание и навыки соотнесения   онструкция выполнена из дерева </v>
      </c>
      <c r="C494" s="61" t="s">
        <v>13625</v>
      </c>
      <c r="D494" s="56" t="s">
        <v>13626</v>
      </c>
      <c r="E494" s="56" t="s">
        <v>13627</v>
      </c>
      <c r="F494" s="57">
        <v>4800</v>
      </c>
      <c r="G494" s="58">
        <v>5</v>
      </c>
      <c r="I494" s="5"/>
      <c r="J494" s="5"/>
    </row>
    <row r="495" spans="1:10" x14ac:dyDescent="0.2">
      <c r="A495" s="59" t="str">
        <f ca="1">IFERROR(__xludf.DUMMYFUNCTION("TEXTJOIN(""|"",TRUE,UNIQUE(FILTER(SPLIT(B495,"" ""),LEN(SPLIT(B495,"" ""))&gt;2)))"),"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amp;"тия|навыков|составления|простых|композиций|комплект|входит|менее|240|элементов|поля|оличество|цветов|менее")</f>
        <v>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тия|навыков|составления|простых|композиций|комплект|входит|менее|240|элементов|поля|оличество|цветов|менее</v>
      </c>
      <c r="B495" s="59" t="str">
        <f ca="1">IFERROR(__xludf.DUMMYFUNCTION("LOWER(REGEXREPLACE(D495&amp;"" ""&amp;E495,""[^а-яa-z0-9 ]"","" ""))"),"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мотор"&amp;"ики  зрительного восприятия и навыков составления простых композиций    комплект входит не менее 240 элементов и 2 поля   оличество цветов   не менее 6 ")</f>
        <v xml:space="preserve">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моторики  зрительного восприятия и навыков составления простых композиций    комплект входит не менее 240 элементов и 2 поля   оличество цветов   не менее 6 </v>
      </c>
      <c r="C495" s="61" t="s">
        <v>13628</v>
      </c>
      <c r="D495" s="56" t="s">
        <v>13629</v>
      </c>
      <c r="E495" s="56" t="s">
        <v>13630</v>
      </c>
      <c r="F495" s="57">
        <v>20900</v>
      </c>
      <c r="G495" s="58">
        <v>13</v>
      </c>
      <c r="I495" s="5"/>
      <c r="J495" s="5"/>
    </row>
    <row r="496" spans="1:10" x14ac:dyDescent="0.2">
      <c r="A496" s="59" t="str">
        <f ca="1">IFERROR(__xludf.DUMMYFUNCTION("TEXTJOIN(""|"",TRUE,UNIQUE(FILTER(SPLIT(B496,"" ""),LEN(SPLIT(B496,"" ""))&gt;2)))"),"атпырауы|хетов")</f>
        <v>атпырауы|хетов</v>
      </c>
      <c r="B496" s="59" t="str">
        <f ca="1">IFERROR(__xludf.DUMMYFUNCTION("LOWER(REGEXREPLACE(D496&amp;"" ""&amp;E496,""[^а-яa-z0-9 ]"","" ""))")," атпырауы       хетов")</f>
        <v xml:space="preserve"> атпырауы       хетов</v>
      </c>
      <c r="C496" s="61" t="s">
        <v>13631</v>
      </c>
      <c r="D496" s="56" t="s">
        <v>13632</v>
      </c>
      <c r="E496" s="56" t="s">
        <v>13633</v>
      </c>
      <c r="F496" s="57">
        <v>7800</v>
      </c>
      <c r="G496" s="58">
        <v>1</v>
      </c>
      <c r="I496" s="5"/>
      <c r="J496" s="5"/>
    </row>
    <row r="497" spans="1:10" x14ac:dyDescent="0.2">
      <c r="A497" s="59" t="str">
        <f ca="1">IFERROR(__xludf.DUMMYFUNCTION("TEXTJOIN(""|"",TRUE,UNIQUE(FILTER(SPLIT(B497,"" ""),LEN(SPLIT(B497,"" ""))&gt;2)))"),"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amp;"я|омплект|включает|менее|240|элементов|игровых|поля")</f>
        <v>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я|омплект|включает|менее|240|элементов|игровых|поля</v>
      </c>
      <c r="B497" s="59" t="str">
        <f ca="1">IFERROR(__xludf.DUMMYFUNCTION("LOWER(REGEXREPLACE(D497&amp;"" ""&amp;E497,""[^а-яa-z0-9 ]"","" ""))"),"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движе"&amp;"ний и устойчивость внимания   омплект включает не менее 240 элементов и 2 игровых поля ")</f>
        <v xml:space="preserve">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движений и устойчивость внимания   омплект включает не менее 240 элементов и 2 игровых поля </v>
      </c>
      <c r="C497" s="61" t="s">
        <v>13634</v>
      </c>
      <c r="D497" s="56" t="s">
        <v>13635</v>
      </c>
      <c r="E497" s="56" t="s">
        <v>13636</v>
      </c>
      <c r="F497" s="57">
        <v>9100</v>
      </c>
      <c r="G497" s="58">
        <v>10</v>
      </c>
      <c r="I497" s="5"/>
      <c r="J497" s="5"/>
    </row>
    <row r="498" spans="1:10" x14ac:dyDescent="0.2">
      <c r="A498" s="59" t="str">
        <f ca="1">IFERROR(__xludf.DUMMYFUNCTION("TEXTJOIN(""|"",TRUE,UNIQUE(FILTER(SPLIT(B498,"" ""),LEN(SPLIT(B498,"" ""))&gt;2)))"),"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amp;"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amp;"и|подходит|для|спокойной|игры|столом")</f>
        <v>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и|подходит|для|спокойной|игры|столом</v>
      </c>
      <c r="B498" s="59" t="str">
        <f ca="1">IFERROR(__xludf.DUMMYFUNCTION("LOWER(REGEXREPLACE(D498&amp;"" ""&amp;E498,""[^а-яa-z0-9 ]"","" ""))"),"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"&amp;"снова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озаика"&amp;" используется в индивидуальной и подгрупповой деятельности  подходит для спокойной игры за столом ")</f>
        <v xml:space="preserve">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 используется в индивидуальной и подгрупповой деятельности  подходит для спокойной игры за столом </v>
      </c>
      <c r="C498" s="61" t="s">
        <v>13637</v>
      </c>
      <c r="D498" s="56" t="s">
        <v>13638</v>
      </c>
      <c r="E498" s="56" t="s">
        <v>13639</v>
      </c>
      <c r="F498" s="57">
        <v>32300</v>
      </c>
      <c r="G498" s="58">
        <v>14</v>
      </c>
      <c r="I498" s="5"/>
      <c r="J498" s="5"/>
    </row>
    <row r="499" spans="1:10" x14ac:dyDescent="0.2">
      <c r="A499" s="59" t="str">
        <f ca="1">IFERROR(__xludf.DUMMYFUNCTION("TEXTJOIN(""|"",TRUE,UNIQUE(FILTER(SPLIT(B499,"" ""),LEN(SPLIT(B499,"" ""))&gt;2)))"),"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amp;"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amp;"отку|кромки|безопасно|обработаны|спользуется|для|развития|графомоторики|зрительного|контроля|аккуратности|самостоятельности")</f>
        <v>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отку|кромки|безопасно|обработаны|спользуется|для|развития|графомоторики|зрительного|контроля|аккуратности|самостоятельности</v>
      </c>
      <c r="B499" s="59" t="str">
        <f ca="1">IFERROR(__xludf.DUMMYFUNCTION("LOWER(REGEXREPLACE(D499&amp;"" ""&amp;E499,""[^а-яa-z0-9 ]"","" ""))"),"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выполнят"&amp;"ь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"&amp;"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f>
        <v xml:space="preserve">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v>
      </c>
      <c r="C499" s="61" t="s">
        <v>13640</v>
      </c>
      <c r="D499" s="56" t="s">
        <v>13641</v>
      </c>
      <c r="E499" s="56" t="s">
        <v>13642</v>
      </c>
      <c r="F499" s="57">
        <v>26600</v>
      </c>
      <c r="G499" s="58">
        <v>16</v>
      </c>
      <c r="I499" s="5"/>
      <c r="J499" s="5"/>
    </row>
    <row r="500" spans="1:10" x14ac:dyDescent="0.2">
      <c r="A500" s="59" t="str">
        <f ca="1">IFERROR(__xludf.DUMMYFUNCTION("TEXTJOIN(""|"",TRUE,UNIQUE(FILTER(SPLIT(B500,"" ""),LEN(SPLIT(B500,"" ""))&gt;2)))"),"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amp;"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amp;"|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f>
        <v>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v>
      </c>
      <c r="B500" s="59" t="str">
        <f ca="1">IFERROR(__xludf.DUMMYFUNCTION("LOWER(REGEXREPLACE(D500&amp;"" ""&amp;E500,""[^а-яa-z0-9 ]"","" ""))"),"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"&amp;"без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принадлежностей"&amp;"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чере"&amp;"з рисунок и схему ")</f>
        <v xml:space="preserve">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через рисунок и схему </v>
      </c>
      <c r="C500" s="61" t="s">
        <v>13643</v>
      </c>
      <c r="D500" s="56" t="s">
        <v>13644</v>
      </c>
      <c r="E500" s="56" t="s">
        <v>13645</v>
      </c>
      <c r="F500" s="57">
        <v>31400</v>
      </c>
      <c r="G500" s="58">
        <v>5</v>
      </c>
      <c r="I500" s="5"/>
      <c r="J500" s="5"/>
    </row>
    <row r="501" spans="1:10" x14ac:dyDescent="0.2">
      <c r="A501" s="59" t="str">
        <f ca="1">IFERROR(__xludf.DUMMYFUNCTION("TEXTJOIN(""|"",TRUE,UNIQUE(FILTER(SPLIT(B501,"" ""),LEN(SPLIT(B501,"" ""))&gt;2)))"),"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amp;"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amp;"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f>
        <v>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v>
      </c>
      <c r="B501" s="59" t="str">
        <f ca="1">IFERROR(__xludf.DUMMYFUNCTION("LOWER(REGEXREPLACE(D501&amp;"" ""&amp;E501,""[^а-яa-z0-9 ]"","" ""))"),"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письма"&amp;"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"&amp;"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f>
        <v xml:space="preserve">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v>
      </c>
      <c r="C501" s="61" t="s">
        <v>13646</v>
      </c>
      <c r="D501" s="56" t="s">
        <v>13647</v>
      </c>
      <c r="E501" s="56" t="s">
        <v>13648</v>
      </c>
      <c r="F501" s="57">
        <v>5700</v>
      </c>
      <c r="G501" s="58">
        <v>10</v>
      </c>
      <c r="I501" s="5"/>
      <c r="J501" s="5"/>
    </row>
    <row r="502" spans="1:10" x14ac:dyDescent="0.2">
      <c r="A502" s="59" t="str">
        <f ca="1">IFERROR(__xludf.DUMMYFUNCTION("TEXTJOIN(""|"",TRUE,UNIQUE(FILTER(SPLIT(B502,"" ""),LEN(SPLIT(B502,"" ""))&gt;2)))"),"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amp;"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f>
        <v>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v>
      </c>
      <c r="B502" s="59" t="str">
        <f ca="1">IFERROR(__xludf.DUMMYFUNCTION("LOWER(REGEXREPLACE(D502&amp;"" ""&amp;E502,""[^а-яa-z0-9 ]"","" ""))"),"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бл"&amp;"агоприятного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f>
        <v xml:space="preserve">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v>
      </c>
      <c r="C502" s="61" t="s">
        <v>13649</v>
      </c>
      <c r="D502" s="56" t="s">
        <v>13650</v>
      </c>
      <c r="E502" s="56" t="s">
        <v>13651</v>
      </c>
      <c r="F502" s="57">
        <v>68400</v>
      </c>
      <c r="G502" s="58">
        <v>10</v>
      </c>
      <c r="I502" s="5"/>
      <c r="J502" s="5"/>
    </row>
    <row r="503" spans="1:10" x14ac:dyDescent="0.2">
      <c r="A503" s="59" t="str">
        <f ca="1">IFERROR(__xludf.DUMMYFUNCTION("TEXTJOIN(""|"",TRUE,UNIQUE(FILTER(SPLIT(B503,"" ""),LEN(SPLIT(B503,"" ""))&gt;2)))"),"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amp;"|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f>
        <v>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v>
      </c>
      <c r="B503" s="59" t="str">
        <f ca="1">IFERROR(__xludf.DUMMYFUNCTION("LOWER(REGEXREPLACE(D503&amp;"" ""&amp;E503,""[^а-яa-z0-9 ]"","" ""))"),"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з"&amp;"аданному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f>
        <v xml:space="preserve">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v>
      </c>
      <c r="C503" s="61" t="s">
        <v>13652</v>
      </c>
      <c r="D503" s="56" t="s">
        <v>13653</v>
      </c>
      <c r="E503" s="56" t="s">
        <v>13654</v>
      </c>
      <c r="F503" s="57">
        <v>7300</v>
      </c>
      <c r="G503" s="58">
        <v>14</v>
      </c>
      <c r="I503" s="5"/>
      <c r="J503" s="5"/>
    </row>
    <row r="504" spans="1:10" x14ac:dyDescent="0.2">
      <c r="A504" s="59" t="str">
        <f ca="1">IFERROR(__xludf.DUMMYFUNCTION("TEXTJOIN(""|"",TRUE,UNIQUE(FILTER(SPLIT(B504,"" ""),LEN(SPLIT(B504,"" ""))&gt;2)))"),"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f>
        <v>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v>
      </c>
      <c r="B504" s="59" t="str">
        <f ca="1">IFERROR(__xludf.DUMMYFUNCTION("LOWER(REGEXREPLACE(D504&amp;"" ""&amp;E504,""[^а-яa-z0-9 ]"","" ""))"),"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развити"&amp;"е         сам        нига для родителей  ")</f>
        <v xml:space="preserve">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развитие         сам        нига для родителей  </v>
      </c>
      <c r="C504" s="61" t="s">
        <v>13655</v>
      </c>
      <c r="D504" s="56" t="s">
        <v>13656</v>
      </c>
      <c r="E504" s="56" t="s">
        <v>13657</v>
      </c>
      <c r="F504" s="57">
        <v>8600</v>
      </c>
      <c r="G504" s="58">
        <v>7</v>
      </c>
      <c r="I504" s="5"/>
      <c r="J504" s="5"/>
    </row>
    <row r="505" spans="1:10" x14ac:dyDescent="0.2">
      <c r="A505" s="59" t="str">
        <f ca="1">IFERROR(__xludf.DUMMYFUNCTION("TEXTJOIN(""|"",TRUE,UNIQUE(FILTER(SPLIT(B505,"" ""),LEN(SPLIT(B505,"" ""))&gt;2)))"),"одина|азахстан|юрта|ужикова")</f>
        <v>одина|азахстан|юрта|ужикова</v>
      </c>
      <c r="B505" s="59" t="str">
        <f ca="1">IFERROR(__xludf.DUMMYFUNCTION("LOWER(REGEXREPLACE(D505&amp;"" ""&amp;E505,""[^а-яa-z0-9 ]"","" ""))")," оя  одина    азахстан  юрта      ужикова")</f>
        <v xml:space="preserve"> оя  одина    азахстан  юрта      ужикова</v>
      </c>
      <c r="C505" s="61" t="s">
        <v>13658</v>
      </c>
      <c r="D505" s="56" t="s">
        <v>13659</v>
      </c>
      <c r="E505" s="56" t="s">
        <v>13607</v>
      </c>
      <c r="F505" s="57">
        <v>30700</v>
      </c>
      <c r="G505" s="58">
        <v>1</v>
      </c>
      <c r="I505" s="5"/>
      <c r="J505" s="5"/>
    </row>
    <row r="506" spans="1:10" x14ac:dyDescent="0.2">
      <c r="A506" s="59" t="str">
        <f ca="1">IFERROR(__xludf.DUMMYFUNCTION("TEXTJOIN(""|"",TRUE,UNIQUE(FILTER(SPLIT(B506,"" ""),LEN(SPLIT(B506,"" ""))&gt;2)))"),"балалар|ылы|лендер|жина|лтынсарин")</f>
        <v>балалар|ылы|лендер|жина|лтынсарин</v>
      </c>
      <c r="B506" s="59" t="str">
        <f ca="1">IFERROR(__xludf.DUMMYFUNCTION("LOWER(REGEXREPLACE(D506&amp;"" ""&amp;E506,""[^а-яa-z0-9 ]"","" ""))"),"  ел  балалар  о ылы    лендер жина ы    лтынсарин")</f>
        <v xml:space="preserve">  ел  балалар  о ылы    лендер жина ы    лтынсарин</v>
      </c>
      <c r="C506" s="61" t="s">
        <v>13660</v>
      </c>
      <c r="D506" s="56" t="s">
        <v>13661</v>
      </c>
      <c r="E506" s="56" t="s">
        <v>13662</v>
      </c>
      <c r="F506" s="57">
        <v>6400</v>
      </c>
      <c r="G506" s="58">
        <v>1</v>
      </c>
      <c r="I506" s="5"/>
      <c r="J506" s="5"/>
    </row>
    <row r="507" spans="1:10" x14ac:dyDescent="0.2">
      <c r="A507" s="59" t="str">
        <f ca="1">IFERROR(__xludf.DUMMYFUNCTION("TEXTJOIN(""|"",TRUE,UNIQUE(FILTER(SPLIT(B507,"" ""),LEN(SPLIT(B507,"" ""))&gt;2)))"),"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amp;"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f>
        <v>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v>
      </c>
      <c r="B507" s="59" t="str">
        <f ca="1">IFERROR(__xludf.DUMMYFUNCTION("LOWER(REGEXREPLACE(D507&amp;"" ""&amp;E507,""[^а-яa-z0-9 ]"","" ""))"),"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перемещени"&amp;"ю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f>
        <v xml:space="preserve">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v>
      </c>
      <c r="C507" s="61" t="s">
        <v>13663</v>
      </c>
      <c r="D507" s="56" t="s">
        <v>13664</v>
      </c>
      <c r="E507" s="56" t="s">
        <v>13665</v>
      </c>
      <c r="F507" s="57">
        <v>22800</v>
      </c>
      <c r="G507" s="58">
        <v>1</v>
      </c>
      <c r="I507" s="5"/>
      <c r="J507" s="5"/>
    </row>
    <row r="508" spans="1:10" x14ac:dyDescent="0.2">
      <c r="A508" s="59" t="str">
        <f ca="1">IFERROR(__xludf.DUMMYFUNCTION("TEXTJOIN(""|"",TRUE,UNIQUE(FILTER(SPLIT(B508,"" ""),LEN(SPLIT(B508,"" ""))&gt;2)))"),"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f>
        <v>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v>
      </c>
      <c r="B508" s="59" t="str">
        <f ca="1">IFERROR(__xludf.DUMMYFUNCTION("LOWER(REGEXREPLACE(D508&amp;"" ""&amp;E508,""[^а-яa-z0-9 ]"","" ""))"),"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f>
        <v xml:space="preserve">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v>
      </c>
      <c r="C508" s="61" t="s">
        <v>13666</v>
      </c>
      <c r="D508" s="56" t="s">
        <v>13667</v>
      </c>
      <c r="E508" s="56" t="s">
        <v>13668</v>
      </c>
      <c r="F508" s="57">
        <v>19000</v>
      </c>
      <c r="G508" s="58">
        <v>5</v>
      </c>
      <c r="I508" s="5"/>
      <c r="J508" s="5"/>
    </row>
    <row r="509" spans="1:10" x14ac:dyDescent="0.2">
      <c r="A509" s="59" t="str">
        <f ca="1">IFERROR(__xludf.DUMMYFUNCTION("TEXTJOIN(""|"",TRUE,UNIQUE(FILTER(SPLIT(B509,"" ""),LEN(SPLIT(B509,"" ""))&gt;2)))"),"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amp;"ятия|внимания|памяти|словарного|запаса|рименяется|под|контролем|взрослого|индивидуальной|работе|совместном|чтении")</f>
        <v>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ятия|внимания|памяти|словарного|запаса|рименяется|под|контролем|взрослого|индивидуальной|работе|совместном|чтении</v>
      </c>
      <c r="B509" s="59" t="str">
        <f ca="1">IFERROR(__xludf.DUMMYFUNCTION("LOWER(REGEXREPLACE(D509&amp;"" ""&amp;E509,""[^а-яa-z0-9 ]"","" ""))"),"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"&amp;"для развития слухового восприятия  внимания  памяти и словарного запаса   рименяется под контролем взрослого в индивидуальной работе и совместном чтении ")</f>
        <v xml:space="preserve">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для развития слухового восприятия  внимания  памяти и словарного запаса   рименяется под контролем взрослого в индивидуальной работе и совместном чтении </v>
      </c>
      <c r="C509" s="61" t="s">
        <v>13669</v>
      </c>
      <c r="D509" s="56" t="s">
        <v>13670</v>
      </c>
      <c r="E509" s="56" t="s">
        <v>13671</v>
      </c>
      <c r="F509" s="57">
        <v>6700</v>
      </c>
      <c r="G509" s="58">
        <v>7</v>
      </c>
      <c r="I509" s="5"/>
      <c r="J509" s="5"/>
    </row>
    <row r="510" spans="1:10" x14ac:dyDescent="0.2">
      <c r="A510" s="59" t="str">
        <f ca="1">IFERROR(__xludf.DUMMYFUNCTION("TEXTJOIN(""|"",TRUE,UNIQUE(FILTER(SPLIT(B510,"" ""),LEN(SPLIT(B510,"" ""))&gt;2)))"),"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amp;"вует|развитию|словарного|запаса|воображения")</f>
        <v>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вует|развитию|словарного|запаса|воображения</v>
      </c>
      <c r="B510" s="59" t="str">
        <f ca="1">IFERROR(__xludf.DUMMYFUNCTION("LOWER(REGEXREPLACE(D510&amp;"" ""&amp;E510,""[^а-яa-z0-9 ]"","" ""))"),"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и"&amp;"гр   агазин     ухня     итание   способствует развитию словарного запаса и воображения ")</f>
        <v xml:space="preserve">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игр   агазин     ухня     итание   способствует развитию словарного запаса и воображения </v>
      </c>
      <c r="C510" s="61" t="s">
        <v>13672</v>
      </c>
      <c r="D510" s="56" t="s">
        <v>13673</v>
      </c>
      <c r="E510" s="56" t="s">
        <v>13674</v>
      </c>
      <c r="F510" s="57">
        <v>159200</v>
      </c>
      <c r="G510" s="58">
        <v>7</v>
      </c>
      <c r="I510" s="5"/>
      <c r="J510" s="5"/>
    </row>
    <row r="511" spans="1:10" x14ac:dyDescent="0.2">
      <c r="A511" s="59" t="str">
        <f ca="1">IFERROR(__xludf.DUMMYFUNCTION("TEXTJOIN(""|"",TRUE,UNIQUE(FILTER(SPLIT(B511,"" ""),LEN(SPLIT(B511,"" ""))&gt;2)))"),"усорная|корзина|редназначена|для|сбора|отходов|используется|медицинском|кабинете|вспомогательных|помещениях")</f>
        <v>усорная|корзина|редназначена|для|сбора|отходов|используется|медицинском|кабинете|вспомогательных|помещениях</v>
      </c>
      <c r="B511" s="59" t="str">
        <f ca="1">IFERROR(__xludf.DUMMYFUNCTION("LOWER(REGEXREPLACE(D511&amp;"" ""&amp;E511,""[^а-яa-z0-9 ]"","" ""))")," усорная корзина  редназначена для сбора отходов  используется в медицинском кабинете и вспомогательных помещениях ")</f>
        <v xml:space="preserve"> усорная корзина  редназначена для сбора отходов  используется в медицинском кабинете и вспомогательных помещениях </v>
      </c>
      <c r="C511" s="61" t="s">
        <v>13675</v>
      </c>
      <c r="D511" s="56" t="s">
        <v>13676</v>
      </c>
      <c r="E511" s="56" t="s">
        <v>13677</v>
      </c>
      <c r="F511" s="57">
        <v>2000</v>
      </c>
      <c r="G511" s="58">
        <v>3</v>
      </c>
      <c r="I511" s="5"/>
      <c r="J511" s="5"/>
    </row>
    <row r="512" spans="1:10" x14ac:dyDescent="0.2">
      <c r="A512" s="59" t="str">
        <f ca="1">IFERROR(__xludf.DUMMYFUNCTION("TEXTJOIN(""|"",TRUE,UNIQUE(FILTER(SPLIT(B512,"" ""),LEN(SPLIT(B512,"" ""))&gt;2)))"),"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f>
        <v>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v>
      </c>
      <c r="B512" s="59" t="str">
        <f ca="1">IFERROR(__xludf.DUMMYFUNCTION("LOWER(REGEXREPLACE(D512&amp;"" ""&amp;E512,""[^а-яa-z0-9 ]"","" ""))"),"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f>
        <v xml:space="preserve">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v>
      </c>
      <c r="C512" s="61" t="s">
        <v>13678</v>
      </c>
      <c r="D512" s="56" t="s">
        <v>13679</v>
      </c>
      <c r="E512" s="56" t="s">
        <v>13680</v>
      </c>
      <c r="F512" s="57">
        <v>17100</v>
      </c>
      <c r="G512" s="58">
        <v>2</v>
      </c>
      <c r="I512" s="5"/>
      <c r="J512" s="5"/>
    </row>
    <row r="513" spans="1:10" x14ac:dyDescent="0.2">
      <c r="A513" s="59" t="str">
        <f ca="1">IFERROR(__xludf.DUMMYFUNCTION("TEXTJOIN(""|"",TRUE,UNIQUE(FILTER(SPLIT(B513,"" ""),LEN(SPLIT(B513,"" ""))&gt;2)))"),"рагер|балай|айым|оим|юным|наследникам|аянбай")</f>
        <v>рагер|балай|айым|оим|юным|наследникам|аянбай</v>
      </c>
      <c r="B513" s="59" t="str">
        <f ca="1">IFERROR(__xludf.DUMMYFUNCTION("LOWER(REGEXREPLACE(D513&amp;"" ""&amp;E513,""[^а-яa-z0-9 ]"","" ""))"),"  рагер м  балай айым   оим юным наследникам     аянбай")</f>
        <v xml:space="preserve">  рагер м  балай айым   оим юным наследникам     аянбай</v>
      </c>
      <c r="C513" s="61" t="s">
        <v>13681</v>
      </c>
      <c r="D513" s="56" t="s">
        <v>13682</v>
      </c>
      <c r="E513" s="56" t="s">
        <v>13683</v>
      </c>
      <c r="F513" s="57">
        <v>9000</v>
      </c>
      <c r="G513" s="58">
        <v>1</v>
      </c>
      <c r="I513" s="5"/>
      <c r="J513" s="5"/>
    </row>
    <row r="514" spans="1:10" x14ac:dyDescent="0.2">
      <c r="A514" s="59" t="str">
        <f ca="1">IFERROR(__xludf.DUMMYFUNCTION("TEXTJOIN(""|"",TRUE,UNIQUE(FILTER(SPLIT(B514,"" ""),LEN(SPLIT(B514,"" ""))&gt;2)))"),"ысалдар|рылов|перевод|сылбек")</f>
        <v>ысалдар|рылов|перевод|сылбек</v>
      </c>
      <c r="B514" s="59" t="str">
        <f ca="1">IFERROR(__xludf.DUMMYFUNCTION("LOWER(REGEXREPLACE(D514&amp;"" ""&amp;E514,""[^а-яa-z0-9 ]"","" ""))")," ысалдар    рылов  перевод    сылбек ")</f>
        <v xml:space="preserve"> ысалдар    рылов  перевод    сылбек </v>
      </c>
      <c r="C514" s="61" t="s">
        <v>13684</v>
      </c>
      <c r="D514" s="56" t="s">
        <v>13685</v>
      </c>
      <c r="E514" s="56" t="s">
        <v>13686</v>
      </c>
      <c r="F514" s="57">
        <v>7400</v>
      </c>
      <c r="G514" s="58">
        <v>1</v>
      </c>
      <c r="I514" s="5"/>
      <c r="J514" s="5"/>
    </row>
    <row r="515" spans="1:10" x14ac:dyDescent="0.2">
      <c r="A515" s="59" t="str">
        <f ca="1">IFERROR(__xludf.DUMMYFUNCTION("TEXTJOIN(""|"",TRUE,UNIQUE(FILTER(SPLIT(B515,"" ""),LEN(SPLIT(B515,"" ""))&gt;2)))"),"ягкие|дизайнерские|пуфики|ягкие|пуфики|для|комфортного|чтения|отдыха|гкие|безопасные|без|острых|углов|орма|фигурная|азмер|400|500|высота|300|350")</f>
        <v>ягкие|дизайнерские|пуфики|ягкие|пуфики|для|комфортного|чтения|отдыха|гкие|безопасные|без|острых|углов|орма|фигурная|азмер|400|500|высота|300|350</v>
      </c>
      <c r="B515" s="59" t="str">
        <f ca="1">IFERROR(__xludf.DUMMYFUNCTION("LOWER(REGEXREPLACE(D515&amp;"" ""&amp;E515,""[^а-яa-z0-9 ]"","" ""))")," ягкие дизайнерские пуфики  ягкие пуфики для комфортного чтения и отдыха    гкие  безопасные  без острых углов   орма   фигурная   азмер   400 500 мм  высота 300 350 мм ")</f>
        <v xml:space="preserve"> ягкие дизайнерские пуфики  ягкие пуфики для комфортного чтения и отдыха    гкие  безопасные  без острых углов   орма   фигурная   азмер   400 500 мм  высота 300 350 мм </v>
      </c>
      <c r="C515" s="61" t="s">
        <v>13687</v>
      </c>
      <c r="D515" s="56" t="s">
        <v>13688</v>
      </c>
      <c r="E515" s="56" t="s">
        <v>13689</v>
      </c>
      <c r="F515" s="57">
        <v>66500</v>
      </c>
      <c r="G515" s="58">
        <v>6</v>
      </c>
      <c r="I515" s="5"/>
      <c r="J515" s="5"/>
    </row>
    <row r="516" spans="1:10" x14ac:dyDescent="0.2">
      <c r="A516" s="59" t="str">
        <f ca="1">IFERROR(__xludf.DUMMYFUNCTION("TEXTJOIN(""|"",TRUE,UNIQUE(FILTER(SPLIT(B516,"" ""),LEN(SPLIT(B516,"" ""))&gt;2)))"),"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amp;"острых|элементов|подходят|для|ежедневного|использования|условиях")</f>
        <v>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острых|элементов|подходят|для|ежедневного|использования|условиях</v>
      </c>
      <c r="B516" s="59" t="str">
        <f ca="1">IFERROR(__xludf.DUMMYFUNCTION("LOWER(REGEXREPLACE(D516&amp;"" ""&amp;E516,""[^а-яa-z0-9 ]"","" ""))"),"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безопасны"&amp;"х материалов  не имеют острых элементов  подходят для ежедневного использования в условиях     ")</f>
        <v xml:space="preserve">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безопасных материалов  не имеют острых элементов  подходят для ежедневного использования в условиях     </v>
      </c>
      <c r="C516" s="61" t="s">
        <v>13690</v>
      </c>
      <c r="D516" s="56" t="s">
        <v>13691</v>
      </c>
      <c r="E516" s="56" t="s">
        <v>13692</v>
      </c>
      <c r="F516" s="57">
        <v>15000</v>
      </c>
      <c r="G516" s="58">
        <v>5</v>
      </c>
      <c r="I516" s="5"/>
      <c r="J516" s="5"/>
    </row>
    <row r="517" spans="1:10" x14ac:dyDescent="0.2">
      <c r="A517" s="59" t="str">
        <f ca="1">IFERROR(__xludf.DUMMYFUNCTION("TEXTJOIN(""|"",TRUE,UNIQUE(FILTER(SPLIT(B517,"" ""),LEN(SPLIT(B517,"" ""))&gt;2)))"),"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amp;"актического|мышления|онструкция|выполнена|дерева|элементы|закреплены|стационарно|одходит|для|индивидуальной|игровой|деятельности")</f>
        <v>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актического|мышления|онструкция|выполнена|дерева|элементы|закреплены|стационарно|одходит|для|индивидуальной|игровой|деятельности</v>
      </c>
      <c r="B517" s="59" t="str">
        <f ca="1">IFERROR(__xludf.DUMMYFUNCTION("LOWER(REGEXREPLACE(D517&amp;"" ""&amp;E517,""[^а-яa-z0-9 ]"","" ""))"),"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коорди"&amp;"нации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f>
        <v xml:space="preserve">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v>
      </c>
      <c r="C517" s="61" t="s">
        <v>13693</v>
      </c>
      <c r="D517" s="56" t="s">
        <v>13694</v>
      </c>
      <c r="E517" s="56" t="s">
        <v>13695</v>
      </c>
      <c r="F517" s="57">
        <v>66500</v>
      </c>
      <c r="G517" s="58">
        <v>7</v>
      </c>
      <c r="I517" s="5"/>
      <c r="J517" s="5"/>
    </row>
    <row r="518" spans="1:10" x14ac:dyDescent="0.2">
      <c r="A518" s="59" t="str">
        <f ca="1">IFERROR(__xludf.DUMMYFUNCTION("TEXTJOIN(""|"",TRUE,UNIQUE(FILTER(SPLIT(B518,"" ""),LEN(SPLIT(B518,"" ""))&gt;2)))"),"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f>
        <v>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v>
      </c>
      <c r="B518" s="59" t="str">
        <f ca="1">IFERROR(__xludf.DUMMYFUNCTION("LOWER(REGEXREPLACE(D518&amp;"" ""&amp;E518,""[^а-яa-z0-9 ]"","" ""))"),"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"&amp;"активной игре и падениях ")</f>
        <v xml:space="preserve">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активной игре и падениях </v>
      </c>
      <c r="C518" s="61" t="s">
        <v>13696</v>
      </c>
      <c r="D518" s="56" t="s">
        <v>13697</v>
      </c>
      <c r="E518" s="56" t="s">
        <v>13698</v>
      </c>
      <c r="F518" s="57">
        <v>9500</v>
      </c>
      <c r="G518" s="58">
        <v>2</v>
      </c>
      <c r="I518" s="5"/>
      <c r="J518" s="5"/>
    </row>
    <row r="519" spans="1:10" x14ac:dyDescent="0.2">
      <c r="A519" s="59" t="str">
        <f ca="1">IFERROR(__xludf.DUMMYFUNCTION("TEXTJOIN(""|"",TRUE,UNIQUE(FILTER(SPLIT(B519,"" ""),LEN(SPLIT(B519,"" ""))&gt;2)))"),"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amp;"|мягкий|упругий|поверхность|износостойкая|пригодна|для|регулярной|очистки")</f>
        <v>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мягкий|упругий|поверхность|износостойкая|пригодна|для|регулярной|очистки</v>
      </c>
      <c r="B519" s="59" t="str">
        <f ca="1">IFERROR(__xludf.DUMMYFUNCTION("LOWER(REGEXREPLACE(D519&amp;"" ""&amp;E519,""[^а-яa-z0-9 ]"","" ""))"),"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сюж"&amp;"етных игр   аполнитель мягкий и упругий  поверхность износостойкая и пригодна для регулярной очистки ")</f>
        <v xml:space="preserve">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сюжетных игр   аполнитель мягкий и упругий  поверхность износостойкая и пригодна для регулярной очистки </v>
      </c>
      <c r="C519" s="61" t="s">
        <v>13699</v>
      </c>
      <c r="D519" s="56" t="s">
        <v>13700</v>
      </c>
      <c r="E519" s="56" t="s">
        <v>13701</v>
      </c>
      <c r="F519" s="57">
        <v>585200</v>
      </c>
      <c r="G519" s="58">
        <v>2</v>
      </c>
      <c r="I519" s="5"/>
      <c r="J519" s="5"/>
    </row>
    <row r="520" spans="1:10" x14ac:dyDescent="0.2">
      <c r="A520" s="59" t="str">
        <f ca="1">IFERROR(__xludf.DUMMYFUNCTION("TEXTJOIN(""|"",TRUE,UNIQUE(FILTER(SPLIT(B520,"" ""),LEN(SPLIT(B520,"" ""))&gt;2)))"),"ягкий|диван|для|реб|нка|кабинете|психолога|иван|divan|азмеры|500x1200x600")</f>
        <v>ягкий|диван|для|реб|нка|кабинете|психолога|иван|divan|азмеры|500x1200x600</v>
      </c>
      <c r="B520" s="59" t="str">
        <f ca="1">IFERROR(__xludf.DUMMYFUNCTION("LOWER(REGEXREPLACE(D520&amp;"" ""&amp;E520,""[^а-яa-z0-9 ]"","" ""))")," ягкий диван для реб нка в кабинете психолога  иван divan   азмеры 500x1200x600 мм")</f>
        <v xml:space="preserve"> ягкий диван для реб нка в кабинете психолога  иван divan   азмеры 500x1200x600 мм</v>
      </c>
      <c r="C520" s="61" t="s">
        <v>13702</v>
      </c>
      <c r="D520" s="56" t="s">
        <v>13703</v>
      </c>
      <c r="E520" s="56" t="s">
        <v>13704</v>
      </c>
      <c r="F520" s="57">
        <v>109200</v>
      </c>
      <c r="G520" s="58">
        <v>1</v>
      </c>
      <c r="I520" s="5"/>
      <c r="J520" s="5"/>
    </row>
    <row r="521" spans="1:10" x14ac:dyDescent="0.2">
      <c r="A521" s="59" t="str">
        <f ca="1">IFERROR(__xludf.DUMMYFUNCTION("TEXTJOIN(""|"",TRUE,UNIQUE(FILTER(SPLIT(B521,"" ""),LEN(SPLIT(B521,"" ""))&gt;2)))"),"ягкий|классический|диван|для|индивидуального|при|психолога|иван|местный|азмеры|129x70x71")</f>
        <v>ягкий|классический|диван|для|индивидуального|при|психолога|иван|местный|азмеры|129x70x71</v>
      </c>
      <c r="B521" s="59" t="str">
        <f ca="1">IFERROR(__xludf.DUMMYFUNCTION("LOWER(REGEXREPLACE(D521&amp;"" ""&amp;E521,""[^а-яa-z0-9 ]"","" ""))")," ягкий классический диван для индивидуального при ма у психолога  иван 2 местный   азмеры  129x70x71   х х   ")</f>
        <v xml:space="preserve"> ягкий классический диван для индивидуального при ма у психолога  иван 2 местный   азмеры  129x70x71   х х   </v>
      </c>
      <c r="C521" s="61" t="s">
        <v>13705</v>
      </c>
      <c r="D521" s="56" t="s">
        <v>13706</v>
      </c>
      <c r="E521" s="56" t="s">
        <v>13707</v>
      </c>
      <c r="F521" s="57">
        <v>756000</v>
      </c>
      <c r="G521" s="58">
        <v>1</v>
      </c>
      <c r="I521" s="5"/>
      <c r="J521" s="5"/>
    </row>
    <row r="522" spans="1:10" x14ac:dyDescent="0.2">
      <c r="A522" s="59" t="str">
        <f ca="1">IFERROR(__xludf.DUMMYFUNCTION("TEXTJOIN(""|"",TRUE,UNIQUE(FILTER(SPLIT(B522,"" ""),LEN(SPLIT(B522,"" ""))&gt;2)))"),"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f>
        <v>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v>
      </c>
      <c r="B522" s="59" t="str">
        <f ca="1">IFERROR(__xludf.DUMMYFUNCTION("LOWER(REGEXREPLACE(D522&amp;"" ""&amp;E522,""[^а-яa-z0-9 ]"","" ""))"),"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f>
        <v xml:space="preserve">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v>
      </c>
      <c r="C522" s="61" t="s">
        <v>13708</v>
      </c>
      <c r="D522" s="56" t="s">
        <v>13709</v>
      </c>
      <c r="E522" s="56" t="s">
        <v>13710</v>
      </c>
      <c r="F522" s="57">
        <v>9500</v>
      </c>
      <c r="G522" s="58">
        <v>1</v>
      </c>
      <c r="I522" s="5"/>
      <c r="J522" s="5"/>
    </row>
    <row r="523" spans="1:10" x14ac:dyDescent="0.2">
      <c r="A523" s="59" t="str">
        <f ca="1">IFERROR(__xludf.DUMMYFUNCTION("TEXTJOIN(""|"",TRUE,UNIQUE(FILTER(SPLIT(B523,"" ""),LEN(SPLIT(B523,"" ""))&gt;2)))"),"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amp;"чива|ежедневному|использованию|детских|учреждениях|атериал|впитывает|влагу|сохраняет|форму|цвет|безопасен|для|детей")</f>
        <v>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чива|ежедневному|использованию|детских|учреждениях|атериал|впитывает|влагу|сохраняет|форму|цвет|безопасен|для|детей</v>
      </c>
      <c r="B523" s="59" t="str">
        <f ca="1">IFERROR(__xludf.DUMMYFUNCTION("LOWER(REGEXREPLACE(D523&amp;"" ""&amp;E523,""[^а-яa-z0-9 ]"","" ""))"),"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нескользящая"&amp;"  легко очищается и устойчива к ежедневному использованию в детских учреждениях   атериал не впитывает влагу  сохраняет форму и цвет  безопасен для детей ")</f>
        <v xml:space="preserve">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  легко очищается и устойчива к ежедневному использованию в детских учреждениях   атериал не впитывает влагу  сохраняет форму и цвет  безопасен для детей </v>
      </c>
      <c r="C523" s="61" t="s">
        <v>13711</v>
      </c>
      <c r="D523" s="56" t="s">
        <v>13712</v>
      </c>
      <c r="E523" s="56" t="s">
        <v>13713</v>
      </c>
      <c r="F523" s="57">
        <v>45000</v>
      </c>
      <c r="G523" s="58">
        <v>4</v>
      </c>
      <c r="I523" s="5"/>
      <c r="J523" s="5"/>
    </row>
    <row r="524" spans="1:10" x14ac:dyDescent="0.2">
      <c r="A524" s="59" t="str">
        <f ca="1">IFERROR(__xludf.DUMMYFUNCTION("TEXTJOIN(""|"",TRUE,UNIQUE(FILTER(SPLIT(B524,"" ""),LEN(SPLIT(B524,"" ""))&gt;2)))"),"редназначен|для|организации|игровой|развивающей|двигательной|деятельности|атериал|гипоаллергенный|устойчивый|износу|прост|уходе|азмер|5x2м")</f>
        <v>редназначен|для|организации|игровой|развивающей|двигательной|деятельности|атериал|гипоаллергенный|устойчивый|износу|прост|уходе|азмер|5x2м</v>
      </c>
      <c r="B524" s="59" t="str">
        <f ca="1">IFERROR(__xludf.DUMMYFUNCTION("LOWER(REGEXREPLACE(D524&amp;"" ""&amp;E524,""[^а-яa-z0-9 ]"","" ""))"),"  редназначен для организации игровой  развивающей и двигательной деятельности   атериал гипоаллергенный  устойчивый к износу и прост в уходе   азмер 2 5x2м")</f>
        <v xml:space="preserve">  редназначен для организации игровой  развивающей и двигательной деятельности   атериал гипоаллергенный  устойчивый к износу и прост в уходе   азмер 2 5x2м</v>
      </c>
      <c r="C524" s="56"/>
      <c r="D524" s="56"/>
      <c r="E524" s="56" t="s">
        <v>13714</v>
      </c>
      <c r="F524" s="57">
        <v>45000</v>
      </c>
      <c r="G524" s="58">
        <v>100</v>
      </c>
      <c r="I524" s="5"/>
      <c r="J524" s="5"/>
    </row>
    <row r="525" spans="1:10" x14ac:dyDescent="0.2">
      <c r="A525" s="59" t="str">
        <f ca="1">IFERROR(__xludf.DUMMYFUNCTION("TEXTJOIN(""|"",TRUE,UNIQUE(FILTER(SPLIT(B525,"" ""),LEN(SPLIT(B525,"" ""))&gt;2)))"),"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f>
        <v>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v>
      </c>
      <c r="B525" s="59" t="str">
        <f ca="1">IFERROR(__xludf.DUMMYFUNCTION("LOWER(REGEXREPLACE(D525&amp;"" ""&amp;E525,""[^а-яa-z0-9 ]"","" ""))"),"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f>
        <v xml:space="preserve">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v>
      </c>
      <c r="C525" s="61" t="s">
        <v>13715</v>
      </c>
      <c r="D525" s="56" t="s">
        <v>6059</v>
      </c>
      <c r="E525" s="56" t="s">
        <v>13716</v>
      </c>
      <c r="F525" s="57">
        <v>20900</v>
      </c>
      <c r="G525" s="58">
        <v>3</v>
      </c>
      <c r="I525" s="5"/>
      <c r="J525" s="5"/>
    </row>
    <row r="526" spans="1:10" x14ac:dyDescent="0.2">
      <c r="A526" s="59" t="str">
        <f ca="1">IFERROR(__xludf.DUMMYFUNCTION("TEXTJOIN(""|"",TRUE,UNIQUE(FILTER(SPLIT(B526,"" ""),LEN(SPLIT(B526,"" ""))&gt;2)))"),"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f>
        <v>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v>
      </c>
      <c r="B526" s="59" t="str">
        <f ca="1">IFERROR(__xludf.DUMMYFUNCTION("LOWER(REGEXREPLACE(D526&amp;"" ""&amp;E526,""[^а-яa-z0-9 ]"","" ""))"),"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f>
        <v xml:space="preserve">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v>
      </c>
      <c r="C526" s="61" t="s">
        <v>13717</v>
      </c>
      <c r="D526" s="56" t="s">
        <v>6072</v>
      </c>
      <c r="E526" s="56" t="s">
        <v>13718</v>
      </c>
      <c r="F526" s="57">
        <v>20900</v>
      </c>
      <c r="G526" s="58">
        <v>3</v>
      </c>
      <c r="I526" s="5"/>
      <c r="J526" s="5"/>
    </row>
    <row r="527" spans="1:10" x14ac:dyDescent="0.2">
      <c r="A527" s="59" t="str">
        <f ca="1">IFERROR(__xludf.DUMMYFUNCTION("TEXTJOIN(""|"",TRUE,UNIQUE(FILTER(SPLIT(B527,"" ""),LEN(SPLIT(B527,"" ""))&gt;2)))"),"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f>
        <v>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v>
      </c>
      <c r="B527" s="59" t="str">
        <f ca="1">IFERROR(__xludf.DUMMYFUNCTION("LOWER(REGEXREPLACE(D527&amp;"" ""&amp;E527,""[^а-яa-z0-9 ]"","" ""))"),"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f>
        <v xml:space="preserve">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v>
      </c>
      <c r="C527" s="61" t="s">
        <v>13719</v>
      </c>
      <c r="D527" s="56" t="s">
        <v>13720</v>
      </c>
      <c r="E527" s="56" t="s">
        <v>13721</v>
      </c>
      <c r="F527" s="57">
        <v>2400</v>
      </c>
      <c r="G527" s="58">
        <v>10</v>
      </c>
      <c r="I527" s="5"/>
      <c r="J527" s="5"/>
    </row>
    <row r="528" spans="1:10" x14ac:dyDescent="0.2">
      <c r="A528" s="59" t="str">
        <f ca="1">IFERROR(__xludf.DUMMYFUNCTION("TEXTJOIN(""|"",TRUE,UNIQUE(FILTER(SPLIT(B528,"" ""),LEN(SPLIT(B528,"" ""))&gt;2)))"),"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amp;"мелкой|моторики|сенсомоторной|координации|концентрации|внимания|орпус|выполнен|фанеры")</f>
        <v>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мелкой|моторики|сенсомоторной|координации|концентрации|внимания|орпус|выполнен|фанеры</v>
      </c>
      <c r="B528" s="59" t="str">
        <f ca="1">IFERROR(__xludf.DUMMYFUNCTION("LOWER(REGEXREPLACE(D528&amp;"" ""&amp;E528,""[^а-яa-z0-9 ]"","" ""))"),"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сп"&amp;"особствует развитию мелкой моторики  сенсомоторной координации и концентрации внимания   орпус выполнен из фанеры ")</f>
        <v xml:space="preserve">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способствует развитию мелкой моторики  сенсомоторной координации и концентрации внимания   орпус выполнен из фанеры </v>
      </c>
      <c r="C528" s="61" t="s">
        <v>13722</v>
      </c>
      <c r="D528" s="56" t="s">
        <v>13723</v>
      </c>
      <c r="E528" s="56" t="s">
        <v>13724</v>
      </c>
      <c r="F528" s="57">
        <v>342000</v>
      </c>
      <c r="G528" s="58">
        <v>1</v>
      </c>
      <c r="I528" s="5"/>
      <c r="J528" s="5"/>
    </row>
    <row r="529" spans="1:10" x14ac:dyDescent="0.2">
      <c r="A529" s="59" t="str">
        <f ca="1">IFERROR(__xludf.DUMMYFUNCTION("TEXTJOIN(""|"",TRUE,UNIQUE(FILTER(SPLIT(B529,"" ""),LEN(SPLIT(B529,"" ""))&gt;2)))"),"для|метания|редназначен|для|метательных|упражнений|развития|силы|координации|моторного|контроля|спользуется|спортивных|коррекционных|занятиях")</f>
        <v>для|метания|редназначен|для|метательных|упражнений|развития|силы|координации|моторного|контроля|спользуется|спортивных|коррекционных|занятиях</v>
      </c>
      <c r="B529" s="59" t="str">
        <f ca="1">IFERROR(__xludf.DUMMYFUNCTION("LOWER(REGEXREPLACE(D529&amp;"" ""&amp;E529,""[^а-яa-z0-9 ]"","" ""))"),"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f>
        <v xml:space="preserve">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v>
      </c>
      <c r="C529" s="61" t="s">
        <v>13725</v>
      </c>
      <c r="D529" s="56" t="s">
        <v>6199</v>
      </c>
      <c r="E529" s="56" t="s">
        <v>13726</v>
      </c>
      <c r="F529" s="57">
        <v>3200</v>
      </c>
      <c r="G529" s="58">
        <v>15</v>
      </c>
      <c r="I529" s="5"/>
      <c r="J529" s="5"/>
    </row>
    <row r="530" spans="1:10" x14ac:dyDescent="0.2">
      <c r="A530" s="59" t="str">
        <f ca="1">IFERROR(__xludf.DUMMYFUNCTION("TEXTJOIN(""|"",TRUE,UNIQUE(FILTER(SPLIT(B530,"" ""),LEN(SPLIT(B530,"" ""))&gt;2)))"),"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f>
        <v>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v>
      </c>
      <c r="B530" s="59" t="str">
        <f ca="1">IFERROR(__xludf.DUMMYFUNCTION("LOWER(REGEXREPLACE(D530&amp;"" ""&amp;E530,""[^а-яa-z0-9 ]"","" ""))"),"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f>
        <v xml:space="preserve">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v>
      </c>
      <c r="C530" s="61" t="s">
        <v>13727</v>
      </c>
      <c r="D530" s="56" t="s">
        <v>13728</v>
      </c>
      <c r="E530" s="56" t="s">
        <v>13729</v>
      </c>
      <c r="F530" s="57">
        <v>3000</v>
      </c>
      <c r="G530" s="58">
        <v>2</v>
      </c>
      <c r="I530" s="5"/>
      <c r="J530" s="5"/>
    </row>
    <row r="531" spans="1:10" x14ac:dyDescent="0.2">
      <c r="A531" s="59" t="str">
        <f ca="1">IFERROR(__xludf.DUMMYFUNCTION("TEXTJOIN(""|"",TRUE,UNIQUE(FILTER(SPLIT(B531,"" ""),LEN(SPLIT(B531,"" ""))&gt;2)))"),"резиновый|ниверсальный|мяч|для|свободных|игр|физических|упражнений|спользуется|помещении|улице|сохраняет|форму|упругость|при|активной|эксплуатации")</f>
        <v>резиновый|ниверсальный|мяч|для|свободных|игр|физических|упражнений|спользуется|помещении|улице|сохраняет|форму|упругость|при|активной|эксплуатации</v>
      </c>
      <c r="B531" s="59" t="str">
        <f ca="1">IFERROR(__xludf.DUMMYFUNCTION("LOWER(REGEXREPLACE(D531&amp;"" ""&amp;E531,""[^а-яa-z0-9 ]"","" ""))"),"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f>
        <v xml:space="preserve">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v>
      </c>
      <c r="C531" s="61" t="s">
        <v>13730</v>
      </c>
      <c r="D531" s="56" t="s">
        <v>6113</v>
      </c>
      <c r="E531" s="56" t="s">
        <v>13731</v>
      </c>
      <c r="F531" s="57">
        <v>3200</v>
      </c>
      <c r="G531" s="58">
        <v>15</v>
      </c>
      <c r="I531" s="5"/>
      <c r="J531" s="5"/>
    </row>
    <row r="532" spans="1:10" x14ac:dyDescent="0.2">
      <c r="A532" s="59" t="str">
        <f ca="1">IFERROR(__xludf.DUMMYFUNCTION("TEXTJOIN(""|"",TRUE,UNIQUE(FILTER(SPLIT(B532,"" ""),LEN(SPLIT(B532,"" ""))&gt;2)))"),"резиновый|100|малого|диаметра|для|игр|упражнений|координацию|метание|добен|для|детской|руки|хорошо|отскакивает|поверхности")</f>
        <v>резиновый|100|малого|диаметра|для|игр|упражнений|координацию|метание|добен|для|детской|руки|хорошо|отскакивает|поверхности</v>
      </c>
      <c r="B532" s="59" t="str">
        <f ca="1">IFERROR(__xludf.DUMMYFUNCTION("LOWER(REGEXREPLACE(D532&amp;"" ""&amp;E532,""[^а-яa-z0-9 ]"","" ""))")," яч резиновый 100 мм  яч малого диаметра для игр и упражнений на координацию и метание   добен для детской руки  хорошо отскакивает от поверхности ")</f>
        <v xml:space="preserve"> яч резиновый 100 мм  яч малого диаметра для игр и упражнений на координацию и метание   добен для детской руки  хорошо отскакивает от поверхности </v>
      </c>
      <c r="C532" s="61" t="s">
        <v>13732</v>
      </c>
      <c r="D532" s="56" t="s">
        <v>13733</v>
      </c>
      <c r="E532" s="56" t="s">
        <v>13734</v>
      </c>
      <c r="F532" s="57">
        <v>4800</v>
      </c>
      <c r="G532" s="58">
        <v>10</v>
      </c>
      <c r="I532" s="5"/>
      <c r="J532" s="5"/>
    </row>
    <row r="533" spans="1:10" x14ac:dyDescent="0.2">
      <c r="A533" s="59" t="str">
        <f ca="1">IFERROR(__xludf.DUMMYFUNCTION("TEXTJOIN(""|"",TRUE,UNIQUE(FILTER(SPLIT(B533,"" ""),LEN(SPLIT(B533,"" ""))&gt;2)))"),"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f>
        <v>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v>
      </c>
      <c r="B533" s="59" t="str">
        <f ca="1">IFERROR(__xludf.DUMMYFUNCTION("LOWER(REGEXREPLACE(D533&amp;"" ""&amp;E533,""[^а-яa-z0-9 ]"","" ""))"),"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f>
        <v xml:space="preserve">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v>
      </c>
      <c r="C533" s="61" t="s">
        <v>13735</v>
      </c>
      <c r="D533" s="56" t="s">
        <v>13736</v>
      </c>
      <c r="E533" s="56" t="s">
        <v>13737</v>
      </c>
      <c r="F533" s="57">
        <v>8400</v>
      </c>
      <c r="G533" s="58">
        <v>15</v>
      </c>
      <c r="I533" s="5"/>
      <c r="J533" s="5"/>
    </row>
    <row r="534" spans="1:10" x14ac:dyDescent="0.2">
      <c r="A534" s="59" t="str">
        <f ca="1">IFERROR(__xludf.DUMMYFUNCTION("TEXTJOIN(""|"",TRUE,UNIQUE(FILTER(SPLIT(B534,"" ""),LEN(SPLIT(B534,"" ""))&gt;2)))"),"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f>
        <v>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v>
      </c>
      <c r="B534" s="59" t="str">
        <f ca="1">IFERROR(__xludf.DUMMYFUNCTION("LOWER(REGEXREPLACE(D534&amp;"" ""&amp;E534,""[^а-яa-z0-9 ]"","" ""))"),"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f>
        <v xml:space="preserve">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v>
      </c>
      <c r="C534" s="61" t="s">
        <v>13738</v>
      </c>
      <c r="D534" s="56" t="s">
        <v>13739</v>
      </c>
      <c r="E534" s="56" t="s">
        <v>13740</v>
      </c>
      <c r="F534" s="57">
        <v>8600</v>
      </c>
      <c r="G534" s="58">
        <v>10</v>
      </c>
      <c r="I534" s="5"/>
      <c r="J534" s="5"/>
    </row>
    <row r="535" spans="1:10" x14ac:dyDescent="0.2">
      <c r="A535" s="59" t="str">
        <f ca="1">IFERROR(__xludf.DUMMYFUNCTION("TEXTJOIN(""|"",TRUE,UNIQUE(FILTER(SPLIT(B535,"" ""),LEN(SPLIT(B535,"" ""))&gt;2)))"),"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f>
        <v>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v>
      </c>
      <c r="B535" s="59" t="str">
        <f ca="1">IFERROR(__xludf.DUMMYFUNCTION("LOWER(REGEXREPLACE(D535&amp;"" ""&amp;E535,""[^а-яa-z0-9 ]"","" ""))"),"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f>
        <v xml:space="preserve">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v>
      </c>
      <c r="C535" s="61" t="s">
        <v>13741</v>
      </c>
      <c r="D535" s="56" t="s">
        <v>13742</v>
      </c>
      <c r="E535" s="56" t="s">
        <v>13743</v>
      </c>
      <c r="F535" s="57">
        <v>2100</v>
      </c>
      <c r="G535" s="58">
        <v>25</v>
      </c>
      <c r="I535" s="5"/>
      <c r="J535" s="5"/>
    </row>
    <row r="536" spans="1:10" x14ac:dyDescent="0.2">
      <c r="A536" s="59" t="str">
        <f ca="1">IFERROR(__xludf.DUMMYFUNCTION("TEXTJOIN(""|"",TRUE,UNIQUE(FILTER(SPLIT(B536,"" ""),LEN(SPLIT(B536,"" ""))&gt;2)))"),"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f>
        <v>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v>
      </c>
      <c r="B536" s="59" t="str">
        <f ca="1">IFERROR(__xludf.DUMMYFUNCTION("LOWER(REGEXREPLACE(D536&amp;"" ""&amp;E536,""[^а-яa-z0-9 ]"","" ""))"),"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f>
        <v xml:space="preserve">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v>
      </c>
      <c r="C536" s="61" t="s">
        <v>13744</v>
      </c>
      <c r="D536" s="56" t="s">
        <v>13745</v>
      </c>
      <c r="E536" s="56" t="s">
        <v>13746</v>
      </c>
      <c r="F536" s="57">
        <v>50900</v>
      </c>
      <c r="G536" s="58">
        <v>5</v>
      </c>
      <c r="I536" s="5"/>
      <c r="J536" s="5"/>
    </row>
    <row r="537" spans="1:10" x14ac:dyDescent="0.2">
      <c r="A537" s="59" t="str">
        <f ca="1">IFERROR(__xludf.DUMMYFUNCTION("TEXTJOIN(""|"",TRUE,UNIQUE(FILTER(SPLIT(B537,"" ""),LEN(SPLIT(B537,"" ""))&gt;2)))"),"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amp;"льные|игровые|детали|одходит|для|индивидуальной|совместной|деятельности|детей")</f>
        <v>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льные|игровые|детали|одходит|для|индивидуальной|совместной|деятельности|детей</v>
      </c>
      <c r="B537" s="59" t="str">
        <f ca="1">IFERROR(__xludf.DUMMYFUNCTION("LOWER(REGEXREPLACE(D537&amp;"" ""&amp;E537,""[^а-яa-z0-9 ]"","" ""))"),"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цветны"&amp;"е рыбки и дополнительные игровые детали   одходит для индивидуальной и совместной деятельности детей ")</f>
        <v xml:space="preserve">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цветные рыбки и дополнительные игровые детали   одходит для индивидуальной и совместной деятельности детей </v>
      </c>
      <c r="C537" s="61" t="s">
        <v>13747</v>
      </c>
      <c r="D537" s="56" t="s">
        <v>13748</v>
      </c>
      <c r="E537" s="56" t="s">
        <v>13749</v>
      </c>
      <c r="F537" s="57">
        <v>12400</v>
      </c>
      <c r="G537" s="58">
        <v>7</v>
      </c>
      <c r="I537" s="5"/>
      <c r="J537" s="5"/>
    </row>
    <row r="538" spans="1:10" x14ac:dyDescent="0.2">
      <c r="A538" s="59" t="str">
        <f ca="1">IFERROR(__xludf.DUMMYFUNCTION("TEXTJOIN(""|"",TRUE,UNIQUE(FILTER(SPLIT(B538,"" ""),LEN(SPLIT(B538,"" ""))&gt;2)))"),"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f>
        <v>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v>
      </c>
      <c r="B538" s="59" t="str">
        <f ca="1">IFERROR(__xludf.DUMMYFUNCTION("LOWER(REGEXREPLACE(D538&amp;"" ""&amp;E538,""[^а-яa-z0-9 ]"","" ""))"),"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f>
        <v xml:space="preserve">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v>
      </c>
      <c r="C538" s="61" t="s">
        <v>13750</v>
      </c>
      <c r="D538" s="56" t="s">
        <v>13751</v>
      </c>
      <c r="E538" s="56" t="s">
        <v>13752</v>
      </c>
      <c r="F538" s="57">
        <v>305900</v>
      </c>
      <c r="G538" s="58">
        <v>8</v>
      </c>
      <c r="I538" s="5"/>
      <c r="J538" s="5"/>
    </row>
    <row r="539" spans="1:10" x14ac:dyDescent="0.2">
      <c r="A539" s="59" t="str">
        <f ca="1">IFERROR(__xludf.DUMMYFUNCTION("TEXTJOIN(""|"",TRUE,UNIQUE(FILTER(SPLIT(B539,"" ""),LEN(SPLIT(B539,"" ""))&gt;2)))"),"иология|под|ред|анеш|перевод|арт")</f>
        <v>иология|под|ред|анеш|перевод|арт</v>
      </c>
      <c r="B539" s="59" t="str">
        <f ca="1">IFERROR(__xludf.DUMMYFUNCTION("LOWER(REGEXREPLACE(D539&amp;"" ""&amp;E539,""[^а-яa-z0-9 ]"","" ""))")," иология    ай  р  же  л под ред      анеш  перевод  арт      ")</f>
        <v xml:space="preserve"> иология    ай  р  же  л под ред      анеш  перевод  арт      </v>
      </c>
      <c r="C539" s="61" t="s">
        <v>13753</v>
      </c>
      <c r="D539" s="56" t="s">
        <v>13754</v>
      </c>
      <c r="E539" s="56" t="s">
        <v>13755</v>
      </c>
      <c r="F539" s="57">
        <v>15000</v>
      </c>
      <c r="G539" s="58">
        <v>1</v>
      </c>
      <c r="I539" s="5"/>
      <c r="J539" s="5"/>
    </row>
    <row r="540" spans="1:10" x14ac:dyDescent="0.2">
      <c r="A540" s="59" t="str">
        <f ca="1">IFERROR(__xludf.DUMMYFUNCTION("TEXTJOIN(""|"",TRUE,UNIQUE(FILTER(SPLIT(B540,"" ""),LEN(SPLIT(B540,"" ""))&gt;2)))"),"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amp;"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amp;"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f>
        <v>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v>
      </c>
      <c r="B540" s="59" t="str">
        <f ca="1">IFERROR(__xludf.DUMMYFUNCTION("LOWER(REGEXREPLACE(D540&amp;"" ""&amp;E540,""[^а-яa-z0-9 ]"","" ""))"),"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моделей"&amp;"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"&amp;"точек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обязательн"&amp;"ым контролем специалиста ")</f>
        <v xml:space="preserve">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обязательным контролем специалиста </v>
      </c>
      <c r="C540" s="61" t="s">
        <v>13756</v>
      </c>
      <c r="D540" s="56" t="s">
        <v>13757</v>
      </c>
      <c r="E540" s="56" t="s">
        <v>13758</v>
      </c>
      <c r="F540" s="57">
        <v>25700</v>
      </c>
      <c r="G540" s="58">
        <v>2</v>
      </c>
      <c r="I540" s="5"/>
      <c r="J540" s="5"/>
    </row>
    <row r="541" spans="1:10" x14ac:dyDescent="0.2">
      <c r="A541" s="59" t="str">
        <f ca="1">IFERROR(__xludf.DUMMYFUNCTION("TEXTJOIN(""|"",TRUE,UNIQUE(FILTER(SPLIT(B541,"" ""),LEN(SPLIT(B541,"" ""))&gt;2)))"),"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f>
        <v>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v>
      </c>
      <c r="B541" s="59" t="str">
        <f ca="1">IFERROR(__xludf.DUMMYFUNCTION("LOWER(REGEXREPLACE(D541&amp;"" ""&amp;E541,""[^а-яa-z0-9 ]"","" ""))"),"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f>
        <v xml:space="preserve">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v>
      </c>
      <c r="C541" s="61" t="s">
        <v>13759</v>
      </c>
      <c r="D541" s="56" t="s">
        <v>13760</v>
      </c>
      <c r="E541" s="56" t="s">
        <v>13761</v>
      </c>
      <c r="F541" s="57">
        <v>38200</v>
      </c>
      <c r="G541" s="58">
        <v>7</v>
      </c>
      <c r="I541" s="5"/>
      <c r="J541" s="5"/>
    </row>
    <row r="542" spans="1:10" x14ac:dyDescent="0.2">
      <c r="A542" s="59" t="str">
        <f ca="1">IFERROR(__xludf.DUMMYFUNCTION("TEXTJOIN(""|"",TRUE,UNIQUE(FILTER(SPLIT(B542,"" ""),LEN(SPLIT(B542,"" ""))&gt;2)))"),"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amp;"я|развития|мелкой|моторики|координации|глаз|рука|навыков|штриховки|атериал|восковая|основа|пигментами|бумажная|ртка|при|наличии|омплектация")</f>
        <v>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я|развития|мелкой|моторики|координации|глаз|рука|навыков|штриховки|атериал|восковая|основа|пигментами|бумажная|ртка|при|наличии|омплектация</v>
      </c>
      <c r="B542" s="59" t="str">
        <f ca="1">IFERROR(__xludf.DUMMYFUNCTION("LOWER(REGEXREPLACE(D542&amp;"" ""&amp;E542,""[^а-яa-z0-9 ]"","" ""))"),"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в"&amp;"озраста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f>
        <v xml:space="preserve">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v>
      </c>
      <c r="C542" s="61" t="s">
        <v>13762</v>
      </c>
      <c r="D542" s="56" t="s">
        <v>13763</v>
      </c>
      <c r="E542" s="56" t="s">
        <v>13764</v>
      </c>
      <c r="F542" s="57">
        <v>4200</v>
      </c>
      <c r="G542" s="58">
        <v>5</v>
      </c>
      <c r="I542" s="5"/>
      <c r="J542" s="5"/>
    </row>
    <row r="543" spans="1:10" x14ac:dyDescent="0.2">
      <c r="A543" s="59" t="str">
        <f ca="1">IFERROR(__xludf.DUMMYFUNCTION("TEXTJOIN(""|"",TRUE,UNIQUE(FILTER(SPLIT(B543,"" ""),LEN(SPLIT(B543,"" ""))&gt;2)))"),"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amp;"навыки|сортировки|добный|контейнер|обеспечивает|хранение|профилактику|потери|деталей|атериал|пластик|омплектация|гайки|болты|контейнер|набору")</f>
        <v>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навыки|сортировки|добный|контейнер|обеспечивает|хранение|профилактику|потери|деталей|атериал|пластик|омплектация|гайки|болты|контейнер|набору</v>
      </c>
      <c r="B543" s="59" t="str">
        <f ca="1">IFERROR(__xludf.DUMMYFUNCTION("LOWER(REGEXREPLACE(D543&amp;"" ""&amp;E543,""[^а-яa-z0-9 ]"","" ""))"),"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развивать"&amp;"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f>
        <v xml:space="preserve">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v>
      </c>
      <c r="C543" s="61" t="s">
        <v>13765</v>
      </c>
      <c r="D543" s="56" t="s">
        <v>13766</v>
      </c>
      <c r="E543" s="56" t="s">
        <v>13767</v>
      </c>
      <c r="F543" s="57">
        <v>15200</v>
      </c>
      <c r="G543" s="58">
        <v>1</v>
      </c>
      <c r="I543" s="5"/>
      <c r="J543" s="5"/>
    </row>
    <row r="544" spans="1:10" x14ac:dyDescent="0.2">
      <c r="A544" s="59" t="str">
        <f ca="1">IFERROR(__xludf.DUMMYFUNCTION("TEXTJOIN(""|"",TRUE,UNIQUE(FILTER(SPLIT(B544,"" ""),LEN(SPLIT(B544,"" ""))&gt;2)))"),"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amp;"|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f>
        <v>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v>
      </c>
      <c r="B544" s="59" t="str">
        <f ca="1">IFERROR(__xludf.DUMMYFUNCTION("LOWER(REGEXREPLACE(D544&amp;"" ""&amp;E544,""[^а-яa-z0-9 ]"","" ""))"),"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спользуется"&amp;"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f>
        <v xml:space="preserve">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v>
      </c>
      <c r="C544" s="61" t="s">
        <v>13768</v>
      </c>
      <c r="D544" s="56" t="s">
        <v>13769</v>
      </c>
      <c r="E544" s="56" t="s">
        <v>13770</v>
      </c>
      <c r="F544" s="57">
        <v>45800</v>
      </c>
      <c r="G544" s="58">
        <v>5</v>
      </c>
      <c r="I544" s="5"/>
      <c r="J544" s="5"/>
    </row>
    <row r="545" spans="1:10" x14ac:dyDescent="0.2">
      <c r="A545" s="59" t="str">
        <f ca="1">IFERROR(__xludf.DUMMYFUNCTION("TEXTJOIN(""|"",TRUE,UNIQUE(FILTER(SPLIT(B545,"" ""),LEN(SPLIT(B545,"" ""))&gt;2)))"),"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amp;"ь|строение|признаки|формировать|навыки|наблюдения|описания|атериал|высушенные|образцы|бумажной|основе|папках|комплекту")</f>
        <v>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ь|строение|признаки|формировать|навыки|наблюдения|описания|атериал|высушенные|образцы|бумажной|основе|папках|комплекту</v>
      </c>
      <c r="B545" s="59" t="str">
        <f ca="1">IFERROR(__xludf.DUMMYFUNCTION("LOWER(REGEXREPLACE(D545&amp;"" ""&amp;E545,""[^а-яa-z0-9 ]"","" ""))"),"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пок"&amp;"рытосеменные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f>
        <v xml:space="preserve">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v>
      </c>
      <c r="C545" s="61" t="s">
        <v>13771</v>
      </c>
      <c r="D545" s="56" t="s">
        <v>13772</v>
      </c>
      <c r="E545" s="56" t="s">
        <v>13773</v>
      </c>
      <c r="F545" s="57">
        <v>6700</v>
      </c>
      <c r="G545" s="58">
        <v>8</v>
      </c>
      <c r="I545" s="5"/>
      <c r="J545" s="5"/>
    </row>
    <row r="546" spans="1:10" x14ac:dyDescent="0.2">
      <c r="A546" s="59" t="str">
        <f ca="1">IFERROR(__xludf.DUMMYFUNCTION("TEXTJOIN(""|"",TRUE,UNIQUE(FILTER(SPLIT(B546,"" ""),LEN(SPLIT(B546,"" ""))&gt;2)))"),"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amp;"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f>
        <v>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v>
      </c>
      <c r="B546" s="59" t="str">
        <f ca="1">IFERROR(__xludf.DUMMYFUNCTION("LOWER(REGEXREPLACE(D546&amp;"" ""&amp;E546,""[^а-яa-z0-9 ]"","" ""))"),"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их"&amp;"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пом"&amp;"ещении ")</f>
        <v xml:space="preserve">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помещении </v>
      </c>
      <c r="C546" s="61" t="s">
        <v>13774</v>
      </c>
      <c r="D546" s="56" t="s">
        <v>13775</v>
      </c>
      <c r="E546" s="56" t="s">
        <v>13776</v>
      </c>
      <c r="F546" s="57">
        <v>8600</v>
      </c>
      <c r="G546" s="58">
        <v>7</v>
      </c>
      <c r="I546" s="5"/>
      <c r="J546" s="5"/>
    </row>
    <row r="547" spans="1:10" x14ac:dyDescent="0.2">
      <c r="A547" s="59" t="str">
        <f ca="1">IFERROR(__xludf.DUMMYFUNCTION("TEXTJOIN(""|"",TRUE,UNIQUE(FILTER(SPLIT(B547,"" ""),LEN(SPLIT(B547,"" ""))&gt;2)))"),"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amp;"простых|операций|одходит|для|индивидуальной|подгрупповой|работы|атериал|дерево|основа|элементы|картон|карточки")</f>
        <v>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простых|операций|одходит|для|индивидуальной|подгрупповой|работы|атериал|дерево|основа|элементы|картон|карточки</v>
      </c>
      <c r="B547" s="59" t="str">
        <f ca="1">IFERROR(__xludf.DUMMYFUNCTION("LOWER(REGEXREPLACE(D547&amp;"" ""&amp;E547,""[^а-яa-z0-9 ]"","" ""))"),"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зад"&amp;"аний по образцу  сравнения и простых операций   одходит для индивидуальной и подгрупповой работы   атериал  дерево  основа и элементы   картон  карточки  ")</f>
        <v xml:space="preserve">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заданий по образцу  сравнения и простых операций   одходит для индивидуальной и подгрупповой работы   атериал  дерево  основа и элементы   картон  карточки  </v>
      </c>
      <c r="C547" s="61" t="s">
        <v>13777</v>
      </c>
      <c r="D547" s="56" t="s">
        <v>13778</v>
      </c>
      <c r="E547" s="56" t="s">
        <v>13779</v>
      </c>
      <c r="F547" s="57">
        <v>9900</v>
      </c>
      <c r="G547" s="58">
        <v>15</v>
      </c>
      <c r="I547" s="5"/>
      <c r="J547" s="5"/>
    </row>
    <row r="548" spans="1:10" x14ac:dyDescent="0.2">
      <c r="A548" s="59" t="str">
        <f ca="1">IFERROR(__xludf.DUMMYFUNCTION("TEXTJOIN(""|"",TRUE,UNIQUE(FILTER(SPLIT(B548,"" ""),LEN(SPLIT(B548,"" ""))&gt;2)))"),"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amp;"е|помогает|тренировать|аккуратность|концентрацию|атериал|дерево|омплектация|набор|предметов|черпаки|лопатки|ложки|комплекту")</f>
        <v>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е|помогает|тренировать|аккуратность|концентрацию|атериал|дерево|омплектация|набор|предметов|черпаки|лопатки|ложки|комплекту</v>
      </c>
      <c r="B548" s="59" t="str">
        <f ca="1">IFERROR(__xludf.DUMMYFUNCTION("LOWER(REGEXREPLACE(D548&amp;"" ""&amp;E548,""[^а-яa-z0-9 ]"","" ""))"),"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за"&amp;"нятиях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f>
        <v xml:space="preserve">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v>
      </c>
      <c r="C548" s="61" t="s">
        <v>13780</v>
      </c>
      <c r="D548" s="56" t="s">
        <v>13781</v>
      </c>
      <c r="E548" s="56" t="s">
        <v>13782</v>
      </c>
      <c r="F548" s="57">
        <v>13100</v>
      </c>
      <c r="G548" s="58">
        <v>14</v>
      </c>
      <c r="I548" s="5"/>
      <c r="J548" s="5"/>
    </row>
    <row r="549" spans="1:10" x14ac:dyDescent="0.2">
      <c r="A549" s="59" t="str">
        <f ca="1">IFERROR(__xludf.DUMMYFUNCTION("TEXTJOIN(""|"",TRUE,UNIQUE(FILTER(SPLIT(B549,"" ""),LEN(SPLIT(B549,"" ""))&gt;2)))"),"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amp;"езопасны|при|использовании|детьми|атериал|дерево|защитное|покрытие|лак|или|аналогичное|безопасное|омплектация|элемента|описанию|набора")</f>
        <v>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езопасны|при|использовании|детьми|атериал|дерево|защитное|покрытие|лак|или|аналогичное|безопасное|омплектация|элемента|описанию|набора</v>
      </c>
      <c r="B549" s="59" t="str">
        <f ca="1">IFERROR(__xludf.DUMMYFUNCTION("LOWER(REGEXREPLACE(D549&amp;"" ""&amp;E549,""[^а-яa-z0-9 ]"","" ""))"),"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"&amp;"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f>
        <v xml:space="preserve">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v>
      </c>
      <c r="C549" s="61" t="s">
        <v>13783</v>
      </c>
      <c r="D549" s="56" t="s">
        <v>13784</v>
      </c>
      <c r="E549" s="56" t="s">
        <v>13785</v>
      </c>
      <c r="F549" s="57">
        <v>273600</v>
      </c>
      <c r="G549" s="58">
        <v>7</v>
      </c>
      <c r="I549" s="5"/>
      <c r="J549" s="5"/>
    </row>
    <row r="550" spans="1:10" x14ac:dyDescent="0.2">
      <c r="A550" s="59" t="str">
        <f ca="1">IFERROR(__xludf.DUMMYFUNCTION("TEXTJOIN(""|"",TRUE,UNIQUE(FILTER(SPLIT(B550,"" ""),LEN(SPLIT(B550,"" ""))&gt;2)))"),"иология|росто|легко|под|ред|анеш|перевод|арт")</f>
        <v>иология|росто|легко|под|ред|анеш|перевод|арт</v>
      </c>
      <c r="B550" s="59" t="str">
        <f ca="1">IFERROR(__xludf.DUMMYFUNCTION("LOWER(REGEXREPLACE(D550&amp;"" ""&amp;E550,""[^а-яa-z0-9 ]"","" ""))")," иология   росто и легко под ред      анеш  перевод  арт      ")</f>
        <v xml:space="preserve"> иология   росто и легко под ред      анеш  перевод  арт      </v>
      </c>
      <c r="C550" s="61" t="s">
        <v>13786</v>
      </c>
      <c r="D550" s="56" t="s">
        <v>13787</v>
      </c>
      <c r="E550" s="56" t="s">
        <v>13755</v>
      </c>
      <c r="F550" s="57">
        <v>15000</v>
      </c>
      <c r="G550" s="58">
        <v>1</v>
      </c>
      <c r="I550" s="5"/>
      <c r="J550" s="5"/>
    </row>
    <row r="551" spans="1:10" x14ac:dyDescent="0.2">
      <c r="A551" s="59" t="str">
        <f ca="1">IFERROR(__xludf.DUMMYFUNCTION("TEXTJOIN(""|"",TRUE,UNIQUE(FILTER(SPLIT(B551,"" ""),LEN(SPLIT(B551,"" ""))&gt;2)))"),"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amp;"ах|способствует|развитию|координации|движений|слухового|восприятия|эмоциональной|выразительности")</f>
        <v>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ах|способствует|развитию|координации|движений|слухового|восприятия|эмоциональной|выразительности</v>
      </c>
      <c r="B551" s="59" t="str">
        <f ca="1">IFERROR(__xludf.DUMMYFUNCTION("LOWER(REGEXREPLACE(D551&amp;"" ""&amp;E551,""[^а-яa-z0-9 ]"","" ""))"),"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мероприятиях"&amp;"   гра на инструментах способствует развитию координации движений  слухового восприятия и эмоциональной выразительности ")</f>
        <v xml:space="preserve">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   гра на инструментах способствует развитию координации движений  слухового восприятия и эмоциональной выразительности </v>
      </c>
      <c r="C551" s="61" t="s">
        <v>13788</v>
      </c>
      <c r="D551" s="56" t="s">
        <v>13789</v>
      </c>
      <c r="E551" s="56" t="s">
        <v>13790</v>
      </c>
      <c r="F551" s="57">
        <v>19000</v>
      </c>
      <c r="G551" s="58">
        <v>1</v>
      </c>
      <c r="I551" s="5"/>
      <c r="J551" s="5"/>
    </row>
    <row r="552" spans="1:10" x14ac:dyDescent="0.2">
      <c r="A552" s="59" t="str">
        <f ca="1">IFERROR(__xludf.DUMMYFUNCTION("TEXTJOIN(""|"",TRUE,UNIQUE(FILTER(SPLIT(B552,"" ""),LEN(SPLIT(B552,"" ""))&gt;2)))"),"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amp;"ует|развитию|слухового|восприятия|чувства|ритма|атериалы|дерево|металл|кожа|оличество|предметов|менее|предусмотрена|сумка|для|хранения")</f>
        <v>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ует|развитию|слухового|восприятия|чувства|ритма|атериалы|дерево|металл|кожа|оличество|предметов|менее|предусмотрена|сумка|для|хранения</v>
      </c>
      <c r="B552" s="59" t="str">
        <f ca="1">IFERROR(__xludf.DUMMYFUNCTION("LOWER(REGEXREPLACE(D552&amp;"" ""&amp;E552,""[^а-яa-z0-9 ]"","" ""))"),"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деяте"&amp;"льность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f>
        <v xml:space="preserve">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v>
      </c>
      <c r="C552" s="61" t="s">
        <v>13791</v>
      </c>
      <c r="D552" s="56" t="s">
        <v>13792</v>
      </c>
      <c r="E552" s="56" t="s">
        <v>13793</v>
      </c>
      <c r="F552" s="57">
        <v>114000</v>
      </c>
      <c r="G552" s="58">
        <v>5</v>
      </c>
      <c r="I552" s="5"/>
      <c r="J552" s="5"/>
    </row>
    <row r="553" spans="1:10" x14ac:dyDescent="0.2">
      <c r="A553" s="59" t="str">
        <f ca="1">IFERROR(__xludf.DUMMYFUNCTION("TEXTJOIN(""|"",TRUE,UNIQUE(FILTER(SPLIT(B553,"" ""),LEN(SPLIT(B553,"" ""))&gt;2)))"),"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amp;"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f>
        <v>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v>
      </c>
      <c r="B553" s="59" t="str">
        <f ca="1">IFERROR(__xludf.DUMMYFUNCTION("LOWER(REGEXREPLACE(D553&amp;"" ""&amp;E553,""[^а-яa-z0-9 ]"","" ""))"),"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способс"&amp;"твует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f>
        <v xml:space="preserve">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v>
      </c>
      <c r="C553" s="61" t="s">
        <v>13794</v>
      </c>
      <c r="D553" s="56" t="s">
        <v>13795</v>
      </c>
      <c r="E553" s="56" t="s">
        <v>13796</v>
      </c>
      <c r="F553" s="57">
        <v>34200</v>
      </c>
      <c r="G553" s="58">
        <v>14</v>
      </c>
      <c r="I553" s="5"/>
      <c r="J553" s="5"/>
    </row>
    <row r="554" spans="1:10" x14ac:dyDescent="0.2">
      <c r="A554" s="59" t="str">
        <f ca="1">IFERROR(__xludf.DUMMYFUNCTION("TEXTJOIN(""|"",TRUE,UNIQUE(FILTER(SPLIT(B554,"" ""),LEN(SPLIT(B554,"" ""))&gt;2)))"),"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amp;"алых|группах|атериал|металл|пластик|корпус|ручки|набору|омплектация|колокольчиков|тонов")</f>
        <v>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алых|группах|атериал|металл|пластик|корпус|ручки|набору|омплектация|колокольчиков|тонов</v>
      </c>
      <c r="B554" s="59" t="str">
        <f ca="1">IFERROR(__xludf.DUMMYFUNCTION("LOWER(REGEXREPLACE(D554&amp;"" ""&amp;E554,""[^а-яa-z0-9 ]"","" ""))"),"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иг"&amp;"ру   добен для работы в малых группах   атериал  металл пластик  корпус ручки   по набору    омплектация  8 колокольчиков  8 тонов  ")</f>
        <v xml:space="preserve">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игру   добен для работы в малых группах   атериал  металл пластик  корпус ручки   по набору    омплектация  8 колокольчиков  8 тонов  </v>
      </c>
      <c r="C554" s="61" t="s">
        <v>13797</v>
      </c>
      <c r="D554" s="56" t="s">
        <v>13798</v>
      </c>
      <c r="E554" s="56" t="s">
        <v>13799</v>
      </c>
      <c r="F554" s="57">
        <v>14100</v>
      </c>
      <c r="G554" s="58">
        <v>5</v>
      </c>
      <c r="I554" s="5"/>
      <c r="J554" s="5"/>
    </row>
    <row r="555" spans="1:10" x14ac:dyDescent="0.2">
      <c r="A555" s="59" t="str">
        <f ca="1">IFERROR(__xludf.DUMMYFUNCTION("TEXTJOIN(""|"",TRUE,UNIQUE(FILTER(SPLIT(B555,"" ""),LEN(SPLIT(B555,"" ""))&gt;2)))"),"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amp;"рмы|без|острых|кромок|атериал|пластик|основные|элементы|текстиль|сумка|чехол|при|наличии|омплектация|предметов|списку|набора")</f>
        <v>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рмы|без|острых|кромок|атериал|пластик|основные|элементы|текстиль|сумка|чехол|при|наличии|омплектация|предметов|списку|набора</v>
      </c>
      <c r="B555" s="59" t="str">
        <f ca="1">IFERROR(__xludf.DUMMYFUNCTION("LOWER(REGEXREPLACE(D555&amp;"" ""&amp;E555,""[^а-яa-z0-9 ]"","" ""))"),"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д"&amp;"етей  безопасные формы  без острых кромок   атериал  пластик  основные элементы   текстиль  сумка чехол   при наличии    омплектация  15 предметов  по списку набора  ")</f>
        <v xml:space="preserve">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детей  безопасные формы  без острых кромок   атериал  пластик  основные элементы   текстиль  сумка чехол   при наличии    омплектация  15 предметов  по списку набора  </v>
      </c>
      <c r="C555" s="61" t="s">
        <v>13800</v>
      </c>
      <c r="D555" s="56" t="s">
        <v>13801</v>
      </c>
      <c r="E555" s="56" t="s">
        <v>13802</v>
      </c>
      <c r="F555" s="57">
        <v>8500</v>
      </c>
      <c r="G555" s="58">
        <v>5</v>
      </c>
      <c r="I555" s="5"/>
      <c r="J555" s="5"/>
    </row>
    <row r="556" spans="1:10" x14ac:dyDescent="0.2">
      <c r="A556" s="59" t="str">
        <f ca="1">IFERROR(__xludf.DUMMYFUNCTION("TEXTJOIN(""|"",TRUE,UNIQUE(FILTER(SPLIT(B556,"" ""),LEN(SPLIT(B556,"" ""))&gt;2)))"),"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amp;"|атериал|пластик|или|дерево|комплекту")</f>
        <v>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атериал|пластик|или|дерево|комплекту</v>
      </c>
      <c r="B556" s="59" t="str">
        <f ca="1">IFERROR(__xludf.DUMMYFUNCTION("LOWER(REGEXREPLACE(D556&amp;"" ""&amp;E556,""[^а-яa-z0-9 ]"","" ""))"),"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регул"&amp;"ярной санитарной обработкой   атериал  пластик  или дерево   по комплекту  ")</f>
        <v xml:space="preserve">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регулярной санитарной обработкой   атериал  пластик  или дерево   по комплекту  </v>
      </c>
      <c r="C556" s="61" t="s">
        <v>13803</v>
      </c>
      <c r="D556" s="56" t="s">
        <v>13804</v>
      </c>
      <c r="E556" s="56" t="s">
        <v>13805</v>
      </c>
      <c r="F556" s="57">
        <v>8600</v>
      </c>
      <c r="G556" s="58">
        <v>7</v>
      </c>
      <c r="I556" s="5"/>
      <c r="J556" s="5"/>
    </row>
    <row r="557" spans="1:10" x14ac:dyDescent="0.2">
      <c r="A557" s="59" t="str">
        <f ca="1">IFERROR(__xludf.DUMMYFUNCTION("TEXTJOIN(""|"",TRUE,UNIQUE(FILTER(SPLIT(B557,"" ""),LEN(SPLIT(B557,"" ""))&gt;2)))"),"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amp;"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amp;"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amp;"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f>
        <v>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v>
      </c>
      <c r="B557" s="59" t="str">
        <f ca="1">IFERROR(__xludf.DUMMYFUNCTION("LOWER(REGEXREPLACE(D557&amp;"" ""&amp;E557,""[^а-яa-z0-9 ]"","" ""))"),"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осваива"&amp;"ют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р"&amp;"азвивает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на"&amp;"личии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f>
        <v xml:space="preserve">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v>
      </c>
      <c r="C557" s="61" t="s">
        <v>13806</v>
      </c>
      <c r="D557" s="56" t="s">
        <v>13807</v>
      </c>
      <c r="E557" s="56" t="s">
        <v>13808</v>
      </c>
      <c r="F557" s="57">
        <v>79800</v>
      </c>
      <c r="G557" s="58">
        <v>15</v>
      </c>
      <c r="I557" s="5"/>
      <c r="J557" s="5"/>
    </row>
    <row r="558" spans="1:10" x14ac:dyDescent="0.2">
      <c r="A558" s="59" t="str">
        <f ca="1">IFERROR(__xludf.DUMMYFUNCTION("TEXTJOIN(""|"",TRUE,UNIQUE(FILTER(SPLIT(B558,"" ""),LEN(SPLIT(B558,"" ""))&gt;2)))"),"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amp;"тик|картон|элементы|модели|материалы|набора|комплекту")</f>
        <v>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тик|картон|элементы|модели|материалы|набора|комплекту</v>
      </c>
      <c r="B558" s="59" t="str">
        <f ca="1">IFERROR(__xludf.DUMMYFUNCTION("LOWER(REGEXREPLACE(D558&amp;"" ""&amp;E558,""[^а-яa-z0-9 ]"","" ""))"),"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инстру"&amp;"кции   атериал  пластик картон  элементы модели и материалы набора   по комплекту  ")</f>
        <v xml:space="preserve">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атериал  пластик картон  элементы модели и материалы набора   по комплекту  </v>
      </c>
      <c r="C558" s="61" t="s">
        <v>13809</v>
      </c>
      <c r="D558" s="56" t="s">
        <v>13810</v>
      </c>
      <c r="E558" s="56" t="s">
        <v>13811</v>
      </c>
      <c r="F558" s="57">
        <v>14700</v>
      </c>
      <c r="G558" s="58">
        <v>5</v>
      </c>
      <c r="I558" s="5"/>
      <c r="J558" s="5"/>
    </row>
    <row r="559" spans="1:10" x14ac:dyDescent="0.2">
      <c r="A559" s="59" t="str">
        <f ca="1">IFERROR(__xludf.DUMMYFUNCTION("TEXTJOIN(""|"",TRUE,UNIQUE(FILTER(SPLIT(B559,"" ""),LEN(SPLIT(B559,"" ""))&gt;2)))"),"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amp;"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amp;"стойчивое|активному|использованию|абор|удобен|для|хранения|транспортировки|подходит|для|индивидуальных|групповых|игр")</f>
        <v>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стойчивое|активному|использованию|абор|удобен|для|хранения|транспортировки|подходит|для|индивидуальных|групповых|игр</v>
      </c>
      <c r="B559" s="59" t="str">
        <f ca="1">IFERROR(__xludf.DUMMYFUNCTION("LOWER(REGEXREPLACE(D559&amp;"" ""&amp;E559,""[^а-яa-z0-9 ]"","" ""))"),"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во"&amp;"ображение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обраб"&amp;"откой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f>
        <v xml:space="preserve">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v>
      </c>
      <c r="C559" s="61" t="s">
        <v>13812</v>
      </c>
      <c r="D559" s="56" t="s">
        <v>13813</v>
      </c>
      <c r="E559" s="56" t="s">
        <v>13814</v>
      </c>
      <c r="F559" s="57">
        <v>12700</v>
      </c>
      <c r="G559" s="58">
        <v>14</v>
      </c>
      <c r="I559" s="5"/>
      <c r="J559" s="5"/>
    </row>
    <row r="560" spans="1:10" x14ac:dyDescent="0.2">
      <c r="A560" s="59" t="str">
        <f ca="1">IFERROR(__xludf.DUMMYFUNCTION("TEXTJOIN(""|"",TRUE,UNIQUE(FILTER(SPLIT(B560,"" ""),LEN(SPLIT(B560,"" ""))&gt;2)))"),"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amp;"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f>
        <v>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v>
      </c>
      <c r="B560" s="59" t="str">
        <f ca="1">IFERROR(__xludf.DUMMYFUNCTION("LOWER(REGEXREPLACE(D560&amp;"" ""&amp;E560,""[^а-яa-z0-9 ]"","" ""))"),"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"&amp;"формой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"&amp;"для регулярного использования в условиях     ")</f>
        <v xml:space="preserve">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для регулярного использования в условиях     </v>
      </c>
      <c r="C560" s="61" t="s">
        <v>13815</v>
      </c>
      <c r="D560" s="56" t="s">
        <v>13816</v>
      </c>
      <c r="E560" s="56" t="s">
        <v>13817</v>
      </c>
      <c r="F560" s="57">
        <v>18200</v>
      </c>
      <c r="G560" s="58">
        <v>35</v>
      </c>
      <c r="I560" s="5"/>
      <c r="J560" s="5"/>
    </row>
    <row r="561" spans="1:10" x14ac:dyDescent="0.2">
      <c r="A561" s="59" t="str">
        <f ca="1">IFERROR(__xludf.DUMMYFUNCTION("TEXTJOIN(""|"",TRUE,UNIQUE(FILTER(SPLIT(B561,"" ""),LEN(SPLIT(B561,"" ""))&gt;2)))"),"аламыз|лматы|дерект|повесть|уреханова")</f>
        <v>аламыз|лматы|дерект|повесть|уреханова</v>
      </c>
      <c r="B561" s="59" t="str">
        <f ca="1">IFERROR(__xludf.DUMMYFUNCTION("LOWER(REGEXREPLACE(D561&amp;"" ""&amp;E561,""[^а-яa-z0-9 ]"","" ""))"),"  зд   с й кт   аламыз  лматы  дерект  повесть  уреханова   ")</f>
        <v xml:space="preserve">  зд   с й кт   аламыз  лматы  дерект  повесть  уреханова   </v>
      </c>
      <c r="C561" s="61" t="s">
        <v>13818</v>
      </c>
      <c r="D561" s="56" t="s">
        <v>13819</v>
      </c>
      <c r="E561" s="56" t="s">
        <v>13820</v>
      </c>
      <c r="F561" s="57">
        <v>5200</v>
      </c>
      <c r="G561" s="58">
        <v>1</v>
      </c>
      <c r="I561" s="5"/>
      <c r="J561" s="5"/>
    </row>
    <row r="562" spans="1:10" x14ac:dyDescent="0.2">
      <c r="A562" s="59" t="str">
        <f ca="1">IFERROR(__xludf.DUMMYFUNCTION("TEXTJOIN(""|"",TRUE,UNIQUE(FILTER(SPLIT(B562,"" ""),LEN(SPLIT(B562,"" ""))&gt;2)))"),"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amp;"иал|изготовления|пластик|устойчивый|регулярному|применению|омплект|включает|основание|набор|колец|менее|типовой|комплектации")</f>
        <v>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иал|изготовления|пластик|устойчивый|регулярному|применению|омплект|включает|основание|набор|колец|менее|типовой|комплектации</v>
      </c>
      <c r="B562" s="59" t="str">
        <f ca="1">IFERROR(__xludf.DUMMYFUNCTION("LOWER(REGEXREPLACE(D562&amp;"" ""&amp;E562,""[^а-яa-z0-9 ]"","" ""))"),"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орган"&amp;"изации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f>
        <v xml:space="preserve">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v>
      </c>
      <c r="C562" s="61" t="s">
        <v>13821</v>
      </c>
      <c r="D562" s="56" t="s">
        <v>13822</v>
      </c>
      <c r="E562" s="56" t="s">
        <v>13823</v>
      </c>
      <c r="F562" s="57">
        <v>4900</v>
      </c>
      <c r="G562" s="58">
        <v>5</v>
      </c>
      <c r="I562" s="5"/>
      <c r="J562" s="5"/>
    </row>
    <row r="563" spans="1:10" x14ac:dyDescent="0.2">
      <c r="A563" s="59" t="str">
        <f ca="1">IFERROR(__xludf.DUMMYFUNCTION("TEXTJOIN(""|"",TRUE,UNIQUE(FILTER(SPLIT(B563,"" ""),LEN(SPLIT(B563,"" ""))&gt;2)))"),"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amp;"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amp;"ра|адаптированы|для|детских|игр")</f>
        <v>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ра|адаптированы|для|детских|игр</v>
      </c>
      <c r="B563" s="59" t="str">
        <f ca="1">IFERROR(__xludf.DUMMYFUNCTION("LOWER(REGEXREPLACE(D563&amp;"" ""&amp;E563,""[^а-яa-z0-9 ]"","" ""))"),"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перв"&amp;"ичных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из"&amp;" прочного безопасного пластика  не имеют острых кра в и адаптированы для детских игр ")</f>
        <v xml:space="preserve">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 прочного безопасного пластика  не имеют острых кра в и адаптированы для детских игр </v>
      </c>
      <c r="C563" s="61" t="s">
        <v>13824</v>
      </c>
      <c r="D563" s="56" t="s">
        <v>13825</v>
      </c>
      <c r="E563" s="56" t="s">
        <v>13826</v>
      </c>
      <c r="F563" s="57">
        <v>15300</v>
      </c>
      <c r="G563" s="58">
        <v>5</v>
      </c>
      <c r="I563" s="5"/>
      <c r="J563" s="5"/>
    </row>
    <row r="564" spans="1:10" x14ac:dyDescent="0.2">
      <c r="A564" s="59" t="str">
        <f ca="1">IFERROR(__xludf.DUMMYFUNCTION("TEXTJOIN(""|"",TRUE,UNIQUE(FILTER(SPLIT(B564,"" ""),LEN(SPLIT(B564,"" ""))&gt;2)))"),"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amp;"нены|эластичного|безопасного|материала|удобны|для|детской|руки|подходят|для|систематического|использования|условиях")</f>
        <v>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нены|эластичного|безопасного|материала|удобны|для|детской|руки|подходят|для|систематического|использования|условиях</v>
      </c>
      <c r="B564" s="59" t="str">
        <f ca="1">IFERROR(__xludf.DUMMYFUNCTION("LOWER(REGEXREPLACE(D564&amp;"" ""&amp;E564,""[^а-яa-z0-9 ]"","" ""))"),"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сре"&amp;"де   игурки выполнены из эластичного безопасного материала  удобны для детской руки и подходят для систематического использования в условиях     ")</f>
        <v xml:space="preserve">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среде   игурки выполнены из эластичного безопасного материала  удобны для детской руки и подходят для систематического использования в условиях     </v>
      </c>
      <c r="C564" s="61" t="s">
        <v>13827</v>
      </c>
      <c r="D564" s="56" t="s">
        <v>13828</v>
      </c>
      <c r="E564" s="56" t="s">
        <v>13829</v>
      </c>
      <c r="F564" s="57">
        <v>9500</v>
      </c>
      <c r="G564" s="58">
        <v>1</v>
      </c>
      <c r="I564" s="5"/>
      <c r="J564" s="5"/>
    </row>
    <row r="565" spans="1:10" x14ac:dyDescent="0.2">
      <c r="A565" s="59" t="str">
        <f ca="1">IFERROR(__xludf.DUMMYFUNCTION("TEXTJOIN(""|"",TRUE,UNIQUE(FILTER(SPLIT(B565,"" ""),LEN(SPLIT(B565,"" ""))&gt;2)))"),"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amp;"|что|делает|удобными|для|демонстрации|самостоятельной|игры|детьми|одходит|для|занятий|ознакомлению|окружающим|миром")</f>
        <v>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что|делает|удобными|для|демонстрации|самостоятельной|игры|детьми|одходит|для|занятий|ознакомлению|окружающим|миром</v>
      </c>
      <c r="B565" s="59" t="str">
        <f ca="1">IFERROR(__xludf.DUMMYFUNCTION("LOWER(REGEXREPLACE(D565&amp;"" ""&amp;E565,""[^а-яa-z0-9 ]"","" ""))"),"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"&amp;"животных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f>
        <v xml:space="preserve">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v>
      </c>
      <c r="C565" s="61" t="s">
        <v>13830</v>
      </c>
      <c r="D565" s="56" t="s">
        <v>13831</v>
      </c>
      <c r="E565" s="56" t="s">
        <v>13832</v>
      </c>
      <c r="F565" s="57">
        <v>5600</v>
      </c>
      <c r="G565" s="58">
        <v>5</v>
      </c>
      <c r="I565" s="5"/>
      <c r="J565" s="5"/>
    </row>
    <row r="566" spans="1:10" x14ac:dyDescent="0.2">
      <c r="A566" s="59" t="str">
        <f ca="1">IFERROR(__xludf.DUMMYFUNCTION("TEXTJOIN(""|"",TRUE,UNIQUE(FILTER(SPLIT(B566,"" ""),LEN(SPLIT(B566,"" ""))&gt;2)))"),"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amp;"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f>
        <v>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v>
      </c>
      <c r="B566" s="59" t="str">
        <f ca="1">IFERROR(__xludf.DUMMYFUNCTION("LOWER(REGEXREPLACE(D566&amp;"" ""&amp;E566,""[^а-яa-z0-9 ]"","" ""))"),"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р"&amp;"азвития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f>
        <v xml:space="preserve">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v>
      </c>
      <c r="C566" s="61" t="s">
        <v>13833</v>
      </c>
      <c r="D566" s="56" t="s">
        <v>13834</v>
      </c>
      <c r="E566" s="56" t="s">
        <v>13835</v>
      </c>
      <c r="F566" s="57">
        <v>1900</v>
      </c>
      <c r="G566" s="58">
        <v>5</v>
      </c>
      <c r="I566" s="5"/>
      <c r="J566" s="5"/>
    </row>
    <row r="567" spans="1:10" x14ac:dyDescent="0.2">
      <c r="A567" s="59" t="str">
        <f ca="1">IFERROR(__xludf.DUMMYFUNCTION("TEXTJOIN(""|"",TRUE,UNIQUE(FILTER(SPLIT(B567,"" ""),LEN(SPLIT(B567,"" ""))&gt;2)))"),"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amp;"тик|полимер|комплекту|омплектация|предметов")</f>
        <v>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тик|полимер|комплекту|омплектация|предметов</v>
      </c>
      <c r="B567" s="59" t="str">
        <f ca="1">IFERROR(__xludf.DUMMYFUNCTION("LOWER(REGEXREPLACE(D567&amp;"" ""&amp;E567,""[^а-яa-z0-9 ]"","" ""))"),"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"&amp;"индивидуально   атериал  пластик полимер  по комплекту    омплектация  6 предметов ")</f>
        <v xml:space="preserve">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индивидуально   атериал  пластик полимер  по комплекту    омплектация  6 предметов </v>
      </c>
      <c r="C567" s="61" t="s">
        <v>13836</v>
      </c>
      <c r="D567" s="56" t="s">
        <v>13837</v>
      </c>
      <c r="E567" s="56" t="s">
        <v>13838</v>
      </c>
      <c r="F567" s="57">
        <v>19800</v>
      </c>
      <c r="G567" s="58">
        <v>5</v>
      </c>
      <c r="I567" s="5"/>
      <c r="J567" s="5"/>
    </row>
    <row r="568" spans="1:10" x14ac:dyDescent="0.2">
      <c r="A568" s="59" t="str">
        <f ca="1">IFERROR(__xludf.DUMMYFUNCTION("TEXTJOIN(""|"",TRUE,UNIQUE(FILTER(SPLIT(B568,"" ""),LEN(SPLIT(B568,"" ""))&gt;2)))"),"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amp;"ик|набору")</f>
        <v>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ик|набору</v>
      </c>
      <c r="B568" s="59" t="str">
        <f ca="1">IFERROR(__xludf.DUMMYFUNCTION("LOWER(REGEXREPLACE(D568&amp;"" ""&amp;E568,""[^а-яa-z0-9 ]"","" ""))"),"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"&amp;"   атериал  дерево и пластик  по набору  ")</f>
        <v xml:space="preserve">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атериал  дерево и пластик  по набору  </v>
      </c>
      <c r="C568" s="61" t="s">
        <v>13839</v>
      </c>
      <c r="D568" s="56" t="s">
        <v>13840</v>
      </c>
      <c r="E568" s="56" t="s">
        <v>13841</v>
      </c>
      <c r="F568" s="57">
        <v>13300</v>
      </c>
      <c r="G568" s="58">
        <v>6</v>
      </c>
      <c r="I568" s="5"/>
      <c r="J568" s="5"/>
    </row>
    <row r="569" spans="1:10" x14ac:dyDescent="0.2">
      <c r="A569" s="59" t="str">
        <f ca="1">IFERROR(__xludf.DUMMYFUNCTION("TEXTJOIN(""|"",TRUE,UNIQUE(FILTER(SPLIT(B569,"" ""),LEN(SPLIT(B569,"" ""))&gt;2)))"),"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amp;"ериал|пластик")</f>
        <v>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ериал|пластик</v>
      </c>
      <c r="B569" s="59" t="str">
        <f ca="1">IFERROR(__xludf.DUMMYFUNCTION("LOWER(REGEXREPLACE(D569&amp;"" ""&amp;E569,""[^а-яa-z0-9 ]"","" ""))"),"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поря"&amp;"док в игровой зоне   атериал  пластик ")</f>
        <v xml:space="preserve">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порядок в игровой зоне   атериал  пластик </v>
      </c>
      <c r="C569" s="61" t="s">
        <v>13842</v>
      </c>
      <c r="D569" s="56" t="s">
        <v>13843</v>
      </c>
      <c r="E569" s="56" t="s">
        <v>13844</v>
      </c>
      <c r="F569" s="57">
        <v>10500</v>
      </c>
      <c r="G569" s="58">
        <v>7</v>
      </c>
      <c r="I569" s="5"/>
      <c r="J569" s="5"/>
    </row>
    <row r="570" spans="1:10" x14ac:dyDescent="0.2">
      <c r="A570" s="59" t="str">
        <f ca="1">IFERROR(__xludf.DUMMYFUNCTION("TEXTJOIN(""|"",TRUE,UNIQUE(FILTER(SPLIT(B570,"" ""),LEN(SPLIT(B570,"" ""))&gt;2)))"),"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amp;"ованы|для|детской|игры|атериал|дерево|омплектация|юрта|элементы|убранства|набору")</f>
        <v>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ованы|для|детской|игры|атериал|дерево|омплектация|юрта|элементы|убранства|набору</v>
      </c>
      <c r="B570" s="59" t="str">
        <f ca="1">IFERROR(__xludf.DUMMYFUNCTION("LOWER(REGEXREPLACE(D570&amp;"" ""&amp;E570,""[^а-яa-z0-9 ]"","" ""))"),"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устой"&amp;"чивая  элементы адаптированы для детской игры   атериал  дерево   омплектация  юрта и элементы убранства  по набору  ")</f>
        <v xml:space="preserve">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устойчивая  элементы адаптированы для детской игры   атериал  дерево   омплектация  юрта и элементы убранства  по набору  </v>
      </c>
      <c r="C570" s="61" t="s">
        <v>13845</v>
      </c>
      <c r="D570" s="56" t="s">
        <v>13846</v>
      </c>
      <c r="E570" s="56" t="s">
        <v>13847</v>
      </c>
      <c r="F570" s="57">
        <v>319200</v>
      </c>
      <c r="G570" s="58">
        <v>7</v>
      </c>
      <c r="I570" s="5"/>
      <c r="J570" s="5"/>
    </row>
    <row r="571" spans="1:10" x14ac:dyDescent="0.2">
      <c r="A571" s="59" t="str">
        <f ca="1">IFERROR(__xludf.DUMMYFUNCTION("TEXTJOIN(""|"",TRUE,UNIQUE(FILTER(SPLIT(B571,"" ""),LEN(SPLIT(B571,"" ""))&gt;2)))"),"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amp;"|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f>
        <v>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v>
      </c>
      <c r="B571" s="59" t="str">
        <f ca="1">IFERROR(__xludf.DUMMYFUNCTION("LOWER(REGEXREPLACE(D571&amp;"" ""&amp;E571,""[^а-яa-z0-9 ]"","" ""))"),"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такж"&amp;"е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f>
        <v xml:space="preserve">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v>
      </c>
      <c r="C571" s="61" t="s">
        <v>13848</v>
      </c>
      <c r="D571" s="56" t="s">
        <v>13849</v>
      </c>
      <c r="E571" s="56" t="s">
        <v>13850</v>
      </c>
      <c r="F571" s="57">
        <v>23400</v>
      </c>
      <c r="G571" s="58">
        <v>15</v>
      </c>
      <c r="I571" s="5"/>
      <c r="J571" s="5"/>
    </row>
    <row r="572" spans="1:10" x14ac:dyDescent="0.2">
      <c r="A572" s="59" t="str">
        <f ca="1">IFERROR(__xludf.DUMMYFUNCTION("TEXTJOIN(""|"",TRUE,UNIQUE(FILTER(SPLIT(B572,"" ""),LEN(SPLIT(B572,"" ""))&gt;2)))"),"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amp;"|винилискожей|лина|изделия|составляет|менее|онструкция|рассчитана|использование|помещениях")</f>
        <v>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винилискожей|лина|изделия|составляет|менее|онструкция|рассчитана|использование|помещениях</v>
      </c>
      <c r="B572" s="59" t="str">
        <f ca="1">IFERROR(__xludf.DUMMYFUNCTION("LOWER(REGEXREPLACE(D572&amp;"" ""&amp;E572,""[^а-яa-z0-9 ]"","" ""))"),"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ам"&amp;"ортизирующим слоем и винилискожей   лина изделия составляет не менее 5 м   онструкция рассчитана на использование в помещениях ")</f>
        <v xml:space="preserve">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амортизирующим слоем и винилискожей   лина изделия составляет не менее 5 м   онструкция рассчитана на использование в помещениях </v>
      </c>
      <c r="C572" s="61" t="s">
        <v>13851</v>
      </c>
      <c r="D572" s="56" t="s">
        <v>13852</v>
      </c>
      <c r="E572" s="56" t="s">
        <v>13853</v>
      </c>
      <c r="F572" s="57">
        <v>89300</v>
      </c>
      <c r="G572" s="58">
        <v>4</v>
      </c>
      <c r="I572" s="5"/>
      <c r="J572" s="5"/>
    </row>
    <row r="573" spans="1:10" x14ac:dyDescent="0.2">
      <c r="A573" s="59" t="str">
        <f ca="1">IFERROR(__xludf.DUMMYFUNCTION("TEXTJOIN(""|"",TRUE,UNIQUE(FILTER(SPLIT(B573,"" ""),LEN(SPLIT(B573,"" ""))&gt;2)))"),"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amp;"но|ролевых|игр|изучения|окружающего|мира")</f>
        <v>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но|ролевых|игр|изучения|окружающего|мира</v>
      </c>
      <c r="B573" s="59" t="str">
        <f ca="1">IFERROR(__xludf.DUMMYFUNCTION("LOWER(REGEXREPLACE(D573&amp;"" ""&amp;E573,""[^а-яa-z0-9 ]"","" ""))"),"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"&amp;"познавательных занятий  сюжетно ролевых игр и изучения окружающего мира ")</f>
        <v xml:space="preserve">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познавательных занятий  сюжетно ролевых игр и изучения окружающего мира </v>
      </c>
      <c r="C573" s="61" t="s">
        <v>13854</v>
      </c>
      <c r="D573" s="56" t="s">
        <v>13855</v>
      </c>
      <c r="E573" s="56" t="s">
        <v>13856</v>
      </c>
      <c r="F573" s="57">
        <v>91200</v>
      </c>
      <c r="G573" s="58">
        <v>7</v>
      </c>
      <c r="I573" s="5"/>
      <c r="J573" s="5"/>
    </row>
    <row r="574" spans="1:10" x14ac:dyDescent="0.2">
      <c r="A574" s="59" t="str">
        <f ca="1">IFERROR(__xludf.DUMMYFUNCTION("TEXTJOIN(""|"",TRUE,UNIQUE(FILTER(SPLIT(B574,"" ""),LEN(SPLIT(B574,"" ""))&gt;2)))"),"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amp;"реалистичной|форме|удобны|для|детской|руки|подходят|для|индивидуальной|групповой|работы")</f>
        <v>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реалистичной|форме|удобны|для|детской|руки|подходят|для|индивидуальной|групповой|работы</v>
      </c>
      <c r="B574" s="59" t="str">
        <f ca="1">IFERROR(__xludf.DUMMYFUNCTION("LOWER(REGEXREPLACE(D574&amp;"" ""&amp;E574,""[^а-яa-z0-9 ]"","" ""))"),"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объ"&amp;"ектов   игурки выполнены в реалистичной форме  удобны для детской руки  подходят для индивидуальной и групповой работы ")</f>
        <v xml:space="preserve">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объектов   игурки выполнены в реалистичной форме  удобны для детской руки  подходят для индивидуальной и групповой работы </v>
      </c>
      <c r="C574" s="61" t="s">
        <v>13857</v>
      </c>
      <c r="D574" s="56" t="s">
        <v>13858</v>
      </c>
      <c r="E574" s="56" t="s">
        <v>13859</v>
      </c>
      <c r="F574" s="57">
        <v>9500</v>
      </c>
      <c r="G574" s="58">
        <v>1</v>
      </c>
      <c r="I574" s="5"/>
      <c r="J574" s="5"/>
    </row>
    <row r="575" spans="1:10" x14ac:dyDescent="0.2">
      <c r="A575" s="59" t="str">
        <f ca="1">IFERROR(__xludf.DUMMYFUNCTION("TEXTJOIN(""|"",TRUE,UNIQUE(FILTER(SPLIT(B575,"" ""),LEN(SPLIT(B575,"" ""))&gt;2)))"),"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amp;"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f>
        <v>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v>
      </c>
      <c r="B575" s="59" t="str">
        <f ca="1">IFERROR(__xludf.DUMMYFUNCTION("LOWER(REGEXREPLACE(D575&amp;"" ""&amp;E575,""[^а-яa-z0-9 ]"","" ""))"),"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основ"&amp;"ные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f>
        <v xml:space="preserve">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v>
      </c>
      <c r="C575" s="61" t="s">
        <v>13860</v>
      </c>
      <c r="D575" s="56" t="s">
        <v>13861</v>
      </c>
      <c r="E575" s="56" t="s">
        <v>13862</v>
      </c>
      <c r="F575" s="57">
        <v>23200</v>
      </c>
      <c r="G575" s="58">
        <v>1</v>
      </c>
      <c r="I575" s="5"/>
      <c r="J575" s="5"/>
    </row>
    <row r="576" spans="1:10" x14ac:dyDescent="0.2">
      <c r="A576" s="59" t="str">
        <f ca="1">IFERROR(__xludf.DUMMYFUNCTION("TEXTJOIN(""|"",TRUE,UNIQUE(FILTER(SPLIT(B576,"" ""),LEN(SPLIT(B576,"" ""))&gt;2)))"),"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amp;"одит|для|организации|сюжетных|исследовательских|игр|атериалы|устойчивы|воздействию|воды|легко|очищаются|безопасны|для|детей")</f>
        <v>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одит|для|организации|сюжетных|исследовательских|игр|атериалы|устойчивы|воздействию|воды|легко|очищаются|безопасны|для|детей</v>
      </c>
      <c r="B576" s="59" t="str">
        <f ca="1">IFERROR(__xludf.DUMMYFUNCTION("LOWER(REGEXREPLACE(D576&amp;"" ""&amp;E576,""[^а-яa-z0-9 ]"","" ""))"),"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познавател"&amp;"ьного интереса   одходит для организации сюжетных и исследовательских игр   атериалы устойчивы к воздействию воды  легко очищаются и безопасны для детей ")</f>
        <v xml:space="preserve">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познавательного интереса   одходит для организации сюжетных и исследовательских игр   атериалы устойчивы к воздействию воды  легко очищаются и безопасны для детей </v>
      </c>
      <c r="C576" s="61" t="s">
        <v>13863</v>
      </c>
      <c r="D576" s="56" t="s">
        <v>13864</v>
      </c>
      <c r="E576" s="56" t="s">
        <v>13865</v>
      </c>
      <c r="F576" s="57">
        <v>7200</v>
      </c>
      <c r="G576" s="58">
        <v>35</v>
      </c>
      <c r="I576" s="5"/>
      <c r="J576" s="5"/>
    </row>
    <row r="577" spans="1:10" x14ac:dyDescent="0.2">
      <c r="A577" s="59" t="str">
        <f ca="1">IFERROR(__xludf.DUMMYFUNCTION("TEXTJOIN(""|"",TRUE,UNIQUE(FILTER(SPLIT(B577,"" ""),LEN(SPLIT(B577,"" ""))&gt;2)))"),"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amp;"тно|пространственной|среде|атериалы|безопасны|устойчивы|активной|эксплуатации|легко|поддаются|санитарной|обработке")</f>
        <v>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тно|пространственной|среде|атериалы|безопасны|устойчивы|активной|эксплуатации|легко|поддаются|санитарной|обработке</v>
      </c>
      <c r="B577" s="59" t="str">
        <f ca="1">IFERROR(__xludf.DUMMYFUNCTION("LOWER(REGEXREPLACE(D577&amp;"" ""&amp;E577,""[^а-яa-z0-9 ]"","" ""))"),"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систематическо"&amp;"го использования в предметно пространственной среде       атериалы безопасны  устойчивы к активной эксплуатации и легко поддаются санитарной обработке ")</f>
        <v xml:space="preserve">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систематического использования в предметно пространственной среде       атериалы безопасны  устойчивы к активной эксплуатации и легко поддаются санитарной обработке </v>
      </c>
      <c r="C577" s="61" t="s">
        <v>13866</v>
      </c>
      <c r="D577" s="56" t="s">
        <v>13867</v>
      </c>
      <c r="E577" s="56" t="s">
        <v>13868</v>
      </c>
      <c r="F577" s="57">
        <v>66500</v>
      </c>
      <c r="G577" s="58">
        <v>21</v>
      </c>
      <c r="I577" s="5"/>
      <c r="J577" s="5"/>
    </row>
    <row r="578" spans="1:10" x14ac:dyDescent="0.2">
      <c r="A578" s="59" t="str">
        <f ca="1">IFERROR(__xludf.DUMMYFUNCTION("TEXTJOIN(""|"",TRUE,UNIQUE(FILTER(SPLIT(B578,"" ""),LEN(SPLIT(B578,"" ""))&gt;2)))"),"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amp;"|азмер|изделий|адаптирован|для|детской|руки|материал|эластичный|безопасный")</f>
        <v>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азмер|изделий|адаптирован|для|детской|руки|материал|эластичный|безопасный</v>
      </c>
      <c r="B578" s="59" t="str">
        <f ca="1">IFERROR(__xludf.DUMMYFUNCTION("LOWER(REGEXREPLACE(D578&amp;"" ""&amp;E578,""[^а-яa-z0-9 ]"","" ""))"),"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соц"&amp;"иально коммуникативных навыков   азмер изделий адаптирован для детской руки  материал эластичный и безопасный ")</f>
        <v xml:space="preserve">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социально коммуникативных навыков   азмер изделий адаптирован для детской руки  материал эластичный и безопасный </v>
      </c>
      <c r="C578" s="61" t="s">
        <v>13869</v>
      </c>
      <c r="D578" s="56" t="s">
        <v>13870</v>
      </c>
      <c r="E578" s="56" t="s">
        <v>13871</v>
      </c>
      <c r="F578" s="57">
        <v>10200</v>
      </c>
      <c r="G578" s="58">
        <v>5</v>
      </c>
      <c r="I578" s="5"/>
      <c r="J578" s="5"/>
    </row>
    <row r="579" spans="1:10" x14ac:dyDescent="0.2">
      <c r="A579" s="59" t="str">
        <f ca="1">IFERROR(__xludf.DUMMYFUNCTION("TEXTJOIN(""|"",TRUE,UNIQUE(FILTER(SPLIT(B579,"" ""),LEN(SPLIT(B579,"" ""))&gt;2)))"),"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amp;"ии|связанные|транспортом|городской|средой|одходит|для|хранения|контейнере|или|коробе")</f>
        <v>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ии|связанные|транспортом|городской|средой|одходит|для|хранения|контейнере|или|коробе</v>
      </c>
      <c r="B579" s="59" t="str">
        <f ca="1">IFERROR(__xludf.DUMMYFUNCTION("LOWER(REGEXREPLACE(D579&amp;"" ""&amp;E579,""[^а-яa-z0-9 ]"","" ""))"),"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созда"&amp;"вать игровые сценарии  связанные с транспортом и городской средой   одходит для хранения в контейнере или коробе ")</f>
        <v xml:space="preserve">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создавать игровые сценарии  связанные с транспортом и городской средой   одходит для хранения в контейнере или коробе </v>
      </c>
      <c r="C579" s="61" t="s">
        <v>13872</v>
      </c>
      <c r="D579" s="56" t="s">
        <v>13873</v>
      </c>
      <c r="E579" s="56" t="s">
        <v>13874</v>
      </c>
      <c r="F579" s="57">
        <v>4400</v>
      </c>
      <c r="G579" s="58">
        <v>5</v>
      </c>
      <c r="I579" s="5"/>
      <c r="J579" s="5"/>
    </row>
    <row r="580" spans="1:10" x14ac:dyDescent="0.2">
      <c r="A580" s="59" t="str">
        <f ca="1">IFERROR(__xludf.DUMMYFUNCTION("TEXTJOIN(""|"",TRUE,UNIQUE(FILTER(SPLIT(B580,"" ""),LEN(SPLIT(B580,"" ""))&gt;2)))"),"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amp;"ал|атериалы|безопасны|подходят|для|использования|детьми|под|контролем|педагога")</f>
        <v>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ал|атериалы|безопасны|подходят|для|использования|детьми|под|контролем|педагога</v>
      </c>
      <c r="B580" s="59" t="str">
        <f ca="1">IFERROR(__xludf.DUMMYFUNCTION("LOWER(REGEXREPLACE(D580&amp;"" ""&amp;E580,""[^а-яa-z0-9 ]"","" ""))"),"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усто"&amp;"йчивую фиксацию зеркал   атериалы безопасны и подходят для использования детьми под контролем педагога ")</f>
        <v xml:space="preserve">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устойчивую фиксацию зеркал   атериалы безопасны и подходят для использования детьми под контролем педагога </v>
      </c>
      <c r="C580" s="61" t="s">
        <v>13875</v>
      </c>
      <c r="D580" s="56" t="s">
        <v>13876</v>
      </c>
      <c r="E580" s="56" t="s">
        <v>13877</v>
      </c>
      <c r="F580" s="57">
        <v>43700</v>
      </c>
      <c r="G580" s="58">
        <v>1</v>
      </c>
      <c r="I580" s="5"/>
      <c r="J580" s="5"/>
    </row>
    <row r="581" spans="1:10" x14ac:dyDescent="0.2">
      <c r="A581" s="59" t="str">
        <f ca="1">IFERROR(__xludf.DUMMYFUNCTION("TEXTJOIN(""|"",TRUE,UNIQUE(FILTER(SPLIT(B581,"" ""),LEN(SPLIT(B581,"" ""))&gt;2)))"),"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f>
        <v>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v>
      </c>
      <c r="B581" s="59" t="str">
        <f ca="1">IFERROR(__xludf.DUMMYFUNCTION("LOWER(REGEXREPLACE(D581&amp;"" ""&amp;E581,""[^а-яa-z0-9 ]"","" ""))"),"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темат"&amp;"ических занятий ")</f>
        <v xml:space="preserve">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тематических занятий </v>
      </c>
      <c r="C581" s="61" t="s">
        <v>13878</v>
      </c>
      <c r="D581" s="56" t="s">
        <v>13879</v>
      </c>
      <c r="E581" s="56" t="s">
        <v>13880</v>
      </c>
      <c r="F581" s="57">
        <v>13600</v>
      </c>
      <c r="G581" s="58">
        <v>5</v>
      </c>
      <c r="I581" s="5"/>
      <c r="J581" s="5"/>
    </row>
    <row r="582" spans="1:10" x14ac:dyDescent="0.2">
      <c r="A582" s="59" t="str">
        <f ca="1">IFERROR(__xludf.DUMMYFUNCTION("TEXTJOIN(""|"",TRUE,UNIQUE(FILTER(SPLIT(B582,"" ""),LEN(SPLIT(B582,"" ""))&gt;2)))"),"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f>
        <v>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v>
      </c>
      <c r="B582" s="59" t="str">
        <f ca="1">IFERROR(__xludf.DUMMYFUNCTION("LOWER(REGEXREPLACE(D582&amp;"" ""&amp;E582,""[^а-яa-z0-9 ]"","" ""))"),"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испол"&amp;"ьзования в помещении ")</f>
        <v xml:space="preserve">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использования в помещении </v>
      </c>
      <c r="C582" s="61" t="s">
        <v>13881</v>
      </c>
      <c r="D582" s="56" t="s">
        <v>13882</v>
      </c>
      <c r="E582" s="56" t="s">
        <v>13883</v>
      </c>
      <c r="F582" s="57">
        <v>20900</v>
      </c>
      <c r="G582" s="58">
        <v>1</v>
      </c>
      <c r="I582" s="5"/>
      <c r="J582" s="5"/>
    </row>
    <row r="583" spans="1:10" x14ac:dyDescent="0.2">
      <c r="A583" s="59" t="str">
        <f ca="1">IFERROR(__xludf.DUMMYFUNCTION("TEXTJOIN(""|"",TRUE,UNIQUE(FILTER(SPLIT(B583,"" ""),LEN(SPLIT(B583,"" ""))&gt;2)))"),"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f>
        <v>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v>
      </c>
      <c r="B583" s="59" t="str">
        <f ca="1">IFERROR(__xludf.DUMMYFUNCTION("LOWER(REGEXREPLACE(D583&amp;"" ""&amp;E583,""[^а-яa-z0-9 ]"","" ""))"),"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со"&amp;"вместного чтения ")</f>
        <v xml:space="preserve">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совместного чтения </v>
      </c>
      <c r="C583" s="61" t="s">
        <v>13884</v>
      </c>
      <c r="D583" s="56" t="s">
        <v>13885</v>
      </c>
      <c r="E583" s="56" t="s">
        <v>13886</v>
      </c>
      <c r="F583" s="57">
        <v>9500</v>
      </c>
      <c r="G583" s="58">
        <v>7</v>
      </c>
      <c r="I583" s="5"/>
      <c r="J583" s="5"/>
    </row>
    <row r="584" spans="1:10" x14ac:dyDescent="0.2">
      <c r="A584" s="59" t="str">
        <f ca="1">IFERROR(__xludf.DUMMYFUNCTION("TEXTJOIN(""|"",TRUE,UNIQUE(FILTER(SPLIT(B584,"" ""),LEN(SPLIT(B584,"" ""))&gt;2)))"),"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amp;"ого|использования")</f>
        <v>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ого|использования</v>
      </c>
      <c r="B584" s="59" t="str">
        <f ca="1">IFERROR(__xludf.DUMMYFUNCTION("LOWER(REGEXREPLACE(D584&amp;"" ""&amp;E584,""[^а-яa-z0-9 ]"","" ""))"),"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к"&amp;" износу и удобны для частого использования ")</f>
        <v xml:space="preserve">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 износу и удобны для частого использования </v>
      </c>
      <c r="C584" s="61" t="s">
        <v>13887</v>
      </c>
      <c r="D584" s="56" t="s">
        <v>13888</v>
      </c>
      <c r="E584" s="56" t="s">
        <v>13889</v>
      </c>
      <c r="F584" s="57">
        <v>28500</v>
      </c>
      <c r="G584" s="58">
        <v>1</v>
      </c>
      <c r="I584" s="5"/>
      <c r="J584" s="5"/>
    </row>
    <row r="585" spans="1:10" x14ac:dyDescent="0.2">
      <c r="A585" s="59" t="str">
        <f ca="1">IFERROR(__xludf.DUMMYFUNCTION("TEXTJOIN(""|"",TRUE,UNIQUE(FILTER(SPLIT(B585,"" ""),LEN(SPLIT(B585,"" ""))&gt;2)))"),"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f>
        <v>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v>
      </c>
      <c r="B585" s="59" t="str">
        <f ca="1">IFERROR(__xludf.DUMMYFUNCTION("LOWER(REGEXREPLACE(D585&amp;"" ""&amp;E585,""[^а-яa-z0-9 ]"","" ""))"),"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f>
        <v xml:space="preserve">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v>
      </c>
      <c r="C585" s="61" t="s">
        <v>13890</v>
      </c>
      <c r="D585" s="56" t="s">
        <v>5922</v>
      </c>
      <c r="E585" s="56" t="s">
        <v>13891</v>
      </c>
      <c r="F585" s="57">
        <v>38700</v>
      </c>
      <c r="G585" s="58">
        <v>5</v>
      </c>
      <c r="I585" s="5"/>
      <c r="J585" s="5"/>
    </row>
    <row r="586" spans="1:10" x14ac:dyDescent="0.2">
      <c r="A586" s="59" t="str">
        <f ca="1">IFERROR(__xludf.DUMMYFUNCTION("TEXTJOIN(""|"",TRUE,UNIQUE(FILTER(SPLIT(B586,"" ""),LEN(SPLIT(B586,"" ""))&gt;2)))"),"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amp;"|орма|изделий|способствует|формированию|интереса|природе|эстетического|вкуса")</f>
        <v>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орма|изделий|способствует|формированию|интереса|природе|эстетического|вкуса</v>
      </c>
      <c r="B586" s="59" t="str">
        <f ca="1">IFERROR(__xludf.DUMMYFUNCTION("LOWER(REGEXREPLACE(D586&amp;"" ""&amp;E586,""[^а-яa-z0-9 ]"","" ""))"),"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правильный"&amp;" уход за растениями   орма изделий способствует формированию интереса к природе и эстетического вкуса ")</f>
        <v xml:space="preserve">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 уход за растениями   орма изделий способствует формированию интереса к природе и эстетического вкуса </v>
      </c>
      <c r="C586" s="61" t="s">
        <v>13892</v>
      </c>
      <c r="D586" s="56" t="s">
        <v>13893</v>
      </c>
      <c r="E586" s="56" t="s">
        <v>13894</v>
      </c>
      <c r="F586" s="57">
        <v>13700</v>
      </c>
      <c r="G586" s="58">
        <v>5</v>
      </c>
      <c r="I586" s="5"/>
      <c r="J586" s="5"/>
    </row>
    <row r="587" spans="1:10" x14ac:dyDescent="0.2">
      <c r="A587" s="59" t="str">
        <f ca="1">IFERROR(__xludf.DUMMYFUNCTION("TEXTJOIN(""|"",TRUE,UNIQUE(FILTER(SPLIT(B587,"" ""),LEN(SPLIT(B587,"" ""))&gt;2)))"),"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amp;"|рассчитан|регулярное|использование")</f>
        <v>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рассчитан|регулярное|использование</v>
      </c>
      <c r="B587" s="59" t="str">
        <f ca="1">IFERROR(__xludf.DUMMYFUNCTION("LOWER(REGEXREPLACE(D587&amp;"" ""&amp;E587,""[^а-яa-z0-9 ]"","" ""))"),"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чтени"&amp;"я и спокойной деятельности   омплект рассчитан на регулярное использование ")</f>
        <v xml:space="preserve">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чтения и спокойной деятельности   омплект рассчитан на регулярное использование </v>
      </c>
      <c r="C587" s="61" t="s">
        <v>13895</v>
      </c>
      <c r="D587" s="56" t="s">
        <v>13896</v>
      </c>
      <c r="E587" s="56" t="s">
        <v>13897</v>
      </c>
      <c r="F587" s="57">
        <v>8300</v>
      </c>
      <c r="G587" s="58">
        <v>7</v>
      </c>
      <c r="I587" s="5"/>
      <c r="J587" s="5"/>
    </row>
    <row r="588" spans="1:10" x14ac:dyDescent="0.2">
      <c r="A588" s="59" t="str">
        <f ca="1">IFERROR(__xludf.DUMMYFUNCTION("TEXTJOIN(""|"",TRUE,UNIQUE(FILTER(SPLIT(B588,"" ""),LEN(SPLIT(B588,"" ""))&gt;2)))"),"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amp;"я")</f>
        <v>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я</v>
      </c>
      <c r="B588" s="59" t="str">
        <f ca="1">IFERROR(__xludf.DUMMYFUNCTION("LOWER(REGEXREPLACE(D588&amp;"" ""&amp;E588,""[^а-яa-z0-9 ]"","" ""))"),"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самостоятел"&amp;"ьного рассматривания ")</f>
        <v xml:space="preserve">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самостоятельного рассматривания </v>
      </c>
      <c r="C588" s="61" t="s">
        <v>13898</v>
      </c>
      <c r="D588" s="56" t="s">
        <v>13899</v>
      </c>
      <c r="E588" s="56" t="s">
        <v>13900</v>
      </c>
      <c r="F588" s="57">
        <v>7800</v>
      </c>
      <c r="G588" s="58">
        <v>1</v>
      </c>
      <c r="I588" s="5"/>
      <c r="J588" s="5"/>
    </row>
    <row r="589" spans="1:10" x14ac:dyDescent="0.2">
      <c r="A589" s="59" t="str">
        <f ca="1">IFERROR(__xludf.DUMMYFUNCTION("TEXTJOIN(""|"",TRUE,UNIQUE(FILTER(SPLIT(B589,"" ""),LEN(SPLIT(B589,"" ""))&gt;2)))"),"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amp;"ения|реб|нка")</f>
        <v>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ения|реб|нка</v>
      </c>
      <c r="B589" s="59" t="str">
        <f ca="1">IFERROR(__xludf.DUMMYFUNCTION("LOWER(REGEXREPLACE(D589&amp;"" ""&amp;E589,""[^а-яa-z0-9 ]"","" ""))"),"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бе"&amp;"зопасные  не сковывают движения реб нка ")</f>
        <v xml:space="preserve">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безопасные  не сковывают движения реб нка </v>
      </c>
      <c r="C589" s="61" t="s">
        <v>13901</v>
      </c>
      <c r="D589" s="56" t="s">
        <v>13902</v>
      </c>
      <c r="E589" s="56" t="s">
        <v>13903</v>
      </c>
      <c r="F589" s="57">
        <v>24900</v>
      </c>
      <c r="G589" s="58">
        <v>5</v>
      </c>
      <c r="I589" s="5"/>
      <c r="J589" s="5"/>
    </row>
    <row r="590" spans="1:10" x14ac:dyDescent="0.2">
      <c r="A590" s="59" t="str">
        <f ca="1">IFERROR(__xludf.DUMMYFUNCTION("TEXTJOIN(""|"",TRUE,UNIQUE(FILTER(SPLIT(B590,"" ""),LEN(SPLIT(B590,"" ""))&gt;2)))"),"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f>
        <v>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v>
      </c>
      <c r="B590" s="59" t="str">
        <f ca="1">IFERROR(__xludf.DUMMYFUNCTION("LOWER(REGEXREPLACE(D590&amp;"" ""&amp;E590,""[^а-яa-z0-9 ]"","" ""))"),"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возраст"&amp;"а ")</f>
        <v xml:space="preserve">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возраста </v>
      </c>
      <c r="C590" s="61" t="s">
        <v>13904</v>
      </c>
      <c r="D590" s="56" t="s">
        <v>13905</v>
      </c>
      <c r="E590" s="56" t="s">
        <v>13906</v>
      </c>
      <c r="F590" s="57">
        <v>9500</v>
      </c>
      <c r="G590" s="58">
        <v>2</v>
      </c>
      <c r="I590" s="5"/>
      <c r="J590" s="5"/>
    </row>
    <row r="591" spans="1:10" x14ac:dyDescent="0.2">
      <c r="A591" s="59" t="str">
        <f ca="1">IFERROR(__xludf.DUMMYFUNCTION("TEXTJOIN(""|"",TRUE,UNIQUE(FILTER(SPLIT(B591,"" ""),LEN(SPLIT(B591,"" ""))&gt;2)))"),"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f>
        <v>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v>
      </c>
      <c r="B591" s="59" t="str">
        <f ca="1">IFERROR(__xludf.DUMMYFUNCTION("LOWER(REGEXREPLACE(D591&amp;"" ""&amp;E591,""[^а-яa-z0-9 ]"","" ""))"),"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f>
        <v xml:space="preserve">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v>
      </c>
      <c r="C591" s="61" t="s">
        <v>13907</v>
      </c>
      <c r="D591" s="56" t="s">
        <v>13908</v>
      </c>
      <c r="E591" s="56" t="s">
        <v>13909</v>
      </c>
      <c r="F591" s="57">
        <v>81300</v>
      </c>
      <c r="G591" s="58">
        <v>7</v>
      </c>
      <c r="I591" s="5"/>
      <c r="J591" s="5"/>
    </row>
    <row r="592" spans="1:10" x14ac:dyDescent="0.2">
      <c r="A592" s="59" t="str">
        <f ca="1">IFERROR(__xludf.DUMMYFUNCTION("TEXTJOIN(""|"",TRUE,UNIQUE(FILTER(SPLIT(B592,"" ""),LEN(SPLIT(B592,"" ""))&gt;2)))"),"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f>
        <v>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v>
      </c>
      <c r="B592" s="59" t="str">
        <f ca="1">IFERROR(__xludf.DUMMYFUNCTION("LOWER(REGEXREPLACE(D592&amp;"" ""&amp;E592,""[^а-яa-z0-9 ]"","" ""))"),"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f>
        <v xml:space="preserve">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v>
      </c>
      <c r="C592" s="61" t="s">
        <v>13910</v>
      </c>
      <c r="D592" s="56" t="s">
        <v>13911</v>
      </c>
      <c r="E592" s="56" t="s">
        <v>13912</v>
      </c>
      <c r="F592" s="57">
        <v>6500</v>
      </c>
      <c r="G592" s="58">
        <v>7</v>
      </c>
      <c r="I592" s="5"/>
      <c r="J592" s="5"/>
    </row>
    <row r="593" spans="1:10" x14ac:dyDescent="0.2">
      <c r="A593" s="59" t="str">
        <f ca="1">IFERROR(__xludf.DUMMYFUNCTION("TEXTJOIN(""|"",TRUE,UNIQUE(FILTER(SPLIT(B593,"" ""),LEN(SPLIT(B593,"" ""))&gt;2)))"),"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amp;"и|координации|движений|рук|комплект|входит|менее|200|листов|лотность|бумаги|менее|вета|включают|лтый|фиолетовый")</f>
        <v>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и|координации|движений|рук|комплект|входит|менее|200|листов|лотность|бумаги|менее|вета|включают|лтый|фиолетовый</v>
      </c>
      <c r="B593" s="59" t="str">
        <f ca="1">IFERROR(__xludf.DUMMYFUNCTION("LOWER(REGEXREPLACE(D593&amp;"" ""&amp;E593,""[^а-яa-z0-9 ]"","" ""))"),"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формиров"&amp;"анию аккуратности и координации движений рук    комплект входит не менее 200 листов   лотность бумаги   не менее 80 г м    вета включают ж лтый и фиолетовый ")</f>
        <v xml:space="preserve">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формированию аккуратности и координации движений рук    комплект входит не менее 200 листов   лотность бумаги   не менее 80 г м    вета включают ж лтый и фиолетовый </v>
      </c>
      <c r="C593" s="61" t="s">
        <v>13913</v>
      </c>
      <c r="D593" s="56" t="s">
        <v>13914</v>
      </c>
      <c r="E593" s="56" t="s">
        <v>13915</v>
      </c>
      <c r="F593" s="57">
        <v>9700</v>
      </c>
      <c r="G593" s="58">
        <v>20</v>
      </c>
      <c r="I593" s="5"/>
      <c r="J593" s="5"/>
    </row>
    <row r="594" spans="1:10" x14ac:dyDescent="0.2">
      <c r="A594" s="59" t="str">
        <f ca="1">IFERROR(__xludf.DUMMYFUNCTION("TEXTJOIN(""|"",TRUE,UNIQUE(FILTER(SPLIT(B594,"" ""),LEN(SPLIT(B594,"" ""))&gt;2)))"),"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f>
        <v>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v>
      </c>
      <c r="B594" s="59" t="str">
        <f ca="1">IFERROR(__xludf.DUMMYFUNCTION("LOWER(REGEXREPLACE(D594&amp;"" ""&amp;E594,""[^а-яa-z0-9 ]"","" ""))"),"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f>
        <v xml:space="preserve">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v>
      </c>
      <c r="C594" s="61" t="s">
        <v>13916</v>
      </c>
      <c r="D594" s="56" t="s">
        <v>13917</v>
      </c>
      <c r="E594" s="56" t="s">
        <v>13918</v>
      </c>
      <c r="F594" s="57">
        <v>9900</v>
      </c>
      <c r="G594" s="58">
        <v>7</v>
      </c>
      <c r="I594" s="5"/>
      <c r="J594" s="5"/>
    </row>
    <row r="595" spans="1:10" x14ac:dyDescent="0.2">
      <c r="A595" s="59" t="str">
        <f ca="1">IFERROR(__xludf.DUMMYFUNCTION("TEXTJOIN(""|"",TRUE,UNIQUE(FILTER(SPLIT(B595,"" ""),LEN(SPLIT(B595,"" ""))&gt;2)))"),"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f>
        <v>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v>
      </c>
      <c r="B595" s="59" t="str">
        <f ca="1">IFERROR(__xludf.DUMMYFUNCTION("LOWER(REGEXREPLACE(D595&amp;"" ""&amp;E595,""[^а-яa-z0-9 ]"","" ""))"),"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f>
        <v xml:space="preserve">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v>
      </c>
      <c r="C595" s="61" t="s">
        <v>13919</v>
      </c>
      <c r="D595" s="56" t="s">
        <v>13920</v>
      </c>
      <c r="E595" s="56" t="s">
        <v>13921</v>
      </c>
      <c r="F595" s="57">
        <v>3800</v>
      </c>
      <c r="G595" s="58">
        <v>5</v>
      </c>
      <c r="I595" s="5"/>
      <c r="J595" s="5"/>
    </row>
    <row r="596" spans="1:10" x14ac:dyDescent="0.2">
      <c r="A596" s="59" t="str">
        <f ca="1">IFERROR(__xludf.DUMMYFUNCTION("TEXTJOIN(""|"",TRUE,UNIQUE(FILTER(SPLIT(B596,"" ""),LEN(SPLIT(B596,"" ""))&gt;2)))"),"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amp;"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amp;"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amp;"щая|поддерживать|порядок|группе")</f>
        <v>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щая|поддерживать|порядок|группе</v>
      </c>
      <c r="B596" s="59" t="str">
        <f ca="1">IFERROR(__xludf.DUMMYFUNCTION("LOWER(REGEXREPLACE(D596&amp;"" ""&amp;E596,""[^а-яa-z0-9 ]"","" ""))"),"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обеспечи"&amp;"вающих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соединение"&amp;"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хранени"&amp;"я предусмотрена упаковка контейнер не менее 1 шт   позволяющая поддерживать порядок в группе ")</f>
        <v xml:space="preserve">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хранения предусмотрена упаковка контейнер не менее 1 шт   позволяющая поддерживать порядок в группе </v>
      </c>
      <c r="C596" s="61" t="s">
        <v>13922</v>
      </c>
      <c r="D596" s="56" t="s">
        <v>13923</v>
      </c>
      <c r="E596" s="56" t="s">
        <v>13924</v>
      </c>
      <c r="F596" s="57">
        <v>49400</v>
      </c>
      <c r="G596" s="58">
        <v>7</v>
      </c>
      <c r="I596" s="5"/>
      <c r="J596" s="5"/>
    </row>
    <row r="597" spans="1:10" x14ac:dyDescent="0.2">
      <c r="A597" s="59" t="str">
        <f ca="1">IFERROR(__xludf.DUMMYFUNCTION("TEXTJOIN(""|"",TRUE,UNIQUE(FILTER(SPLIT(B597,"" ""),LEN(SPLIT(B597,"" ""))&gt;2)))"),"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amp;"|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amp;"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f>
        <v>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v>
      </c>
      <c r="B597" s="59" t="str">
        <f ca="1">IFERROR(__xludf.DUMMYFUNCTION("LOWER(REGEXREPLACE(D597&amp;"" ""&amp;E597,""[^а-яa-z0-9 ]"","" ""))"),"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вы"&amp;"сотой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договариваютс"&amp;"я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в"&amp;" коробке контейнере  пригодном для регулярной санитарной обработки ")</f>
        <v xml:space="preserve">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 коробке контейнере  пригодном для регулярной санитарной обработки </v>
      </c>
      <c r="C597" s="61" t="s">
        <v>13925</v>
      </c>
      <c r="D597" s="56" t="s">
        <v>13926</v>
      </c>
      <c r="E597" s="56" t="s">
        <v>13927</v>
      </c>
      <c r="F597" s="57">
        <v>47700</v>
      </c>
      <c r="G597" s="58">
        <v>1</v>
      </c>
      <c r="I597" s="5"/>
      <c r="J597" s="5"/>
    </row>
    <row r="598" spans="1:10" x14ac:dyDescent="0.2">
      <c r="A598" s="59" t="str">
        <f ca="1">IFERROR(__xludf.DUMMYFUNCTION("TEXTJOIN(""|"",TRUE,UNIQUE(FILTER(SPLIT(B598,"" ""),LEN(SPLIT(B598,"" ""))&gt;2)))"),"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amp;"самостоятельной|игры|детьми")</f>
        <v>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самостоятельной|игры|детьми</v>
      </c>
      <c r="B598" s="59" t="str">
        <f ca="1">IFERROR(__xludf.DUMMYFUNCTION("LOWER(REGEXREPLACE(D598&amp;"" ""&amp;E598,""[^а-яa-z0-9 ]"","" ""))"),"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д"&amp;"ля демонстрации и самостоятельной игры детьми ")</f>
        <v xml:space="preserve">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для демонстрации и самостоятельной игры детьми </v>
      </c>
      <c r="C598" s="61" t="s">
        <v>13928</v>
      </c>
      <c r="D598" s="56" t="s">
        <v>13929</v>
      </c>
      <c r="E598" s="56" t="s">
        <v>13930</v>
      </c>
      <c r="F598" s="57">
        <v>4800</v>
      </c>
      <c r="G598" s="58">
        <v>5</v>
      </c>
      <c r="I598" s="5"/>
      <c r="J598" s="5"/>
    </row>
    <row r="599" spans="1:10" x14ac:dyDescent="0.2">
      <c r="A599" s="59" t="str">
        <f ca="1">IFERROR(__xludf.DUMMYFUNCTION("TEXTJOIN(""|"",TRUE,UNIQUE(FILTER(SPLIT(B599,"" ""),LEN(SPLIT(B599,"" ""))&gt;2)))"),"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amp;"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amp;"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f>
        <v>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v>
      </c>
      <c r="B599" s="59" t="str">
        <f ca="1">IFERROR(__xludf.DUMMYFUNCTION("LOWER(REGEXREPLACE(D599&amp;"" ""&amp;E599,""[^а-яa-z0-9 ]"","" ""))"),"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высо"&amp;"той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пер"&amp;"сонажей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обсуждат"&amp;"ь поведение и чувства через персонажей ")</f>
        <v xml:space="preserve">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обсуждать поведение и чувства через персонажей </v>
      </c>
      <c r="C599" s="61" t="s">
        <v>13931</v>
      </c>
      <c r="D599" s="56" t="s">
        <v>13932</v>
      </c>
      <c r="E599" s="56" t="s">
        <v>13933</v>
      </c>
      <c r="F599" s="57">
        <v>4500</v>
      </c>
      <c r="G599" s="58">
        <v>4</v>
      </c>
      <c r="I599" s="5"/>
      <c r="J599" s="5"/>
    </row>
    <row r="600" spans="1:10" x14ac:dyDescent="0.2">
      <c r="A600" s="59" t="str">
        <f ca="1">IFERROR(__xludf.DUMMYFUNCTION("TEXTJOIN(""|"",TRUE,UNIQUE(FILTER(SPLIT(B600,"" ""),LEN(SPLIT(B600,"" ""))&gt;2)))"),"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amp;"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amp;"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f>
        <v>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v>
      </c>
      <c r="B600" s="59" t="str">
        <f ca="1">IFERROR(__xludf.DUMMYFUNCTION("LOWER(REGEXREPLACE(D600&amp;"" ""&amp;E600,""[^а-яa-z0-9 ]"","" ""))"),"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фигурок"&amp;"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хр"&amp;"анения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пам"&amp;"ять  найди пару  назови по описанию  разложи по группам  ")</f>
        <v xml:space="preserve">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память  найди пару  назови по описанию  разложи по группам  </v>
      </c>
      <c r="C600" s="61" t="s">
        <v>13934</v>
      </c>
      <c r="D600" s="56" t="s">
        <v>13935</v>
      </c>
      <c r="E600" s="56" t="s">
        <v>13936</v>
      </c>
      <c r="F600" s="57">
        <v>34200</v>
      </c>
      <c r="G600" s="58">
        <v>1</v>
      </c>
      <c r="I600" s="5"/>
      <c r="J600" s="5"/>
    </row>
    <row r="601" spans="1:10" x14ac:dyDescent="0.2">
      <c r="A601" s="59" t="str">
        <f ca="1">IFERROR(__xludf.DUMMYFUNCTION("TEXTJOIN(""|"",TRUE,UNIQUE(FILTER(SPLIT(B601,"" ""),LEN(SPLIT(B601,"" ""))&gt;2)))"),"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amp;"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amp;"|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amp;"е|внимание")</f>
        <v>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е|внимание</v>
      </c>
      <c r="B601" s="59" t="str">
        <f ca="1">IFERROR(__xludf.DUMMYFUNCTION("LOWER(REGEXREPLACE(D601&amp;"" ""&amp;E601,""[^а-яa-z0-9 ]"","" ""))"),"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п"&amp;"ожарный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ролевых"&amp;"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дл"&amp;"я дидактических заданий   кто что делает    кому что нужно    что лишнее   что развивает логическое мышление и внимание ")</f>
        <v xml:space="preserve">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для дидактических заданий   кто что делает    кому что нужно    что лишнее   что развивает логическое мышление и внимание </v>
      </c>
      <c r="C601" s="61" t="s">
        <v>13937</v>
      </c>
      <c r="D601" s="56" t="s">
        <v>13938</v>
      </c>
      <c r="E601" s="56" t="s">
        <v>13939</v>
      </c>
      <c r="F601" s="57">
        <v>14300</v>
      </c>
      <c r="G601" s="58">
        <v>5</v>
      </c>
      <c r="I601" s="5"/>
      <c r="J601" s="5"/>
    </row>
    <row r="602" spans="1:10" x14ac:dyDescent="0.2">
      <c r="A602" s="59" t="str">
        <f ca="1">IFERROR(__xludf.DUMMYFUNCTION("TEXTJOIN(""|"",TRUE,UNIQUE(FILTER(SPLIT(B602,"" ""),LEN(SPLIT(B602,"" ""))&gt;2)))"),"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f>
        <v>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v>
      </c>
      <c r="B602" s="59" t="str">
        <f ca="1">IFERROR(__xludf.DUMMYFUNCTION("LOWER(REGEXREPLACE(D602&amp;"" ""&amp;E602,""[^а-яa-z0-9 ]"","" ""))"),"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f>
        <v xml:space="preserve">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v>
      </c>
      <c r="C602" s="61" t="s">
        <v>13940</v>
      </c>
      <c r="D602" s="56" t="s">
        <v>13941</v>
      </c>
      <c r="E602" s="56" t="s">
        <v>13942</v>
      </c>
      <c r="F602" s="57">
        <v>4900</v>
      </c>
      <c r="G602" s="58">
        <v>5</v>
      </c>
      <c r="I602" s="5"/>
      <c r="J602" s="5"/>
    </row>
    <row r="603" spans="1:10" x14ac:dyDescent="0.2">
      <c r="A603" s="59" t="str">
        <f ca="1">IFERROR(__xludf.DUMMYFUNCTION("TEXTJOIN(""|"",TRUE,UNIQUE(FILTER(SPLIT(B603,"" ""),LEN(SPLIT(B603,"" ""))&gt;2)))"),"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amp;"|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amp;"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f>
        <v>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v>
      </c>
      <c r="B603" s="59" t="str">
        <f ca="1">IFERROR(__xludf.DUMMYFUNCTION("LOWER(REGEXREPLACE(D603&amp;"" ""&amp;E603,""[^а-яa-z0-9 ]"","" ""))"),"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метате"&amp;"льных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игр"&amp;"овую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пра"&amp;"вил игры ")</f>
        <v xml:space="preserve">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правил игры </v>
      </c>
      <c r="C603" s="61" t="s">
        <v>13943</v>
      </c>
      <c r="D603" s="56" t="s">
        <v>13944</v>
      </c>
      <c r="E603" s="56" t="s">
        <v>13945</v>
      </c>
      <c r="F603" s="57">
        <v>63200</v>
      </c>
      <c r="G603" s="58">
        <v>4</v>
      </c>
      <c r="I603" s="5"/>
      <c r="J603" s="5"/>
    </row>
    <row r="604" spans="1:10" x14ac:dyDescent="0.2">
      <c r="A604" s="59" t="str">
        <f ca="1">IFERROR(__xludf.DUMMYFUNCTION("TEXTJOIN(""|"",TRUE,UNIQUE(FILTER(SPLIT(B604,"" ""),LEN(SPLIT(B604,"" ""))&gt;2)))"),"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amp;"абора|листов")</f>
        <v>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абора|листов</v>
      </c>
      <c r="B604" s="59" t="str">
        <f ca="1">IFERROR(__xludf.DUMMYFUNCTION("LOWER(REGEXREPLACE(D604&amp;"" ""&amp;E604,""[^а-яa-z0-9 ]"","" ""))"),"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оставля"&amp;"ется в формате  4 в виде набора листов ")</f>
        <v xml:space="preserve">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оставляется в формате  4 в виде набора листов </v>
      </c>
      <c r="C604" s="61" t="s">
        <v>13946</v>
      </c>
      <c r="D604" s="56" t="s">
        <v>13947</v>
      </c>
      <c r="E604" s="56" t="s">
        <v>13948</v>
      </c>
      <c r="F604" s="57">
        <v>1800</v>
      </c>
      <c r="G604" s="58">
        <v>25</v>
      </c>
      <c r="I604" s="5"/>
      <c r="J604" s="5"/>
    </row>
    <row r="605" spans="1:10" x14ac:dyDescent="0.2">
      <c r="A605" s="59" t="str">
        <f ca="1">IFERROR(__xludf.DUMMYFUNCTION("TEXTJOIN(""|"",TRUE,UNIQUE(FILTER(SPLIT(B605,"" ""),LEN(SPLIT(B605,"" ""))&gt;2)))"),"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f>
        <v>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v>
      </c>
      <c r="B605" s="59" t="str">
        <f ca="1">IFERROR(__xludf.DUMMYFUNCTION("LOWER(REGEXREPLACE(D605&amp;"" ""&amp;E605,""[^а-яa-z0-9 ]"","" ""))"),"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вн"&amp;"е группы ")</f>
        <v xml:space="preserve">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вне группы </v>
      </c>
      <c r="C605" s="61" t="s">
        <v>13949</v>
      </c>
      <c r="D605" s="56" t="s">
        <v>13950</v>
      </c>
      <c r="E605" s="56" t="s">
        <v>13951</v>
      </c>
      <c r="F605" s="57">
        <v>39900</v>
      </c>
      <c r="G605" s="58">
        <v>5</v>
      </c>
      <c r="I605" s="5"/>
      <c r="J605" s="5"/>
    </row>
    <row r="606" spans="1:10" x14ac:dyDescent="0.2">
      <c r="A606" s="59" t="str">
        <f ca="1">IFERROR(__xludf.DUMMYFUNCTION("TEXTJOIN(""|"",TRUE,UNIQUE(FILTER(SPLIT(B606,"" ""),LEN(SPLIT(B606,"" ""))&gt;2)))"),"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f>
        <v>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v>
      </c>
      <c r="B606" s="59" t="str">
        <f ca="1">IFERROR(__xludf.DUMMYFUNCTION("LOWER(REGEXREPLACE(D606&amp;"" ""&amp;E606,""[^а-яa-z0-9 ]"","" ""))"),"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f>
        <v xml:space="preserve">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v>
      </c>
      <c r="C606" s="61" t="s">
        <v>13952</v>
      </c>
      <c r="D606" s="56" t="s">
        <v>13953</v>
      </c>
      <c r="E606" s="56" t="s">
        <v>13954</v>
      </c>
      <c r="F606" s="57">
        <v>19000</v>
      </c>
      <c r="G606" s="58">
        <v>5</v>
      </c>
      <c r="I606" s="5"/>
      <c r="J606" s="5"/>
    </row>
    <row r="607" spans="1:10" x14ac:dyDescent="0.2">
      <c r="A607" s="59" t="str">
        <f ca="1">IFERROR(__xludf.DUMMYFUNCTION("TEXTJOIN(""|"",TRUE,UNIQUE(FILTER(SPLIT(B607,"" ""),LEN(SPLIT(B607,"" ""))&gt;2)))"),"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f>
        <v>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v>
      </c>
      <c r="B607" s="59" t="str">
        <f ca="1">IFERROR(__xludf.DUMMYFUNCTION("LOWER(REGEXREPLACE(D607&amp;"" ""&amp;E607,""[^а-яa-z0-9 ]"","" ""))"),"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f>
        <v xml:space="preserve">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v>
      </c>
      <c r="C607" s="61" t="s">
        <v>13955</v>
      </c>
      <c r="D607" s="56" t="s">
        <v>13956</v>
      </c>
      <c r="E607" s="56" t="s">
        <v>13957</v>
      </c>
      <c r="F607" s="57">
        <v>34000</v>
      </c>
      <c r="G607" s="58">
        <v>10</v>
      </c>
      <c r="I607" s="5"/>
      <c r="J607" s="5"/>
    </row>
    <row r="608" spans="1:10" x14ac:dyDescent="0.2">
      <c r="A608" s="59" t="str">
        <f ca="1">IFERROR(__xludf.DUMMYFUNCTION("TEXTJOIN(""|"",TRUE,UNIQUE(FILTER(SPLIT(B608,"" ""),LEN(SPLIT(B608,"" ""))&gt;2)))"),"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f>
        <v>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v>
      </c>
      <c r="B608" s="59" t="str">
        <f ca="1">IFERROR(__xludf.DUMMYFUNCTION("LOWER(REGEXREPLACE(D608&amp;"" ""&amp;E608,""[^а-яa-z0-9 ]"","" ""))"),"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f>
        <v xml:space="preserve">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v>
      </c>
      <c r="C608" s="61" t="s">
        <v>13958</v>
      </c>
      <c r="D608" s="56" t="s">
        <v>13959</v>
      </c>
      <c r="E608" s="56" t="s">
        <v>13960</v>
      </c>
      <c r="F608" s="57">
        <v>11400</v>
      </c>
      <c r="G608" s="58">
        <v>1</v>
      </c>
      <c r="I608" s="5"/>
      <c r="J608" s="5"/>
    </row>
    <row r="609" spans="1:10" x14ac:dyDescent="0.2">
      <c r="A609" s="59" t="str">
        <f ca="1">IFERROR(__xludf.DUMMYFUNCTION("TEXTJOIN(""|"",TRUE,UNIQUE(FILTER(SPLIT(B609,"" ""),LEN(SPLIT(B609,"" ""))&gt;2)))"),"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f>
        <v>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v>
      </c>
      <c r="B609" s="59" t="str">
        <f ca="1">IFERROR(__xludf.DUMMYFUNCTION("LOWER(REGEXREPLACE(D609&amp;"" ""&amp;E609,""[^а-яa-z0-9 ]"","" ""))"),"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f>
        <v xml:space="preserve">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v>
      </c>
      <c r="C609" s="61" t="s">
        <v>13961</v>
      </c>
      <c r="D609" s="56" t="s">
        <v>13962</v>
      </c>
      <c r="E609" s="56" t="s">
        <v>13963</v>
      </c>
      <c r="F609" s="57">
        <v>9700</v>
      </c>
      <c r="G609" s="58">
        <v>5</v>
      </c>
      <c r="I609" s="5"/>
      <c r="J609" s="5"/>
    </row>
    <row r="610" spans="1:10" x14ac:dyDescent="0.2">
      <c r="A610" s="59" t="str">
        <f ca="1">IFERROR(__xludf.DUMMYFUNCTION("TEXTJOIN(""|"",TRUE,UNIQUE(FILTER(SPLIT(B610,"" ""),LEN(SPLIT(B610,"" ""))&gt;2)))"),"абор|полезных|ископаемых|абор|редких|кристаллов|камень|минерал|кристаллический|кластер|отдельный|кристаллический|минеральный|камень")</f>
        <v>абор|полезных|ископаемых|абор|редких|кристаллов|камень|минерал|кристаллический|кластер|отдельный|кристаллический|минеральный|камень</v>
      </c>
      <c r="B610" s="59" t="str">
        <f ca="1">IFERROR(__xludf.DUMMYFUNCTION("LOWER(REGEXREPLACE(D610&amp;"" ""&amp;E610,""[^а-яa-z0-9 ]"","" ""))")," абор полезных ископаемых  абор из 4 38 шт  редких кристаллов  камень минерал  кристаллический кластер  отдельный кристаллический минеральный камень  ")</f>
        <v xml:space="preserve"> абор полезных ископаемых  абор из 4 38 шт  редких кристаллов  камень минерал  кристаллический кластер  отдельный кристаллический минеральный камень  </v>
      </c>
      <c r="C610" s="61" t="s">
        <v>13964</v>
      </c>
      <c r="D610" s="56" t="s">
        <v>13965</v>
      </c>
      <c r="E610" s="56" t="s">
        <v>13966</v>
      </c>
      <c r="F610" s="57">
        <v>28500</v>
      </c>
      <c r="G610" s="58">
        <v>7</v>
      </c>
      <c r="I610" s="5"/>
      <c r="J610" s="5"/>
    </row>
    <row r="611" spans="1:10" x14ac:dyDescent="0.2">
      <c r="A611" s="59" t="str">
        <f ca="1">IFERROR(__xludf.DUMMYFUNCTION("TEXTJOIN(""|"",TRUE,UNIQUE(FILTER(SPLIT(B611,"" ""),LEN(SPLIT(B611,"" ""))&gt;2)))"),"абор|посудок|гровой|набор|посудки|набор|чайный|атериал|металл")</f>
        <v>абор|посудок|гровой|набор|посудки|набор|чайный|атериал|металл</v>
      </c>
      <c r="B611" s="59" t="str">
        <f ca="1">IFERROR(__xludf.DUMMYFUNCTION("LOWER(REGEXREPLACE(D611&amp;"" ""&amp;E611,""[^а-яa-z0-9 ]"","" ""))")," абор посудок  гровой набор посудки  набор чайный   атериал металл ")</f>
        <v xml:space="preserve"> абор посудок  гровой набор посудки  набор чайный   атериал металл </v>
      </c>
      <c r="C611" s="61" t="s">
        <v>13967</v>
      </c>
      <c r="D611" s="56" t="s">
        <v>13968</v>
      </c>
      <c r="E611" s="56" t="s">
        <v>13969</v>
      </c>
      <c r="F611" s="57">
        <v>19000</v>
      </c>
      <c r="G611" s="58">
        <v>2</v>
      </c>
      <c r="I611" s="5"/>
      <c r="J611" s="5"/>
    </row>
    <row r="612" spans="1:10" x14ac:dyDescent="0.2">
      <c r="A612" s="59" t="str">
        <f ca="1">IFERROR(__xludf.DUMMYFUNCTION("TEXTJOIN(""|"",TRUE,UNIQUE(FILTER(SPLIT(B612,"" ""),LEN(SPLIT(B612,"" ""))&gt;2)))"),"абор|посуды|коробке|озрастное|ограничение|материал|метал|наборе|предметов|размер|упаковки|производство|итай")</f>
        <v>абор|посуды|коробке|озрастное|ограничение|материал|метал|наборе|предметов|размер|упаковки|производство|итай</v>
      </c>
      <c r="B612" s="59" t="str">
        <f ca="1">IFERROR(__xludf.DUMMYFUNCTION("LOWER(REGEXREPLACE(D612&amp;"" ""&amp;E612,""[^а-яa-z0-9 ]"","" ""))")," абор посуды в коробке  озрастное ограничение 3   материал метал  в наборе 13 предметов  размер упаковки 22 32 9 см  производство  итай ")</f>
        <v xml:space="preserve"> абор посуды в коробке  озрастное ограничение 3   материал метал  в наборе 13 предметов  размер упаковки 22 32 9 см  производство  итай </v>
      </c>
      <c r="C612" s="61" t="s">
        <v>13970</v>
      </c>
      <c r="D612" s="56" t="s">
        <v>13971</v>
      </c>
      <c r="E612" s="56" t="s">
        <v>13972</v>
      </c>
      <c r="F612" s="57">
        <v>14000</v>
      </c>
      <c r="G612" s="58">
        <v>12</v>
      </c>
      <c r="I612" s="5"/>
      <c r="J612" s="5"/>
    </row>
    <row r="613" spans="1:10" x14ac:dyDescent="0.2">
      <c r="A613" s="59" t="str">
        <f ca="1">IFERROR(__xludf.DUMMYFUNCTION("TEXTJOIN(""|"",TRUE,UNIQUE(FILTER(SPLIT(B613,"" ""),LEN(SPLIT(B613,"" ""))&gt;2)))"),"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amp;"|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f>
        <v>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v>
      </c>
      <c r="B613" s="59" t="str">
        <f ca="1">IFERROR(__xludf.DUMMYFUNCTION("LOWER(REGEXREPLACE(D613&amp;"" ""&amp;E613,""[^а-яa-z0-9 ]"","" ""))"),"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классифик"&amp;"ации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детски"&amp;"х учреждениях ")</f>
        <v xml:space="preserve">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детских учреждениях </v>
      </c>
      <c r="C613" s="61" t="s">
        <v>13973</v>
      </c>
      <c r="D613" s="56" t="s">
        <v>13974</v>
      </c>
      <c r="E613" s="56" t="s">
        <v>13975</v>
      </c>
      <c r="F613" s="57">
        <v>4200</v>
      </c>
      <c r="G613" s="58">
        <v>14</v>
      </c>
      <c r="I613" s="5"/>
      <c r="J613" s="5"/>
    </row>
    <row r="614" spans="1:10" x14ac:dyDescent="0.2">
      <c r="A614" s="59" t="str">
        <f ca="1">IFERROR(__xludf.DUMMYFUNCTION("TEXTJOIN(""|"",TRUE,UNIQUE(FILTER(SPLIT(B614,"" ""),LEN(SPLIT(B614,"" ""))&gt;2)))"),"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amp;"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f>
        <v>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v>
      </c>
      <c r="B614" s="59" t="str">
        <f ca="1">IFERROR(__xludf.DUMMYFUNCTION("LOWER(REGEXREPLACE(D614&amp;"" ""&amp;E614,""[^а-яa-z0-9 ]"","" ""))"),"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познавате"&amp;"льного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по"&amp;"д контролем педагога ")</f>
        <v xml:space="preserve">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под контролем педагога </v>
      </c>
      <c r="C614" s="61" t="s">
        <v>13976</v>
      </c>
      <c r="D614" s="56" t="s">
        <v>13977</v>
      </c>
      <c r="E614" s="56" t="s">
        <v>13978</v>
      </c>
      <c r="F614" s="57">
        <v>7000</v>
      </c>
      <c r="G614" s="58">
        <v>10</v>
      </c>
      <c r="I614" s="5"/>
      <c r="J614" s="5"/>
    </row>
    <row r="615" spans="1:10" x14ac:dyDescent="0.2">
      <c r="A615" s="59" t="str">
        <f ca="1">IFERROR(__xludf.DUMMYFUNCTION("TEXTJOIN(""|"",TRUE,UNIQUE(FILTER(SPLIT(B615,"" ""),LEN(SPLIT(B615,"" ""))&gt;2)))"),"жаса|оптамасы|абайы|дар|ерия|делай|сам|омашние|животные|картона")</f>
        <v>жаса|оптамасы|абайы|дар|ерия|делай|сам|омашние|животные|картона</v>
      </c>
      <c r="B615" s="59" t="str">
        <f ca="1">IFERROR(__xludf.DUMMYFUNCTION("LOWER(REGEXREPLACE(D615&amp;"" ""&amp;E615,""[^а-яa-z0-9 ]"","" ""))"),"  з   жаса  оптамасы   абайы а дар   ерия   делай сам    омашние животные из картона ")</f>
        <v xml:space="preserve">  з   жаса  оптамасы   абайы а дар   ерия   делай сам    омашние животные из картона </v>
      </c>
      <c r="C615" s="61" t="s">
        <v>13979</v>
      </c>
      <c r="D615" s="56" t="s">
        <v>13980</v>
      </c>
      <c r="E615" s="56"/>
      <c r="F615" s="57">
        <v>1800</v>
      </c>
      <c r="G615" s="58">
        <v>1</v>
      </c>
      <c r="I615" s="5"/>
      <c r="J615" s="5"/>
    </row>
    <row r="616" spans="1:10" x14ac:dyDescent="0.2">
      <c r="A616" s="59" t="str">
        <f ca="1">IFERROR(__xludf.DUMMYFUNCTION("TEXTJOIN(""|"",TRUE,UNIQUE(FILTER(SPLIT(B616,"" ""),LEN(SPLIT(B616,"" ""))&gt;2)))"),"мен|емес|апсырма|тапша|ерма")</f>
        <v>мен|емес|апсырма|тапша|ерма</v>
      </c>
      <c r="B616" s="59" t="str">
        <f ca="1">IFERROR(__xludf.DUMMYFUNCTION("LOWER(REGEXREPLACE(D616&amp;"" ""&amp;E616,""[^а-яa-z0-9 ]"","" ""))"),"  л мен к  емес    апсырма   к тапша   ерма ")</f>
        <v xml:space="preserve">  л мен к  емес    апсырма   к тапша   ерма </v>
      </c>
      <c r="C616" s="61" t="s">
        <v>13981</v>
      </c>
      <c r="D616" s="56" t="s">
        <v>13982</v>
      </c>
      <c r="E616" s="56"/>
      <c r="F616" s="57">
        <v>1400</v>
      </c>
      <c r="G616" s="58">
        <v>1</v>
      </c>
      <c r="I616" s="5"/>
      <c r="J616" s="5"/>
    </row>
    <row r="617" spans="1:10" x14ac:dyDescent="0.2">
      <c r="A617" s="59" t="str">
        <f ca="1">IFERROR(__xludf.DUMMYFUNCTION("TEXTJOIN(""|"",TRUE,UNIQUE(FILTER(SPLIT(B617,"" ""),LEN(SPLIT(B617,"" ""))&gt;2)))"),"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amp;"зопасного|пластика|одежда|изготовлена|текстильных|материалов|одходит|для|групповых|индивидуальных|игр")</f>
        <v>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зопасного|пластика|одежда|изготовлена|текстильных|материалов|одходит|для|групповых|индивидуальных|игр</v>
      </c>
      <c r="B617" s="59" t="str">
        <f ca="1">IFERROR(__xludf.DUMMYFUNCTION("LOWER(REGEXREPLACE(D617&amp;"" ""&amp;E617,""[^а-яa-z0-9 ]"","" ""))"),"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с"&amp;"м   уклы выполнены из безопасного пластика  одежда изготовлена из текстильных материалов   одходит для групповых и индивидуальных игр ")</f>
        <v xml:space="preserve">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см   уклы выполнены из безопасного пластика  одежда изготовлена из текстильных материалов   одходит для групповых и индивидуальных игр </v>
      </c>
      <c r="C617" s="61" t="s">
        <v>13983</v>
      </c>
      <c r="D617" s="56" t="s">
        <v>13984</v>
      </c>
      <c r="E617" s="56" t="s">
        <v>13985</v>
      </c>
      <c r="F617" s="57">
        <v>12400</v>
      </c>
      <c r="G617" s="58">
        <v>1</v>
      </c>
      <c r="I617" s="5"/>
      <c r="J617" s="5"/>
    </row>
    <row r="618" spans="1:10" x14ac:dyDescent="0.2">
      <c r="A618" s="59" t="str">
        <f ca="1">IFERROR(__xludf.DUMMYFUNCTION("TEXTJOIN(""|"",TRUE,UNIQUE(FILTER(SPLIT(B618,"" ""),LEN(SPLIT(B618,"" ""))&gt;2)))"),"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amp;"ок|доступность|материалов|для|детей")</f>
        <v>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ок|доступность|материалов|для|детей</v>
      </c>
      <c r="B618" s="59" t="str">
        <f ca="1">IFERROR(__xludf.DUMMYFUNCTION("LOWER(REGEXREPLACE(D618&amp;"" ""&amp;E618,""[^а-яa-z0-9 ]"","" ""))"),"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без"&amp;"опасные   беспечивают порядок и доступность материалов для детей ")</f>
        <v xml:space="preserve">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безопасные   беспечивают порядок и доступность материалов для детей </v>
      </c>
      <c r="C618" s="61" t="s">
        <v>13986</v>
      </c>
      <c r="D618" s="56" t="s">
        <v>13987</v>
      </c>
      <c r="E618" s="56" t="s">
        <v>13988</v>
      </c>
      <c r="F618" s="57">
        <v>28500</v>
      </c>
      <c r="G618" s="58">
        <v>1</v>
      </c>
      <c r="I618" s="5"/>
      <c r="J618" s="5"/>
    </row>
    <row r="619" spans="1:10" x14ac:dyDescent="0.2">
      <c r="A619" s="59" t="str">
        <f ca="1">IFERROR(__xludf.DUMMYFUNCTION("TEXTJOIN(""|"",TRUE,UNIQUE(FILTER(SPLIT(B619,"" ""),LEN(SPLIT(B619,"" ""))&gt;2)))"),"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amp;"|самостоятельной|совместной|игровой|деятельности")</f>
        <v>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самостоятельной|совместной|игровой|деятельности</v>
      </c>
      <c r="B619" s="59" t="str">
        <f ca="1">IFERROR(__xludf.DUMMYFUNCTION("LOWER(REGEXREPLACE(D619&amp;"" ""&amp;E619,""[^а-яa-z0-9 ]"","" ""))"),"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воображе"&amp;"ния   одходит для самостоятельной и совместной игровой деятельности ")</f>
        <v xml:space="preserve">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воображения   одходит для самостоятельной и совместной игровой деятельности </v>
      </c>
      <c r="C619" s="61" t="s">
        <v>13989</v>
      </c>
      <c r="D619" s="56" t="s">
        <v>13990</v>
      </c>
      <c r="E619" s="56" t="s">
        <v>13991</v>
      </c>
      <c r="F619" s="57">
        <v>11400</v>
      </c>
      <c r="G619" s="58">
        <v>7</v>
      </c>
      <c r="I619" s="5"/>
      <c r="J619" s="5"/>
    </row>
    <row r="620" spans="1:10" x14ac:dyDescent="0.2">
      <c r="A620" s="59" t="str">
        <f ca="1">IFERROR(__xludf.DUMMYFUNCTION("TEXTJOIN(""|"",TRUE,UNIQUE(FILTER(SPLIT(B620,"" ""),LEN(SPLIT(B620,"" ""))&gt;2)))"),"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amp;"енных|ярком|цветовом|оформлении|одходит|для|свободной|игровой|деятельности|детей")</f>
        <v>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енных|ярком|цветовом|оформлении|одходит|для|свободной|игровой|деятельности|детей</v>
      </c>
      <c r="B620" s="59" t="str">
        <f ca="1">IFERROR(__xludf.DUMMYFUNCTION("LOWER(REGEXREPLACE(D620&amp;"" ""&amp;E620,""[^а-яa-z0-9 ]"","" ""))"),"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в"&amp;"ысотой около 12 см  выполненных в ярком цветовом оформлении   одходит для свободной игровой деятельности детей ")</f>
        <v xml:space="preserve">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высотой около 12 см  выполненных в ярком цветовом оформлении   одходит для свободной игровой деятельности детей </v>
      </c>
      <c r="C620" s="61" t="s">
        <v>13992</v>
      </c>
      <c r="D620" s="56" t="s">
        <v>13993</v>
      </c>
      <c r="E620" s="56" t="s">
        <v>13994</v>
      </c>
      <c r="F620" s="57">
        <v>32100</v>
      </c>
      <c r="G620" s="58">
        <v>5</v>
      </c>
      <c r="I620" s="5"/>
      <c r="J620" s="5"/>
    </row>
    <row r="621" spans="1:10" x14ac:dyDescent="0.2">
      <c r="A621" s="59" t="str">
        <f ca="1">IFERROR(__xludf.DUMMYFUNCTION("TEXTJOIN(""|"",TRUE,UNIQUE(FILTER(SPLIT(B621,"" ""),LEN(SPLIT(B621,"" ""))&gt;2)))"),"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amp;"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f>
        <v>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v>
      </c>
      <c r="B621" s="59" t="str">
        <f ca="1">IFERROR(__xludf.DUMMYFUNCTION("LOWER(REGEXREPLACE(D621&amp;"" ""&amp;E621,""[^а-яa-z0-9 ]"","" ""))"),"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транспо"&amp;"рта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f>
        <v xml:space="preserve">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v>
      </c>
      <c r="C621" s="61" t="s">
        <v>13995</v>
      </c>
      <c r="D621" s="56" t="s">
        <v>13996</v>
      </c>
      <c r="E621" s="56" t="s">
        <v>13997</v>
      </c>
      <c r="F621" s="57">
        <v>21900</v>
      </c>
      <c r="G621" s="58">
        <v>35</v>
      </c>
      <c r="I621" s="5"/>
      <c r="J621" s="5"/>
    </row>
    <row r="622" spans="1:10" x14ac:dyDescent="0.2">
      <c r="A622" s="59" t="str">
        <f ca="1">IFERROR(__xludf.DUMMYFUNCTION("TEXTJOIN(""|"",TRUE,UNIQUE(FILTER(SPLIT(B622,"" ""),LEN(SPLIT(B622,"" ""))&gt;2)))"),"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amp;"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f>
        <v>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v>
      </c>
      <c r="B622" s="59" t="str">
        <f ca="1">IFERROR(__xludf.DUMMYFUNCTION("LOWER(REGEXREPLACE(D622&amp;"" ""&amp;E622,""[^а-яa-z0-9 ]"","" ""))"),"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формиров"&amp;"ания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f>
        <v xml:space="preserve">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v>
      </c>
      <c r="C622" s="61" t="s">
        <v>13998</v>
      </c>
      <c r="D622" s="56" t="s">
        <v>13999</v>
      </c>
      <c r="E622" s="56" t="s">
        <v>14000</v>
      </c>
      <c r="F622" s="57">
        <v>38000</v>
      </c>
      <c r="G622" s="58">
        <v>1</v>
      </c>
      <c r="I622" s="5"/>
      <c r="J622" s="5"/>
    </row>
    <row r="623" spans="1:10" x14ac:dyDescent="0.2">
      <c r="A623" s="59" t="str">
        <f ca="1">IFERROR(__xludf.DUMMYFUNCTION("TEXTJOIN(""|"",TRUE,UNIQUE(FILTER(SPLIT(B623,"" ""),LEN(SPLIT(B623,"" ""))&gt;2)))"),"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amp;"реса|комплект|входит|статичных|фигурок|насекомых|выполненных|прочного|полимерного|материала|одходит|для|индивидуальной|групповой|работы")</f>
        <v>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реса|комплект|входит|статичных|фигурок|насекомых|выполненных|прочного|полимерного|материала|одходит|для|индивидуальной|групповой|работы</v>
      </c>
      <c r="B623" s="59" t="str">
        <f ca="1">IFERROR(__xludf.DUMMYFUNCTION("LOWER(REGEXREPLACE(D623&amp;"" ""&amp;E623,""[^а-яa-z0-9 ]"","" ""))"),"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позн"&amp;"авательного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f>
        <v xml:space="preserve">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v>
      </c>
      <c r="C623" s="61" t="s">
        <v>14001</v>
      </c>
      <c r="D623" s="56" t="s">
        <v>14002</v>
      </c>
      <c r="E623" s="56" t="s">
        <v>14003</v>
      </c>
      <c r="F623" s="57">
        <v>13100</v>
      </c>
      <c r="G623" s="58">
        <v>2</v>
      </c>
      <c r="I623" s="5"/>
      <c r="J623" s="5"/>
    </row>
    <row r="624" spans="1:10" x14ac:dyDescent="0.2">
      <c r="A624" s="59" t="str">
        <f ca="1">IFERROR(__xludf.DUMMYFUNCTION("TEXTJOIN(""|"",TRUE,UNIQUE(FILTER(SPLIT(B624,"" ""),LEN(SPLIT(B624,"" ""))&gt;2)))"),"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amp;"зования|образовательной|среде|дошкольного|учреждения")</f>
        <v>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зования|образовательной|среде|дошкольного|учреждения</v>
      </c>
      <c r="B624" s="59" t="str">
        <f ca="1">IFERROR(__xludf.DUMMYFUNCTION("LOWER(REGEXREPLACE(D624&amp;"" ""&amp;E624,""[^а-яa-z0-9 ]"","" ""))"),"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безопас"&amp;"ны для детей и подходят для использования в образовательной среде дошкольного учреждения ")</f>
        <v xml:space="preserve">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безопасны для детей и подходят для использования в образовательной среде дошкольного учреждения </v>
      </c>
      <c r="C624" s="61" t="s">
        <v>14004</v>
      </c>
      <c r="D624" s="56" t="s">
        <v>14005</v>
      </c>
      <c r="E624" s="56" t="s">
        <v>14006</v>
      </c>
      <c r="F624" s="57">
        <v>9600</v>
      </c>
      <c r="G624" s="58">
        <v>7</v>
      </c>
      <c r="I624" s="5"/>
      <c r="J624" s="5"/>
    </row>
    <row r="625" spans="1:10" x14ac:dyDescent="0.2">
      <c r="A625" s="59" t="str">
        <f ca="1">IFERROR(__xludf.DUMMYFUNCTION("TEXTJOIN(""|"",TRUE,UNIQUE(FILTER(SPLIT(B625,"" ""),LEN(SPLIT(B625,"" ""))&gt;2)))"),"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amp;"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f>
        <v>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v>
      </c>
      <c r="B625" s="59" t="str">
        <f ca="1">IFERROR(__xludf.DUMMYFUNCTION("LOWER(REGEXREPLACE(D625&amp;"" ""&amp;E625,""[^а-яa-z0-9 ]"","" ""))"),"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мышлени"&amp;"я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f>
        <v xml:space="preserve">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v>
      </c>
      <c r="C625" s="61" t="s">
        <v>14007</v>
      </c>
      <c r="D625" s="56" t="s">
        <v>14008</v>
      </c>
      <c r="E625" s="56" t="s">
        <v>14009</v>
      </c>
      <c r="F625" s="57">
        <v>66900</v>
      </c>
      <c r="G625" s="58">
        <v>15</v>
      </c>
      <c r="I625" s="5"/>
      <c r="J625" s="5"/>
    </row>
    <row r="626" spans="1:10" x14ac:dyDescent="0.2">
      <c r="A626" s="59" t="str">
        <f ca="1">IFERROR(__xludf.DUMMYFUNCTION("TEXTJOIN(""|"",TRUE,UNIQUE(FILTER(SPLIT(B626,"" ""),LEN(SPLIT(B626,"" ""))&gt;2)))"),"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amp;"позволяет|проводить|упражнения|разной|сложности|одходит|для|индивидуальной|подгрупповой|работы|спользуется|как|демонстрационный|раздаточный|материал")</f>
        <v>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позволяет|проводить|упражнения|разной|сложности|одходит|для|индивидуальной|подгрупповой|работы|спользуется|как|демонстрационный|раздаточный|материал</v>
      </c>
      <c r="B626" s="59" t="str">
        <f ca="1">IFERROR(__xludf.DUMMYFUNCTION("LOWER(REGEXREPLACE(D626&amp;"" ""&amp;E626,""[^а-яa-z0-9 ]"","" ""))"),"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дополняется"&amp;"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f>
        <v xml:space="preserve">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v>
      </c>
      <c r="C626" s="61" t="s">
        <v>14010</v>
      </c>
      <c r="D626" s="56" t="s">
        <v>14011</v>
      </c>
      <c r="E626" s="56" t="s">
        <v>14012</v>
      </c>
      <c r="F626" s="57">
        <v>3400</v>
      </c>
      <c r="G626" s="58">
        <v>7</v>
      </c>
      <c r="I626" s="5"/>
      <c r="J626" s="5"/>
    </row>
    <row r="627" spans="1:10" x14ac:dyDescent="0.2">
      <c r="A627" s="59" t="str">
        <f ca="1">IFERROR(__xludf.DUMMYFUNCTION("TEXTJOIN(""|"",TRUE,UNIQUE(FILTER(SPLIT(B627,"" ""),LEN(SPLIT(B627,"" ""))&gt;2)))"),"ызы|химия|инстон")</f>
        <v>ызы|химия|инстон</v>
      </c>
      <c r="B627" s="59" t="str">
        <f ca="1">IFERROR(__xludf.DUMMYFUNCTION("LOWER(REGEXREPLACE(D627&amp;"" ""&amp;E627,""[^а-яa-z0-9 ]"","" ""))"),"  л  те о ай   ызы ты химия    инстон")</f>
        <v xml:space="preserve">  л  те о ай   ызы ты химия    инстон</v>
      </c>
      <c r="C627" s="61" t="s">
        <v>14013</v>
      </c>
      <c r="D627" s="56" t="s">
        <v>14014</v>
      </c>
      <c r="E627" s="56" t="s">
        <v>14015</v>
      </c>
      <c r="F627" s="57">
        <v>8000</v>
      </c>
      <c r="G627" s="58">
        <v>1</v>
      </c>
      <c r="I627" s="5"/>
      <c r="J627" s="5"/>
    </row>
    <row r="628" spans="1:10" x14ac:dyDescent="0.2">
      <c r="A628" s="59" t="str">
        <f ca="1">IFERROR(__xludf.DUMMYFUNCTION("TEXTJOIN(""|"",TRUE,UNIQUE(FILTER(SPLIT(B628,"" ""),LEN(SPLIT(B628,"" ""))&gt;2)))"),"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f>
        <v>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v>
      </c>
      <c r="B628" s="59" t="str">
        <f ca="1">IFERROR(__xludf.DUMMYFUNCTION("LOWER(REGEXREPLACE(D628&amp;"" ""&amp;E628,""[^а-яa-z0-9 ]"","" ""))"),"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тв"&amp;"орческой деятельности в     ")</f>
        <v xml:space="preserve">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творческой деятельности в     </v>
      </c>
      <c r="C628" s="61" t="s">
        <v>14016</v>
      </c>
      <c r="D628" s="56" t="s">
        <v>14017</v>
      </c>
      <c r="E628" s="56" t="s">
        <v>14018</v>
      </c>
      <c r="F628" s="57">
        <v>1300</v>
      </c>
      <c r="G628" s="58">
        <v>25</v>
      </c>
      <c r="I628" s="5"/>
      <c r="J628" s="5"/>
    </row>
    <row r="629" spans="1:10" x14ac:dyDescent="0.2">
      <c r="A629" s="59" t="str">
        <f ca="1">IFERROR(__xludf.DUMMYFUNCTION("TEXTJOIN(""|"",TRUE,UNIQUE(FILTER(SPLIT(B629,"" ""),LEN(SPLIT(B629,"" ""))&gt;2)))"),"аполеон|apoleon|каз|рус|англ|едбридж|перевод|ужикова|санова")</f>
        <v>аполеон|apoleon|каз|рус|англ|едбридж|перевод|ужикова|санова</v>
      </c>
      <c r="B629" s="59" t="str">
        <f ca="1">IFERROR(__xludf.DUMMYFUNCTION("LOWER(REGEXREPLACE(D629&amp;"" ""&amp;E629,""[^а-яa-z0-9 ]"","" ""))")," аполеон   apoleon  каз   рус   англ яз      едбридж  перевод  ужикова      санова     ")</f>
        <v xml:space="preserve"> аполеон   apoleon  каз   рус   англ яз      едбридж  перевод  ужикова      санова     </v>
      </c>
      <c r="C629" s="61" t="s">
        <v>14019</v>
      </c>
      <c r="D629" s="56" t="s">
        <v>14020</v>
      </c>
      <c r="E629" s="56" t="s">
        <v>14021</v>
      </c>
      <c r="F629" s="57">
        <v>3600</v>
      </c>
      <c r="G629" s="58">
        <v>1</v>
      </c>
      <c r="I629" s="5"/>
      <c r="J629" s="5"/>
    </row>
    <row r="630" spans="1:10" x14ac:dyDescent="0.2">
      <c r="A630" s="59" t="str">
        <f ca="1">IFERROR(__xludf.DUMMYFUNCTION("TEXTJOIN(""|"",TRUE,UNIQUE(FILTER(SPLIT(B630,"" ""),LEN(SPLIT(B630,"" ""))&gt;2)))"),"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amp;"укавника|кармашек|одходят|для|использования|детьми|разного|возраста")</f>
        <v>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укавника|кармашек|одходят|для|использования|детьми|разного|возраста</v>
      </c>
      <c r="B630" s="59" t="str">
        <f ca="1">IFERROR(__xludf.DUMMYFUNCTION("LOWER(REGEXREPLACE(D630&amp;"" ""&amp;E630,""[^а-яa-z0-9 ]"","" ""))"),"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компле"&amp;"кт входят два нарукавника и кармашек   одходят для использования детьми разного возраста ")</f>
        <v xml:space="preserve">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комплект входят два нарукавника и кармашек   одходят для использования детьми разного возраста </v>
      </c>
      <c r="C630" s="61" t="s">
        <v>14022</v>
      </c>
      <c r="D630" s="56" t="s">
        <v>14023</v>
      </c>
      <c r="E630" s="56" t="s">
        <v>14024</v>
      </c>
      <c r="F630" s="57">
        <v>5700</v>
      </c>
      <c r="G630" s="58">
        <v>25</v>
      </c>
      <c r="I630" s="5"/>
      <c r="J630" s="5"/>
    </row>
    <row r="631" spans="1:10" x14ac:dyDescent="0.2">
      <c r="A631" s="59" t="str">
        <f ca="1">IFERROR(__xludf.DUMMYFUNCTION("TEXTJOIN(""|"",TRUE,UNIQUE(FILTER(SPLIT(B631,"" ""),LEN(SPLIT(B631,"" ""))&gt;2)))"),"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amp;"координации|движений|атериал|дерево")</f>
        <v>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координации|движений|атериал|дерево</v>
      </c>
      <c r="B631" s="59" t="str">
        <f ca="1">IFERROR(__xludf.DUMMYFUNCTION("LOWER(REGEXREPLACE(D631&amp;"" ""&amp;E631,""[^а-яa-z0-9 ]"","" ""))"),"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во"&amp;"сприятия  внимания и координации движений   атериал   дерево ")</f>
        <v xml:space="preserve">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восприятия  внимания и координации движений   атериал   дерево </v>
      </c>
      <c r="C631" s="61" t="s">
        <v>14025</v>
      </c>
      <c r="D631" s="56" t="s">
        <v>14026</v>
      </c>
      <c r="E631" s="56" t="s">
        <v>14027</v>
      </c>
      <c r="F631" s="57">
        <v>127300</v>
      </c>
      <c r="G631" s="58">
        <v>7</v>
      </c>
      <c r="I631" s="5"/>
      <c r="J631" s="5"/>
    </row>
    <row r="632" spans="1:10" x14ac:dyDescent="0.2">
      <c r="A632" s="59" t="str">
        <f ca="1">IFERROR(__xludf.DUMMYFUNCTION("TEXTJOIN(""|"",TRUE,UNIQUE(FILTER(SPLIT(B632,"" ""),LEN(SPLIT(B632,"" ""))&gt;2)))"),"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amp;"тенное|крепление|устойчивую|конструкцию|подходит|для|применения")</f>
        <v>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тенное|крепление|устойчивую|конструкцию|подходит|для|применения</v>
      </c>
      <c r="B632" s="59" t="str">
        <f ca="1">IFERROR(__xludf.DUMMYFUNCTION("LOWER(REGEXREPLACE(D632&amp;"" ""&amp;E632,""[^а-яa-z0-9 ]"","" ""))"),"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лет"&amp;"   зготовлен из дерева  имеет настенное крепление и устойчивую конструкцию  подходит для применения в     ")</f>
        <v xml:space="preserve">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   зготовлен из дерева  имеет настенное крепление и устойчивую конструкцию  подходит для применения в     </v>
      </c>
      <c r="C632" s="61" t="s">
        <v>14028</v>
      </c>
      <c r="D632" s="56" t="s">
        <v>14029</v>
      </c>
      <c r="E632" s="56" t="s">
        <v>14030</v>
      </c>
      <c r="F632" s="57">
        <v>163400</v>
      </c>
      <c r="G632" s="58">
        <v>8</v>
      </c>
      <c r="I632" s="5"/>
      <c r="J632" s="5"/>
    </row>
    <row r="633" spans="1:10" x14ac:dyDescent="0.2">
      <c r="A633" s="59" t="str">
        <f ca="1">IFERROR(__xludf.DUMMYFUNCTION("TEXTJOIN(""|"",TRUE,UNIQUE(FILTER(SPLIT(B633,"" ""),LEN(SPLIT(B633,"" ""))&gt;2)))"),"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amp;"|эмоции|репление|стене|обеспечивает|устойчивость|безопасность|экономию|пространства")</f>
        <v>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эмоции|репление|стене|обеспечивает|устойчивость|безопасность|экономию|пространства</v>
      </c>
      <c r="B633" s="59" t="str">
        <f ca="1">IFERROR(__xludf.DUMMYFUNCTION("LOWER(REGEXREPLACE(D633&amp;"" ""&amp;E633,""[^а-яa-z0-9 ]"","" ""))"),"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з"&amp;"адания и выражать эмоции   репление к стене обеспечивает устойчивость  безопасность и экономию пространства ")</f>
        <v xml:space="preserve">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задания и выражать эмоции   репление к стене обеспечивает устойчивость  безопасность и экономию пространства </v>
      </c>
      <c r="C633" s="61" t="s">
        <v>14031</v>
      </c>
      <c r="D633" s="56" t="s">
        <v>14032</v>
      </c>
      <c r="E633" s="56" t="s">
        <v>14033</v>
      </c>
      <c r="F633" s="57">
        <v>67400</v>
      </c>
      <c r="G633" s="58">
        <v>1</v>
      </c>
      <c r="I633" s="5"/>
      <c r="J633" s="5"/>
    </row>
    <row r="634" spans="1:10" x14ac:dyDescent="0.2">
      <c r="A634" s="59" t="str">
        <f ca="1">IFERROR(__xludf.DUMMYFUNCTION("TEXTJOIN(""|"",TRUE,UNIQUE(FILTER(SPLIT(B634,"" ""),LEN(SPLIT(B634,"" ""))&gt;2)))"),"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f>
        <v>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v>
      </c>
      <c r="B634" s="59" t="str">
        <f ca="1">IFERROR(__xludf.DUMMYFUNCTION("LOWER(REGEXREPLACE(D634&amp;"" ""&amp;E634,""[^а-яa-z0-9 ]"","" ""))"),"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зелен"&amp;"ые   6 шт    желтые   6 шт    синие   6 шт    розовые   6 шт    красные   6 шт    инструкция   1 шт")</f>
        <v xml:space="preserve">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v>
      </c>
      <c r="C634" s="61" t="s">
        <v>14034</v>
      </c>
      <c r="D634" s="56" t="s">
        <v>14035</v>
      </c>
      <c r="E634" s="56" t="s">
        <v>14036</v>
      </c>
      <c r="F634" s="57">
        <v>15300</v>
      </c>
      <c r="G634" s="58">
        <v>175</v>
      </c>
      <c r="I634" s="5"/>
      <c r="J634" s="5"/>
    </row>
    <row r="635" spans="1:10" x14ac:dyDescent="0.2">
      <c r="A635" s="59" t="str">
        <f ca="1">IFERROR(__xludf.DUMMYFUNCTION("TEXTJOIN(""|"",TRUE,UNIQUE(FILTER(SPLIT(B635,"" ""),LEN(SPLIT(B635,"" ""))&gt;2)))"),"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amp;"множения|развитию|навыков|азмер|игрового|поля|составляет|менее|атериалы|дерево|бумажные|карточки")</f>
        <v>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множения|развитию|навыков|азмер|игрового|поля|составляет|менее|атериалы|дерево|бумажные|карточки</v>
      </c>
      <c r="B635" s="59" t="str">
        <f ca="1">IFERROR(__xludf.DUMMYFUNCTION("LOWER(REGEXREPLACE(D635&amp;"" ""&amp;E635,""[^а-яa-z0-9 ]"","" ""))"),"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способству"&amp;"ет закреплению таблицы умножения и развитию навыков сч та   азмер игрового поля составляет не менее 19 5 19 5 см   атериалы  дерево и бумажные карточки ")</f>
        <v xml:space="preserve">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способствует закреплению таблицы умножения и развитию навыков сч та   азмер игрового поля составляет не менее 19 5 19 5 см   атериалы  дерево и бумажные карточки </v>
      </c>
      <c r="C635" s="61" t="s">
        <v>14037</v>
      </c>
      <c r="D635" s="56" t="s">
        <v>14038</v>
      </c>
      <c r="E635" s="56" t="s">
        <v>14039</v>
      </c>
      <c r="F635" s="57">
        <v>8100</v>
      </c>
      <c r="G635" s="58">
        <v>10</v>
      </c>
      <c r="I635" s="5"/>
      <c r="J635" s="5"/>
    </row>
    <row r="636" spans="1:10" x14ac:dyDescent="0.2">
      <c r="A636" s="59" t="str">
        <f ca="1">IFERROR(__xludf.DUMMYFUNCTION("TEXTJOIN(""|"",TRUE,UNIQUE(FILTER(SPLIT(B636,"" ""),LEN(SPLIT(B636,"" ""))&gt;2)))"),"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amp;"бабочек|бабочка|одного|цвета|кубики|бабочки|двух|цветов|коврик|инструкция|карточки|бабочками|узорам")</f>
        <v>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бабочек|бабочка|одного|цвета|кубики|бабочки|двух|цветов|коврик|инструкция|карточки|бабочками|узорам</v>
      </c>
      <c r="B636" s="59" t="str">
        <f ca="1">IFERROR(__xludf.DUMMYFUNCTION("LOWER(REGEXREPLACE(D636&amp;"" ""&amp;E636,""[^а-яa-z0-9 ]"","" ""))"),"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"&amp;"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f>
        <v xml:space="preserve">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v>
      </c>
      <c r="C636" s="61" t="s">
        <v>14040</v>
      </c>
      <c r="D636" s="56" t="s">
        <v>14041</v>
      </c>
      <c r="E636" s="56" t="s">
        <v>14042</v>
      </c>
      <c r="F636" s="57">
        <v>16000</v>
      </c>
      <c r="G636" s="58">
        <v>175</v>
      </c>
      <c r="I636" s="5"/>
      <c r="J636" s="5"/>
    </row>
    <row r="637" spans="1:10" x14ac:dyDescent="0.2">
      <c r="A637" s="59" t="str">
        <f ca="1">IFERROR(__xludf.DUMMYFUNCTION("TEXTJOIN(""|"",TRUE,UNIQUE(FILTER(SPLIT(B637,"" ""),LEN(SPLIT(B637,"" ""))&gt;2)))"),"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f>
        <v>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v>
      </c>
      <c r="B637" s="59" t="str">
        <f ca="1">IFERROR(__xludf.DUMMYFUNCTION("LOWER(REGEXREPLACE(D637&amp;"" ""&amp;E637,""[^а-яa-z0-9 ]"","" ""))"),"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детал"&amp;"и   6 шт    желтые детали   6 шт    зеленые детали   5 шт ")</f>
        <v xml:space="preserve">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детали   6 шт    желтые детали   6 шт    зеленые детали   5 шт </v>
      </c>
      <c r="C637" s="61" t="s">
        <v>14043</v>
      </c>
      <c r="D637" s="56" t="s">
        <v>14044</v>
      </c>
      <c r="E637" s="56" t="s">
        <v>14045</v>
      </c>
      <c r="F637" s="57">
        <v>16000</v>
      </c>
      <c r="G637" s="58">
        <v>195</v>
      </c>
      <c r="I637" s="5"/>
      <c r="J637" s="5"/>
    </row>
    <row r="638" spans="1:10" x14ac:dyDescent="0.2">
      <c r="A638" s="59" t="str">
        <f ca="1">IFERROR(__xludf.DUMMYFUNCTION("TEXTJOIN(""|"",TRUE,UNIQUE(FILTER(SPLIT(B638,"" ""),LEN(SPLIT(B638,"" ""))&gt;2)))"),"еер|набор|еер|набор|касса|букв|цифр|казахском|языке|челка|904")</f>
        <v>еер|набор|еер|набор|касса|букв|цифр|казахском|языке|челка|904</v>
      </c>
      <c r="B638" s="59" t="str">
        <f ca="1">IFERROR(__xludf.DUMMYFUNCTION("LOWER(REGEXREPLACE(D638&amp;"" ""&amp;E638,""[^а-яa-z0-9 ]"","" ""))")," еер набор  еер набор  касса букв и цифр  на казахском языке   челка   1  904")</f>
        <v xml:space="preserve"> еер набор  еер набор  касса букв и цифр  на казахском языке   челка   1  904</v>
      </c>
      <c r="C638" s="61" t="s">
        <v>14046</v>
      </c>
      <c r="D638" s="56" t="s">
        <v>14047</v>
      </c>
      <c r="E638" s="56" t="s">
        <v>14048</v>
      </c>
      <c r="F638" s="57">
        <v>4000</v>
      </c>
      <c r="G638" s="58">
        <v>175</v>
      </c>
      <c r="I638" s="5"/>
      <c r="J638" s="5"/>
    </row>
    <row r="639" spans="1:10" x14ac:dyDescent="0.2">
      <c r="A639" s="59" t="str">
        <f ca="1">IFERROR(__xludf.DUMMYFUNCTION("TEXTJOIN(""|"",TRUE,UNIQUE(FILTER(SPLIT(B639,"" ""),LEN(SPLIT(B639,"" ""))&gt;2)))"),"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amp;"|долговременной|памяти|развитию|логического|мышления|усидчивости|одходит|для|регулярного|применения|образовательной|деятельности")</f>
        <v>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долговременной|памяти|развитию|логического|мышления|усидчивости|одходит|для|регулярного|применения|образовательной|деятельности</v>
      </c>
      <c r="B639" s="59" t="str">
        <f ca="1">IFERROR(__xludf.DUMMYFUNCTION("LOWER(REGEXREPLACE(D639&amp;"" ""&amp;E639,""[^а-яa-z0-9 ]"","" ""))"),"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трениро"&amp;"вке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f>
        <v xml:space="preserve">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v>
      </c>
      <c r="C639" s="61" t="s">
        <v>14049</v>
      </c>
      <c r="D639" s="56" t="s">
        <v>14050</v>
      </c>
      <c r="E639" s="56" t="s">
        <v>14051</v>
      </c>
      <c r="F639" s="57">
        <v>4800</v>
      </c>
      <c r="G639" s="58">
        <v>14</v>
      </c>
      <c r="I639" s="5"/>
      <c r="J639" s="5"/>
    </row>
    <row r="640" spans="1:10" x14ac:dyDescent="0.2">
      <c r="A640" s="59" t="str">
        <f ca="1">IFERROR(__xludf.DUMMYFUNCTION("TEXTJOIN(""|"",TRUE,UNIQUE(FILTER(SPLIT(B640,"" ""),LEN(SPLIT(B640,"" ""))&gt;2)))"),"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amp;"дственное|мышление|гра|формирует|навыки|соблюдения|правил|очередности|действий|подходит|для|групповой|индивидуальной|деятельности")</f>
        <v>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дственное|мышление|гра|формирует|навыки|соблюдения|правил|очередности|действий|подходит|для|групповой|индивидуальной|деятельности</v>
      </c>
      <c r="B640" s="59" t="str">
        <f ca="1">IFERROR(__xludf.DUMMYFUNCTION("LOWER(REGEXREPLACE(D640&amp;"" ""&amp;E640,""[^а-яa-z0-9 ]"","" ""))"),"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"&amp;"аккуратность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f>
        <v xml:space="preserve">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v>
      </c>
      <c r="C640" s="61" t="s">
        <v>14052</v>
      </c>
      <c r="D640" s="56" t="s">
        <v>14053</v>
      </c>
      <c r="E640" s="56" t="s">
        <v>14054</v>
      </c>
      <c r="F640" s="57">
        <v>10500</v>
      </c>
      <c r="G640" s="58">
        <v>7</v>
      </c>
      <c r="I640" s="5"/>
      <c r="J640" s="5"/>
    </row>
    <row r="641" spans="1:10" x14ac:dyDescent="0.2">
      <c r="A641" s="59" t="str">
        <f ca="1">IFERROR(__xludf.DUMMYFUNCTION("TEXTJOIN(""|"",TRUE,UNIQUE(FILTER(SPLIT(B641,"" ""),LEN(SPLIT(B641,"" ""))&gt;2)))"),"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amp;"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amp;"орму|гладкую|поверхность")</f>
        <v>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орму|гладкую|поверхность</v>
      </c>
      <c r="B641" s="59" t="str">
        <f ca="1">IFERROR(__xludf.DUMMYFUNCTION("LOWER(REGEXREPLACE(D641&amp;"" ""&amp;E641,""[^а-яa-z0-9 ]"","" ""))"),"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уч"&amp;"астники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деть"&amp;"ми  элементы имеют устойчивую форму и гладкую поверхность ")</f>
        <v xml:space="preserve">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детьми  элементы имеют устойчивую форму и гладкую поверхность </v>
      </c>
      <c r="C641" s="61" t="s">
        <v>14055</v>
      </c>
      <c r="D641" s="56" t="s">
        <v>14056</v>
      </c>
      <c r="E641" s="56" t="s">
        <v>14057</v>
      </c>
      <c r="F641" s="57">
        <v>3400</v>
      </c>
      <c r="G641" s="58">
        <v>14</v>
      </c>
      <c r="I641" s="5"/>
      <c r="J641" s="5"/>
    </row>
    <row r="642" spans="1:10" x14ac:dyDescent="0.2">
      <c r="A642" s="59" t="str">
        <f ca="1">IFERROR(__xludf.DUMMYFUNCTION("TEXTJOIN(""|"",TRUE,UNIQUE(FILTER(SPLIT(B642,"" ""),LEN(SPLIT(B642,"" ""))&gt;2)))"),"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amp;"детали|желтые|детали|зеленые|детали")</f>
        <v>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детали|желтые|детали|зеленые|детали</v>
      </c>
      <c r="B642" s="59" t="str">
        <f ca="1">IFERROR(__xludf.DUMMYFUNCTION("LOWER(REGEXREPLACE(D642&amp;"" ""&amp;E642,""[^а-яa-z0-9 ]"","" ""))"),"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ра"&amp;"зноцветные детали   27 шт    красные детали   5 шт    розовые детали   5 шт    синие детали   6 шт    желтые детали   6 шт    зеленые детали   5 шт ")</f>
        <v xml:space="preserve">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разноцветные детали   27 шт    красные детали   5 шт    розовые детали   5 шт    синие детали   6 шт    желтые детали   6 шт    зеленые детали   5 шт </v>
      </c>
      <c r="C642" s="61" t="s">
        <v>14058</v>
      </c>
      <c r="D642" s="56" t="s">
        <v>14059</v>
      </c>
      <c r="E642" s="56" t="s">
        <v>14060</v>
      </c>
      <c r="F642" s="57">
        <v>44000</v>
      </c>
      <c r="G642" s="58">
        <v>47</v>
      </c>
      <c r="I642" s="5"/>
      <c r="J642" s="5"/>
    </row>
    <row r="643" spans="1:10" x14ac:dyDescent="0.2">
      <c r="A643" s="59" t="str">
        <f ca="1">IFERROR(__xludf.DUMMYFUNCTION("TEXTJOIN(""|"",TRUE,UNIQUE(FILTER(SPLIT(B643,"" ""),LEN(SPLIT(B643,"" ""))&gt;2)))"),"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amp;"е|палочки|инструкция|желтые|палочки|зеленые|палочки|красно|пестрые|палочки|синие|палочки")</f>
        <v>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е|палочки|инструкция|желтые|палочки|зеленые|палочки|красно|пестрые|палочки|синие|палочки</v>
      </c>
      <c r="B643" s="59" t="str">
        <f ca="1">IFERROR(__xludf.DUMMYFUNCTION("LOWER(REGEXREPLACE(D643&amp;"" ""&amp;E643,""[^а-яa-z0-9 ]"","" ""))"),"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изуальное"&amp;" восприятие    ерпение    антазию   оранжевые палочки   8 шт    инструкция   1 шт    желтые палочки   8 шт    зеленые палочки   12 шт    красно пестрые палочки   8 шт    синие палочки   8 шт ")</f>
        <v xml:space="preserve">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 восприятие    ерпение    антазию   оранжевые палочки   8 шт    инструкция   1 шт    желтые палочки   8 шт    зеленые палочки   12 шт    красно пестрые палочки   8 шт    синие палочки   8 шт </v>
      </c>
      <c r="C643" s="61" t="s">
        <v>14061</v>
      </c>
      <c r="D643" s="56" t="s">
        <v>14062</v>
      </c>
      <c r="E643" s="56" t="s">
        <v>14063</v>
      </c>
      <c r="F643" s="57">
        <v>13300</v>
      </c>
      <c r="G643" s="58">
        <v>175</v>
      </c>
      <c r="I643" s="5"/>
      <c r="J643" s="5"/>
    </row>
    <row r="644" spans="1:10" x14ac:dyDescent="0.2">
      <c r="A644" s="59" t="str">
        <f ca="1">IFERROR(__xludf.DUMMYFUNCTION("TEXTJOIN(""|"",TRUE,UNIQUE(FILTER(SPLIT(B644,"" ""),LEN(SPLIT(B644,"" ""))&gt;2)))"),"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f>
        <v>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v>
      </c>
      <c r="B644" s="59" t="str">
        <f ca="1">IFERROR(__xludf.DUMMYFUNCTION("LOWER(REGEXREPLACE(D644&amp;"" ""&amp;E644,""[^а-яa-z0-9 ]"","" ""))"),"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"&amp;" 16 шт    карточки для формирования игрового поля   9 шт            инструкция  1 шт")</f>
        <v xml:space="preserve">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v>
      </c>
      <c r="C644" s="61" t="s">
        <v>14064</v>
      </c>
      <c r="D644" s="56" t="s">
        <v>14065</v>
      </c>
      <c r="E644" s="56" t="s">
        <v>14066</v>
      </c>
      <c r="F644" s="57">
        <v>10800</v>
      </c>
      <c r="G644" s="58">
        <v>35</v>
      </c>
      <c r="I644" s="5"/>
      <c r="J644" s="5"/>
    </row>
    <row r="645" spans="1:10" x14ac:dyDescent="0.2">
      <c r="A645" s="59" t="str">
        <f ca="1">IFERROR(__xludf.DUMMYFUNCTION("TEXTJOIN(""|"",TRUE,UNIQUE(FILTER(SPLIT(B645,"" ""),LEN(SPLIT(B645,"" ""))&gt;2)))"),"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amp;"ы|инструкция")</f>
        <v>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ы|инструкция</v>
      </c>
      <c r="B645" s="59" t="str">
        <f ca="1">IFERROR(__xludf.DUMMYFUNCTION("LOWER(REGEXREPLACE(D645&amp;"" ""&amp;E645,""[^а-яa-z0-9 ]"","" ""))"),"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"&amp;"6 шт    желтые карты   15 шт    светло зеленые карты   16 шт    темно зеленые карты   4 шт    инструкция   1 шт")</f>
        <v xml:space="preserve">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6 шт    желтые карты   15 шт    светло зеленые карты   16 шт    темно зеленые карты   4 шт    инструкция   1 шт</v>
      </c>
      <c r="C645" s="61" t="s">
        <v>14067</v>
      </c>
      <c r="D645" s="56" t="s">
        <v>14068</v>
      </c>
      <c r="E645" s="56" t="s">
        <v>14069</v>
      </c>
      <c r="F645" s="57">
        <v>20500</v>
      </c>
      <c r="G645" s="58">
        <v>195</v>
      </c>
      <c r="I645" s="5"/>
      <c r="J645" s="5"/>
    </row>
    <row r="646" spans="1:10" x14ac:dyDescent="0.2">
      <c r="A646" s="59" t="str">
        <f ca="1">IFERROR(__xludf.DUMMYFUNCTION("TEXTJOIN(""|"",TRUE,UNIQUE(FILTER(SPLIT(B646,"" ""),LEN(SPLIT(B646,"" ""))&gt;2)))"),"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amp;"рки|удобны|для|детской|руки")</f>
        <v>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рки|удобны|для|детской|руки</v>
      </c>
      <c r="B646" s="59" t="str">
        <f ca="1">IFERROR(__xludf.DUMMYFUNCTION("LOWER(REGEXREPLACE(D646&amp;"" ""&amp;E646,""[^а-яa-z0-9 ]"","" ""))"),"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ат"&amp;"ериалы безопасны  шнурки удобны для детской руки ")</f>
        <v xml:space="preserve">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атериалы безопасны  шнурки удобны для детской руки </v>
      </c>
      <c r="C646" s="61" t="s">
        <v>14070</v>
      </c>
      <c r="D646" s="56" t="s">
        <v>14071</v>
      </c>
      <c r="E646" s="56" t="s">
        <v>14072</v>
      </c>
      <c r="F646" s="57">
        <v>20900</v>
      </c>
      <c r="G646" s="58">
        <v>1</v>
      </c>
      <c r="I646" s="5"/>
      <c r="J646" s="5"/>
    </row>
    <row r="647" spans="1:10" x14ac:dyDescent="0.2">
      <c r="A647" s="59" t="str">
        <f ca="1">IFERROR(__xludf.DUMMYFUNCTION("TEXTJOIN(""|"",TRUE,UNIQUE(FILTER(SPLIT(B647,"" ""),LEN(SPLIT(B647,"" ""))&gt;2)))"),"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f>
        <v>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v>
      </c>
      <c r="B647" s="59" t="str">
        <f ca="1">IFERROR(__xludf.DUMMYFUNCTION("LOWER(REGEXREPLACE(D647&amp;"" ""&amp;E647,""[^а-яa-z0-9 ]"","" ""))"),"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f>
        <v xml:space="preserve">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v>
      </c>
      <c r="C647" s="61" t="s">
        <v>14073</v>
      </c>
      <c r="D647" s="56" t="s">
        <v>14074</v>
      </c>
      <c r="E647" s="56" t="s">
        <v>14075</v>
      </c>
      <c r="F647" s="57">
        <v>10200</v>
      </c>
      <c r="G647" s="58">
        <v>7</v>
      </c>
      <c r="I647" s="5"/>
      <c r="J647" s="5"/>
    </row>
    <row r="648" spans="1:10" x14ac:dyDescent="0.2">
      <c r="A648" s="59" t="str">
        <f ca="1">IFERROR(__xludf.DUMMYFUNCTION("TEXTJOIN(""|"",TRUE,UNIQUE(FILTER(SPLIT(B648,"" ""),LEN(SPLIT(B648,"" ""))&gt;2)))"),"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amp;"|работе|детьми|дошкольного|возраста|гра|способствует|подготовке|руки|письму|развитию|самостоятельности")</f>
        <v>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работе|детьми|дошкольного|возраста|гра|способствует|подготовке|руки|письму|развитию|самостоятельности</v>
      </c>
      <c r="B648" s="59" t="str">
        <f ca="1">IFERROR(__xludf.DUMMYFUNCTION("LOWER(REGEXREPLACE(D648&amp;"" ""&amp;E648,""[^а-яa-z0-9 ]"","" ""))"),"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разви"&amp;"вающей и обучающей работе с детьми дошкольного возраста   гра способствует подготовке руки к письму и развитию самостоятельности ")</f>
        <v xml:space="preserve">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развивающей и обучающей работе с детьми дошкольного возраста   гра способствует подготовке руки к письму и развитию самостоятельности </v>
      </c>
      <c r="C648" s="61" t="s">
        <v>14076</v>
      </c>
      <c r="D648" s="56" t="s">
        <v>14077</v>
      </c>
      <c r="E648" s="56" t="s">
        <v>14078</v>
      </c>
      <c r="F648" s="57">
        <v>28500</v>
      </c>
      <c r="G648" s="58">
        <v>43</v>
      </c>
      <c r="I648" s="5"/>
      <c r="J648" s="5"/>
    </row>
    <row r="649" spans="1:10" x14ac:dyDescent="0.2">
      <c r="A649" s="59" t="str">
        <f ca="1">IFERROR(__xludf.DUMMYFUNCTION("TEXTJOIN(""|"",TRUE,UNIQUE(FILTER(SPLIT(B649,"" ""),LEN(SPLIT(B649,"" ""))&gt;2)))"),"еликие|чудеса|света")</f>
        <v>еликие|чудеса|света</v>
      </c>
      <c r="B649" s="59" t="str">
        <f ca="1">IFERROR(__xludf.DUMMYFUNCTION("LOWER(REGEXREPLACE(D649&amp;"" ""&amp;E649,""[^а-яa-z0-9 ]"","" ""))")," еликие чудеса света  ш   ")</f>
        <v xml:space="preserve"> еликие чудеса света  ш   </v>
      </c>
      <c r="C649" s="61" t="s">
        <v>14079</v>
      </c>
      <c r="D649" s="56" t="s">
        <v>14080</v>
      </c>
      <c r="E649" s="56" t="s">
        <v>13335</v>
      </c>
      <c r="F649" s="57">
        <v>8400</v>
      </c>
      <c r="G649" s="58">
        <v>1</v>
      </c>
      <c r="I649" s="5"/>
      <c r="J649" s="5"/>
    </row>
    <row r="650" spans="1:10" x14ac:dyDescent="0.2">
      <c r="A650" s="59" t="str">
        <f ca="1">IFERROR(__xludf.DUMMYFUNCTION("TEXTJOIN(""|"",TRUE,UNIQUE(FILTER(SPLIT(B650,"" ""),LEN(SPLIT(B650,"" ""))&gt;2)))"),"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amp;"ения|утренников|праздничных|мероприятий|беспечивает|удобное|размещение|оборудования|способствует|повышению|качества|музыкально|педагогической|работы")</f>
        <v>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ения|утренников|праздничных|мероприятий|беспечивает|удобное|размещение|оборудования|способствует|повышению|качества|музыкально|педагогической|работы</v>
      </c>
      <c r="B650" s="59" t="str">
        <f ca="1">IFERROR(__xludf.DUMMYFUNCTION("LOWER(REGEXREPLACE(D650&amp;"" ""&amp;E650,""[^а-яa-z0-9 ]"","" ""))"),"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запис"&amp;"и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f>
        <v xml:space="preserve">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v>
      </c>
      <c r="C650" s="61" t="s">
        <v>14081</v>
      </c>
      <c r="D650" s="56" t="s">
        <v>14082</v>
      </c>
      <c r="E650" s="56" t="s">
        <v>14083</v>
      </c>
      <c r="F650" s="57">
        <v>133000</v>
      </c>
      <c r="G650" s="58">
        <v>0</v>
      </c>
      <c r="I650" s="5"/>
      <c r="J650" s="5"/>
    </row>
    <row r="651" spans="1:10" x14ac:dyDescent="0.2">
      <c r="A651" s="59" t="str">
        <f ca="1">IFERROR(__xludf.DUMMYFUNCTION("TEXTJOIN(""|"",TRUE,UNIQUE(FILTER(SPLIT(B651,"" ""),LEN(SPLIT(B651,"" ""))&gt;2)))"),"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amp;"ьми|дошкольного|возраста|пособствует|развитию|логического|мышления|внимания|самостоятельности")</f>
        <v>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ьми|дошкольного|возраста|пособствует|развитию|логического|мышления|внимания|самостоятельности</v>
      </c>
      <c r="B651" s="59" t="str">
        <f ca="1">IFERROR(__xludf.DUMMYFUNCTION("LOWER(REGEXREPLACE(D651&amp;"" ""&amp;E651,""[^а-яa-z0-9 ]"","" ""))"),"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коррекционн"&amp;"ой деятельности с детьми дошкольного возраста   пособствует развитию логического мышления  внимания и самостоятельности ")</f>
        <v xml:space="preserve">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коррекционной деятельности с детьми дошкольного возраста   пособствует развитию логического мышления  внимания и самостоятельности </v>
      </c>
      <c r="C651" s="61" t="s">
        <v>14084</v>
      </c>
      <c r="D651" s="56" t="s">
        <v>14085</v>
      </c>
      <c r="E651" s="56" t="s">
        <v>14086</v>
      </c>
      <c r="F651" s="57">
        <v>1900</v>
      </c>
      <c r="G651" s="58">
        <v>10</v>
      </c>
      <c r="I651" s="5"/>
      <c r="J651" s="5"/>
    </row>
    <row r="652" spans="1:10" x14ac:dyDescent="0.2">
      <c r="A652" s="59" t="str">
        <f ca="1">IFERROR(__xludf.DUMMYFUNCTION("TEXTJOIN(""|"",TRUE,UNIQUE(FILTER(SPLIT(B652,"" ""),LEN(SPLIT(B652,"" ""))&gt;2)))"),"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amp;"соблюдения|правил|игры|очередности|ходов|сотрудничества")</f>
        <v>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соблюдения|правил|игры|очередности|ходов|сотрудничества</v>
      </c>
      <c r="B652" s="59" t="str">
        <f ca="1">IFERROR(__xludf.DUMMYFUNCTION("LOWER(REGEXREPLACE(D652&amp;"" ""&amp;E652,""[^а-яa-z0-9 ]"","" ""))"),"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"&amp;" ормирует навыки соблюдения правил игры  очередности ходов и сотрудничества ")</f>
        <v xml:space="preserve">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ормирует навыки соблюдения правил игры  очередности ходов и сотрудничества </v>
      </c>
      <c r="C652" s="61" t="s">
        <v>14087</v>
      </c>
      <c r="D652" s="56" t="s">
        <v>14088</v>
      </c>
      <c r="E652" s="56" t="s">
        <v>14089</v>
      </c>
      <c r="F652" s="57">
        <v>11900</v>
      </c>
      <c r="G652" s="58">
        <v>7</v>
      </c>
      <c r="I652" s="5"/>
      <c r="J652" s="5"/>
    </row>
    <row r="653" spans="1:10" x14ac:dyDescent="0.2">
      <c r="A653" s="59" t="str">
        <f ca="1">IFERROR(__xludf.DUMMYFUNCTION("TEXTJOIN(""|"",TRUE,UNIQUE(FILTER(SPLIT(B653,"" ""),LEN(SPLIT(B653,"" ""))&gt;2)))"),"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amp;"силуэтами|бабочек|бабочка|одного|цвета|кубики|бабочки|двух|цветов|коврик|инструкция|карточки|бабочками|узорами")</f>
        <v>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силуэтами|бабочек|бабочка|одного|цвета|кубики|бабочки|двух|цветов|коврик|инструкция|карточки|бабочками|узорами</v>
      </c>
      <c r="B653" s="59" t="str">
        <f ca="1">IFERROR(__xludf.DUMMYFUNCTION("LOWER(REGEXREPLACE(D653&amp;"" ""&amp;E653,""[^а-яa-z0-9 ]"","" ""))"),"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"&amp;"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f>
        <v xml:space="preserve">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v>
      </c>
      <c r="C653" s="61" t="s">
        <v>14090</v>
      </c>
      <c r="D653" s="56" t="s">
        <v>14091</v>
      </c>
      <c r="E653" s="56" t="s">
        <v>14092</v>
      </c>
      <c r="F653" s="57">
        <v>12500</v>
      </c>
      <c r="G653" s="58">
        <v>50</v>
      </c>
      <c r="I653" s="5"/>
      <c r="J653" s="5"/>
    </row>
    <row r="654" spans="1:10" x14ac:dyDescent="0.2">
      <c r="A654" s="59" t="str">
        <f ca="1">IFERROR(__xludf.DUMMYFUNCTION("TEXTJOIN(""|"",TRUE,UNIQUE(FILTER(SPLIT(B654,"" ""),LEN(SPLIT(B654,"" ""))&gt;2)))"),"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f>
        <v>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v>
      </c>
      <c r="B654" s="59" t="str">
        <f ca="1">IFERROR(__xludf.DUMMYFUNCTION("LOWER(REGEXREPLACE(D654&amp;"" ""&amp;E654,""[^а-яa-z0-9 ]"","" ""))"),"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"&amp;"16 шт    карточки для формирования игрового поля   9 шт    инструкция  1 шт  ")</f>
        <v xml:space="preserve">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  </v>
      </c>
      <c r="C654" s="61" t="s">
        <v>14093</v>
      </c>
      <c r="D654" s="56" t="s">
        <v>14094</v>
      </c>
      <c r="E654" s="56" t="s">
        <v>14095</v>
      </c>
      <c r="F654" s="57">
        <v>10800</v>
      </c>
      <c r="G654" s="58">
        <v>50</v>
      </c>
      <c r="I654" s="5"/>
      <c r="J654" s="5"/>
    </row>
    <row r="655" spans="1:10" x14ac:dyDescent="0.2">
      <c r="A655" s="59" t="str">
        <f ca="1">IFERROR(__xludf.DUMMYFUNCTION("TEXTJOIN(""|"",TRUE,UNIQUE(FILTER(SPLIT(B655,"" ""),LEN(SPLIT(B655,"" ""))&gt;2)))"),"астольные|развивающие|игры|азвивающие|настольные|игры|направлены|тренировку|логики|памяти|внимания|стратегического|мышления|речи|детей")</f>
        <v>астольные|развивающие|игры|азвивающие|настольные|игры|направлены|тренировку|логики|памяти|внимания|стратегического|мышления|речи|детей</v>
      </c>
      <c r="B655" s="59" t="str">
        <f ca="1">IFERROR(__xludf.DUMMYFUNCTION("LOWER(REGEXREPLACE(D655&amp;"" ""&amp;E655,""[^а-яa-z0-9 ]"","" ""))")," астольные развивающие игры  азвивающие настольные игры направлены на тренировку логики  памяти  внимания  стратегического мышления и речи у детей")</f>
        <v xml:space="preserve"> астольные развивающие игры  азвивающие настольные игры направлены на тренировку логики  памяти  внимания  стратегического мышления и речи у детей</v>
      </c>
      <c r="C655" s="61" t="s">
        <v>14096</v>
      </c>
      <c r="D655" s="56" t="s">
        <v>14097</v>
      </c>
      <c r="E655" s="56" t="s">
        <v>14098</v>
      </c>
      <c r="F655" s="57">
        <v>66500</v>
      </c>
      <c r="G655" s="58">
        <v>7</v>
      </c>
      <c r="I655" s="5"/>
      <c r="J655" s="5"/>
    </row>
    <row r="656" spans="1:10" x14ac:dyDescent="0.2">
      <c r="A656" s="59" t="str">
        <f ca="1">IFERROR(__xludf.DUMMYFUNCTION("TEXTJOIN(""|"",TRUE,UNIQUE(FILTER(SPLIT(B656,"" ""),LEN(SPLIT(B656,"" ""))&gt;2)))"),"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amp;"новку|горизонтальной|поверхности")</f>
        <v>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новку|горизонтальной|поверхности</v>
      </c>
      <c r="B656" s="59" t="str">
        <f ca="1">IFERROR(__xludf.DUMMYFUNCTION("LOWER(REGEXREPLACE(D656&amp;"" ""&amp;E656,""[^а-яa-z0-9 ]"","" ""))"),"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онструкция"&amp;" рассчитана на установку на горизонтальной поверхности ")</f>
        <v xml:space="preserve">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 рассчитана на установку на горизонтальной поверхности </v>
      </c>
      <c r="C656" s="61" t="s">
        <v>14099</v>
      </c>
      <c r="D656" s="56" t="s">
        <v>14100</v>
      </c>
      <c r="E656" s="56" t="s">
        <v>14101</v>
      </c>
      <c r="F656" s="57">
        <v>47500</v>
      </c>
      <c r="G656" s="58">
        <v>1</v>
      </c>
      <c r="I656" s="5"/>
      <c r="J656" s="5"/>
    </row>
    <row r="657" spans="1:10" x14ac:dyDescent="0.2">
      <c r="A657" s="59" t="str">
        <f ca="1">IFERROR(__xludf.DUMMYFUNCTION("TEXTJOIN(""|"",TRUE,UNIQUE(FILTER(SPLIT(B657,"" ""),LEN(SPLIT(B657,"" ""))&gt;2)))"),"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amp;"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amp;"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amp;"ия|детских|учреждениях")</f>
        <v>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ия|детских|учреждениях</v>
      </c>
      <c r="B657" s="59" t="str">
        <f ca="1">IFERROR(__xludf.DUMMYFUNCTION("LOWER(REGEXREPLACE(D657&amp;"" ""&amp;E657,""[^а-яa-z0-9 ]"","" ""))"),"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оф"&amp;"ормлении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тактиль"&amp;"ного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"&amp;"     онструкция и материалы соответствуют требованиям использования в детских учреждениях ")</f>
        <v xml:space="preserve">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онструкция и материалы соответствуют требованиям использования в детских учреждениях </v>
      </c>
      <c r="C657" s="61" t="s">
        <v>14102</v>
      </c>
      <c r="D657" s="56" t="s">
        <v>14103</v>
      </c>
      <c r="E657" s="56" t="s">
        <v>14104</v>
      </c>
      <c r="F657" s="57">
        <v>10700</v>
      </c>
      <c r="G657" s="58">
        <v>1</v>
      </c>
      <c r="I657" s="5"/>
      <c r="J657" s="5"/>
    </row>
    <row r="658" spans="1:10" x14ac:dyDescent="0.2">
      <c r="A658" s="59" t="str">
        <f ca="1">IFERROR(__xludf.DUMMYFUNCTION("TEXTJOIN(""|"",TRUE,UNIQUE(FILTER(SPLIT(B658,"" ""),LEN(SPLIT(B658,"" ""))&gt;2)))"),"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amp;"еса|народным|играм|гровые|элементы|изготовлены|прочных|материалов")</f>
        <v>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еса|народным|играм|гровые|элементы|изготовлены|прочных|материалов</v>
      </c>
      <c r="B658" s="59" t="str">
        <f ca="1">IFERROR(__xludf.DUMMYFUNCTION("LOWER(REGEXREPLACE(D658&amp;"" ""&amp;E658,""[^а-яa-z0-9 ]"","" ""))"),"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разв"&amp;"итию координации движений и интереса к народным играм   гровые элементы изготовлены из прочных материалов ")</f>
        <v xml:space="preserve">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развитию координации движений и интереса к народным играм   гровые элементы изготовлены из прочных материалов </v>
      </c>
      <c r="C658" s="61" t="s">
        <v>14105</v>
      </c>
      <c r="D658" s="56" t="s">
        <v>14106</v>
      </c>
      <c r="E658" s="56" t="s">
        <v>14107</v>
      </c>
      <c r="F658" s="57">
        <v>30400</v>
      </c>
      <c r="G658" s="58">
        <v>5</v>
      </c>
      <c r="I658" s="5"/>
      <c r="J658" s="5"/>
    </row>
    <row r="659" spans="1:10" x14ac:dyDescent="0.2">
      <c r="A659" s="59" t="str">
        <f ca="1">IFERROR(__xludf.DUMMYFUNCTION("TEXTJOIN(""|"",TRUE,UNIQUE(FILTER(SPLIT(B659,"" ""),LEN(SPLIT(B659,"" ""))&gt;2)))"),"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amp;"ятий|национальных|празднико")</f>
        <v>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ятий|национальных|празднико</v>
      </c>
      <c r="B659" s="59" t="str">
        <f ca="1">IFERROR(__xludf.DUMMYFUNCTION("LOWER(REGEXREPLACE(D659&amp;"" ""&amp;E659,""[^а-яa-z0-9 ]"","" ""))"),"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выступлени"&amp;"й  праздничных мероприятий и национальных празднико")</f>
        <v xml:space="preserve">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выступлений  праздничных мероприятий и национальных празднико</v>
      </c>
      <c r="C659" s="61" t="s">
        <v>14108</v>
      </c>
      <c r="D659" s="56" t="s">
        <v>14109</v>
      </c>
      <c r="E659" s="56" t="s">
        <v>14110</v>
      </c>
      <c r="F659" s="57">
        <v>19600</v>
      </c>
      <c r="G659" s="58">
        <v>15</v>
      </c>
      <c r="I659" s="5"/>
      <c r="J659" s="5"/>
    </row>
    <row r="660" spans="1:10" x14ac:dyDescent="0.2">
      <c r="A660" s="59" t="str">
        <f ca="1">IFERROR(__xludf.DUMMYFUNCTION("TEXTJOIN(""|"",TRUE,UNIQUE(FILTER(SPLIT(B660,"" ""),LEN(SPLIT(B660,"" ""))&gt;2)))"),"еликий|бай|нциклопедия|буб|ужикова|айрамбаева")</f>
        <v>еликий|бай|нциклопедия|буб|ужикова|айрамбаева</v>
      </c>
      <c r="B660" s="59" t="str">
        <f ca="1">IFERROR(__xludf.DUMMYFUNCTION("LOWER(REGEXREPLACE(D660&amp;"" ""&amp;E660,""[^а-яa-z0-9 ]"","" ""))")," еликий  бай   нциклопедия  буб к р      ужикова      айрамбаева   ")</f>
        <v xml:space="preserve"> еликий  бай   нциклопедия  буб к р      ужикова      айрамбаева   </v>
      </c>
      <c r="C660" s="61" t="s">
        <v>14111</v>
      </c>
      <c r="D660" s="56" t="s">
        <v>14112</v>
      </c>
      <c r="E660" s="56" t="s">
        <v>13599</v>
      </c>
      <c r="F660" s="57">
        <v>14000</v>
      </c>
      <c r="G660" s="58">
        <v>1</v>
      </c>
      <c r="I660" s="5"/>
      <c r="J660" s="5"/>
    </row>
    <row r="661" spans="1:10" x14ac:dyDescent="0.2">
      <c r="A661" s="59" t="str">
        <f ca="1">IFERROR(__xludf.DUMMYFUNCTION("TEXTJOIN(""|"",TRUE,UNIQUE(FILTER(SPLIT(B661,"" ""),LEN(SPLIT(B661,"" ""))&gt;2)))"),"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amp;"адиционной|культуре|развитию|эмоциональной|выразительности")</f>
        <v>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адиционной|культуре|развитию|эмоциональной|выразительности</v>
      </c>
      <c r="B661" s="59" t="str">
        <f ca="1">IFERROR(__xludf.DUMMYFUNCTION("LOWER(REGEXREPLACE(D661&amp;"" ""&amp;E661,""[^а-яa-z0-9 ]"","" ""))"),"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формир"&amp;"ованию интереса к традиционной культуре и развитию эмоциональной выразительности ")</f>
        <v xml:space="preserve">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формированию интереса к традиционной культуре и развитию эмоциональной выразительности </v>
      </c>
      <c r="C661" s="61" t="s">
        <v>14113</v>
      </c>
      <c r="D661" s="56" t="s">
        <v>14114</v>
      </c>
      <c r="E661" s="56" t="s">
        <v>14115</v>
      </c>
      <c r="F661" s="57">
        <v>19600</v>
      </c>
      <c r="G661" s="58">
        <v>15</v>
      </c>
      <c r="I661" s="5"/>
      <c r="J661" s="5"/>
    </row>
    <row r="662" spans="1:10" x14ac:dyDescent="0.2">
      <c r="A662" s="59" t="str">
        <f ca="1">IFERROR(__xludf.DUMMYFUNCTION("TEXTJOIN(""|"",TRUE,UNIQUE(FILTER(SPLIT(B662,"" ""),LEN(SPLIT(B662,"" ""))&gt;2)))"),"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amp;"омпозит|азмещение|настенное|угловое")</f>
        <v>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омпозит|азмещение|настенное|угловое</v>
      </c>
      <c r="B662" s="59" t="str">
        <f ca="1">IFERROR(__xludf.DUMMYFUNCTION("LOWER(REGEXREPLACE(D662&amp;"" ""&amp;E662,""[^а-яa-z0-9 ]"","" ""))"),"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атериал"&amp;"   дерево или облегч нный композит   азмещение   настенное  угловое ")</f>
        <v xml:space="preserve">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   дерево или облегч нный композит   азмещение   настенное  угловое </v>
      </c>
      <c r="C662" s="61" t="s">
        <v>14116</v>
      </c>
      <c r="D662" s="56" t="s">
        <v>14117</v>
      </c>
      <c r="E662" s="56" t="s">
        <v>14118</v>
      </c>
      <c r="F662" s="57">
        <v>855000</v>
      </c>
      <c r="G662" s="58">
        <v>1</v>
      </c>
      <c r="I662" s="5"/>
      <c r="J662" s="5"/>
    </row>
    <row r="663" spans="1:10" x14ac:dyDescent="0.2">
      <c r="A663" s="59" t="str">
        <f ca="1">IFERROR(__xludf.DUMMYFUNCTION("TEXTJOIN(""|"",TRUE,UNIQUE(FILTER(SPLIT(B663,"" ""),LEN(SPLIT(B663,"" ""))&gt;2)))"),"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f>
        <v>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v>
      </c>
      <c r="B663" s="59" t="str">
        <f ca="1">IFERROR(__xludf.DUMMYFUNCTION("LOWER(REGEXREPLACE(D663&amp;"" ""&amp;E663,""[^а-яa-z0-9 ]"","" ""))"),"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д"&amp;"ошкольного возраста ")</f>
        <v xml:space="preserve">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 </v>
      </c>
      <c r="C663" s="61" t="s">
        <v>14119</v>
      </c>
      <c r="D663" s="56" t="s">
        <v>14120</v>
      </c>
      <c r="E663" s="56" t="s">
        <v>14121</v>
      </c>
      <c r="F663" s="57">
        <v>30200</v>
      </c>
      <c r="G663" s="58">
        <v>1</v>
      </c>
      <c r="I663" s="5"/>
      <c r="J663" s="5"/>
    </row>
    <row r="664" spans="1:10" x14ac:dyDescent="0.2">
      <c r="A664" s="59" t="str">
        <f ca="1">IFERROR(__xludf.DUMMYFUNCTION("TEXTJOIN(""|"",TRUE,UNIQUE(FILTER(SPLIT(B664,"" ""),LEN(SPLIT(B664,"" ""))&gt;2)))"),"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amp;"еской|практике")</f>
        <v>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еской|практике</v>
      </c>
      <c r="B664" s="59" t="str">
        <f ca="1">IFERROR(__xludf.DUMMYFUNCTION("LOWER(REGEXREPLACE(D664&amp;"" ""&amp;E664,""[^а-яa-z0-9 ]"","" ""))"),"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"&amp;"числе в логопедической практике ")</f>
        <v xml:space="preserve">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числе в логопедической практике </v>
      </c>
      <c r="C664" s="61" t="s">
        <v>14122</v>
      </c>
      <c r="D664" s="56" t="s">
        <v>14123</v>
      </c>
      <c r="E664" s="56" t="s">
        <v>14124</v>
      </c>
      <c r="F664" s="57">
        <v>35500</v>
      </c>
      <c r="G664" s="58">
        <v>1</v>
      </c>
      <c r="I664" s="5"/>
      <c r="J664" s="5"/>
    </row>
    <row r="665" spans="1:10" x14ac:dyDescent="0.2">
      <c r="A665" s="59" t="str">
        <f ca="1">IFERROR(__xludf.DUMMYFUNCTION("TEXTJOIN(""|"",TRUE,UNIQUE(FILTER(SPLIT(B665,"" ""),LEN(SPLIT(B665,"" ""))&gt;2)))"),"ельсон|elson|каз|рус|англ|ейси|перевод|ужикова|санова")</f>
        <v>ельсон|elson|каз|рус|англ|ейси|перевод|ужикова|санова</v>
      </c>
      <c r="B665" s="59" t="str">
        <f ca="1">IFERROR(__xludf.DUMMYFUNCTION("LOWER(REGEXREPLACE(D665&amp;"" ""&amp;E665,""[^а-яa-z0-9 ]"","" ""))")," ельсон   elson  каз   рус   англ яз      ейси  перевод  ужикова      санова    ")</f>
        <v xml:space="preserve"> ельсон   elson  каз   рус   англ яз      ейси  перевод  ужикова      санова    </v>
      </c>
      <c r="C665" s="61" t="s">
        <v>14125</v>
      </c>
      <c r="D665" s="56" t="s">
        <v>14126</v>
      </c>
      <c r="E665" s="56" t="s">
        <v>14127</v>
      </c>
      <c r="F665" s="57">
        <v>3600</v>
      </c>
      <c r="G665" s="58">
        <v>1</v>
      </c>
      <c r="I665" s="5"/>
      <c r="J665" s="5"/>
    </row>
    <row r="666" spans="1:10" x14ac:dyDescent="0.2">
      <c r="A666" s="59" t="str">
        <f ca="1">IFERROR(__xludf.DUMMYFUNCTION("TEXTJOIN(""|"",TRUE,UNIQUE(FILTER(SPLIT(B666,"" ""),LEN(SPLIT(B666,"" ""))&gt;2)))"),"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f>
        <v>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v>
      </c>
      <c r="B666" s="59" t="str">
        <f ca="1">IFERROR(__xludf.DUMMYFUNCTION("LOWER(REGEXREPLACE(D666&amp;"" ""&amp;E666,""[^а-яa-z0-9 ]"","" ""))"),"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f>
        <v xml:space="preserve">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v>
      </c>
      <c r="C666" s="61" t="s">
        <v>14128</v>
      </c>
      <c r="D666" s="56" t="s">
        <v>14129</v>
      </c>
      <c r="E666" s="56" t="s">
        <v>14130</v>
      </c>
      <c r="F666" s="57">
        <v>3000</v>
      </c>
      <c r="G666" s="58">
        <v>12</v>
      </c>
      <c r="I666" s="5"/>
      <c r="J666" s="5"/>
    </row>
    <row r="667" spans="1:10" x14ac:dyDescent="0.2">
      <c r="A667" s="59" t="str">
        <f ca="1">IFERROR(__xludf.DUMMYFUNCTION("TEXTJOIN(""|"",TRUE,UNIQUE(FILTER(SPLIT(B667,"" ""),LEN(SPLIT(B667,"" ""))&gt;2)))"),"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f>
        <v>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v>
      </c>
      <c r="B667" s="59" t="str">
        <f ca="1">IFERROR(__xludf.DUMMYFUNCTION("LOWER(REGEXREPLACE(D667&amp;"" ""&amp;E667,""[^а-яa-z0-9 ]"","" ""))"),"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f>
        <v xml:space="preserve">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v>
      </c>
      <c r="C667" s="61" t="s">
        <v>14131</v>
      </c>
      <c r="D667" s="56" t="s">
        <v>14132</v>
      </c>
      <c r="E667" s="56" t="s">
        <v>14133</v>
      </c>
      <c r="F667" s="57">
        <v>1900</v>
      </c>
      <c r="G667" s="58">
        <v>45</v>
      </c>
      <c r="I667" s="5"/>
      <c r="J667" s="5"/>
    </row>
    <row r="668" spans="1:10" x14ac:dyDescent="0.2">
      <c r="A668" s="59" t="str">
        <f ca="1">IFERROR(__xludf.DUMMYFUNCTION("TEXTJOIN(""|"",TRUE,UNIQUE(FILTER(SPLIT(B668,"" ""),LEN(SPLIT(B668,"" ""))&gt;2)))"),"ожницы|одним|острым|концом|прямые|едицинские|ножницы|для|проведения|процедур|требующих|точности")</f>
        <v>ожницы|одним|острым|концом|прямые|едицинские|ножницы|для|проведения|процедур|требующих|точности</v>
      </c>
      <c r="B668" s="59" t="str">
        <f ca="1">IFERROR(__xludf.DUMMYFUNCTION("LOWER(REGEXREPLACE(D668&amp;"" ""&amp;E668,""[^а-яa-z0-9 ]"","" ""))")," ожницы с одним острым концом прямые  едицинские ножницы для проведения процедур  требующих точности ")</f>
        <v xml:space="preserve"> ожницы с одним острым концом прямые  едицинские ножницы для проведения процедур  требующих точности </v>
      </c>
      <c r="C668" s="61" t="s">
        <v>14134</v>
      </c>
      <c r="D668" s="56" t="s">
        <v>14135</v>
      </c>
      <c r="E668" s="56" t="s">
        <v>14136</v>
      </c>
      <c r="F668" s="57">
        <v>21700</v>
      </c>
      <c r="G668" s="58">
        <v>2</v>
      </c>
      <c r="I668" s="5"/>
      <c r="J668" s="5"/>
    </row>
    <row r="669" spans="1:10" x14ac:dyDescent="0.2">
      <c r="A669" s="59" t="str">
        <f ca="1">IFERROR(__xludf.DUMMYFUNCTION("TEXTJOIN(""|"",TRUE,UNIQUE(FILTER(SPLIT(B669,"" ""),LEN(SPLIT(B669,"" ""))&gt;2)))"),"ожницы|тупоконечные|спользуются|для|медицинских|хозяйственных|нужд|езопасны|закругл|нных|концов")</f>
        <v>ожницы|тупоконечные|спользуются|для|медицинских|хозяйственных|нужд|езопасны|закругл|нных|концов</v>
      </c>
      <c r="B669" s="59" t="str">
        <f ca="1">IFERROR(__xludf.DUMMYFUNCTION("LOWER(REGEXREPLACE(D669&amp;"" ""&amp;E669,""[^а-яa-z0-9 ]"","" ""))")," ожницы тупоконечные  спользуются для медицинских и хозяйственных нужд   езопасны за сч т закругл нных концов ")</f>
        <v xml:space="preserve"> ожницы тупоконечные  спользуются для медицинских и хозяйственных нужд   езопасны за сч т закругл нных концов </v>
      </c>
      <c r="C669" s="61" t="s">
        <v>14137</v>
      </c>
      <c r="D669" s="56" t="s">
        <v>14138</v>
      </c>
      <c r="E669" s="56" t="s">
        <v>14139</v>
      </c>
      <c r="F669" s="57">
        <v>9600</v>
      </c>
      <c r="G669" s="58">
        <v>2</v>
      </c>
      <c r="I669" s="5"/>
      <c r="J669" s="5"/>
    </row>
    <row r="670" spans="1:10" x14ac:dyDescent="0.2">
      <c r="A670" s="59" t="str">
        <f ca="1">IFERROR(__xludf.DUMMYFUNCTION("TEXTJOIN(""|"",TRUE,UNIQUE(FILTER(SPLIT(B670,"" ""),LEN(SPLIT(B670,"" ""))&gt;2)))"),"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amp;"редназначены|для|уличного|использования")</f>
        <v>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редназначены|для|уличного|использования</v>
      </c>
      <c r="B670" s="59" t="str">
        <f ca="1">IFERROR(__xludf.DUMMYFUNCTION("LOWER(REGEXREPLACE(D670&amp;"" ""&amp;E670,""[^а-яa-z0-9 ]"","" ""))"),"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з"&amp;"готовлены из пластика и предназначены для уличного использования ")</f>
        <v xml:space="preserve">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зготовлены из пластика и предназначены для уличного использования </v>
      </c>
      <c r="C670" s="61" t="s">
        <v>14140</v>
      </c>
      <c r="D670" s="56" t="s">
        <v>14141</v>
      </c>
      <c r="E670" s="56" t="s">
        <v>14142</v>
      </c>
      <c r="F670" s="57">
        <v>9100</v>
      </c>
      <c r="G670" s="58">
        <v>5</v>
      </c>
      <c r="I670" s="5"/>
      <c r="J670" s="5"/>
    </row>
    <row r="671" spans="1:10" x14ac:dyDescent="0.2">
      <c r="A671" s="59" t="str">
        <f ca="1">IFERROR(__xludf.DUMMYFUNCTION("TEXTJOIN(""|"",TRUE,UNIQUE(FILTER(SPLIT(B671,"" ""),LEN(SPLIT(B671,"" ""))&gt;2)))"),"блучатель|бактерицидный|obn|150|kront|акт|ффективность|роизводительность|100|150|230|час|актерицидные|лампы|араметры|1090х150х100")</f>
        <v>блучатель|бактерицидный|obn|150|kront|акт|ффективность|роизводительность|100|150|230|час|актерицидные|лампы|араметры|1090х150х100</v>
      </c>
      <c r="B671" s="59" t="str">
        <f ca="1">IFERROR(__xludf.DUMMYFUNCTION("LOWER(REGEXREPLACE(D671&amp;"" ""&amp;E671,""[^а-яa-z0-9 ]"","" ""))")," блучатель бактерицидный obn 150 kront  акт   ффективность  99 9    99 0    95 0   роизводительность  100   150   230  м3 час  актерицидные лампы  2 х 30  т  араметры  1090х150х100 мм ")</f>
        <v xml:space="preserve"> блучатель бактерицидный obn 150 kront  акт   ффективность  99 9    99 0    95 0   роизводительность  100   150   230  м3 час  актерицидные лампы  2 х 30  т  араметры  1090х150х100 мм </v>
      </c>
      <c r="C671" s="61" t="s">
        <v>14143</v>
      </c>
      <c r="D671" s="56" t="s">
        <v>14144</v>
      </c>
      <c r="E671" s="56" t="s">
        <v>14145</v>
      </c>
      <c r="F671" s="57">
        <v>122300</v>
      </c>
      <c r="G671" s="58">
        <v>4</v>
      </c>
      <c r="I671" s="5"/>
      <c r="J671" s="5"/>
    </row>
    <row r="672" spans="1:10" x14ac:dyDescent="0.2">
      <c r="A672" s="59" t="str">
        <f ca="1">IFERROR(__xludf.DUMMYFUNCTION("TEXTJOIN(""|"",TRUE,UNIQUE(FILTER(SPLIT(B672,"" ""),LEN(SPLIT(B672,"" ""))&gt;2)))"),"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amp;"но|для|размещения|помещениях")</f>
        <v>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но|для|размещения|помещениях</v>
      </c>
      <c r="B672" s="59" t="str">
        <f ca="1">IFERROR(__xludf.DUMMYFUNCTION("LOWER(REGEXREPLACE(D672&amp;"" ""&amp;E672,""[^а-яa-z0-9 ]"","" ""))"),"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простран"&amp;"стве   редназначено для размещения в помещениях ")</f>
        <v xml:space="preserve">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пространстве   редназначено для размещения в помещениях </v>
      </c>
      <c r="C672" s="61" t="s">
        <v>14146</v>
      </c>
      <c r="D672" s="56" t="s">
        <v>14147</v>
      </c>
      <c r="E672" s="56" t="s">
        <v>14148</v>
      </c>
      <c r="F672" s="57">
        <v>1658600</v>
      </c>
      <c r="G672" s="58">
        <v>1</v>
      </c>
      <c r="I672" s="5"/>
      <c r="J672" s="5"/>
    </row>
    <row r="673" spans="1:10" x14ac:dyDescent="0.2">
      <c r="A673" s="59" t="str">
        <f ca="1">IFERROR(__xludf.DUMMYFUNCTION("TEXTJOIN(""|"",TRUE,UNIQUE(FILTER(SPLIT(B673,"" ""),LEN(SPLIT(B673,"" ""))&gt;2)))"),"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amp;"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amp;"ия|долговечность|при|эксплуатации|условиях")</f>
        <v>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ия|долговечность|при|эксплуатации|условиях</v>
      </c>
      <c r="B673" s="59" t="str">
        <f ca="1">IFERROR(__xludf.DUMMYFUNCTION("LOWER(REGEXREPLACE(D673&amp;"" ""&amp;E673,""[^а-яa-z0-9 ]"","" ""))"),"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кла"&amp;"ссификации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для"&amp;" детей  обеспечивает удобство использования и долговечность при эксплуатации в условиях     ")</f>
        <v xml:space="preserve">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 детей  обеспечивает удобство использования и долговечность при эксплуатации в условиях     </v>
      </c>
      <c r="C673" s="61" t="s">
        <v>14149</v>
      </c>
      <c r="D673" s="56" t="s">
        <v>14150</v>
      </c>
      <c r="E673" s="56" t="s">
        <v>14151</v>
      </c>
      <c r="F673" s="57">
        <v>5300</v>
      </c>
      <c r="G673" s="58">
        <v>1</v>
      </c>
      <c r="I673" s="5"/>
      <c r="J673" s="5"/>
    </row>
    <row r="674" spans="1:10" x14ac:dyDescent="0.2">
      <c r="A674" s="59" t="str">
        <f ca="1">IFERROR(__xludf.DUMMYFUNCTION("TEXTJOIN(""|"",TRUE,UNIQUE(FILTER(SPLIT(B674,"" ""),LEN(SPLIT(B674,"" ""))&gt;2)))"),"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amp;"дходят|для|детей|разного|возраста|безопасны|использовании|устойчивы|износу|обеспечивают|комфортную|эксплуатацию|помещениях|открытых|площадках|детского|сада")</f>
        <v>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дходят|для|детей|разного|возраста|безопасны|использовании|устойчивы|износу|обеспечивают|комфортную|эксплуатацию|помещениях|открытых|площадках|детского|сада</v>
      </c>
      <c r="B674" s="59" t="str">
        <f ca="1">IFERROR(__xludf.DUMMYFUNCTION("LOWER(REGEXREPLACE(D674&amp;"" ""&amp;E674,""[^а-яa-z0-9 ]"","" ""))"),"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эстафетах"&amp;"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f>
        <v xml:space="preserve">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v>
      </c>
      <c r="C674" s="61" t="s">
        <v>14152</v>
      </c>
      <c r="D674" s="56" t="s">
        <v>14153</v>
      </c>
      <c r="E674" s="56" t="s">
        <v>14154</v>
      </c>
      <c r="F674" s="57">
        <v>4800</v>
      </c>
      <c r="G674" s="58">
        <v>20</v>
      </c>
      <c r="I674" s="5"/>
      <c r="J674" s="5"/>
    </row>
    <row r="675" spans="1:10" x14ac:dyDescent="0.2">
      <c r="A675" s="59" t="str">
        <f ca="1">IFERROR(__xludf.DUMMYFUNCTION("TEXTJOIN(""|"",TRUE,UNIQUE(FILTER(SPLIT(B675,"" ""),LEN(SPLIT(B675,"" ""))&gt;2)))"),"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amp;"обствует|развитию|логического|мышления|навыков|атериалы|набора|включают|бумажные|карточки|элементы|дерева")</f>
        <v>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обствует|развитию|логического|мышления|навыков|атериалы|набора|включают|бумажные|карточки|элементы|дерева</v>
      </c>
      <c r="B675" s="59" t="str">
        <f ca="1">IFERROR(__xludf.DUMMYFUNCTION("LOWER(REGEXREPLACE(D675&amp;"" ""&amp;E675,""[^а-яa-z0-9 ]"","" ""))"),"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"&amp;"  акая деятельность способствует развитию логического мышления и навыков сч та   атериалы набора включают бумажные карточки и элементы из дерева ")</f>
        <v xml:space="preserve">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акая деятельность способствует развитию логического мышления и навыков сч та   атериалы набора включают бумажные карточки и элементы из дерева </v>
      </c>
      <c r="C675" s="61" t="s">
        <v>14155</v>
      </c>
      <c r="D675" s="56" t="s">
        <v>14156</v>
      </c>
      <c r="E675" s="56" t="s">
        <v>14157</v>
      </c>
      <c r="F675" s="57">
        <v>10600</v>
      </c>
      <c r="G675" s="58">
        <v>5</v>
      </c>
      <c r="I675" s="5"/>
      <c r="J675" s="5"/>
    </row>
    <row r="676" spans="1:10" x14ac:dyDescent="0.2">
      <c r="A676" s="59" t="str">
        <f ca="1">IFERROR(__xludf.DUMMYFUNCTION("TEXTJOIN(""|"",TRUE,UNIQUE(FILTER(SPLIT(B676,"" ""),LEN(SPLIT(B676,"" ""))&gt;2)))"),"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amp;"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f>
        <v>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v>
      </c>
      <c r="B676" s="59" t="str">
        <f ca="1">IFERROR(__xludf.DUMMYFUNCTION("LOWER(REGEXREPLACE(D676&amp;"" ""&amp;E676,""[^а-яa-z0-9 ]"","" ""))"),"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обр"&amp;"азовательной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f>
        <v xml:space="preserve">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v>
      </c>
      <c r="C676" s="61" t="s">
        <v>14158</v>
      </c>
      <c r="D676" s="56" t="s">
        <v>14159</v>
      </c>
      <c r="E676" s="56" t="s">
        <v>14160</v>
      </c>
      <c r="F676" s="57">
        <v>2600</v>
      </c>
      <c r="G676" s="58">
        <v>5</v>
      </c>
      <c r="I676" s="5"/>
      <c r="J676" s="5"/>
    </row>
    <row r="677" spans="1:10" x14ac:dyDescent="0.2">
      <c r="A677" s="59" t="str">
        <f ca="1">IFERROR(__xludf.DUMMYFUNCTION("TEXTJOIN(""|"",TRUE,UNIQUE(FILTER(SPLIT(B677,"" ""),LEN(SPLIT(B677,"" ""))&gt;2)))"),"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amp;"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f>
        <v>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v>
      </c>
      <c r="B677" s="59" t="str">
        <f ca="1">IFERROR(__xludf.DUMMYFUNCTION("LOWER(REGEXREPLACE(D677&amp;"" ""&amp;E677,""[^а-яa-z0-9 ]"","" ""))"),"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"&amp;"охватывает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f>
        <v xml:space="preserve">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v>
      </c>
      <c r="C677" s="61" t="s">
        <v>14161</v>
      </c>
      <c r="D677" s="56" t="s">
        <v>14162</v>
      </c>
      <c r="E677" s="56" t="s">
        <v>14163</v>
      </c>
      <c r="F677" s="57">
        <v>26600</v>
      </c>
      <c r="G677" s="58">
        <v>1</v>
      </c>
      <c r="I677" s="5"/>
      <c r="J677" s="5"/>
    </row>
    <row r="678" spans="1:10" x14ac:dyDescent="0.2">
      <c r="A678" s="59" t="str">
        <f ca="1">IFERROR(__xludf.DUMMYFUNCTION("TEXTJOIN(""|"",TRUE,UNIQUE(FILTER(SPLIT(B678,"" ""),LEN(SPLIT(B678,"" ""))&gt;2)))"),"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amp;"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amp;"атации")</f>
        <v>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атации</v>
      </c>
      <c r="B678" s="59" t="str">
        <f ca="1">IFERROR(__xludf.DUMMYFUNCTION("LOWER(REGEXREPLACE(D678&amp;"" ""&amp;E678,""[^а-яa-z0-9 ]"","" ""))"),"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словарного"&amp;"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безоп"&amp;"асны и соответствуют условиям эксплуатации в     ")</f>
        <v xml:space="preserve">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безопасны и соответствуют условиям эксплуатации в     </v>
      </c>
      <c r="C678" s="61" t="s">
        <v>14164</v>
      </c>
      <c r="D678" s="56" t="s">
        <v>14165</v>
      </c>
      <c r="E678" s="56" t="s">
        <v>14166</v>
      </c>
      <c r="F678" s="57">
        <v>5700</v>
      </c>
      <c r="G678" s="58">
        <v>1</v>
      </c>
      <c r="I678" s="5"/>
      <c r="J678" s="5"/>
    </row>
    <row r="679" spans="1:10" x14ac:dyDescent="0.2">
      <c r="A679" s="59" t="str">
        <f ca="1">IFERROR(__xludf.DUMMYFUNCTION("TEXTJOIN(""|"",TRUE,UNIQUE(FILTER(SPLIT(B679,"" ""),LEN(SPLIT(B679,"" ""))&gt;2)))"),"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amp;"иям|предъявляемым|изделиям|для|детских|учреждений")</f>
        <v>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иям|предъявляемым|изделиям|для|детских|учреждений</v>
      </c>
      <c r="B679" s="59" t="str">
        <f ca="1">IFERROR(__xludf.DUMMYFUNCTION("LOWER(REGEXREPLACE(D679&amp;"" ""&amp;E679,""[^а-яa-z0-9 ]"","" ""))"),"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гиги"&amp;"еническим требованиям  предъявляемым к изделиям для детских учреждений ")</f>
        <v xml:space="preserve">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гигиеническим требованиям  предъявляемым к изделиям для детских учреждений </v>
      </c>
      <c r="C679" s="61" t="s">
        <v>14167</v>
      </c>
      <c r="D679" s="56" t="s">
        <v>14168</v>
      </c>
      <c r="E679" s="56" t="s">
        <v>14169</v>
      </c>
      <c r="F679" s="57">
        <v>36000</v>
      </c>
      <c r="G679" s="58">
        <v>320</v>
      </c>
      <c r="I679" s="5"/>
      <c r="J679" s="5"/>
    </row>
    <row r="680" spans="1:10" x14ac:dyDescent="0.2">
      <c r="A680" s="59" t="str">
        <f ca="1">IFERROR(__xludf.DUMMYFUNCTION("TEXTJOIN(""|"",TRUE,UNIQUE(FILTER(SPLIT(B680,"" ""),LEN(SPLIT(B680,"" ""))&gt;2)))"),"есы|детские|набор|входит|весы|двумя|лотками|грузов|различного|веса|вет|ассортименте|без|возможности|выбора|азмер|игрушки|атериал|пластик")</f>
        <v>есы|детские|набор|входит|весы|двумя|лотками|грузов|различного|веса|вет|ассортименте|без|возможности|выбора|азмер|игрушки|атериал|пластик</v>
      </c>
      <c r="B680" s="59" t="str">
        <f ca="1">IFERROR(__xludf.DUMMYFUNCTION("LOWER(REGEXREPLACE(D680&amp;"" ""&amp;E680,""[^а-яa-z0-9 ]"","" ""))"),"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f>
        <v xml:space="preserve">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v>
      </c>
      <c r="C680" s="61" t="s">
        <v>14170</v>
      </c>
      <c r="D680" s="56" t="s">
        <v>14171</v>
      </c>
      <c r="E680" s="56" t="s">
        <v>14172</v>
      </c>
      <c r="F680" s="57">
        <v>9900</v>
      </c>
      <c r="G680" s="58">
        <v>7</v>
      </c>
      <c r="I680" s="5"/>
      <c r="J680" s="5"/>
    </row>
    <row r="681" spans="1:10" x14ac:dyDescent="0.2">
      <c r="A681" s="59" t="str">
        <f ca="1">IFERROR(__xludf.DUMMYFUNCTION("TEXTJOIN(""|"",TRUE,UNIQUE(FILTER(SPLIT(B681,"" ""),LEN(SPLIT(B681,"" ""))&gt;2)))"),"йсана|ппес|шума|тар|алжанова")</f>
        <v>йсана|ппес|шума|тар|алжанова</v>
      </c>
      <c r="B681" s="59" t="str">
        <f ca="1">IFERROR(__xludf.DUMMYFUNCTION("LOWER(REGEXREPLACE(D681&amp;"" ""&amp;E681,""[^а-яa-z0-9 ]"","" ""))")," йсана  л ппес    уа ты шума тар    алжанова")</f>
        <v xml:space="preserve"> йсана  л ппес    уа ты шума тар    алжанова</v>
      </c>
      <c r="C681" s="61" t="s">
        <v>14173</v>
      </c>
      <c r="D681" s="56" t="s">
        <v>14174</v>
      </c>
      <c r="E681" s="56" t="s">
        <v>14175</v>
      </c>
      <c r="F681" s="57">
        <v>12600</v>
      </c>
      <c r="G681" s="58">
        <v>1</v>
      </c>
      <c r="I681" s="5"/>
      <c r="J681" s="5"/>
    </row>
    <row r="682" spans="1:10" x14ac:dyDescent="0.2">
      <c r="A682" s="59" t="str">
        <f ca="1">IFERROR(__xludf.DUMMYFUNCTION("TEXTJOIN(""|"",TRUE,UNIQUE(FILTER(SPLIT(B682,"" ""),LEN(SPLIT(B682,"" ""))&gt;2)))"),"были|первыми|умисбаев")</f>
        <v>были|первыми|умисбаев</v>
      </c>
      <c r="B682" s="59" t="str">
        <f ca="1">IFERROR(__xludf.DUMMYFUNCTION("LOWER(REGEXREPLACE(D682&amp;"" ""&amp;E682,""[^а-яa-z0-9 ]"","" ""))")," ни были первыми  умисбаев   ")</f>
        <v xml:space="preserve"> ни были первыми  умисбаев   </v>
      </c>
      <c r="C682" s="61" t="s">
        <v>14176</v>
      </c>
      <c r="D682" s="56" t="s">
        <v>14177</v>
      </c>
      <c r="E682" s="56" t="s">
        <v>14178</v>
      </c>
      <c r="F682" s="57">
        <v>2200</v>
      </c>
      <c r="G682" s="58">
        <v>1</v>
      </c>
      <c r="I682" s="5"/>
      <c r="J682" s="5"/>
    </row>
    <row r="683" spans="1:10" x14ac:dyDescent="0.2">
      <c r="A683" s="59" t="str">
        <f ca="1">IFERROR(__xludf.DUMMYFUNCTION("TEXTJOIN(""|"",TRUE,UNIQUE(FILTER(SPLIT(B683,"" ""),LEN(SPLIT(B683,"" ""))&gt;2)))"),"пасные|животные|азахстана|азенас|итяев|щенко")</f>
        <v>пасные|животные|азахстана|азенас|итяев|щенко</v>
      </c>
      <c r="B683" s="59" t="str">
        <f ca="1">IFERROR(__xludf.DUMMYFUNCTION("LOWER(REGEXREPLACE(D683&amp;"" ""&amp;E683,""[^а-яa-z0-9 ]"","" ""))")," пасные животные  азахстана  азенас      итяев      щенко   ")</f>
        <v xml:space="preserve"> пасные животные  азахстана  азенас      итяев      щенко   </v>
      </c>
      <c r="C683" s="61" t="s">
        <v>14179</v>
      </c>
      <c r="D683" s="56" t="s">
        <v>14180</v>
      </c>
      <c r="E683" s="56" t="s">
        <v>14181</v>
      </c>
      <c r="F683" s="57">
        <v>3000</v>
      </c>
      <c r="G683" s="58">
        <v>1</v>
      </c>
      <c r="I683" s="5"/>
      <c r="J683" s="5"/>
    </row>
    <row r="684" spans="1:10" x14ac:dyDescent="0.2">
      <c r="A684" s="59" t="str">
        <f ca="1">IFERROR(__xludf.DUMMYFUNCTION("TEXTJOIN(""|"",TRUE,UNIQUE(FILTER(SPLIT(B684,"" ""),LEN(SPLIT(B684,"" ""))&gt;2)))"),"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amp;"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f>
        <v>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v>
      </c>
      <c r="B684" s="59" t="str">
        <f ca="1">IFERROR(__xludf.DUMMYFUNCTION("LOWER(REGEXREPLACE(D684&amp;"" ""&amp;E684,""[^а-яa-z0-9 ]"","" ""))"),"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малень"&amp;"ких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f>
        <v xml:space="preserve">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v>
      </c>
      <c r="C684" s="61" t="s">
        <v>14182</v>
      </c>
      <c r="D684" s="56" t="s">
        <v>14183</v>
      </c>
      <c r="E684" s="56" t="s">
        <v>14184</v>
      </c>
      <c r="F684" s="57">
        <v>55400</v>
      </c>
      <c r="G684" s="58">
        <v>7</v>
      </c>
      <c r="I684" s="5"/>
      <c r="J684" s="5"/>
    </row>
    <row r="685" spans="1:10" x14ac:dyDescent="0.2">
      <c r="A685" s="59" t="str">
        <f ca="1">IFERROR(__xludf.DUMMYFUNCTION("TEXTJOIN(""|"",TRUE,UNIQUE(FILTER(SPLIT(B685,"" ""),LEN(SPLIT(B685,"" ""))&gt;2)))"),"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amp;"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f>
        <v>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v>
      </c>
      <c r="B685" s="59" t="str">
        <f ca="1">IFERROR(__xludf.DUMMYFUNCTION("LOWER(REGEXREPLACE(D685&amp;"" ""&amp;E685,""[^а-яa-z0-9 ]"","" ""))"),"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воз"&amp;"раста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f>
        <v xml:space="preserve">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v>
      </c>
      <c r="C685" s="61" t="s">
        <v>14185</v>
      </c>
      <c r="D685" s="56" t="s">
        <v>14186</v>
      </c>
      <c r="E685" s="56" t="s">
        <v>14187</v>
      </c>
      <c r="F685" s="57">
        <v>139400</v>
      </c>
      <c r="G685" s="58">
        <v>1</v>
      </c>
      <c r="I685" s="5"/>
      <c r="J685" s="5"/>
    </row>
    <row r="686" spans="1:10" x14ac:dyDescent="0.2">
      <c r="A686" s="59" t="str">
        <f ca="1">IFERROR(__xludf.DUMMYFUNCTION("TEXTJOIN(""|"",TRUE,UNIQUE(FILTER(SPLIT(B686,"" ""),LEN(SPLIT(B686,"" ""))&gt;2)))"),"нер|рмес|мен|амирова")</f>
        <v>нер|рмес|мен|амирова</v>
      </c>
      <c r="B686" s="59" t="str">
        <f ca="1">IFERROR(__xludf.DUMMYFUNCTION("LOWER(REGEXREPLACE(D686&amp;"" ""&amp;E686,""[^а-яa-z0-9 ]"","" ""))")," нер    с нд рмес мен  амирова     ")</f>
        <v xml:space="preserve"> нер    с нд рмес мен  амирова     </v>
      </c>
      <c r="C686" s="61" t="s">
        <v>14188</v>
      </c>
      <c r="D686" s="56" t="s">
        <v>14189</v>
      </c>
      <c r="E686" s="56" t="s">
        <v>12889</v>
      </c>
      <c r="F686" s="57">
        <v>40800</v>
      </c>
      <c r="G686" s="58">
        <v>1</v>
      </c>
      <c r="I686" s="5"/>
      <c r="J686" s="5"/>
    </row>
    <row r="687" spans="1:10" x14ac:dyDescent="0.2">
      <c r="A687" s="59" t="str">
        <f ca="1">IFERROR(__xludf.DUMMYFUNCTION("TEXTJOIN(""|"",TRUE,UNIQUE(FILTER(SPLIT(B687,"" ""),LEN(SPLIT(B687,"" ""))&gt;2)))"),"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amp;"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amp;"ользованию|условиях")</f>
        <v>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ользованию|условиях</v>
      </c>
      <c r="B687" s="59" t="str">
        <f ca="1">IFERROR(__xludf.DUMMYFUNCTION("LOWER(REGEXREPLACE(D687&amp;"" ""&amp;E687,""[^а-яa-z0-9 ]"","" ""))"),"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воспри"&amp;"ятия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нн"&amp;"ые края и устойчив к регулярному использованию в условиях     ")</f>
        <v xml:space="preserve">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нные края и устойчив к регулярному использованию в условиях     </v>
      </c>
      <c r="C687" s="61" t="s">
        <v>14190</v>
      </c>
      <c r="D687" s="56" t="s">
        <v>14191</v>
      </c>
      <c r="E687" s="56" t="s">
        <v>14192</v>
      </c>
      <c r="F687" s="57">
        <v>5700</v>
      </c>
      <c r="G687" s="58">
        <v>14</v>
      </c>
      <c r="I687" s="5"/>
      <c r="J687" s="5"/>
    </row>
    <row r="688" spans="1:10" x14ac:dyDescent="0.2">
      <c r="A688" s="59" t="str">
        <f ca="1">IFERROR(__xludf.DUMMYFUNCTION("TEXTJOIN(""|"",TRUE,UNIQUE(FILTER(SPLIT(B688,"" ""),LEN(SPLIT(B688,"" ""))&gt;2)))"),"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amp;"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f>
        <v>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v>
      </c>
      <c r="B688" s="59" t="str">
        <f ca="1">IFERROR(__xludf.DUMMYFUNCTION("LOWER(REGEXREPLACE(D688&amp;"" ""&amp;E688,""[^а-яa-z0-9 ]"","" ""))"),"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учитыва"&amp;"ть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усло"&amp;"виях     ")</f>
        <v xml:space="preserve">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условиях     </v>
      </c>
      <c r="C688" s="61" t="s">
        <v>14193</v>
      </c>
      <c r="D688" s="56" t="s">
        <v>14194</v>
      </c>
      <c r="E688" s="56" t="s">
        <v>14195</v>
      </c>
      <c r="F688" s="57">
        <v>6700</v>
      </c>
      <c r="G688" s="58">
        <v>14</v>
      </c>
      <c r="I688" s="5"/>
      <c r="J688" s="5"/>
    </row>
    <row r="689" spans="1:10" x14ac:dyDescent="0.2">
      <c r="A689" s="59" t="str">
        <f ca="1">IFERROR(__xludf.DUMMYFUNCTION("TEXTJOIN(""|"",TRUE,UNIQUE(FILTER(SPLIT(B689,"" ""),LEN(SPLIT(B689,"" ""))&gt;2)))"),"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amp;"ыки|соотнесения|набор|входит|менее|карточек|размером|около|менее|фигурок|липучках")</f>
        <v>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ыки|соотнесения|набор|входит|менее|карточек|размером|около|менее|фигурок|липучках</v>
      </c>
      <c r="B689" s="59" t="str">
        <f ca="1">IFERROR(__xludf.DUMMYFUNCTION("LOWER(REGEXREPLACE(D689&amp;"" ""&amp;E689,""[^а-яa-z0-9 ]"","" ""))"),"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"&amp;"деятельность развивает внимание и навыки соотнесения    набор входит не менее 10 карточек размером около 15 5 11 см и не менее 20 фигурок на липучках ")</f>
        <v xml:space="preserve">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деятельность развивает внимание и навыки соотнесения    набор входит не менее 10 карточек размером около 15 5 11 см и не менее 20 фигурок на липучках </v>
      </c>
      <c r="C689" s="61" t="s">
        <v>14196</v>
      </c>
      <c r="D689" s="56" t="s">
        <v>14197</v>
      </c>
      <c r="E689" s="56" t="s">
        <v>14198</v>
      </c>
      <c r="F689" s="57">
        <v>1400</v>
      </c>
      <c r="G689" s="58">
        <v>21</v>
      </c>
      <c r="I689" s="5"/>
      <c r="J689" s="5"/>
    </row>
    <row r="690" spans="1:10" x14ac:dyDescent="0.2">
      <c r="A690" s="59" t="str">
        <f ca="1">IFERROR(__xludf.DUMMYFUNCTION("TEXTJOIN(""|"",TRUE,UNIQUE(FILTER(SPLIT(B690,"" ""),LEN(SPLIT(B690,"" ""))&gt;2)))"),"есы|напольные|есы|предназначены|для|измерения|массы|тела|детей|взрослых|используются|медицинском|кабинете")</f>
        <v>есы|напольные|есы|предназначены|для|измерения|массы|тела|детей|взрослых|используются|медицинском|кабинете</v>
      </c>
      <c r="B690" s="59" t="str">
        <f ca="1">IFERROR(__xludf.DUMMYFUNCTION("LOWER(REGEXREPLACE(D690&amp;"" ""&amp;E690,""[^а-яa-z0-9 ]"","" ""))")," есы напольные  есы предназначены для измерения массы тела детей и взрослых  используются в медицинском кабинете ")</f>
        <v xml:space="preserve"> есы напольные  есы предназначены для измерения массы тела детей и взрослых  используются в медицинском кабинете </v>
      </c>
      <c r="C690" s="61" t="s">
        <v>14199</v>
      </c>
      <c r="D690" s="56" t="s">
        <v>14200</v>
      </c>
      <c r="E690" s="56" t="s">
        <v>14201</v>
      </c>
      <c r="F690" s="57">
        <v>36000</v>
      </c>
      <c r="G690" s="58">
        <v>2</v>
      </c>
      <c r="I690" s="5"/>
      <c r="J690" s="5"/>
    </row>
    <row r="691" spans="1:10" x14ac:dyDescent="0.2">
      <c r="A691" s="59" t="str">
        <f ca="1">IFERROR(__xludf.DUMMYFUNCTION("TEXTJOIN(""|"",TRUE,UNIQUE(FILTER(SPLIT(B691,"" ""),LEN(SPLIT(B691,"" ""))&gt;2)))"),"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amp;"ивает|внимание|зрительный|анализ|оличество|элементов|менее|азмер|собранном|виде|менее|атериал|фанера")</f>
        <v>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ивает|внимание|зрительный|анализ|оличество|элементов|менее|азмер|собранном|виде|менее|атериал|фанера</v>
      </c>
      <c r="B691" s="59" t="str">
        <f ca="1">IFERROR(__xludf.DUMMYFUNCTION("LOWER(REGEXREPLACE(D691&amp;"" ""&amp;E691,""[^а-яa-z0-9 ]"","" ""))"),"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"&amp;" акая деятельность развивает внимание и зрительный анализ   оличество элементов   не менее 10 шт   азмер в собранном виде   не менее 19 14 см   атериал   фанера     ")</f>
        <v xml:space="preserve">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акая деятельность развивает внимание и зрительный анализ   оличество элементов   не менее 10 шт   азмер в собранном виде   не менее 19 14 см   атериал   фанера     </v>
      </c>
      <c r="C691" s="61" t="s">
        <v>14202</v>
      </c>
      <c r="D691" s="56" t="s">
        <v>14203</v>
      </c>
      <c r="E691" s="56" t="s">
        <v>14204</v>
      </c>
      <c r="F691" s="57">
        <v>2600</v>
      </c>
      <c r="G691" s="58">
        <v>14</v>
      </c>
      <c r="I691" s="5"/>
      <c r="J691" s="5"/>
    </row>
    <row r="692" spans="1:10" x14ac:dyDescent="0.2">
      <c r="A692" s="59" t="str">
        <f ca="1">IFERROR(__xludf.DUMMYFUNCTION("TEXTJOIN(""|"",TRUE,UNIQUE(FILTER(SPLIT(B692,"" ""),LEN(SPLIT(B692,"" ""))&gt;2)))"),"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f>
        <v>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v>
      </c>
      <c r="B692" s="59" t="str">
        <f ca="1">IFERROR(__xludf.DUMMYFUNCTION("LOWER(REGEXREPLACE(D692&amp;"" ""&amp;E692,""[^а-яa-z0-9 ]"","" ""))"),"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f>
        <v xml:space="preserve">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v>
      </c>
      <c r="C692" s="61" t="s">
        <v>14205</v>
      </c>
      <c r="D692" s="56" t="s">
        <v>14206</v>
      </c>
      <c r="E692" s="56" t="s">
        <v>14207</v>
      </c>
      <c r="F692" s="57">
        <v>14100</v>
      </c>
      <c r="G692" s="58">
        <v>7</v>
      </c>
      <c r="I692" s="5"/>
      <c r="J692" s="5"/>
    </row>
    <row r="693" spans="1:10" x14ac:dyDescent="0.2">
      <c r="A693" s="59" t="str">
        <f ca="1">IFERROR(__xludf.DUMMYFUNCTION("TEXTJOIN(""|"",TRUE,UNIQUE(FILTER(SPLIT(B693,"" ""),LEN(SPLIT(B693,"" ""))&gt;2)))"),"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amp;"ь|развивает|зрительное|восприятие|внимание|навыки|анализа|азлы|предназначены|для|многократного|использования")</f>
        <v>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ь|развивает|зрительное|восприятие|внимание|навыки|анализа|азлы|предназначены|для|многократного|использования</v>
      </c>
      <c r="B693" s="59" t="str">
        <f ca="1">IFERROR(__xludf.DUMMYFUNCTION("LOWER(REGEXREPLACE(D693&amp;"" ""&amp;E693,""[^а-яa-z0-9 ]"","" ""))"),"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цел"&amp;"остной картинки   акая деятельность развивает зрительное восприятие  внимание и навыки анализа   азлы предназначены для многократного использования ")</f>
        <v xml:space="preserve">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целостной картинки   акая деятельность развивает зрительное восприятие  внимание и навыки анализа   азлы предназначены для многократного использования </v>
      </c>
      <c r="C693" s="61" t="s">
        <v>14208</v>
      </c>
      <c r="D693" s="56" t="s">
        <v>14209</v>
      </c>
      <c r="E693" s="56" t="s">
        <v>14210</v>
      </c>
      <c r="F693" s="57">
        <v>3100</v>
      </c>
      <c r="G693" s="58">
        <v>5</v>
      </c>
      <c r="I693" s="5"/>
      <c r="J693" s="5"/>
    </row>
    <row r="694" spans="1:10" x14ac:dyDescent="0.2">
      <c r="A694" s="59" t="str">
        <f ca="1">IFERROR(__xludf.DUMMYFUNCTION("TEXTJOIN(""|"",TRUE,UNIQUE(FILTER(SPLIT(B694,"" ""),LEN(SPLIT(B694,"" ""))&gt;2)))"),"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amp;"атную|сборку|ематика|может|включать|сказочных|персонажей|транспорт|животных|сюжетные|сцены")</f>
        <v>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атную|сборку|ематика|может|включать|сказочных|персонажей|транспорт|животных|сюжетные|сцены</v>
      </c>
      <c r="B694" s="59" t="str">
        <f ca="1">IFERROR(__xludf.DUMMYFUNCTION("LOWER(REGEXREPLACE(D694&amp;"" ""&amp;E694,""[^а-яa-z0-9 ]"","" ""))"),"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менее"&amp;" 26 и до 60 шт   атериал   картон  рассчитанный на многократную сборку   ематика может включать сказочных персонажей  транспорт  животных и сюжетные сцены ")</f>
        <v xml:space="preserve">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 26 и до 60 шт   атериал   картон  рассчитанный на многократную сборку   ематика может включать сказочных персонажей  транспорт  животных и сюжетные сцены </v>
      </c>
      <c r="C694" s="61" t="s">
        <v>14211</v>
      </c>
      <c r="D694" s="56" t="s">
        <v>14212</v>
      </c>
      <c r="E694" s="56" t="s">
        <v>14213</v>
      </c>
      <c r="F694" s="57">
        <v>2400</v>
      </c>
      <c r="G694" s="58">
        <v>5</v>
      </c>
      <c r="I694" s="5"/>
      <c r="J694" s="5"/>
    </row>
    <row r="695" spans="1:10" x14ac:dyDescent="0.2">
      <c r="A695" s="59" t="str">
        <f ca="1">IFERROR(__xludf.DUMMYFUNCTION("TEXTJOIN(""|"",TRUE,UNIQUE(FILTER(SPLIT(B695,"" ""),LEN(SPLIT(B695,"" ""))&gt;2)))"),"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amp;"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f>
        <v>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v>
      </c>
      <c r="B695" s="59" t="str">
        <f ca="1">IFERROR(__xludf.DUMMYFUNCTION("LOWER(REGEXREPLACE(D695&amp;"" ""&amp;E695,""[^а-яa-z0-9 ]"","" ""))"),"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образовател"&amp;"ьной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f>
        <v xml:space="preserve">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v>
      </c>
      <c r="C695" s="61" t="s">
        <v>14214</v>
      </c>
      <c r="D695" s="56" t="s">
        <v>14215</v>
      </c>
      <c r="E695" s="56" t="s">
        <v>14216</v>
      </c>
      <c r="F695" s="57">
        <v>7600</v>
      </c>
      <c r="G695" s="58">
        <v>1</v>
      </c>
      <c r="I695" s="5"/>
      <c r="J695" s="5"/>
    </row>
    <row r="696" spans="1:10" x14ac:dyDescent="0.2">
      <c r="A696" s="59" t="str">
        <f ca="1">IFERROR(__xludf.DUMMYFUNCTION("TEXTJOIN(""|"",TRUE,UNIQUE(FILTER(SPLIT(B696,"" ""),LEN(SPLIT(B696,"" ""))&gt;2)))"),"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amp;"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f>
        <v>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v>
      </c>
      <c r="B696" s="59" t="str">
        <f ca="1">IFERROR(__xludf.DUMMYFUNCTION("LOWER(REGEXREPLACE(D696&amp;"" ""&amp;E696,""[^а-яa-z0-9 ]"","" ""))"),"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моторик"&amp;"и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f>
        <v xml:space="preserve">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v>
      </c>
      <c r="C696" s="61" t="s">
        <v>14217</v>
      </c>
      <c r="D696" s="56" t="s">
        <v>5965</v>
      </c>
      <c r="E696" s="56" t="s">
        <v>14218</v>
      </c>
      <c r="F696" s="57">
        <v>2100</v>
      </c>
      <c r="G696" s="58">
        <v>25</v>
      </c>
      <c r="I696" s="5"/>
      <c r="J696" s="5"/>
    </row>
    <row r="697" spans="1:10" x14ac:dyDescent="0.2">
      <c r="A697" s="59" t="str">
        <f ca="1">IFERROR(__xludf.DUMMYFUNCTION("TEXTJOIN(""|"",TRUE,UNIQUE(FILTER(SPLIT(B697,"" ""),LEN(SPLIT(B697,"" ""))&gt;2)))"),"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amp;"индивидуальных|групповых|занятиях|раски|безопасны|для|детей|легко|смываются|имеют|яркие|цвета|подходят|для|использования|условиях|детских|учреждений")</f>
        <v>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индивидуальных|групповых|занятиях|раски|безопасны|для|детей|легко|смываются|имеют|яркие|цвета|подходят|для|использования|условиях|детских|учреждений</v>
      </c>
      <c r="B697" s="59" t="str">
        <f ca="1">IFERROR(__xludf.DUMMYFUNCTION("LOWER(REGEXREPLACE(D697&amp;"" ""&amp;E697,""[^а-яa-z0-9 ]"","" ""))"),"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самовыражения"&amp;"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f>
        <v xml:space="preserve">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v>
      </c>
      <c r="C697" s="61" t="s">
        <v>14219</v>
      </c>
      <c r="D697" s="56" t="s">
        <v>14220</v>
      </c>
      <c r="E697" s="56" t="s">
        <v>14221</v>
      </c>
      <c r="F697" s="57">
        <v>4000</v>
      </c>
      <c r="G697" s="58">
        <v>20</v>
      </c>
      <c r="I697" s="5"/>
      <c r="J697" s="5"/>
    </row>
    <row r="698" spans="1:10" x14ac:dyDescent="0.2">
      <c r="A698" s="59" t="str">
        <f ca="1">IFERROR(__xludf.DUMMYFUNCTION("TEXTJOIN(""|"",TRUE,UNIQUE(FILTER(SPLIT(B698,"" ""),LEN(SPLIT(B698,"" ""))&gt;2)))"),"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amp;"ны|мягких|нетоксичных|гипоаллергенных|материалов|легко|очищаются|устойчивы|частому|использованию|условиях")</f>
        <v>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ны|мягких|нетоксичных|гипоаллергенных|материалов|легко|очищаются|устойчивы|частому|использованию|условиях</v>
      </c>
      <c r="B698" s="59" t="str">
        <f ca="1">IFERROR(__xludf.DUMMYFUNCTION("LOWER(REGEXREPLACE(D698&amp;"" ""&amp;E698,""[^а-яa-z0-9 ]"","" ""))"),"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"&amp;"занятиях   зготовлены из мягких  нетоксичных и гипоаллергенных материалов  легко очищаются и устойчивы к частому использованию в условиях     ")</f>
        <v xml:space="preserve">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занятиях   зготовлены из мягких  нетоксичных и гипоаллергенных материалов  легко очищаются и устойчивы к частому использованию в условиях     </v>
      </c>
      <c r="C698" s="61" t="s">
        <v>14222</v>
      </c>
      <c r="D698" s="56" t="s">
        <v>14223</v>
      </c>
      <c r="E698" s="56" t="s">
        <v>14224</v>
      </c>
      <c r="F698" s="57">
        <v>6500</v>
      </c>
      <c r="G698" s="58">
        <v>1</v>
      </c>
      <c r="I698" s="5"/>
      <c r="J698" s="5"/>
    </row>
    <row r="699" spans="1:10" x14ac:dyDescent="0.2">
      <c r="A699" s="59" t="str">
        <f ca="1">IFERROR(__xludf.DUMMYFUNCTION("TEXTJOIN(""|"",TRUE,UNIQUE(FILTER(SPLIT(B699,"" ""),LEN(SPLIT(B699,"" ""))&gt;2)))"),"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amp;"ативных|навыков|уклы|подходят|для|пальчиковых|настольных|постановок|изготовлены|мягких|безопасных|материалов|устойчивы|регулярной|эксплуатации")</f>
        <v>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ативных|навыков|уклы|подходят|для|пальчиковых|настольных|постановок|изготовлены|мягких|безопасных|материалов|устойчивы|регулярной|эксплуатации</v>
      </c>
      <c r="B699" s="59" t="str">
        <f ca="1">IFERROR(__xludf.DUMMYFUNCTION("LOWER(REGEXREPLACE(D699&amp;"" ""&amp;E699,""[^а-яa-z0-9 ]"","" ""))"),"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реч"&amp;"и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f>
        <v xml:space="preserve">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v>
      </c>
      <c r="C699" s="61" t="s">
        <v>14225</v>
      </c>
      <c r="D699" s="56" t="s">
        <v>14226</v>
      </c>
      <c r="E699" s="56" t="s">
        <v>14227</v>
      </c>
      <c r="F699" s="57">
        <v>8200</v>
      </c>
      <c r="G699" s="58">
        <v>5</v>
      </c>
      <c r="I699" s="5"/>
      <c r="J699" s="5"/>
    </row>
    <row r="700" spans="1:10" x14ac:dyDescent="0.2">
      <c r="A700" s="59" t="str">
        <f ca="1">IFERROR(__xludf.DUMMYFUNCTION("TEXTJOIN(""|"",TRUE,UNIQUE(FILTER(SPLIT(B700,"" ""),LEN(SPLIT(B700,"" ""))&gt;2)))"),"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amp;"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f>
        <v>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v>
      </c>
      <c r="B700" s="59" t="str">
        <f ca="1">IFERROR(__xludf.DUMMYFUNCTION("LOWER(REGEXREPLACE(D700&amp;"" ""&amp;E700,""[^а-яa-z0-9 ]"","" ""))"),"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детя"&amp;"м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f>
        <v xml:space="preserve">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v>
      </c>
      <c r="C700" s="61" t="s">
        <v>14228</v>
      </c>
      <c r="D700" s="56" t="s">
        <v>14229</v>
      </c>
      <c r="E700" s="56" t="s">
        <v>14230</v>
      </c>
      <c r="F700" s="57">
        <v>19800</v>
      </c>
      <c r="G700" s="58">
        <v>14</v>
      </c>
      <c r="I700" s="5"/>
      <c r="J700" s="5"/>
    </row>
    <row r="701" spans="1:10" x14ac:dyDescent="0.2">
      <c r="A701" s="59" t="str">
        <f ca="1">IFERROR(__xludf.DUMMYFUNCTION("TEXTJOIN(""|"",TRUE,UNIQUE(FILTER(SPLIT(B701,"" ""),LEN(SPLIT(B701,"" ""))&gt;2)))"),"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amp;"ошении|величин|лементы|набора|рассчитаны|многократное|использование")</f>
        <v>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ошении|величин|лементы|набора|рассчитаны|многократное|использование</v>
      </c>
      <c r="B701" s="59" t="str">
        <f ca="1">IFERROR(__xludf.DUMMYFUNCTION("LOWER(REGEXREPLACE(D701&amp;"" ""&amp;E701,""[^а-яa-z0-9 ]"","" ""))"),"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представ"&amp;"лений о весе и соотношении величин   лементы набора рассчитаны на многократное использование ")</f>
        <v xml:space="preserve">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представлений о весе и соотношении величин   лементы набора рассчитаны на многократное использование </v>
      </c>
      <c r="C701" s="61" t="s">
        <v>14231</v>
      </c>
      <c r="D701" s="56" t="s">
        <v>14232</v>
      </c>
      <c r="E701" s="56" t="s">
        <v>14233</v>
      </c>
      <c r="F701" s="57">
        <v>8700</v>
      </c>
      <c r="G701" s="58">
        <v>5</v>
      </c>
      <c r="I701" s="5"/>
      <c r="J701" s="5"/>
    </row>
    <row r="702" spans="1:10" x14ac:dyDescent="0.2">
      <c r="A702" s="59" t="str">
        <f ca="1">IFERROR(__xludf.DUMMYFUNCTION("TEXTJOIN(""|"",TRUE,UNIQUE(FILTER(SPLIT(B702,"" ""),LEN(SPLIT(B702,"" ""))&gt;2)))"),"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amp;"ечивает|удобный|доступ|документам|сохранность|аккуратное|размещение|одходит|для|эксплуатации|условиях")</f>
        <v>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ечивает|удобный|доступ|документам|сохранность|аккуратное|размещение|одходит|для|эксплуатации|условиях</v>
      </c>
      <c r="B702" s="59" t="str">
        <f ca="1">IFERROR(__xludf.DUMMYFUNCTION("LOWER(REGEXREPLACE(D702&amp;"" ""&amp;E702,""[^а-яa-z0-9 ]"","" ""))"),"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дошкольн"&amp;"ого учреждения   беспечивает удобный доступ к документам  их сохранность и аккуратное размещение   одходит для эксплуатации в условиях     ")</f>
        <v xml:space="preserve">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дошкольного учреждения   беспечивает удобный доступ к документам  их сохранность и аккуратное размещение   одходит для эксплуатации в условиях     </v>
      </c>
      <c r="C702" s="61" t="s">
        <v>14234</v>
      </c>
      <c r="D702" s="56" t="s">
        <v>14235</v>
      </c>
      <c r="E702" s="56" t="s">
        <v>14236</v>
      </c>
      <c r="F702" s="57">
        <v>1700</v>
      </c>
      <c r="G702" s="58">
        <v>50</v>
      </c>
      <c r="I702" s="5"/>
      <c r="J702" s="5"/>
    </row>
    <row r="703" spans="1:10" x14ac:dyDescent="0.2">
      <c r="A703" s="59" t="str">
        <f ca="1">IFERROR(__xludf.DUMMYFUNCTION("TEXTJOIN(""|"",TRUE,UNIQUE(FILTER(SPLIT(B703,"" ""),LEN(SPLIT(B703,"" ""))&gt;2)))"),"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amp;"ах|отдыха|пособствуют|формированию|детей|эстетического|восприятия|интереса|миру|растений")</f>
        <v>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ах|отдыха|пособствуют|формированию|детей|эстетического|восприятия|интереса|миру|растений</v>
      </c>
      <c r="B703" s="59" t="str">
        <f ca="1">IFERROR(__xludf.DUMMYFUNCTION("LOWER(REGEXREPLACE(D703&amp;"" ""&amp;E703,""[^а-яa-z0-9 ]"","" ""))"),"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специа"&amp;"листов и зонах отдыха   пособствуют формированию у детей эстетического восприятия и интереса к миру растений ")</f>
        <v xml:space="preserve">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пособствуют формированию у детей эстетического восприятия и интереса к миру растений </v>
      </c>
      <c r="C703" s="61" t="s">
        <v>14237</v>
      </c>
      <c r="D703" s="56" t="s">
        <v>14238</v>
      </c>
      <c r="E703" s="56" t="s">
        <v>14239</v>
      </c>
      <c r="F703" s="57">
        <v>27400</v>
      </c>
      <c r="G703" s="58">
        <v>5</v>
      </c>
      <c r="I703" s="5"/>
      <c r="J703" s="5"/>
    </row>
    <row r="704" spans="1:10" x14ac:dyDescent="0.2">
      <c r="A704" s="59" t="str">
        <f ca="1">IFERROR(__xludf.DUMMYFUNCTION("TEXTJOIN(""|"",TRUE,UNIQUE(FILTER(SPLIT(B704,"" ""),LEN(SPLIT(B704,"" ""))&gt;2)))"),"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amp;"гровых|паузах|коррекционно|развивающей|работе|зготовлен|прочного|текстильного|материала|безопасен|удобен|для|использования|помещении|улице")</f>
        <v>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гровых|паузах|коррекционно|развивающей|работе|зготовлен|прочного|текстильного|материала|безопасен|удобен|для|использования|помещении|улице</v>
      </c>
      <c r="B704" s="59" t="str">
        <f ca="1">IFERROR(__xludf.DUMMYFUNCTION("LOWER(REGEXREPLACE(D704&amp;"" ""&amp;E704,""[^а-яa-z0-9 ]"","" ""))"),"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физкул"&amp;"ьтурных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f>
        <v xml:space="preserve">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v>
      </c>
      <c r="C704" s="61" t="s">
        <v>14240</v>
      </c>
      <c r="D704" s="56" t="s">
        <v>14241</v>
      </c>
      <c r="E704" s="56" t="s">
        <v>14242</v>
      </c>
      <c r="F704" s="57">
        <v>53100</v>
      </c>
      <c r="G704" s="58">
        <v>2</v>
      </c>
      <c r="I704" s="5"/>
      <c r="J704" s="5"/>
    </row>
    <row r="705" spans="1:10" x14ac:dyDescent="0.2">
      <c r="A705" s="59" t="str">
        <f ca="1">IFERROR(__xludf.DUMMYFUNCTION("TEXTJOIN(""|"",TRUE,UNIQUE(FILTER(SPLIT(B705,"" ""),LEN(SPLIT(B705,"" ""))&gt;2)))"),"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amp;"|моделирования|игровых|ситуаций|онструкция|безопасна|устойчива|регулярному|использованию|условиях")</f>
        <v>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моделирования|игровых|ситуаций|онструкция|безопасна|устойчива|регулярному|использованию|условиях</v>
      </c>
      <c r="B705" s="59" t="str">
        <f ca="1">IFERROR(__xludf.DUMMYFUNCTION("LOWER(REGEXREPLACE(D705&amp;"" ""&amp;E705,""[^а-яa-z0-9 ]"","" ""))"),"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воображен"&amp;"ия  речи и навыков моделирования игровых ситуаций   онструкция безопасна и устойчива к регулярному использованию в условиях     ")</f>
        <v xml:space="preserve">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воображения  речи и навыков моделирования игровых ситуаций   онструкция безопасна и устойчива к регулярному использованию в условиях     </v>
      </c>
      <c r="C705" s="61" t="s">
        <v>14243</v>
      </c>
      <c r="D705" s="56" t="s">
        <v>14244</v>
      </c>
      <c r="E705" s="56" t="s">
        <v>14245</v>
      </c>
      <c r="F705" s="57">
        <v>29900</v>
      </c>
      <c r="G705" s="58">
        <v>5</v>
      </c>
      <c r="I705" s="5"/>
      <c r="J705" s="5"/>
    </row>
    <row r="706" spans="1:10" x14ac:dyDescent="0.2">
      <c r="A706" s="59" t="str">
        <f ca="1">IFERROR(__xludf.DUMMYFUNCTION("TEXTJOIN(""|"",TRUE,UNIQUE(FILTER(SPLIT(B706,"" ""),LEN(SPLIT(B706,"" ""))&gt;2)))"),"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amp;"|азмер|410|410|950|азначение|оформление|мобильных|книжных|зон|тематических|выставок")</f>
        <v>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азмер|410|410|950|азначение|оформление|мобильных|книжных|зон|тематических|выставок</v>
      </c>
      <c r="B706" s="59" t="str">
        <f ca="1">IFERROR(__xludf.DUMMYFUNCTION("LOWER(REGEXREPLACE(D706&amp;"" ""&amp;E706,""[^а-яa-z0-9 ]"","" ""))"),"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устойчивости"&amp;"   атериал   дерево или        азмер   410   410   950 мм   азначение   оформление мобильных книжных зон и тематических выставок ")</f>
        <v xml:space="preserve">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   атериал   дерево или        азмер   410   410   950 мм   азначение   оформление мобильных книжных зон и тематических выставок </v>
      </c>
      <c r="C706" s="61" t="s">
        <v>14246</v>
      </c>
      <c r="D706" s="56" t="s">
        <v>14247</v>
      </c>
      <c r="E706" s="56" t="s">
        <v>14248</v>
      </c>
      <c r="F706" s="57">
        <v>114000</v>
      </c>
      <c r="G706" s="58">
        <v>2</v>
      </c>
      <c r="I706" s="5"/>
      <c r="J706" s="5"/>
    </row>
    <row r="707" spans="1:10" x14ac:dyDescent="0.2">
      <c r="A707" s="59" t="str">
        <f ca="1">IFERROR(__xludf.DUMMYFUNCTION("TEXTJOIN(""|"",TRUE,UNIQUE(FILTER(SPLIT(B707,"" ""),LEN(SPLIT(B707,"" ""))&gt;2)))"),"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amp;"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f>
        <v>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v>
      </c>
      <c r="B707" s="59" t="str">
        <f ca="1">IFERROR(__xludf.DUMMYFUNCTION("LOWER(REGEXREPLACE(D707&amp;"" ""&amp;E707,""[^а-яa-z0-9 ]"","" ""))"),"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ра"&amp;"звитию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f>
        <v xml:space="preserve">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v>
      </c>
      <c r="C707" s="61" t="s">
        <v>14249</v>
      </c>
      <c r="D707" s="56" t="s">
        <v>14250</v>
      </c>
      <c r="E707" s="56" t="s">
        <v>14251</v>
      </c>
      <c r="F707" s="57">
        <v>111900</v>
      </c>
      <c r="G707" s="58">
        <v>7</v>
      </c>
      <c r="I707" s="5"/>
      <c r="J707" s="5"/>
    </row>
    <row r="708" spans="1:10" x14ac:dyDescent="0.2">
      <c r="A708" s="59" t="str">
        <f ca="1">IFERROR(__xludf.DUMMYFUNCTION("TEXTJOIN(""|"",TRUE,UNIQUE(FILTER(SPLIT(B708,"" ""),LEN(SPLIT(B708,"" ""))&gt;2)))"),"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amp;"|устойчивая|безопасными|краями|подходит|для|эксплуатации|детских|учреждениях")</f>
        <v>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устойчивая|безопасными|краями|подходит|для|эксплуатации|детских|учреждениях</v>
      </c>
      <c r="B708" s="59" t="str">
        <f ca="1">IFERROR(__xludf.DUMMYFUNCTION("LOWER(REGEXREPLACE(D708&amp;"" ""&amp;E708,""[^а-яa-z0-9 ]"","" ""))"),"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"&amp;"заданий   онструкция устойчивая  с безопасными краями  подходит для эксплуатации в детских учреждениях ")</f>
        <v xml:space="preserve">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заданий   онструкция устойчивая  с безопасными краями  подходит для эксплуатации в детских учреждениях </v>
      </c>
      <c r="C708" s="61" t="s">
        <v>14252</v>
      </c>
      <c r="D708" s="56" t="s">
        <v>14253</v>
      </c>
      <c r="E708" s="56" t="s">
        <v>14254</v>
      </c>
      <c r="F708" s="57">
        <v>1000</v>
      </c>
      <c r="G708" s="58">
        <v>3</v>
      </c>
      <c r="I708" s="5"/>
      <c r="J708" s="5"/>
    </row>
    <row r="709" spans="1:10" x14ac:dyDescent="0.2">
      <c r="A709" s="59" t="str">
        <f ca="1">IFERROR(__xludf.DUMMYFUNCTION("TEXTJOIN(""|"",TRUE,UNIQUE(FILTER(SPLIT(B709,"" ""),LEN(SPLIT(B709,"" ""))&gt;2)))"),"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amp;"ошкольного|возраста")</f>
        <v>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ошкольного|возраста</v>
      </c>
      <c r="B709" s="59" t="str">
        <f ca="1">IFERROR(__xludf.DUMMYFUNCTION("LOWER(REGEXREPLACE(D709&amp;"" ""&amp;E709,""[^а-яa-z0-9 ]"","" ""))"),"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"&amp;"групповой работе с детьми дошкольного возраста ")</f>
        <v xml:space="preserve">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групповой работе с детьми дошкольного возраста </v>
      </c>
      <c r="C709" s="61" t="s">
        <v>14255</v>
      </c>
      <c r="D709" s="56" t="s">
        <v>14256</v>
      </c>
      <c r="E709" s="56" t="s">
        <v>14257</v>
      </c>
      <c r="F709" s="57">
        <v>1700</v>
      </c>
      <c r="G709" s="58">
        <v>4</v>
      </c>
      <c r="I709" s="5"/>
      <c r="J709" s="5"/>
    </row>
    <row r="710" spans="1:10" x14ac:dyDescent="0.2">
      <c r="A710" s="59" t="str">
        <f ca="1">IFERROR(__xludf.DUMMYFUNCTION("TEXTJOIN(""|"",TRUE,UNIQUE(FILTER(SPLIT(B710,"" ""),LEN(SPLIT(B710,"" ""))&gt;2)))"),"есы|200h|рузоподъемность|200|увствительность|100")</f>
        <v>есы|200h|рузоподъемность|200|увствительность|100</v>
      </c>
      <c r="B710" s="59" t="str">
        <f ca="1">IFERROR(__xludf.DUMMYFUNCTION("LOWER(REGEXREPLACE(D710&amp;"" ""&amp;E710,""[^а-яa-z0-9 ]"","" ""))")," есы db 200h   рузоподъемность  200 кг   увствительность  50 100 г")</f>
        <v xml:space="preserve"> есы db 200h   рузоподъемность  200 кг   увствительность  50 100 г</v>
      </c>
      <c r="C710" s="61" t="s">
        <v>14258</v>
      </c>
      <c r="D710" s="56" t="s">
        <v>14259</v>
      </c>
      <c r="E710" s="56" t="s">
        <v>14260</v>
      </c>
      <c r="F710" s="57">
        <v>465400</v>
      </c>
      <c r="G710" s="58">
        <v>1</v>
      </c>
      <c r="I710" s="5"/>
      <c r="J710" s="5"/>
    </row>
    <row r="711" spans="1:10" x14ac:dyDescent="0.2">
      <c r="A711" s="59" t="str">
        <f ca="1">IFERROR(__xludf.DUMMYFUNCTION("TEXTJOIN(""|"",TRUE,UNIQUE(FILTER(SPLIT(B711,"" ""),LEN(SPLIT(B711,"" ""))&gt;2)))"),"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amp;"опасно|устойчиво|регулярной|эксплуатации")</f>
        <v>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опасно|устойчиво|регулярной|эксплуатации</v>
      </c>
      <c r="B711" s="59" t="str">
        <f ca="1">IFERROR(__xludf.DUMMYFUNCTION("LOWER(REGEXREPLACE(D711&amp;"" ""&amp;E711,""[^а-яa-z0-9 ]"","" ""))"),"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дошкольног"&amp;"о возраста   зделие безопасно и устойчиво к регулярной эксплуатации ")</f>
        <v xml:space="preserve">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дошкольного возраста   зделие безопасно и устойчиво к регулярной эксплуатации </v>
      </c>
      <c r="C711" s="61" t="s">
        <v>14261</v>
      </c>
      <c r="D711" s="56" t="s">
        <v>14262</v>
      </c>
      <c r="E711" s="56" t="s">
        <v>14263</v>
      </c>
      <c r="F711" s="57">
        <v>6100</v>
      </c>
      <c r="G711" s="58">
        <v>35</v>
      </c>
      <c r="I711" s="5"/>
      <c r="J711" s="5"/>
    </row>
    <row r="712" spans="1:10" x14ac:dyDescent="0.2">
      <c r="A712" s="59" t="str">
        <f ca="1">IFERROR(__xludf.DUMMYFUNCTION("TEXTJOIN(""|"",TRUE,UNIQUE(FILTER(SPLIT(B712,"" ""),LEN(SPLIT(B712,"" ""))&gt;2)))"),"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amp;"и|безопасны|для|детей|эксплуатация|соответствует|требованиям|использования|музыкального|оборудования")</f>
        <v>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и|безопасны|для|детей|эксплуатация|соответствует|требованиям|использования|музыкального|оборудования</v>
      </c>
      <c r="B712" s="59" t="str">
        <f ca="1">IFERROR(__xludf.DUMMYFUNCTION("LOWER(REGEXREPLACE(D712&amp;"" ""&amp;E712,""[^а-яa-z0-9 ]"","" ""))"),"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онструкция"&amp;" устойчивая  поверхности безопасны для детей  эксплуатация соответствует требованиям использования музыкального оборудования в     ")</f>
        <v xml:space="preserve">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 устойчивая  поверхности безопасны для детей  эксплуатация соответствует требованиям использования музыкального оборудования в     </v>
      </c>
      <c r="C712" s="61" t="s">
        <v>14264</v>
      </c>
      <c r="D712" s="61" t="s">
        <v>5176</v>
      </c>
      <c r="E712" s="56" t="s">
        <v>14265</v>
      </c>
      <c r="F712" s="57">
        <v>475000</v>
      </c>
      <c r="G712" s="58">
        <v>1</v>
      </c>
      <c r="I712" s="5"/>
      <c r="J712" s="5"/>
    </row>
    <row r="713" spans="1:10" x14ac:dyDescent="0.2">
      <c r="A713" s="59" t="str">
        <f ca="1">IFERROR(__xludf.DUMMYFUNCTION("TEXTJOIN(""|"",TRUE,UNIQUE(FILTER(SPLIT(B713,"" ""),LEN(SPLIT(B713,"" ""))&gt;2)))"),"инцет|анатомический|рименяется|для|медицинских|манипуляций|захвата|удержания|материалов")</f>
        <v>инцет|анатомический|рименяется|для|медицинских|манипуляций|захвата|удержания|материалов</v>
      </c>
      <c r="B713" s="59" t="str">
        <f ca="1">IFERROR(__xludf.DUMMYFUNCTION("LOWER(REGEXREPLACE(D713&amp;"" ""&amp;E713,""[^а-яa-z0-9 ]"","" ""))")," инцет анатомический  рименяется для медицинских манипуляций  захвата и удержания материалов ")</f>
        <v xml:space="preserve"> инцет анатомический  рименяется для медицинских манипуляций  захвата и удержания материалов </v>
      </c>
      <c r="C713" s="61" t="s">
        <v>14266</v>
      </c>
      <c r="D713" s="56" t="s">
        <v>14267</v>
      </c>
      <c r="E713" s="56" t="s">
        <v>14268</v>
      </c>
      <c r="F713" s="57">
        <v>8400</v>
      </c>
      <c r="G713" s="58">
        <v>2</v>
      </c>
      <c r="I713" s="5"/>
      <c r="J713" s="5"/>
    </row>
    <row r="714" spans="1:10" x14ac:dyDescent="0.2">
      <c r="A714" s="59" t="str">
        <f ca="1">IFERROR(__xludf.DUMMYFUNCTION("TEXTJOIN(""|"",TRUE,UNIQUE(FILTER(SPLIT(B714,"" ""),LEN(SPLIT(B714,"" ""))&gt;2)))"),"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amp;"одвижные|безопасные|удобные|для|детского|восприятия")</f>
        <v>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одвижные|безопасные|удобные|для|детского|восприятия</v>
      </c>
      <c r="B714" s="59" t="str">
        <f ca="1">IFERROR(__xludf.DUMMYFUNCTION("LOWER(REGEXREPLACE(D714&amp;"" ""&amp;E714,""[^а-яa-z0-9 ]"","" ""))"),"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возраста"&amp;"   лементы яркие  подвижные  безопасные и удобные для детского восприятия ")</f>
        <v xml:space="preserve">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   лементы яркие  подвижные  безопасные и удобные для детского восприятия </v>
      </c>
      <c r="C714" s="61" t="s">
        <v>14269</v>
      </c>
      <c r="D714" s="56" t="s">
        <v>14270</v>
      </c>
      <c r="E714" s="56" t="s">
        <v>14271</v>
      </c>
      <c r="F714" s="57">
        <v>14400</v>
      </c>
      <c r="G714" s="58">
        <v>1</v>
      </c>
      <c r="I714" s="5"/>
      <c r="J714" s="5"/>
    </row>
    <row r="715" spans="1:10" x14ac:dyDescent="0.2">
      <c r="A715" s="59" t="str">
        <f ca="1">IFERROR(__xludf.DUMMYFUNCTION("TEXTJOIN(""|"",TRUE,UNIQUE(FILTER(SPLIT(B715,"" ""),LEN(SPLIT(B715,"" ""))&gt;2)))"),"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f>
        <v>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v>
      </c>
      <c r="B715" s="59" t="str">
        <f ca="1">IFERROR(__xludf.DUMMYFUNCTION("LOWER(REGEXREPLACE(D715&amp;"" ""&amp;E715,""[^а-яa-z0-9 ]"","" ""))"),"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за"&amp;"нятий в     ")</f>
        <v xml:space="preserve">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занятий в     </v>
      </c>
      <c r="C715" s="61" t="s">
        <v>14272</v>
      </c>
      <c r="D715" s="56" t="s">
        <v>14273</v>
      </c>
      <c r="E715" s="56" t="s">
        <v>14274</v>
      </c>
      <c r="F715" s="57">
        <v>25700</v>
      </c>
      <c r="G715" s="58">
        <v>7</v>
      </c>
      <c r="I715" s="5"/>
      <c r="J715" s="5"/>
    </row>
    <row r="716" spans="1:10" x14ac:dyDescent="0.2">
      <c r="A716" s="59" t="str">
        <f ca="1">IFERROR(__xludf.DUMMYFUNCTION("TEXTJOIN(""|"",TRUE,UNIQUE(FILTER(SPLIT(B716,"" ""),LEN(SPLIT(B716,"" ""))&gt;2)))"),"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f>
        <v>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v>
      </c>
      <c r="B716" s="59" t="str">
        <f ca="1">IFERROR(__xludf.DUMMYFUNCTION("LOWER(REGEXREPLACE(D716&amp;"" ""&amp;E716,""[^а-яa-z0-9 ]"","" ""))"),"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д"&amp;"етской рукой ")</f>
        <v xml:space="preserve">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детской рукой </v>
      </c>
      <c r="C716" s="61" t="s">
        <v>14275</v>
      </c>
      <c r="D716" s="56" t="s">
        <v>14276</v>
      </c>
      <c r="E716" s="56" t="s">
        <v>14277</v>
      </c>
      <c r="F716" s="57">
        <v>7600</v>
      </c>
      <c r="G716" s="58">
        <v>1</v>
      </c>
      <c r="I716" s="5"/>
      <c r="J716" s="5"/>
    </row>
    <row r="717" spans="1:10" x14ac:dyDescent="0.2">
      <c r="A717" s="59" t="str">
        <f ca="1">IFERROR(__xludf.DUMMYFUNCTION("TEXTJOIN(""|"",TRUE,UNIQUE(FILTER(SPLIT(B717,"" ""),LEN(SPLIT(B717,"" ""))&gt;2)))"),"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amp;"|деятельности|лементы|размещаются|устойчивой|подставке|зготовлена|дерева|безопасна|долговечна|для|использования|условиях")</f>
        <v>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деятельности|лементы|размещаются|устойчивой|подставке|зготовлена|дерева|безопасна|долговечна|для|использования|условиях</v>
      </c>
      <c r="B717" s="59" t="str">
        <f ca="1">IFERROR(__xludf.DUMMYFUNCTION("LOWER(REGEXREPLACE(D717&amp;"" ""&amp;E717,""[^а-яa-z0-9 ]"","" ""))"),"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игрово"&amp;"й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f>
        <v xml:space="preserve">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v>
      </c>
      <c r="C717" s="61" t="s">
        <v>14278</v>
      </c>
      <c r="D717" s="56" t="s">
        <v>14279</v>
      </c>
      <c r="E717" s="56" t="s">
        <v>14280</v>
      </c>
      <c r="F717" s="57">
        <v>4000</v>
      </c>
      <c r="G717" s="58">
        <v>7</v>
      </c>
      <c r="I717" s="5"/>
      <c r="J717" s="5"/>
    </row>
    <row r="718" spans="1:10" x14ac:dyDescent="0.2">
      <c r="A718" s="59" t="str">
        <f ca="1">IFERROR(__xludf.DUMMYFUNCTION("TEXTJOIN(""|"",TRUE,UNIQUE(FILTER(SPLIT(B718,"" ""),LEN(SPLIT(B718,"" ""))&gt;2)))"),"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amp;"|долговечность|изделия")</f>
        <v>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долговечность|изделия</v>
      </c>
      <c r="B718" s="59" t="str">
        <f ca="1">IFERROR(__xludf.DUMMYFUNCTION("LOWER(REGEXREPLACE(D718&amp;"" ""&amp;E718,""[^а-яa-z0-9 ]"","" ""))"),"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обесп"&amp;"ечивают безопасность и долговечность изделия ")</f>
        <v xml:space="preserve">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обеспечивают безопасность и долговечность изделия </v>
      </c>
      <c r="C718" s="61" t="s">
        <v>14281</v>
      </c>
      <c r="D718" s="56" t="s">
        <v>14282</v>
      </c>
      <c r="E718" s="56" t="s">
        <v>14283</v>
      </c>
      <c r="F718" s="57">
        <v>31000</v>
      </c>
      <c r="G718" s="58">
        <v>1</v>
      </c>
      <c r="I718" s="5"/>
      <c r="J718" s="5"/>
    </row>
    <row r="719" spans="1:10" x14ac:dyDescent="0.2">
      <c r="A719" s="59" t="str">
        <f ca="1">IFERROR(__xludf.DUMMYFUNCTION("TEXTJOIN(""|"",TRUE,UNIQUE(FILTER(SPLIT(B719,"" ""),LEN(SPLIT(B719,"" ""))&gt;2)))"),"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f>
        <v>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v>
      </c>
      <c r="B719" s="59" t="str">
        <f ca="1">IFERROR(__xludf.DUMMYFUNCTION("LOWER(REGEXREPLACE(D719&amp;"" ""&amp;E719,""[^а-яa-z0-9 ]"","" ""))"),"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f>
        <v xml:space="preserve">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v>
      </c>
      <c r="C719" s="61" t="s">
        <v>14284</v>
      </c>
      <c r="D719" s="56" t="s">
        <v>14285</v>
      </c>
      <c r="E719" s="56" t="s">
        <v>14286</v>
      </c>
      <c r="F719" s="57">
        <v>8600</v>
      </c>
      <c r="G719" s="58">
        <v>22</v>
      </c>
      <c r="I719" s="5"/>
      <c r="J719" s="5"/>
    </row>
    <row r="720" spans="1:10" x14ac:dyDescent="0.2">
      <c r="A720" s="59" t="str">
        <f ca="1">IFERROR(__xludf.DUMMYFUNCTION("TEXTJOIN(""|"",TRUE,UNIQUE(FILTER(SPLIT(B720,"" ""),LEN(SPLIT(B720,"" ""))&gt;2)))"),"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f>
        <v>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v>
      </c>
      <c r="B720" s="59" t="str">
        <f ca="1">IFERROR(__xludf.DUMMYFUNCTION("LOWER(REGEXREPLACE(D720&amp;"" ""&amp;E720,""[^а-яa-z0-9 ]"","" ""))"),"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f>
        <v xml:space="preserve">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v>
      </c>
      <c r="C720" s="61" t="s">
        <v>14287</v>
      </c>
      <c r="D720" s="56" t="s">
        <v>14288</v>
      </c>
      <c r="E720" s="56" t="s">
        <v>14289</v>
      </c>
      <c r="F720" s="57">
        <v>10500</v>
      </c>
      <c r="G720" s="58">
        <v>1</v>
      </c>
      <c r="I720" s="5"/>
      <c r="J720" s="5"/>
    </row>
    <row r="721" spans="1:10" x14ac:dyDescent="0.2">
      <c r="A721" s="59" t="str">
        <f ca="1">IFERROR(__xludf.DUMMYFUNCTION("TEXTJOIN(""|"",TRUE,UNIQUE(FILTER(SPLIT(B721,"" ""),LEN(SPLIT(B721,"" ""))&gt;2)))"),"жаса|оптамасы|жануарлары|ерия|делай|сам|омашние|животные|картона")</f>
        <v>жаса|оптамасы|жануарлары|ерия|делай|сам|омашние|животные|картона</v>
      </c>
      <c r="B721" s="59" t="str">
        <f ca="1">IFERROR(__xludf.DUMMYFUNCTION("LOWER(REGEXREPLACE(D721&amp;"" ""&amp;E721,""[^а-яa-z0-9 ]"","" ""))"),"  з   жаса  оптамасы   й жануарлары   ерия   делай сам    омашние животные из картона ")</f>
        <v xml:space="preserve">  з   жаса  оптамасы   й жануарлары   ерия   делай сам    омашние животные из картона </v>
      </c>
      <c r="C721" s="61" t="s">
        <v>14290</v>
      </c>
      <c r="D721" s="56" t="s">
        <v>14291</v>
      </c>
      <c r="E721" s="56"/>
      <c r="F721" s="57">
        <v>1800</v>
      </c>
      <c r="G721" s="58">
        <v>1</v>
      </c>
      <c r="I721" s="5"/>
      <c r="J721" s="5"/>
    </row>
    <row r="722" spans="1:10" x14ac:dyDescent="0.2">
      <c r="A722" s="59" t="str">
        <f ca="1">IFERROR(__xludf.DUMMYFUNCTION("TEXTJOIN(""|"",TRUE,UNIQUE(FILTER(SPLIT(B722,"" ""),LEN(SPLIT(B722,"" ""))&gt;2)))"),"есы|рузоподъемность|увствительность")</f>
        <v>есы|рузоподъемность|увствительность</v>
      </c>
      <c r="B722" s="59" t="str">
        <f ca="1">IFERROR(__xludf.DUMMYFUNCTION("LOWER(REGEXREPLACE(D722&amp;"" ""&amp;E722,""[^а-яa-z0-9 ]"","" ""))")," есы sw 10 dd  рузоподъемность  10 кг   увствительность  5 г")</f>
        <v xml:space="preserve"> есы sw 10 dd  рузоподъемность  10 кг   увствительность  5 г</v>
      </c>
      <c r="C722" s="61" t="s">
        <v>14292</v>
      </c>
      <c r="D722" s="56" t="s">
        <v>14293</v>
      </c>
      <c r="E722" s="56" t="s">
        <v>14294</v>
      </c>
      <c r="F722" s="57">
        <v>183900</v>
      </c>
      <c r="G722" s="58">
        <v>3</v>
      </c>
      <c r="I722" s="5"/>
      <c r="J722" s="5"/>
    </row>
    <row r="723" spans="1:10" x14ac:dyDescent="0.2">
      <c r="A723" s="59" t="str">
        <f ca="1">IFERROR(__xludf.DUMMYFUNCTION("TEXTJOIN(""|"",TRUE,UNIQUE(FILTER(SPLIT(B723,"" ""),LEN(SPLIT(B723,"" ""))&gt;2)))"),"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f>
        <v>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v>
      </c>
      <c r="B723" s="59" t="str">
        <f ca="1">IFERROR(__xludf.DUMMYFUNCTION("LOWER(REGEXREPLACE(D723&amp;"" ""&amp;E723,""[^а-яa-z0-9 ]"","" ""))"),"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д"&amp;"етского сада ")</f>
        <v xml:space="preserve">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детского сада </v>
      </c>
      <c r="C723" s="61" t="s">
        <v>14295</v>
      </c>
      <c r="D723" s="56" t="s">
        <v>14296</v>
      </c>
      <c r="E723" s="56" t="s">
        <v>14297</v>
      </c>
      <c r="F723" s="57">
        <v>9500</v>
      </c>
      <c r="G723" s="58">
        <v>1</v>
      </c>
      <c r="I723" s="5"/>
      <c r="J723" s="5"/>
    </row>
    <row r="724" spans="1:10" x14ac:dyDescent="0.2">
      <c r="A724" s="59" t="str">
        <f ca="1">IFERROR(__xludf.DUMMYFUNCTION("TEXTJOIN(""|"",TRUE,UNIQUE(FILTER(SPLIT(B724,"" ""),LEN(SPLIT(B724,"" ""))&gt;2)))"),"мен|жолбарыс|ртег|ояма|растар|ужикова")</f>
        <v>мен|жолбарыс|ртег|ояма|растар|ужикова</v>
      </c>
      <c r="B724" s="59" t="str">
        <f ca="1">IFERROR(__xludf.DUMMYFUNCTION("LOWER(REGEXREPLACE(D724&amp;"" ""&amp;E724,""[^а-яa-z0-9 ]"","" ""))"),"  л мен жолбарыс  ртег   ояма    растар ан  ужикова   ")</f>
        <v xml:space="preserve">  л мен жолбарыс  ртег   ояма    растар ан  ужикова   </v>
      </c>
      <c r="C724" s="61" t="s">
        <v>14298</v>
      </c>
      <c r="D724" s="56" t="s">
        <v>14299</v>
      </c>
      <c r="E724" s="56" t="s">
        <v>14300</v>
      </c>
      <c r="F724" s="57">
        <v>3000</v>
      </c>
      <c r="G724" s="58">
        <v>1</v>
      </c>
      <c r="I724" s="5"/>
      <c r="J724" s="5"/>
    </row>
    <row r="725" spans="1:10" x14ac:dyDescent="0.2">
      <c r="A725" s="59" t="str">
        <f ca="1">IFERROR(__xludf.DUMMYFUNCTION("TEXTJOIN(""|"",TRUE,UNIQUE(FILTER(SPLIT(B725,"" ""),LEN(SPLIT(B725,"" ""))&gt;2)))"),"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amp;"тьми|дошкольного|возраста")</f>
        <v>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тьми|дошкольного|возраста</v>
      </c>
      <c r="B725" s="59" t="str">
        <f ca="1">IFERROR(__xludf.DUMMYFUNCTION("LOWER(REGEXREPLACE(D725&amp;"" ""&amp;E725,""[^а-яa-z0-9 ]"","" ""))"),"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развив"&amp;"ающей работе с детьми дошкольного возраста ")</f>
        <v xml:space="preserve">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развивающей работе с детьми дошкольного возраста </v>
      </c>
      <c r="C725" s="61" t="s">
        <v>14301</v>
      </c>
      <c r="D725" s="56" t="s">
        <v>14302</v>
      </c>
      <c r="E725" s="56" t="s">
        <v>14303</v>
      </c>
      <c r="F725" s="57">
        <v>3400</v>
      </c>
      <c r="G725" s="58">
        <v>2</v>
      </c>
      <c r="I725" s="5"/>
      <c r="J725" s="5"/>
    </row>
    <row r="726" spans="1:10" x14ac:dyDescent="0.2">
      <c r="A726" s="59" t="str">
        <f ca="1">IFERROR(__xludf.DUMMYFUNCTION("TEXTJOIN(""|"",TRUE,UNIQUE(FILTER(SPLIT(B726,"" ""),LEN(SPLIT(B726,"" ""))&gt;2)))"),"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f>
        <v>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v>
      </c>
      <c r="B726" s="59" t="str">
        <f ca="1">IFERROR(__xludf.DUMMYFUNCTION("LOWER(REGEXREPLACE(D726&amp;"" ""&amp;E726,""[^а-яa-z0-9 ]"","" ""))"),"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фо"&amp;"нематического слуха у детей ")</f>
        <v xml:space="preserve">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фонематического слуха у детей </v>
      </c>
      <c r="C726" s="61" t="s">
        <v>14304</v>
      </c>
      <c r="D726" s="56" t="s">
        <v>14305</v>
      </c>
      <c r="E726" s="56" t="s">
        <v>14306</v>
      </c>
      <c r="F726" s="57">
        <v>19000</v>
      </c>
      <c r="G726" s="58">
        <v>2</v>
      </c>
      <c r="I726" s="5"/>
      <c r="J726" s="5"/>
    </row>
    <row r="727" spans="1:10" x14ac:dyDescent="0.2">
      <c r="A727" s="59" t="str">
        <f ca="1">IFERROR(__xludf.DUMMYFUNCTION("TEXTJOIN(""|"",TRUE,UNIQUE(FILTER(SPLIT(B727,"" ""),LEN(SPLIT(B727,"" ""))&gt;2)))"),"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amp;"лем|безопасен|для|использования")</f>
        <v>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лем|безопасен|для|использования</v>
      </c>
      <c r="B727" s="59" t="str">
        <f ca="1">IFERROR(__xludf.DUMMYFUNCTION("LOWER(REGEXREPLACE(D727&amp;"" ""&amp;E727,""[^а-яa-z0-9 ]"","" ""))"),"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регулиро"&amp;"вкой громкости и выключателем  безопасен для использования в     ")</f>
        <v xml:space="preserve">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регулировкой громкости и выключателем  безопасен для использования в     </v>
      </c>
      <c r="C727" s="61" t="s">
        <v>14307</v>
      </c>
      <c r="D727" s="56" t="s">
        <v>14308</v>
      </c>
      <c r="E727" s="56" t="s">
        <v>14309</v>
      </c>
      <c r="F727" s="57">
        <v>17400</v>
      </c>
      <c r="G727" s="58">
        <v>35</v>
      </c>
      <c r="I727" s="5"/>
      <c r="J727" s="5"/>
    </row>
    <row r="728" spans="1:10" x14ac:dyDescent="0.2">
      <c r="A728" s="59" t="str">
        <f ca="1">IFERROR(__xludf.DUMMYFUNCTION("TEXTJOIN(""|"",TRUE,UNIQUE(FILTER(SPLIT(B728,"" ""),LEN(SPLIT(B728,"" ""))&gt;2)))"),"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f>
        <v>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v>
      </c>
      <c r="B728" s="59" t="str">
        <f ca="1">IFERROR(__xludf.DUMMYFUNCTION("LOWER(REGEXREPLACE(D728&amp;"" ""&amp;E728,""[^а-яa-z0-9 ]"","" ""))"),"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f>
        <v xml:space="preserve">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v>
      </c>
      <c r="C728" s="61" t="s">
        <v>14310</v>
      </c>
      <c r="D728" s="56" t="s">
        <v>14311</v>
      </c>
      <c r="E728" s="56" t="s">
        <v>14312</v>
      </c>
      <c r="F728" s="57">
        <v>4400</v>
      </c>
      <c r="G728" s="58">
        <v>25</v>
      </c>
      <c r="I728" s="5"/>
      <c r="J728" s="5"/>
    </row>
    <row r="729" spans="1:10" x14ac:dyDescent="0.2">
      <c r="A729" s="59" t="str">
        <f ca="1">IFERROR(__xludf.DUMMYFUNCTION("TEXTJOIN(""|"",TRUE,UNIQUE(FILTER(SPLIT(B729,"" ""),LEN(SPLIT(B729,"" ""))&gt;2)))"),"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amp;"ции")</f>
        <v>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ции</v>
      </c>
      <c r="B729" s="59" t="str">
        <f ca="1">IFERROR(__xludf.DUMMYFUNCTION("LOWER(REGEXREPLACE(D729&amp;"" ""&amp;E729,""[^а-яa-z0-9 ]"","" ""))"),"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соблюд"&amp;"ении правил эксплуатации ")</f>
        <v xml:space="preserve">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соблюдении правил эксплуатации </v>
      </c>
      <c r="C729" s="61" t="s">
        <v>14313</v>
      </c>
      <c r="D729" s="56" t="s">
        <v>14314</v>
      </c>
      <c r="E729" s="56" t="s">
        <v>14315</v>
      </c>
      <c r="F729" s="57">
        <v>3300</v>
      </c>
      <c r="G729" s="58">
        <v>20</v>
      </c>
      <c r="I729" s="5"/>
      <c r="J729" s="5"/>
    </row>
    <row r="730" spans="1:10" x14ac:dyDescent="0.2">
      <c r="A730" s="59" t="str">
        <f ca="1">IFERROR(__xludf.DUMMYFUNCTION("TEXTJOIN(""|"",TRUE,UNIQUE(FILTER(SPLIT(B730,"" ""),LEN(SPLIT(B730,"" ""))&gt;2)))"),"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f>
        <v>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v>
      </c>
      <c r="B730" s="59" t="str">
        <f ca="1">IFERROR(__xludf.DUMMYFUNCTION("LOWER(REGEXREPLACE(D730&amp;"" ""&amp;E730,""[^а-яa-z0-9 ]"","" ""))"),"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f>
        <v xml:space="preserve">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v>
      </c>
      <c r="C730" s="61" t="s">
        <v>14316</v>
      </c>
      <c r="D730" s="56" t="s">
        <v>14317</v>
      </c>
      <c r="E730" s="56" t="s">
        <v>14318</v>
      </c>
      <c r="F730" s="57">
        <v>27000</v>
      </c>
      <c r="G730" s="58">
        <v>320</v>
      </c>
      <c r="I730" s="5"/>
      <c r="J730" s="5"/>
    </row>
    <row r="731" spans="1:10" x14ac:dyDescent="0.2">
      <c r="A731" s="59" t="str">
        <f ca="1">IFERROR(__xludf.DUMMYFUNCTION("TEXTJOIN(""|"",TRUE,UNIQUE(FILTER(SPLIT(B731,"" ""),LEN(SPLIT(B731,"" ""))&gt;2)))"),"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f>
        <v>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v>
      </c>
      <c r="B731" s="59" t="str">
        <f ca="1">IFERROR(__xludf.DUMMYFUNCTION("LOWER(REGEXREPLACE(D731&amp;"" ""&amp;E731,""[^а-яa-z0-9 ]"","" ""))"),"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использован"&amp;"ия ")</f>
        <v xml:space="preserve">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использования </v>
      </c>
      <c r="C731" s="61" t="s">
        <v>14319</v>
      </c>
      <c r="D731" s="56" t="s">
        <v>14320</v>
      </c>
      <c r="E731" s="56" t="s">
        <v>14321</v>
      </c>
      <c r="F731" s="57">
        <v>27000</v>
      </c>
      <c r="G731" s="58">
        <v>320</v>
      </c>
      <c r="I731" s="5"/>
      <c r="J731" s="5"/>
    </row>
    <row r="732" spans="1:10" x14ac:dyDescent="0.2">
      <c r="A732" s="59" t="str">
        <f ca="1">IFERROR(__xludf.DUMMYFUNCTION("TEXTJOIN(""|"",TRUE,UNIQUE(FILTER(SPLIT(B732,"" ""),LEN(SPLIT(B732,"" ""))&gt;2)))"),"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amp;"я")</f>
        <v>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я</v>
      </c>
      <c r="B732" s="59" t="str">
        <f ca="1">IFERROR(__xludf.DUMMYFUNCTION("LOWER(REGEXREPLACE(D732&amp;"" ""&amp;E732,""[^а-яa-z0-9 ]"","" ""))"),"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безопасе"&amp;"н для использования в     ")</f>
        <v xml:space="preserve">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безопасен для использования в     </v>
      </c>
      <c r="C732" s="61" t="s">
        <v>14322</v>
      </c>
      <c r="D732" s="56" t="s">
        <v>14323</v>
      </c>
      <c r="E732" s="56" t="s">
        <v>14324</v>
      </c>
      <c r="F732" s="57">
        <v>17100</v>
      </c>
      <c r="G732" s="58">
        <v>1</v>
      </c>
      <c r="I732" s="5"/>
      <c r="J732" s="5"/>
    </row>
    <row r="733" spans="1:10" x14ac:dyDescent="0.2">
      <c r="A733" s="59" t="str">
        <f ca="1">IFERROR(__xludf.DUMMYFUNCTION("TEXTJOIN(""|"",TRUE,UNIQUE(FILTER(SPLIT(B733,"" ""),LEN(SPLIT(B733,"" ""))&gt;2)))"),"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f>
        <v>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v>
      </c>
      <c r="B733" s="59" t="str">
        <f ca="1">IFERROR(__xludf.DUMMYFUNCTION("LOWER(REGEXREPLACE(D733&amp;"" ""&amp;E733,""[^а-яa-z0-9 ]"","" ""))"),"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ас"&amp;"считана на нагрузку до 150 кг ")</f>
        <v xml:space="preserve">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ассчитана на нагрузку до 150 кг </v>
      </c>
      <c r="C733" s="61" t="s">
        <v>14325</v>
      </c>
      <c r="D733" s="56" t="s">
        <v>14326</v>
      </c>
      <c r="E733" s="56" t="s">
        <v>14327</v>
      </c>
      <c r="F733" s="57">
        <v>39900</v>
      </c>
      <c r="G733" s="58">
        <v>1</v>
      </c>
      <c r="I733" s="5"/>
      <c r="J733" s="5"/>
    </row>
    <row r="734" spans="1:10" x14ac:dyDescent="0.2">
      <c r="A734" s="59" t="str">
        <f ca="1">IFERROR(__xludf.DUMMYFUNCTION("TEXTJOIN(""|"",TRUE,UNIQUE(FILTER(SPLIT(B734,"" ""),LEN(SPLIT(B734,"" ""))&gt;2)))"),"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amp;"атическими|обозначениями")</f>
        <v>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атическими|обозначениями</v>
      </c>
      <c r="B734" s="59" t="str">
        <f ca="1">IFERROR(__xludf.DUMMYFUNCTION("LOWER(REGEXREPLACE(D734&amp;"" ""&amp;E734,""[^а-яa-z0-9 ]"","" ""))"),"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в"&amp;"ет   красный с тематическими обозначениями ")</f>
        <v xml:space="preserve">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вет   красный с тематическими обозначениями </v>
      </c>
      <c r="C734" s="61" t="s">
        <v>14328</v>
      </c>
      <c r="D734" s="56" t="s">
        <v>14329</v>
      </c>
      <c r="E734" s="56" t="s">
        <v>14330</v>
      </c>
      <c r="F734" s="57">
        <v>22800</v>
      </c>
      <c r="G734" s="58">
        <v>5</v>
      </c>
      <c r="I734" s="5"/>
      <c r="J734" s="5"/>
    </row>
    <row r="735" spans="1:10" x14ac:dyDescent="0.2">
      <c r="A735" s="59" t="str">
        <f ca="1">IFERROR(__xludf.DUMMYFUNCTION("TEXTJOIN(""|"",TRUE,UNIQUE(FILTER(SPLIT(B735,"" ""),LEN(SPLIT(B735,"" ""))&gt;2)))"),"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f>
        <v>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v>
      </c>
      <c r="B735" s="59" t="str">
        <f ca="1">IFERROR(__xludf.DUMMYFUNCTION("LOWER(REGEXREPLACE(D735&amp;"" ""&amp;E735,""[^а-яa-z0-9 ]"","" ""))"),"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f>
        <v xml:space="preserve">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v>
      </c>
      <c r="C735" s="61" t="s">
        <v>14331</v>
      </c>
      <c r="D735" s="56" t="s">
        <v>14332</v>
      </c>
      <c r="E735" s="56" t="s">
        <v>14333</v>
      </c>
      <c r="F735" s="57">
        <v>22800</v>
      </c>
      <c r="G735" s="58">
        <v>7</v>
      </c>
      <c r="I735" s="5"/>
      <c r="J735" s="5"/>
    </row>
    <row r="736" spans="1:10" x14ac:dyDescent="0.2">
      <c r="A736" s="59" t="str">
        <f ca="1">IFERROR(__xludf.DUMMYFUNCTION("TEXTJOIN(""|"",TRUE,UNIQUE(FILTER(SPLIT(B736,"" ""),LEN(SPLIT(B736,"" ""))&gt;2)))"),"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f>
        <v>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v>
      </c>
      <c r="B736" s="59" t="str">
        <f ca="1">IFERROR(__xludf.DUMMYFUNCTION("LOWER(REGEXREPLACE(D736&amp;"" ""&amp;E736,""[^а-яa-z0-9 ]"","" ""))"),"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соответствуе"&amp;"т требованиям     ")</f>
        <v xml:space="preserve">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соответствует требованиям     </v>
      </c>
      <c r="C736" s="61" t="s">
        <v>14334</v>
      </c>
      <c r="D736" s="56" t="s">
        <v>14335</v>
      </c>
      <c r="E736" s="56" t="s">
        <v>14336</v>
      </c>
      <c r="F736" s="57">
        <v>31400</v>
      </c>
      <c r="G736" s="58">
        <v>5</v>
      </c>
      <c r="I736" s="5"/>
      <c r="J736" s="5"/>
    </row>
    <row r="737" spans="1:10" x14ac:dyDescent="0.2">
      <c r="A737" s="59" t="str">
        <f ca="1">IFERROR(__xludf.DUMMYFUNCTION("TEXTJOIN(""|"",TRUE,UNIQUE(FILTER(SPLIT(B737,"" ""),LEN(SPLIT(B737,"" ""))&gt;2)))"),"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f>
        <v>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v>
      </c>
      <c r="B737" s="59" t="str">
        <f ca="1">IFERROR(__xludf.DUMMYFUNCTION("LOWER(REGEXREPLACE(D737&amp;"" ""&amp;E737,""[^а-яa-z0-9 ]"","" ""))"),"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професс"&amp;"иям ")</f>
        <v xml:space="preserve">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профессиям </v>
      </c>
      <c r="C737" s="61" t="s">
        <v>14337</v>
      </c>
      <c r="D737" s="56" t="s">
        <v>14338</v>
      </c>
      <c r="E737" s="56" t="s">
        <v>14339</v>
      </c>
      <c r="F737" s="57">
        <v>18400</v>
      </c>
      <c r="G737" s="58">
        <v>7</v>
      </c>
      <c r="I737" s="5"/>
      <c r="J737" s="5"/>
    </row>
    <row r="738" spans="1:10" x14ac:dyDescent="0.2">
      <c r="A738" s="59" t="str">
        <f ca="1">IFERROR(__xludf.DUMMYFUNCTION("TEXTJOIN(""|"",TRUE,UNIQUE(FILTER(SPLIT(B738,"" ""),LEN(SPLIT(B738,"" ""))&gt;2)))"),"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amp;"витию|координации|движений|общей|моторики|омплект|включает|менее|элементов|онструкция|предназначена|для|использования|помещениях")</f>
        <v>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витию|координации|движений|общей|моторики|омплект|включает|менее|элементов|онструкция|предназначена|для|использования|помещениях</v>
      </c>
      <c r="B738" s="59" t="str">
        <f ca="1">IFERROR(__xludf.DUMMYFUNCTION("LOWER(REGEXREPLACE(D738&amp;"" ""&amp;E738,""[^а-яa-z0-9 ]"","" ""))"),"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акти"&amp;"вность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f>
        <v xml:space="preserve">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v>
      </c>
      <c r="C738" s="61" t="s">
        <v>14340</v>
      </c>
      <c r="D738" s="56" t="s">
        <v>14341</v>
      </c>
      <c r="E738" s="56" t="s">
        <v>14342</v>
      </c>
      <c r="F738" s="57">
        <v>240200</v>
      </c>
      <c r="G738" s="58">
        <v>2</v>
      </c>
      <c r="I738" s="5"/>
      <c r="J738" s="5"/>
    </row>
    <row r="739" spans="1:10" x14ac:dyDescent="0.2">
      <c r="A739" s="59" t="str">
        <f ca="1">IFERROR(__xludf.DUMMYFUNCTION("TEXTJOIN(""|"",TRUE,UNIQUE(FILTER(SPLIT(B739,"" ""),LEN(SPLIT(B739,"" ""))&gt;2)))"),"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f>
        <v>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v>
      </c>
      <c r="B739" s="59" t="str">
        <f ca="1">IFERROR(__xludf.DUMMYFUNCTION("LOWER(REGEXREPLACE(D739&amp;"" ""&amp;E739,""[^а-яa-z0-9 ]"","" ""))"),"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f>
        <v xml:space="preserve">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v>
      </c>
      <c r="C739" s="61" t="s">
        <v>14343</v>
      </c>
      <c r="D739" s="56" t="s">
        <v>14344</v>
      </c>
      <c r="E739" s="56" t="s">
        <v>14345</v>
      </c>
      <c r="F739" s="57">
        <v>10600</v>
      </c>
      <c r="G739" s="58">
        <v>320</v>
      </c>
      <c r="I739" s="5"/>
      <c r="J739" s="5"/>
    </row>
    <row r="740" spans="1:10" x14ac:dyDescent="0.2">
      <c r="A740" s="59" t="str">
        <f ca="1">IFERROR(__xludf.DUMMYFUNCTION("TEXTJOIN(""|"",TRUE,UNIQUE(FILTER(SPLIT(B740,"" ""),LEN(SPLIT(B740,"" ""))&gt;2)))"),"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amp;"ых|навыков")</f>
        <v>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ых|навыков</v>
      </c>
      <c r="B740" s="59" t="str">
        <f ca="1">IFERROR(__xludf.DUMMYFUNCTION("LOWER(REGEXREPLACE(D740&amp;"" ""&amp;E740,""[^а-яa-z0-9 ]"","" ""))"),"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пособствует"&amp;" развитию воображения и социальных навыков ")</f>
        <v xml:space="preserve">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 развитию воображения и социальных навыков </v>
      </c>
      <c r="C740" s="61" t="s">
        <v>14346</v>
      </c>
      <c r="D740" s="56" t="s">
        <v>14347</v>
      </c>
      <c r="E740" s="56" t="s">
        <v>14348</v>
      </c>
      <c r="F740" s="57">
        <v>15600</v>
      </c>
      <c r="G740" s="58">
        <v>5</v>
      </c>
      <c r="I740" s="5"/>
      <c r="J740" s="5"/>
    </row>
    <row r="741" spans="1:10" x14ac:dyDescent="0.2">
      <c r="A741" s="59" t="str">
        <f ca="1">IFERROR(__xludf.DUMMYFUNCTION("TEXTJOIN(""|"",TRUE,UNIQUE(FILTER(SPLIT(B741,"" ""),LEN(SPLIT(B741,"" ""))&gt;2)))"),"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f>
        <v>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v>
      </c>
      <c r="B741" s="59" t="str">
        <f ca="1">IFERROR(__xludf.DUMMYFUNCTION("LOWER(REGEXREPLACE(D741&amp;"" ""&amp;E741,""[^а-яa-z0-9 ]"","" ""))"),"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f>
        <v xml:space="preserve">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v>
      </c>
      <c r="C741" s="61" t="s">
        <v>14349</v>
      </c>
      <c r="D741" s="56" t="s">
        <v>14350</v>
      </c>
      <c r="E741" s="56" t="s">
        <v>14351</v>
      </c>
      <c r="F741" s="57">
        <v>28500</v>
      </c>
      <c r="G741" s="58">
        <v>4</v>
      </c>
      <c r="I741" s="5"/>
      <c r="J741" s="5"/>
    </row>
    <row r="742" spans="1:10" x14ac:dyDescent="0.2">
      <c r="A742" s="59" t="str">
        <f ca="1">IFERROR(__xludf.DUMMYFUNCTION("TEXTJOIN(""|"",TRUE,UNIQUE(FILTER(SPLIT(B742,"" ""),LEN(SPLIT(B742,"" ""))&gt;2)))"),"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f>
        <v>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v>
      </c>
      <c r="B742" s="59" t="str">
        <f ca="1">IFERROR(__xludf.DUMMYFUNCTION("LOWER(REGEXREPLACE(D742&amp;"" ""&amp;E742,""[^а-яa-z0-9 ]"","" ""))"),"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сенсорны"&amp;"х и релаксационных зонах     ")</f>
        <v xml:space="preserve">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сенсорных и релаксационных зонах     </v>
      </c>
      <c r="C742" s="61" t="s">
        <v>14352</v>
      </c>
      <c r="D742" s="56" t="s">
        <v>14353</v>
      </c>
      <c r="E742" s="56" t="s">
        <v>14354</v>
      </c>
      <c r="F742" s="57">
        <v>665000</v>
      </c>
      <c r="G742" s="58">
        <v>1</v>
      </c>
      <c r="I742" s="5"/>
      <c r="J742" s="5"/>
    </row>
    <row r="743" spans="1:10" x14ac:dyDescent="0.2">
      <c r="A743" s="59" t="str">
        <f ca="1">IFERROR(__xludf.DUMMYFUNCTION("TEXTJOIN(""|"",TRUE,UNIQUE(FILTER(SPLIT(B743,"" ""),LEN(SPLIT(B743,"" ""))&gt;2)))"),"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f>
        <v>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v>
      </c>
      <c r="B743" s="59" t="str">
        <f ca="1">IFERROR(__xludf.DUMMYFUNCTION("LOWER(REGEXREPLACE(D743&amp;"" ""&amp;E743,""[^а-яa-z0-9 ]"","" ""))"),"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f>
        <v xml:space="preserve">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v>
      </c>
      <c r="C743" s="61" t="s">
        <v>14355</v>
      </c>
      <c r="D743" s="56" t="s">
        <v>14356</v>
      </c>
      <c r="E743" s="56" t="s">
        <v>14357</v>
      </c>
      <c r="F743" s="57">
        <v>3100</v>
      </c>
      <c r="G743" s="58">
        <v>175</v>
      </c>
      <c r="I743" s="5"/>
      <c r="J743" s="5"/>
    </row>
    <row r="744" spans="1:10" x14ac:dyDescent="0.2">
      <c r="A744" s="59" t="str">
        <f ca="1">IFERROR(__xludf.DUMMYFUNCTION("TEXTJOIN(""|"",TRUE,UNIQUE(FILTER(SPLIT(B744,"" ""),LEN(SPLIT(B744,"" ""))&gt;2)))"),"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amp;"бора|режимов|иаметр|колонны|менее|высота|менее|120")</f>
        <v>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бора|режимов|иаметр|колонны|менее|высота|менее|120</v>
      </c>
      <c r="B744" s="59" t="str">
        <f ca="1">IFERROR(__xludf.DUMMYFUNCTION("LOWER(REGEXREPLACE(D744&amp;"" ""&amp;E744,""[^а-яa-z0-9 ]"","" ""))"),"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подсветк"&amp;"ой с возможностью выбора режимов   иаметр колонны   не менее 10 см  высота   не менее 120 см ")</f>
        <v xml:space="preserve">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подсветкой с возможностью выбора режимов   иаметр колонны   не менее 10 см  высота   не менее 120 см </v>
      </c>
      <c r="C744" s="61" t="s">
        <v>14358</v>
      </c>
      <c r="D744" s="56" t="s">
        <v>14359</v>
      </c>
      <c r="E744" s="56" t="s">
        <v>14360</v>
      </c>
      <c r="F744" s="57">
        <v>437000</v>
      </c>
      <c r="G744" s="58">
        <v>1</v>
      </c>
      <c r="I744" s="5"/>
      <c r="J744" s="5"/>
    </row>
    <row r="745" spans="1:10" x14ac:dyDescent="0.2">
      <c r="A745" s="59" t="str">
        <f ca="1">IFERROR(__xludf.DUMMYFUNCTION("TEXTJOIN(""|"",TRUE,UNIQUE(FILTER(SPLIT(B745,"" ""),LEN(SPLIT(B745,"" ""))&gt;2)))"),"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f>
        <v>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v>
      </c>
      <c r="B745" s="59" t="str">
        <f ca="1">IFERROR(__xludf.DUMMYFUNCTION("LOWER(REGEXREPLACE(D745&amp;"" ""&amp;E745,""[^а-яa-z0-9 ]"","" ""))"),"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дв"&amp;"ижений ")</f>
        <v xml:space="preserve">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движений </v>
      </c>
      <c r="C745" s="61" t="s">
        <v>14361</v>
      </c>
      <c r="D745" s="56" t="s">
        <v>14362</v>
      </c>
      <c r="E745" s="56" t="s">
        <v>14363</v>
      </c>
      <c r="F745" s="57">
        <v>129200</v>
      </c>
      <c r="G745" s="58">
        <v>2</v>
      </c>
      <c r="I745" s="5"/>
      <c r="J745" s="5"/>
    </row>
    <row r="746" spans="1:10" x14ac:dyDescent="0.2">
      <c r="A746" s="59" t="str">
        <f ca="1">IFERROR(__xludf.DUMMYFUNCTION("TEXTJOIN(""|"",TRUE,UNIQUE(FILTER(SPLIT(B746,"" ""),LEN(SPLIT(B746,"" ""))&gt;2)))"),"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amp;"вления|встроенный|luetooth|динамик|воспроизводит|звуки|природы|прибой|дождь|гроза|ночной|лес|спользуется|сенсорных|релаксационных|психологических|зонах")</f>
        <v>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вления|встроенный|luetooth|динамик|воспроизводит|звуки|природы|прибой|дождь|гроза|ночной|лес|спользуется|сенсорных|релаксационных|психологических|зонах</v>
      </c>
      <c r="B746" s="59" t="str">
        <f ca="1">IFERROR(__xludf.DUMMYFUNCTION("LOWER(REGEXREPLACE(D746&amp;"" ""&amp;E746,""[^а-яa-z0-9 ]"","" ""))"),"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эффектов"&amp;"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f>
        <v xml:space="preserve">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v>
      </c>
      <c r="C746" s="61" t="s">
        <v>14364</v>
      </c>
      <c r="D746" s="56" t="s">
        <v>14365</v>
      </c>
      <c r="E746" s="56" t="s">
        <v>14366</v>
      </c>
      <c r="F746" s="57">
        <v>76000</v>
      </c>
      <c r="G746" s="58">
        <v>1</v>
      </c>
      <c r="I746" s="5"/>
      <c r="J746" s="5"/>
    </row>
    <row r="747" spans="1:10" x14ac:dyDescent="0.2">
      <c r="A747" s="59" t="str">
        <f ca="1">IFERROR(__xludf.DUMMYFUNCTION("TEXTJOIN(""|"",TRUE,UNIQUE(FILTER(SPLIT(B747,"" ""),LEN(SPLIT(B747,"" ""))&gt;2)))"),"розрачные|контейнеры|розрачные|пластиковые|контейнеры|предназначены|для|хранения|систематизации|дидактических|материалов|игрушек|принадлежностей")</f>
        <v>розрачные|контейнеры|розрачные|пластиковые|контейнеры|предназначены|для|хранения|систематизации|дидактических|материалов|игрушек|принадлежностей</v>
      </c>
      <c r="B747" s="59" t="str">
        <f ca="1">IFERROR(__xludf.DUMMYFUNCTION("LOWER(REGEXREPLACE(D747&amp;"" ""&amp;E747,""[^а-яa-z0-9 ]"","" ""))"),"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f>
        <v xml:space="preserve">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v>
      </c>
      <c r="C747" s="61" t="s">
        <v>14367</v>
      </c>
      <c r="D747" s="56" t="s">
        <v>14368</v>
      </c>
      <c r="E747" s="56" t="s">
        <v>14369</v>
      </c>
      <c r="F747" s="57">
        <v>9000</v>
      </c>
      <c r="G747" s="58">
        <v>45</v>
      </c>
      <c r="I747" s="5"/>
      <c r="J747" s="5"/>
    </row>
    <row r="748" spans="1:10" x14ac:dyDescent="0.2">
      <c r="A748" s="59" t="str">
        <f ca="1">IFERROR(__xludf.DUMMYFUNCTION("TEXTJOIN(""|"",TRUE,UNIQUE(FILTER(SPLIT(B748,"" ""),LEN(SPLIT(B748,"" ""))&gt;2)))"),"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amp;"рытое|края|закругл|нные|стойчивы|дезинфекции|гипоаллергенные|соответствуют|требованиям|использования")</f>
        <v>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рытое|края|закругл|нные|стойчивы|дезинфекции|гипоаллергенные|соответствуют|требованиям|использования</v>
      </c>
      <c r="B748" s="59" t="str">
        <f ca="1">IFERROR(__xludf.DUMMYFUNCTION("LOWER(REGEXREPLACE(D748&amp;"" ""&amp;E748,""[^а-яa-z0-9 ]"","" ""))"),"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"&amp;"винилискожа  экокожа    репление скрытое  края закругл нные   стойчивы к дезинфекции  гипоаллергенные  соответствуют требованиям использования в     ")</f>
        <v xml:space="preserve">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винилискожа  экокожа    репление скрытое  края закругл нные   стойчивы к дезинфекции  гипоаллергенные  соответствуют требованиям использования в     </v>
      </c>
      <c r="C748" s="61" t="s">
        <v>14370</v>
      </c>
      <c r="D748" s="56" t="s">
        <v>14371</v>
      </c>
      <c r="E748" s="56" t="s">
        <v>14372</v>
      </c>
      <c r="F748" s="57">
        <v>30600</v>
      </c>
      <c r="G748" s="58">
        <v>30</v>
      </c>
      <c r="I748" s="5"/>
      <c r="J748" s="5"/>
    </row>
    <row r="749" spans="1:10" x14ac:dyDescent="0.2">
      <c r="A749" s="59" t="str">
        <f ca="1">IFERROR(__xludf.DUMMYFUNCTION("TEXTJOIN(""|"",TRUE,UNIQUE(FILTER(SPLIT(B749,"" ""),LEN(SPLIT(B749,"" ""))&gt;2)))"),"узырь|для|льда|спользуется|для|местного|охлаждения|при|ушибах|других|медицинских|показаниях")</f>
        <v>узырь|для|льда|спользуется|для|местного|охлаждения|при|ушибах|других|медицинских|показаниях</v>
      </c>
      <c r="B749" s="59" t="str">
        <f ca="1">IFERROR(__xludf.DUMMYFUNCTION("LOWER(REGEXREPLACE(D749&amp;"" ""&amp;E749,""[^а-яa-z0-9 ]"","" ""))")," узырь для льда  спользуется для местного охлаждения при ушибах и других медицинских показаниях ")</f>
        <v xml:space="preserve"> узырь для льда  спользуется для местного охлаждения при ушибах и других медицинских показаниях </v>
      </c>
      <c r="C749" s="61" t="s">
        <v>14373</v>
      </c>
      <c r="D749" s="56" t="s">
        <v>14374</v>
      </c>
      <c r="E749" s="56" t="s">
        <v>14375</v>
      </c>
      <c r="F749" s="57">
        <v>13500</v>
      </c>
      <c r="G749" s="58">
        <v>2</v>
      </c>
      <c r="I749" s="5"/>
      <c r="J749" s="5"/>
    </row>
    <row r="750" spans="1:10" x14ac:dyDescent="0.2">
      <c r="A750" s="59" t="str">
        <f ca="1">IFERROR(__xludf.DUMMYFUNCTION("TEXTJOIN(""|"",TRUE,UNIQUE(FILTER(SPLIT(B750,"" ""),LEN(SPLIT(B750,"" ""))&gt;2)))"),"шайман|едора|уковский")</f>
        <v>шайман|едора|уковский</v>
      </c>
      <c r="B750" s="59" t="str">
        <f ca="1">IFERROR(__xludf.DUMMYFUNCTION("LOWER(REGEXREPLACE(D750&amp;"" ""&amp;E750,""[^а-яa-z0-9 ]"","" ""))"),"  шайман  едора  уковский   ")</f>
        <v xml:space="preserve">  шайман  едора  уковский   </v>
      </c>
      <c r="C750" s="61" t="s">
        <v>14376</v>
      </c>
      <c r="D750" s="56" t="s">
        <v>14377</v>
      </c>
      <c r="E750" s="56" t="s">
        <v>14378</v>
      </c>
      <c r="F750" s="57">
        <v>2000</v>
      </c>
      <c r="G750" s="58">
        <v>1</v>
      </c>
      <c r="I750" s="5"/>
      <c r="J750" s="5"/>
    </row>
    <row r="751" spans="1:10" x14ac:dyDescent="0.2">
      <c r="A751" s="59" t="str">
        <f ca="1">IFERROR(__xludf.DUMMYFUNCTION("TEXTJOIN(""|"",TRUE,UNIQUE(FILTER(SPLIT(B751,"" ""),LEN(SPLIT(B751,"" ""))&gt;2)))"),"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f>
        <v>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v>
      </c>
      <c r="B751" s="59" t="str">
        <f ca="1">IFERROR(__xludf.DUMMYFUNCTION("LOWER(REGEXREPLACE(D751&amp;"" ""&amp;E751,""[^а-яa-z0-9 ]"","" ""))"),"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ос"&amp;"новы  7 5 23 см    комплекте 31 фишка ")</f>
        <v xml:space="preserve">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основы  7 5 23 см    комплекте 31 фишка </v>
      </c>
      <c r="C751" s="61" t="s">
        <v>14379</v>
      </c>
      <c r="D751" s="56" t="s">
        <v>14380</v>
      </c>
      <c r="E751" s="56" t="s">
        <v>14381</v>
      </c>
      <c r="F751" s="57">
        <v>8500</v>
      </c>
      <c r="G751" s="58">
        <v>5</v>
      </c>
      <c r="I751" s="5"/>
      <c r="J751" s="5"/>
    </row>
    <row r="752" spans="1:10" x14ac:dyDescent="0.2">
      <c r="A752" s="59" t="str">
        <f ca="1">IFERROR(__xludf.DUMMYFUNCTION("TEXTJOIN(""|"",TRUE,UNIQUE(FILTER(SPLIT(B752,"" ""),LEN(SPLIT(B752,"" ""))&gt;2)))"),"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f>
        <v>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v>
      </c>
      <c r="B752" s="59" t="str">
        <f ca="1">IFERROR(__xludf.DUMMYFUNCTION("LOWER(REGEXREPLACE(D752&amp;"" ""&amp;E752,""[^а-яa-z0-9 ]"","" ""))"),"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f>
        <v xml:space="preserve">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v>
      </c>
      <c r="C752" s="61" t="s">
        <v>14382</v>
      </c>
      <c r="D752" s="56" t="s">
        <v>14383</v>
      </c>
      <c r="E752" s="56" t="s">
        <v>14384</v>
      </c>
      <c r="F752" s="57">
        <v>1500</v>
      </c>
      <c r="G752" s="58">
        <v>7</v>
      </c>
      <c r="I752" s="5"/>
      <c r="J752" s="5"/>
    </row>
    <row r="753" spans="1:10" x14ac:dyDescent="0.2">
      <c r="A753" s="59" t="str">
        <f ca="1">IFERROR(__xludf.DUMMYFUNCTION("TEXTJOIN(""|"",TRUE,UNIQUE(FILTER(SPLIT(B753,"" ""),LEN(SPLIT(B753,"" ""))&gt;2)))"),"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amp;"цию|движений")</f>
        <v>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цию|движений</v>
      </c>
      <c r="B753" s="59" t="str">
        <f ca="1">IFERROR(__xludf.DUMMYFUNCTION("LOWER(REGEXREPLACE(D753&amp;"" ""&amp;E753,""[^а-яa-z0-9 ]"","" ""))"),"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р"&amp;"азвивая внимание  память и координацию движений ")</f>
        <v xml:space="preserve">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развивая внимание  память и координацию движений </v>
      </c>
      <c r="C753" s="61" t="s">
        <v>14385</v>
      </c>
      <c r="D753" s="56" t="s">
        <v>14386</v>
      </c>
      <c r="E753" s="56" t="s">
        <v>14387</v>
      </c>
      <c r="F753" s="57">
        <v>6100</v>
      </c>
      <c r="G753" s="58">
        <v>7</v>
      </c>
      <c r="I753" s="5"/>
      <c r="J753" s="5"/>
    </row>
    <row r="754" spans="1:10" x14ac:dyDescent="0.2">
      <c r="A754" s="59" t="str">
        <f ca="1">IFERROR(__xludf.DUMMYFUNCTION("TEXTJOIN(""|"",TRUE,UNIQUE(FILTER(SPLIT(B754,"" ""),LEN(SPLIT(B754,"" ""))&gt;2)))"),"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f>
        <v>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v>
      </c>
      <c r="B754" s="59" t="str">
        <f ca="1">IFERROR(__xludf.DUMMYFUNCTION("LOWER(REGEXREPLACE(D754&amp;"" ""&amp;E754,""[^а-яa-z0-9 ]"","" ""))"),"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дея"&amp;"тельности     ")</f>
        <v xml:space="preserve">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деятельности     </v>
      </c>
      <c r="C754" s="61" t="s">
        <v>14388</v>
      </c>
      <c r="D754" s="56" t="s">
        <v>14389</v>
      </c>
      <c r="E754" s="56" t="s">
        <v>14390</v>
      </c>
      <c r="F754" s="57">
        <v>3300</v>
      </c>
      <c r="G754" s="58">
        <v>5</v>
      </c>
      <c r="I754" s="5"/>
      <c r="J754" s="5"/>
    </row>
    <row r="755" spans="1:10" x14ac:dyDescent="0.2">
      <c r="A755" s="59" t="str">
        <f ca="1">IFERROR(__xludf.DUMMYFUNCTION("TEXTJOIN(""|"",TRUE,UNIQUE(FILTER(SPLIT(B755,"" ""),LEN(SPLIT(B755,"" ""))&gt;2)))"),"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f>
        <v>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v>
      </c>
      <c r="B755" s="59" t="str">
        <f ca="1">IFERROR(__xludf.DUMMYFUNCTION("LOWER(REGEXREPLACE(D755&amp;"" ""&amp;E755,""[^а-яa-z0-9 ]"","" ""))"),"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творче"&amp;"ских работ ")</f>
        <v xml:space="preserve">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творческих работ </v>
      </c>
      <c r="C755" s="61" t="s">
        <v>14391</v>
      </c>
      <c r="D755" s="56" t="s">
        <v>14392</v>
      </c>
      <c r="E755" s="56" t="s">
        <v>14393</v>
      </c>
      <c r="F755" s="57">
        <v>2900</v>
      </c>
      <c r="G755" s="58">
        <v>20</v>
      </c>
      <c r="I755" s="5"/>
      <c r="J755" s="5"/>
    </row>
    <row r="756" spans="1:10" x14ac:dyDescent="0.2">
      <c r="A756" s="59" t="str">
        <f ca="1">IFERROR(__xludf.DUMMYFUNCTION("TEXTJOIN(""|"",TRUE,UNIQUE(FILTER(SPLIT(B756,"" ""),LEN(SPLIT(B756,"" ""))&gt;2)))"),"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f>
        <v>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v>
      </c>
      <c r="B756" s="59" t="str">
        <f ca="1">IFERROR(__xludf.DUMMYFUNCTION("LOWER(REGEXREPLACE(D756&amp;"" ""&amp;E756,""[^а-яa-z0-9 ]"","" ""))"),"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математических"&amp;" представлений ")</f>
        <v xml:space="preserve">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 представлений </v>
      </c>
      <c r="C756" s="61" t="s">
        <v>14394</v>
      </c>
      <c r="D756" s="56" t="s">
        <v>14395</v>
      </c>
      <c r="E756" s="56" t="s">
        <v>14396</v>
      </c>
      <c r="F756" s="57">
        <v>17100</v>
      </c>
      <c r="G756" s="58">
        <v>1</v>
      </c>
      <c r="I756" s="5"/>
      <c r="J756" s="5"/>
    </row>
    <row r="757" spans="1:10" x14ac:dyDescent="0.2">
      <c r="A757" s="59" t="str">
        <f ca="1">IFERROR(__xludf.DUMMYFUNCTION("TEXTJOIN(""|"",TRUE,UNIQUE(FILTER(SPLIT(B757,"" ""),LEN(SPLIT(B757,"" ""))&gt;2)))"),"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f>
        <v>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v>
      </c>
      <c r="B757" s="59" t="str">
        <f ca="1">IFERROR(__xludf.DUMMYFUNCTION("LOWER(REGEXREPLACE(D757&amp;"" ""&amp;E757,""[^а-яa-z0-9 ]"","" ""))"),"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f>
        <v xml:space="preserve">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v>
      </c>
      <c r="C757" s="61" t="s">
        <v>14397</v>
      </c>
      <c r="D757" s="56" t="s">
        <v>14398</v>
      </c>
      <c r="E757" s="56" t="s">
        <v>14399</v>
      </c>
      <c r="F757" s="57">
        <v>12700</v>
      </c>
      <c r="G757" s="58">
        <v>10</v>
      </c>
      <c r="I757" s="5"/>
      <c r="J757" s="5"/>
    </row>
    <row r="758" spans="1:10" x14ac:dyDescent="0.2">
      <c r="A758" s="59" t="str">
        <f ca="1">IFERROR(__xludf.DUMMYFUNCTION("TEXTJOIN(""|"",TRUE,UNIQUE(FILTER(SPLIT(B758,"" ""),LEN(SPLIT(B758,"" ""))&gt;2)))"),"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f>
        <v>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v>
      </c>
      <c r="B758" s="59" t="str">
        <f ca="1">IFERROR(__xludf.DUMMYFUNCTION("LOWER(REGEXREPLACE(D758&amp;"" ""&amp;E758,""[^а-яa-z0-9 ]"","" ""))"),"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f>
        <v xml:space="preserve">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v>
      </c>
      <c r="C758" s="61" t="s">
        <v>14400</v>
      </c>
      <c r="D758" s="56" t="s">
        <v>14401</v>
      </c>
      <c r="E758" s="56" t="s">
        <v>14402</v>
      </c>
      <c r="F758" s="57">
        <v>12900</v>
      </c>
      <c r="G758" s="58">
        <v>1</v>
      </c>
      <c r="I758" s="5"/>
      <c r="J758" s="5"/>
    </row>
    <row r="759" spans="1:10" x14ac:dyDescent="0.2">
      <c r="A759" s="59" t="str">
        <f ca="1">IFERROR(__xludf.DUMMYFUNCTION("TEXTJOIN(""|"",TRUE,UNIQUE(FILTER(SPLIT(B759,"" ""),LEN(SPLIT(B759,"" ""))&gt;2)))"),"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f>
        <v>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v>
      </c>
      <c r="B759" s="59" t="str">
        <f ca="1">IFERROR(__xludf.DUMMYFUNCTION("LOWER(REGEXREPLACE(D759&amp;"" ""&amp;E759,""[^а-яa-z0-9 ]"","" ""))"),"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f>
        <v xml:space="preserve">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v>
      </c>
      <c r="C759" s="61" t="s">
        <v>14403</v>
      </c>
      <c r="D759" s="56" t="s">
        <v>14404</v>
      </c>
      <c r="E759" s="56" t="s">
        <v>14405</v>
      </c>
      <c r="F759" s="57">
        <v>79800</v>
      </c>
      <c r="G759" s="58">
        <v>10</v>
      </c>
      <c r="I759" s="5"/>
      <c r="J759" s="5"/>
    </row>
    <row r="760" spans="1:10" x14ac:dyDescent="0.2">
      <c r="A760" s="59" t="str">
        <f ca="1">IFERROR(__xludf.DUMMYFUNCTION("TEXTJOIN(""|"",TRUE,UNIQUE(FILTER(SPLIT(B760,"" ""),LEN(SPLIT(B760,"" ""))&gt;2)))"),"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amp;"влений|свойствах|веществ|атериалы|безопасны|для|детей")</f>
        <v>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влений|свойствах|веществ|атериалы|безопасны|для|детей</v>
      </c>
      <c r="B760" s="59" t="str">
        <f ca="1">IFERROR(__xludf.DUMMYFUNCTION("LOWER(REGEXREPLACE(D760&amp;"" ""&amp;E760,""[^а-яa-z0-9 ]"","" ""))"),"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мо"&amp;"торики и элементарных представлений о свойствах веществ   атериалы безопасны для детей ")</f>
        <v xml:space="preserve">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моторики и элементарных представлений о свойствах веществ   атериалы безопасны для детей </v>
      </c>
      <c r="C760" s="61" t="s">
        <v>14406</v>
      </c>
      <c r="D760" s="56" t="s">
        <v>14407</v>
      </c>
      <c r="E760" s="56" t="s">
        <v>14408</v>
      </c>
      <c r="F760" s="57">
        <v>17300</v>
      </c>
      <c r="G760" s="58">
        <v>5</v>
      </c>
      <c r="I760" s="5"/>
      <c r="J760" s="5"/>
    </row>
    <row r="761" spans="1:10" x14ac:dyDescent="0.2">
      <c r="A761" s="59" t="str">
        <f ca="1">IFERROR(__xludf.DUMMYFUNCTION("TEXTJOIN(""|"",TRUE,UNIQUE(FILTER(SPLIT(B761,"" ""),LEN(SPLIT(B761,"" ""))&gt;2)))"),"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amp;"ышками|карточки|заданиями|спользуется|для|развития|исследовательских|навыков|познавательного|интереса")</f>
        <v>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ышками|карточки|заданиями|спользуется|для|развития|исследовательских|навыков|познавательного|интереса</v>
      </c>
      <c r="B761" s="59" t="str">
        <f ca="1">IFERROR(__xludf.DUMMYFUNCTION("LOWER(REGEXREPLACE(D761&amp;"" ""&amp;E761,""[^а-яa-z0-9 ]"","" ""))"),"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"&amp;"подставкой  две малые пробирки с крышками  карточки с заданиями   спользуется для развития исследовательских навыков и познавательного интереса ")</f>
        <v xml:space="preserve">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спользуется для развития исследовательских навыков и познавательного интереса </v>
      </c>
      <c r="C761" s="61" t="s">
        <v>14409</v>
      </c>
      <c r="D761" s="56" t="s">
        <v>14410</v>
      </c>
      <c r="E761" s="56" t="s">
        <v>14411</v>
      </c>
      <c r="F761" s="57">
        <v>85500</v>
      </c>
      <c r="G761" s="58">
        <v>5</v>
      </c>
      <c r="I761" s="5"/>
      <c r="J761" s="5"/>
    </row>
    <row r="762" spans="1:10" x14ac:dyDescent="0.2">
      <c r="A762" s="59" t="str">
        <f ca="1">IFERROR(__xludf.DUMMYFUNCTION("TEXTJOIN(""|"",TRUE,UNIQUE(FILTER(SPLIT(B762,"" ""),LEN(SPLIT(B762,"" ""))&gt;2)))"),"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amp;"тавлений")</f>
        <v>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тавлений</v>
      </c>
      <c r="B762" s="59" t="str">
        <f ca="1">IFERROR(__xludf.DUMMYFUNCTION("LOWER(REGEXREPLACE(D762&amp;"" ""&amp;E762,""[^а-яa-z0-9 ]"","" ""))"),"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"&amp;"мышления и математических представлений ")</f>
        <v xml:space="preserve">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мышления и математических представлений </v>
      </c>
      <c r="C762" s="61" t="s">
        <v>14412</v>
      </c>
      <c r="D762" s="56" t="s">
        <v>14413</v>
      </c>
      <c r="E762" s="56" t="s">
        <v>14414</v>
      </c>
      <c r="F762" s="57">
        <v>66500</v>
      </c>
      <c r="G762" s="58">
        <v>10</v>
      </c>
      <c r="I762" s="5"/>
      <c r="J762" s="5"/>
    </row>
    <row r="763" spans="1:10" x14ac:dyDescent="0.2">
      <c r="A763" s="59" t="str">
        <f ca="1">IFERROR(__xludf.DUMMYFUNCTION("TEXTJOIN(""|"",TRUE,UNIQUE(FILTER(SPLIT(B763,"" ""),LEN(SPLIT(B763,"" ""))&gt;2)))"),"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f>
        <v>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v>
      </c>
      <c r="B763" s="59" t="str">
        <f ca="1">IFERROR(__xludf.DUMMYFUNCTION("LOWER(REGEXREPLACE(D763&amp;"" ""&amp;E763,""[^а-яa-z0-9 ]"","" ""))"),"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f>
        <v xml:space="preserve">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v>
      </c>
      <c r="C763" s="61" t="s">
        <v>14415</v>
      </c>
      <c r="D763" s="56" t="s">
        <v>14416</v>
      </c>
      <c r="E763" s="56" t="s">
        <v>14417</v>
      </c>
      <c r="F763" s="57">
        <v>5700</v>
      </c>
      <c r="G763" s="58">
        <v>14</v>
      </c>
      <c r="I763" s="5"/>
      <c r="J763" s="5"/>
    </row>
    <row r="764" spans="1:10" x14ac:dyDescent="0.2">
      <c r="A764" s="59" t="str">
        <f ca="1">IFERROR(__xludf.DUMMYFUNCTION("TEXTJOIN(""|"",TRUE,UNIQUE(FILTER(SPLIT(B764,"" ""),LEN(SPLIT(B764,"" ""))&gt;2)))"),"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f>
        <v>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v>
      </c>
      <c r="B764" s="59" t="str">
        <f ca="1">IFERROR(__xludf.DUMMYFUNCTION("LOWER(REGEXREPLACE(D764&amp;"" ""&amp;E764,""[^а-яa-z0-9 ]"","" ""))"),"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f>
        <v xml:space="preserve">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v>
      </c>
      <c r="C764" s="61" t="s">
        <v>14418</v>
      </c>
      <c r="D764" s="56" t="s">
        <v>14419</v>
      </c>
      <c r="E764" s="56" t="s">
        <v>14420</v>
      </c>
      <c r="F764" s="57">
        <v>10600</v>
      </c>
      <c r="G764" s="58">
        <v>7</v>
      </c>
      <c r="I764" s="5"/>
      <c r="J764" s="5"/>
    </row>
    <row r="765" spans="1:10" x14ac:dyDescent="0.2">
      <c r="A765" s="59" t="str">
        <f ca="1">IFERROR(__xludf.DUMMYFUNCTION("TEXTJOIN(""|"",TRUE,UNIQUE(FILTER(SPLIT(B765,"" ""),LEN(SPLIT(B765,"" ""))&gt;2)))"),"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f>
        <v>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v>
      </c>
      <c r="B765" s="59" t="str">
        <f ca="1">IFERROR(__xludf.DUMMYFUNCTION("LOWER(REGEXREPLACE(D765&amp;"" ""&amp;E765,""[^а-яa-z0-9 ]"","" ""))"),"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f>
        <v xml:space="preserve">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v>
      </c>
      <c r="C765" s="61" t="s">
        <v>14421</v>
      </c>
      <c r="D765" s="56" t="s">
        <v>14422</v>
      </c>
      <c r="E765" s="56" t="s">
        <v>14423</v>
      </c>
      <c r="F765" s="57">
        <v>16200</v>
      </c>
      <c r="G765" s="58">
        <v>2</v>
      </c>
      <c r="I765" s="5"/>
      <c r="J765" s="5"/>
    </row>
    <row r="766" spans="1:10" x14ac:dyDescent="0.2">
      <c r="A766" s="59" t="str">
        <f ca="1">IFERROR(__xludf.DUMMYFUNCTION("TEXTJOIN(""|"",TRUE,UNIQUE(FILTER(SPLIT(B766,"" ""),LEN(SPLIT(B766,"" ""))&gt;2)))"),"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f>
        <v>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v>
      </c>
      <c r="B766" s="59" t="str">
        <f ca="1">IFERROR(__xludf.DUMMYFUNCTION("LOWER(REGEXREPLACE(D766&amp;"" ""&amp;E766,""[^а-яa-z0-9 ]"","" ""))"),"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двигател"&amp;"ьной активности ")</f>
        <v xml:space="preserve">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двигательной активности </v>
      </c>
      <c r="C766" s="61" t="s">
        <v>14424</v>
      </c>
      <c r="D766" s="56" t="s">
        <v>14425</v>
      </c>
      <c r="E766" s="56" t="s">
        <v>14426</v>
      </c>
      <c r="F766" s="57">
        <v>3100</v>
      </c>
      <c r="G766" s="58">
        <v>2</v>
      </c>
      <c r="I766" s="5"/>
      <c r="J766" s="5"/>
    </row>
    <row r="767" spans="1:10" x14ac:dyDescent="0.2">
      <c r="A767" s="59" t="str">
        <f ca="1">IFERROR(__xludf.DUMMYFUNCTION("TEXTJOIN(""|"",TRUE,UNIQUE(FILTER(SPLIT(B767,"" ""),LEN(SPLIT(B767,"" ""))&gt;2)))"),"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f>
        <v>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v>
      </c>
      <c r="B767" s="59" t="str">
        <f ca="1">IFERROR(__xludf.DUMMYFUNCTION("LOWER(REGEXREPLACE(D767&amp;"" ""&amp;E767,""[^а-яa-z0-9 ]"","" ""))"),"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f>
        <v xml:space="preserve">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v>
      </c>
      <c r="C767" s="61" t="s">
        <v>14427</v>
      </c>
      <c r="D767" s="56" t="s">
        <v>14428</v>
      </c>
      <c r="E767" s="56" t="s">
        <v>14429</v>
      </c>
      <c r="F767" s="57">
        <v>6700</v>
      </c>
      <c r="G767" s="58">
        <v>2</v>
      </c>
      <c r="I767" s="5"/>
      <c r="J767" s="5"/>
    </row>
    <row r="768" spans="1:10" x14ac:dyDescent="0.2">
      <c r="A768" s="59" t="str">
        <f ca="1">IFERROR(__xludf.DUMMYFUNCTION("TEXTJOIN(""|"",TRUE,UNIQUE(FILTER(SPLIT(B768,"" ""),LEN(SPLIT(B768,"" ""))&gt;2)))"),"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f>
        <v>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v>
      </c>
      <c r="B768" s="59" t="str">
        <f ca="1">IFERROR(__xludf.DUMMYFUNCTION("LOWER(REGEXREPLACE(D768&amp;"" ""&amp;E768,""[^а-яa-z0-9 ]"","" ""))"),"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f>
        <v xml:space="preserve">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v>
      </c>
      <c r="C768" s="61" t="s">
        <v>14430</v>
      </c>
      <c r="D768" s="56" t="s">
        <v>14431</v>
      </c>
      <c r="E768" s="56" t="s">
        <v>14432</v>
      </c>
      <c r="F768" s="57">
        <v>4300</v>
      </c>
      <c r="G768" s="58">
        <v>5</v>
      </c>
      <c r="I768" s="5"/>
      <c r="J768" s="5"/>
    </row>
    <row r="769" spans="1:10" x14ac:dyDescent="0.2">
      <c r="A769" s="59" t="str">
        <f ca="1">IFERROR(__xludf.DUMMYFUNCTION("TEXTJOIN(""|"",TRUE,UNIQUE(FILTER(SPLIT(B769,"" ""),LEN(SPLIT(B769,"" ""))&gt;2)))"),"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f>
        <v>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v>
      </c>
      <c r="B769" s="59" t="str">
        <f ca="1">IFERROR(__xludf.DUMMYFUNCTION("LOWER(REGEXREPLACE(D769&amp;"" ""&amp;E769,""[^а-яa-z0-9 ]"","" ""))"),"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f>
        <v xml:space="preserve">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v>
      </c>
      <c r="C769" s="61" t="s">
        <v>14433</v>
      </c>
      <c r="D769" s="56" t="s">
        <v>14434</v>
      </c>
      <c r="E769" s="56" t="s">
        <v>14435</v>
      </c>
      <c r="F769" s="57">
        <v>8600</v>
      </c>
      <c r="G769" s="58">
        <v>7</v>
      </c>
      <c r="I769" s="5"/>
      <c r="J769" s="5"/>
    </row>
    <row r="770" spans="1:10" x14ac:dyDescent="0.2">
      <c r="A770" s="59" t="str">
        <f ca="1">IFERROR(__xludf.DUMMYFUNCTION("TEXTJOIN(""|"",TRUE,UNIQUE(FILTER(SPLIT(B770,"" ""),LEN(SPLIT(B770,"" ""))&gt;2)))"),"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f>
        <v>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v>
      </c>
      <c r="B770" s="59" t="str">
        <f ca="1">IFERROR(__xludf.DUMMYFUNCTION("LOWER(REGEXREPLACE(D770&amp;"" ""&amp;E770,""[^а-яa-z0-9 ]"","" ""))"),"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f>
        <v xml:space="preserve">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v>
      </c>
      <c r="C770" s="61" t="s">
        <v>14436</v>
      </c>
      <c r="D770" s="56" t="s">
        <v>14437</v>
      </c>
      <c r="E770" s="56" t="s">
        <v>14438</v>
      </c>
      <c r="F770" s="57">
        <v>5700</v>
      </c>
      <c r="G770" s="58">
        <v>1</v>
      </c>
      <c r="I770" s="5"/>
      <c r="J770" s="5"/>
    </row>
    <row r="771" spans="1:10" x14ac:dyDescent="0.2">
      <c r="A771" s="59" t="str">
        <f ca="1">IFERROR(__xludf.DUMMYFUNCTION("TEXTJOIN(""|"",TRUE,UNIQUE(FILTER(SPLIT(B771,"" ""),LEN(SPLIT(B771,"" ""))&gt;2)))"),"азвивающие|карточки|азвивающие|карточки|предназначены|для|запуска|развития|речи|детей|дошкольного|возраста|спользуются|логопедической|коррекционной|работе")</f>
        <v>азвивающие|карточки|азвивающие|карточки|предназначены|для|запуска|развития|речи|детей|дошкольного|возраста|спользуются|логопедической|коррекционной|работе</v>
      </c>
      <c r="B771" s="59" t="str">
        <f ca="1">IFERROR(__xludf.DUMMYFUNCTION("LOWER(REGEXREPLACE(D771&amp;"" ""&amp;E771,""[^а-яa-z0-9 ]"","" ""))"),"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f>
        <v xml:space="preserve">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v>
      </c>
      <c r="C771" s="61" t="s">
        <v>14439</v>
      </c>
      <c r="D771" s="56" t="s">
        <v>14440</v>
      </c>
      <c r="E771" s="56" t="s">
        <v>14441</v>
      </c>
      <c r="F771" s="57">
        <v>33400</v>
      </c>
      <c r="G771" s="58">
        <v>1</v>
      </c>
      <c r="I771" s="5"/>
      <c r="J771" s="5"/>
    </row>
    <row r="772" spans="1:10" x14ac:dyDescent="0.2">
      <c r="A772" s="59" t="str">
        <f ca="1">IFERROR(__xludf.DUMMYFUNCTION("TEXTJOIN(""|"",TRUE,UNIQUE(FILTER(SPLIT(B772,"" ""),LEN(SPLIT(B772,"" ""))&gt;2)))"),"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amp;"т|заданиями|атериал|подходит|для|индивидуальной|подгрупповой|работы|ассчитан|многократное|использование")</f>
        <v>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т|заданиями|атериал|подходит|для|индивидуальной|подгрупповой|работы|ассчитан|многократное|использование</v>
      </c>
      <c r="B772" s="59" t="str">
        <f ca="1">IFERROR(__xludf.DUMMYFUNCTION("LOWER(REGEXREPLACE(D772&amp;"" ""&amp;E772,""[^а-яa-z0-9 ]"","" ""))"),"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вх"&amp;"одит не менее 50 карточек и буклет с заданиями   атериал подходит для индивидуальной и подгрупповой работы   ассчитан на многократное использование ")</f>
        <v xml:space="preserve">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входит не менее 50 карточек и буклет с заданиями   атериал подходит для индивидуальной и подгрупповой работы   ассчитан на многократное использование </v>
      </c>
      <c r="C772" s="61" t="s">
        <v>14442</v>
      </c>
      <c r="D772" s="56" t="s">
        <v>14443</v>
      </c>
      <c r="E772" s="56" t="s">
        <v>14444</v>
      </c>
      <c r="F772" s="57">
        <v>10800</v>
      </c>
      <c r="G772" s="58">
        <v>1</v>
      </c>
      <c r="I772" s="5"/>
      <c r="J772" s="5"/>
    </row>
    <row r="773" spans="1:10" x14ac:dyDescent="0.2">
      <c r="A773" s="59" t="str">
        <f ca="1">IFERROR(__xludf.DUMMYFUNCTION("TEXTJOIN(""|"",TRUE,UNIQUE(FILTER(SPLIT(B773,"" ""),LEN(SPLIT(B773,"" ""))&gt;2)))"),"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f>
        <v>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v>
      </c>
      <c r="B773" s="59" t="str">
        <f ca="1">IFERROR(__xludf.DUMMYFUNCTION("LOWER(REGEXREPLACE(D773&amp;"" ""&amp;E773,""[^а-яa-z0-9 ]"","" ""))"),"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f>
        <v xml:space="preserve">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v>
      </c>
      <c r="C773" s="61" t="s">
        <v>14445</v>
      </c>
      <c r="D773" s="56" t="s">
        <v>14446</v>
      </c>
      <c r="E773" s="56" t="s">
        <v>14447</v>
      </c>
      <c r="F773" s="57">
        <v>28500</v>
      </c>
      <c r="G773" s="58">
        <v>1</v>
      </c>
      <c r="I773" s="5"/>
      <c r="J773" s="5"/>
    </row>
    <row r="774" spans="1:10" x14ac:dyDescent="0.2">
      <c r="A774" s="59" t="str">
        <f ca="1">IFERROR(__xludf.DUMMYFUNCTION("TEXTJOIN(""|"",TRUE,UNIQUE(FILTER(SPLIT(B774,"" ""),LEN(SPLIT(B774,"" ""))&gt;2)))"),"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f>
        <v>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v>
      </c>
      <c r="B774" s="59" t="str">
        <f ca="1">IFERROR(__xludf.DUMMYFUNCTION("LOWER(REGEXREPLACE(D774&amp;"" ""&amp;E774,""[^а-яa-z0-9 ]"","" ""))"),"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f>
        <v xml:space="preserve">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v>
      </c>
      <c r="C774" s="61" t="s">
        <v>14448</v>
      </c>
      <c r="D774" s="56" t="s">
        <v>14449</v>
      </c>
      <c r="E774" s="56" t="s">
        <v>14450</v>
      </c>
      <c r="F774" s="57">
        <v>19000</v>
      </c>
      <c r="G774" s="58">
        <v>2</v>
      </c>
      <c r="I774" s="5"/>
      <c r="J774" s="5"/>
    </row>
    <row r="775" spans="1:10" x14ac:dyDescent="0.2">
      <c r="A775" s="59" t="str">
        <f ca="1">IFERROR(__xludf.DUMMYFUNCTION("TEXTJOIN(""|"",TRUE,UNIQUE(FILTER(SPLIT(B775,"" ""),LEN(SPLIT(B775,"" ""))&gt;2)))"),"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f>
        <v>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v>
      </c>
      <c r="B775" s="59" t="str">
        <f ca="1">IFERROR(__xludf.DUMMYFUNCTION("LOWER(REGEXREPLACE(D775&amp;"" ""&amp;E775,""[^а-яa-z0-9 ]"","" ""))"),"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дет"&amp;"ям от 3 лет ")</f>
        <v xml:space="preserve">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детям от 3 лет </v>
      </c>
      <c r="C775" s="61" t="s">
        <v>14451</v>
      </c>
      <c r="D775" s="56" t="s">
        <v>14452</v>
      </c>
      <c r="E775" s="56" t="s">
        <v>14453</v>
      </c>
      <c r="F775" s="57">
        <v>22000</v>
      </c>
      <c r="G775" s="58">
        <v>14</v>
      </c>
      <c r="I775" s="5"/>
      <c r="J775" s="5"/>
    </row>
    <row r="776" spans="1:10" x14ac:dyDescent="0.2">
      <c r="A776" s="59" t="str">
        <f ca="1">IFERROR(__xludf.DUMMYFUNCTION("TEXTJOIN(""|"",TRUE,UNIQUE(FILTER(SPLIT(B776,"" ""),LEN(SPLIT(B776,"" ""))&gt;2)))"),"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amp;"вует|длительной|самостоятельной|игровой|деятельности|развитию|познавательных|навыков")</f>
        <v>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вует|длительной|самостоятельной|игровой|деятельности|развитию|познавательных|навыков</v>
      </c>
      <c r="B776" s="59" t="str">
        <f ca="1">IFERROR(__xludf.DUMMYFUNCTION("LOWER(REGEXREPLACE(D776&amp;"" ""&amp;E776,""[^а-яa-z0-9 ]"","" ""))"),"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трогател"&amp;"ьным дизайном   пособствует длительной самостоятельной игровой деятельности и развитию познавательных навыков ")</f>
        <v xml:space="preserve">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трогательным дизайном   пособствует длительной самостоятельной игровой деятельности и развитию познавательных навыков </v>
      </c>
      <c r="C776" s="61" t="s">
        <v>14454</v>
      </c>
      <c r="D776" s="56" t="s">
        <v>14455</v>
      </c>
      <c r="E776" s="56" t="s">
        <v>14456</v>
      </c>
      <c r="F776" s="57">
        <v>12200</v>
      </c>
      <c r="G776" s="58">
        <v>7</v>
      </c>
      <c r="I776" s="5"/>
      <c r="J776" s="5"/>
    </row>
    <row r="777" spans="1:10" x14ac:dyDescent="0.2">
      <c r="A777" s="59" t="str">
        <f ca="1">IFERROR(__xludf.DUMMYFUNCTION("TEXTJOIN(""|"",TRUE,UNIQUE(FILTER(SPLIT(B777,"" ""),LEN(SPLIT(B777,"" ""))&gt;2)))"),"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amp;"за|лементы|выполнены|прочных|материалов")</f>
        <v>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за|лементы|выполнены|прочных|материалов</v>
      </c>
      <c r="B777" s="59" t="str">
        <f ca="1">IFERROR(__xludf.DUMMYFUNCTION("LOWER(REGEXREPLACE(D777&amp;"" ""&amp;E777,""[^а-яa-z0-9 ]"","" ""))"),"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мышления"&amp;" и логического анализа   лементы выполнены из прочных материалов ")</f>
        <v xml:space="preserve">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 и логического анализа   лементы выполнены из прочных материалов </v>
      </c>
      <c r="C777" s="61" t="s">
        <v>14457</v>
      </c>
      <c r="D777" s="56" t="s">
        <v>14458</v>
      </c>
      <c r="E777" s="56" t="s">
        <v>14459</v>
      </c>
      <c r="F777" s="57">
        <v>30400</v>
      </c>
      <c r="G777" s="58">
        <v>10</v>
      </c>
      <c r="I777" s="5"/>
      <c r="J777" s="5"/>
    </row>
    <row r="778" spans="1:10" x14ac:dyDescent="0.2">
      <c r="A778" s="59" t="str">
        <f ca="1">IFERROR(__xludf.DUMMYFUNCTION("TEXTJOIN(""|"",TRUE,UNIQUE(FILTER(SPLIT(B778,"" ""),LEN(SPLIT(B778,"" ""))&gt;2)))"),"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amp;"чреждения")</f>
        <v>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чреждения</v>
      </c>
      <c r="B778" s="59" t="str">
        <f ca="1">IFERROR(__xludf.DUMMYFUNCTION("LOWER(REGEXREPLACE(D778&amp;"" ""&amp;E778,""[^а-яa-z0-9 ]"","" ""))"),"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деяте"&amp;"льности дошкольного учреждения ")</f>
        <v xml:space="preserve">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деятельности дошкольного учреждения </v>
      </c>
      <c r="C778" s="61" t="s">
        <v>14460</v>
      </c>
      <c r="D778" s="56" t="s">
        <v>14461</v>
      </c>
      <c r="E778" s="56" t="s">
        <v>14462</v>
      </c>
      <c r="F778" s="57">
        <v>5400</v>
      </c>
      <c r="G778" s="58">
        <v>4</v>
      </c>
      <c r="I778" s="5"/>
      <c r="J778" s="5"/>
    </row>
    <row r="779" spans="1:10" x14ac:dyDescent="0.2">
      <c r="A779" s="59" t="str">
        <f ca="1">IFERROR(__xludf.DUMMYFUNCTION("TEXTJOIN(""|"",TRUE,UNIQUE(FILTER(SPLIT(B779,"" ""),LEN(SPLIT(B779,"" ""))&gt;2)))"),"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amp;"пользование|образовательном|процессе")</f>
        <v>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пользование|образовательном|процессе</v>
      </c>
      <c r="B779" s="59" t="str">
        <f ca="1">IFERROR(__xludf.DUMMYFUNCTION("LOWER(REGEXREPLACE(D779&amp;"" ""&amp;E779,""[^а-яa-z0-9 ]"","" ""))"),"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ат"&amp;"ериалы рассчитаны на использование в образовательном процессе ")</f>
        <v xml:space="preserve">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атериалы рассчитаны на использование в образовательном процессе </v>
      </c>
      <c r="C779" s="61" t="s">
        <v>14463</v>
      </c>
      <c r="D779" s="56" t="s">
        <v>14464</v>
      </c>
      <c r="E779" s="56" t="s">
        <v>14465</v>
      </c>
      <c r="F779" s="57">
        <v>8900</v>
      </c>
      <c r="G779" s="58">
        <v>7</v>
      </c>
      <c r="I779" s="5"/>
      <c r="J779" s="5"/>
    </row>
    <row r="780" spans="1:10" x14ac:dyDescent="0.2">
      <c r="A780" s="59" t="str">
        <f ca="1">IFERROR(__xludf.DUMMYFUNCTION("TEXTJOIN(""|"",TRUE,UNIQUE(FILTER(SPLIT(B780,"" ""),LEN(SPLIT(B780,"" ""))&gt;2)))"),"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amp;"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amp;"ствует|развитию|воображения|представлений|транспорте|зделие|выполнено|прочных|материалов")</f>
        <v>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ствует|развитию|воображения|представлений|транспорте|зделие|выполнено|прочных|материалов</v>
      </c>
      <c r="B780" s="59" t="str">
        <f ca="1">IFERROR(__xludf.DUMMYFUNCTION("LOWER(REGEXREPLACE(D780&amp;"" ""&amp;E780,""[^а-яa-z0-9 ]"","" ""))"),"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комбиниров"&amp;"анию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транспор"&amp;"тным средством   акая деятельность способствует развитию воображения и представлений о транспорте   зделие выполнено из прочных материалов ")</f>
        <v xml:space="preserve">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транспортным средством   акая деятельность способствует развитию воображения и представлений о транспорте   зделие выполнено из прочных материалов </v>
      </c>
      <c r="C780" s="61" t="s">
        <v>14466</v>
      </c>
      <c r="D780" s="56" t="s">
        <v>14467</v>
      </c>
      <c r="E780" s="56" t="s">
        <v>14468</v>
      </c>
      <c r="F780" s="57">
        <v>12600</v>
      </c>
      <c r="G780" s="58">
        <v>7</v>
      </c>
      <c r="I780" s="5"/>
      <c r="J780" s="5"/>
    </row>
    <row r="781" spans="1:10" x14ac:dyDescent="0.2">
      <c r="A781" s="59" t="str">
        <f ca="1">IFERROR(__xludf.DUMMYFUNCTION("TEXTJOIN(""|"",TRUE,UNIQUE(FILTER(SPLIT(B781,"" ""),LEN(SPLIT(B781,"" ""))&gt;2)))"),"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amp;"композиции|рименяются|индивидуальной|групповой|работе")</f>
        <v>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композиции|рименяются|индивидуальной|групповой|работе</v>
      </c>
      <c r="B781" s="59" t="str">
        <f ca="1">IFERROR(__xludf.DUMMYFUNCTION("LOWER(REGEXREPLACE(D781&amp;"" ""&amp;E781,""[^а-яa-z0-9 ]"","" ""))"),"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предста"&amp;"влений о форме  цвете и композиции   рименяются в индивидуальной и групповой работе ")</f>
        <v xml:space="preserve">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представлений о форме  цвете и композиции   рименяются в индивидуальной и групповой работе </v>
      </c>
      <c r="C781" s="61" t="s">
        <v>14469</v>
      </c>
      <c r="D781" s="56" t="s">
        <v>14470</v>
      </c>
      <c r="E781" s="56" t="s">
        <v>14471</v>
      </c>
      <c r="F781" s="57">
        <v>9700</v>
      </c>
      <c r="G781" s="58">
        <v>1</v>
      </c>
      <c r="I781" s="5"/>
      <c r="J781" s="5"/>
    </row>
    <row r="782" spans="1:10" x14ac:dyDescent="0.2">
      <c r="A782" s="59" t="str">
        <f ca="1">IFERROR(__xludf.DUMMYFUNCTION("TEXTJOIN(""|"",TRUE,UNIQUE(FILTER(SPLIT(B782,"" ""),LEN(SPLIT(B782,"" ""))&gt;2)))"),"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amp;"дений|речевые|упражнения|атериалы|рассчитаны|использование|образовательной|практике")</f>
        <v>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дений|речевые|упражнения|атериалы|рассчитаны|использование|образовательной|практике</v>
      </c>
      <c r="B782" s="59" t="str">
        <f ca="1">IFERROR(__xludf.DUMMYFUNCTION("LOWER(REGEXREPLACE(D782&amp;"" ""&amp;E782,""[^а-яa-z0-9 ]"","" ""))"),"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закреплят"&amp;"ь содержание произведений и речевые упражнения   атериалы рассчитаны на использование в образовательной практике ")</f>
        <v xml:space="preserve">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закреплять содержание произведений и речевые упражнения   атериалы рассчитаны на использование в образовательной практике </v>
      </c>
      <c r="C782" s="61" t="s">
        <v>14472</v>
      </c>
      <c r="D782" s="56" t="s">
        <v>14473</v>
      </c>
      <c r="E782" s="56" t="s">
        <v>14474</v>
      </c>
      <c r="F782" s="57">
        <v>10900</v>
      </c>
      <c r="G782" s="58">
        <v>7</v>
      </c>
      <c r="I782" s="5"/>
      <c r="J782" s="5"/>
    </row>
    <row r="783" spans="1:10" x14ac:dyDescent="0.2">
      <c r="A783" s="59" t="str">
        <f ca="1">IFERROR(__xludf.DUMMYFUNCTION("TEXTJOIN(""|"",TRUE,UNIQUE(FILTER(SPLIT(B783,"" ""),LEN(SPLIT(B783,"" ""))&gt;2)))"),"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f>
        <v>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v>
      </c>
      <c r="B783" s="59" t="str">
        <f ca="1">IFERROR(__xludf.DUMMYFUNCTION("LOWER(REGEXREPLACE(D783&amp;"" ""&amp;E783,""[^а-яa-z0-9 ]"","" ""))"),"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f>
        <v xml:space="preserve">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v>
      </c>
      <c r="C783" s="61" t="s">
        <v>14475</v>
      </c>
      <c r="D783" s="56" t="s">
        <v>14476</v>
      </c>
      <c r="E783" s="56" t="s">
        <v>14477</v>
      </c>
      <c r="F783" s="57">
        <v>6200</v>
      </c>
      <c r="G783" s="58">
        <v>50</v>
      </c>
      <c r="I783" s="5"/>
      <c r="J783" s="5"/>
    </row>
    <row r="784" spans="1:10" x14ac:dyDescent="0.2">
      <c r="A784" s="59" t="str">
        <f ca="1">IFERROR(__xludf.DUMMYFUNCTION("TEXTJOIN(""|"",TRUE,UNIQUE(FILTER(SPLIT(B784,"" ""),LEN(SPLIT(B784,"" ""))&gt;2)))"),"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f>
        <v>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v>
      </c>
      <c r="B784" s="59" t="str">
        <f ca="1">IFERROR(__xludf.DUMMYFUNCTION("LOWER(REGEXREPLACE(D784&amp;"" ""&amp;E784,""[^а-яa-z0-9 ]"","" ""))"),"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развив"&amp;"ающих играх ")</f>
        <v xml:space="preserve">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развивающих играх </v>
      </c>
      <c r="C784" s="61" t="s">
        <v>14478</v>
      </c>
      <c r="D784" s="56" t="s">
        <v>14479</v>
      </c>
      <c r="E784" s="56" t="s">
        <v>14480</v>
      </c>
      <c r="F784" s="57">
        <v>2800</v>
      </c>
      <c r="G784" s="58">
        <v>5</v>
      </c>
      <c r="I784" s="5"/>
      <c r="J784" s="5"/>
    </row>
    <row r="785" spans="1:10" x14ac:dyDescent="0.2">
      <c r="A785" s="59" t="str">
        <f ca="1">IFERROR(__xludf.DUMMYFUNCTION("TEXTJOIN(""|"",TRUE,UNIQUE(FILTER(SPLIT(B785,"" ""),LEN(SPLIT(B785,"" ""))&gt;2)))"),"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amp;"бразного|мышления|навыков|соотнесения|абор|включает|менее|элементов")</f>
        <v>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бразного|мышления|навыков|соотнесения|абор|включает|менее|элементов</v>
      </c>
      <c r="B785" s="59" t="str">
        <f ca="1">IFERROR(__xludf.DUMMYFUNCTION("LOWER(REGEXREPLACE(D785&amp;"" ""&amp;E785,""[^а-яa-z0-9 ]"","" ""))"),"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способст"&amp;"вует развитию наглядно образного мышления и навыков соотнесения   абор включает не менее 11 элементов ")</f>
        <v xml:space="preserve">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способствует развитию наглядно образного мышления и навыков соотнесения   абор включает не менее 11 элементов </v>
      </c>
      <c r="C785" s="61" t="s">
        <v>14481</v>
      </c>
      <c r="D785" s="56" t="s">
        <v>14482</v>
      </c>
      <c r="E785" s="56" t="s">
        <v>14483</v>
      </c>
      <c r="F785" s="57">
        <v>2700</v>
      </c>
      <c r="G785" s="58">
        <v>1</v>
      </c>
      <c r="I785" s="5"/>
      <c r="J785" s="5"/>
    </row>
    <row r="786" spans="1:10" x14ac:dyDescent="0.2">
      <c r="A786" s="59" t="str">
        <f ca="1">IFERROR(__xludf.DUMMYFUNCTION("TEXTJOIN(""|"",TRUE,UNIQUE(FILTER(SPLIT(B786,"" ""),LEN(SPLIT(B786,"" ""))&gt;2)))"),"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f>
        <v>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v>
      </c>
      <c r="B786" s="59" t="str">
        <f ca="1">IFERROR(__xludf.DUMMYFUNCTION("LOWER(REGEXREPLACE(D786&amp;"" ""&amp;E786,""[^а-яa-z0-9 ]"","" ""))"),"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f>
        <v xml:space="preserve">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v>
      </c>
      <c r="C786" s="61" t="s">
        <v>14484</v>
      </c>
      <c r="D786" s="56" t="s">
        <v>14485</v>
      </c>
      <c r="E786" s="56" t="s">
        <v>14486</v>
      </c>
      <c r="F786" s="57">
        <v>3500</v>
      </c>
      <c r="G786" s="58">
        <v>5</v>
      </c>
      <c r="I786" s="5"/>
      <c r="J786" s="5"/>
    </row>
    <row r="787" spans="1:10" x14ac:dyDescent="0.2">
      <c r="A787" s="59" t="str">
        <f ca="1">IFERROR(__xludf.DUMMYFUNCTION("TEXTJOIN(""|"",TRUE,UNIQUE(FILTER(SPLIT(B787,"" ""),LEN(SPLIT(B787,"" ""))&gt;2)))"),"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f>
        <v>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v>
      </c>
      <c r="B787" s="59" t="str">
        <f ca="1">IFERROR(__xludf.DUMMYFUNCTION("LOWER(REGEXREPLACE(D787&amp;"" ""&amp;E787,""[^а-яa-z0-9 ]"","" ""))"),"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f>
        <v xml:space="preserve">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v>
      </c>
      <c r="C787" s="61" t="s">
        <v>14487</v>
      </c>
      <c r="D787" s="56" t="s">
        <v>14488</v>
      </c>
      <c r="E787" s="56" t="s">
        <v>14489</v>
      </c>
      <c r="F787" s="57">
        <v>3200</v>
      </c>
      <c r="G787" s="58">
        <v>7</v>
      </c>
      <c r="I787" s="5"/>
      <c r="J787" s="5"/>
    </row>
    <row r="788" spans="1:10" x14ac:dyDescent="0.2">
      <c r="A788" s="59" t="str">
        <f ca="1">IFERROR(__xludf.DUMMYFUNCTION("TEXTJOIN(""|"",TRUE,UNIQUE(FILTER(SPLIT(B788,"" ""),LEN(SPLIT(B788,"" ""))&gt;2)))"),"игрометр|игрометр|градусов")</f>
        <v>игрометр|игрометр|градусов</v>
      </c>
      <c r="B788" s="59" t="str">
        <f ca="1">IFERROR(__xludf.DUMMYFUNCTION("LOWER(REGEXREPLACE(D788&amp;"" ""&amp;E788,""[^а-яa-z0-9 ]"","" ""))")," игрометр  игрометр 0 25 градусов")</f>
        <v xml:space="preserve"> игрометр  игрометр 0 25 градусов</v>
      </c>
      <c r="C788" s="61" t="s">
        <v>14490</v>
      </c>
      <c r="D788" s="56" t="s">
        <v>2580</v>
      </c>
      <c r="E788" s="63" t="s">
        <v>2046</v>
      </c>
      <c r="F788" s="57">
        <v>11607</v>
      </c>
      <c r="G788" s="58">
        <v>20</v>
      </c>
      <c r="I788" s="5"/>
      <c r="J788" s="5"/>
    </row>
    <row r="789" spans="1:10" x14ac:dyDescent="0.2">
      <c r="A789" s="59" t="str">
        <f ca="1">IFERROR(__xludf.DUMMYFUNCTION("TEXTJOIN(""|"",TRUE,UNIQUE(FILTER(SPLIT(B789,"" ""),LEN(SPLIT(B789,"" ""))&gt;2)))"),"астения|цветы|еприхотливые|уходе|безопасные|для|детей|растения|имеющие|острых|элементов|токсичных|свойств|ысота|растений|400|800|диаметр|горшка|180|250")</f>
        <v>астения|цветы|еприхотливые|уходе|безопасные|для|детей|растения|имеющие|острых|элементов|токсичных|свойств|ысота|растений|400|800|диаметр|горшка|180|250</v>
      </c>
      <c r="B789" s="59" t="str">
        <f ca="1">IFERROR(__xludf.DUMMYFUNCTION("LOWER(REGEXREPLACE(D789&amp;"" ""&amp;E789,""[^а-яa-z0-9 ]"","" ""))"),"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f>
        <v xml:space="preserve">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v>
      </c>
      <c r="C789" s="61" t="s">
        <v>14491</v>
      </c>
      <c r="D789" s="56" t="s">
        <v>14492</v>
      </c>
      <c r="E789" s="56" t="s">
        <v>14493</v>
      </c>
      <c r="F789" s="57">
        <v>95000</v>
      </c>
      <c r="G789" s="58">
        <v>4</v>
      </c>
      <c r="I789" s="5"/>
      <c r="J789" s="5"/>
    </row>
    <row r="790" spans="1:10" x14ac:dyDescent="0.2">
      <c r="A790" s="59" t="str">
        <f ca="1">IFERROR(__xludf.DUMMYFUNCTION("TEXTJOIN(""|"",TRUE,UNIQUE(FILTER(SPLIT(B790,"" ""),LEN(SPLIT(B790,"" ""))&gt;2)))"),"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amp;"ужающим|миром|одбираются|нетоксичные|безопасные|для|детей|виды|устойчивые|комнатным|условиям")</f>
        <v>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ужающим|миром|одбираются|нетоксичные|безопасные|для|детей|виды|устойчивые|комнатным|условиям</v>
      </c>
      <c r="B790" s="59" t="str">
        <f ca="1">IFERROR(__xludf.DUMMYFUNCTION("LOWER(REGEXREPLACE(D790&amp;"" ""&amp;E790,""[^а-яa-z0-9 ]"","" ""))"),"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"&amp;"и ознакомлении с окружающим миром   одбираются нетоксичные  безопасные для детей виды  устойчивые к комнатным условиям ")</f>
        <v xml:space="preserve">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и ознакомлении с окружающим миром   одбираются нетоксичные  безопасные для детей виды  устойчивые к комнатным условиям </v>
      </c>
      <c r="C790" s="61" t="s">
        <v>14494</v>
      </c>
      <c r="D790" s="56" t="s">
        <v>14495</v>
      </c>
      <c r="E790" s="56" t="s">
        <v>14496</v>
      </c>
      <c r="F790" s="57">
        <v>22800</v>
      </c>
      <c r="G790" s="58">
        <v>5</v>
      </c>
      <c r="I790" s="5"/>
      <c r="J790" s="5"/>
    </row>
    <row r="791" spans="1:10" x14ac:dyDescent="0.2">
      <c r="A791" s="59" t="str">
        <f ca="1">IFERROR(__xludf.DUMMYFUNCTION("TEXTJOIN(""|"",TRUE,UNIQUE(FILTER(SPLIT(B791,"" ""),LEN(SPLIT(B791,"" ""))&gt;2)))"),"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f>
        <v>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v>
      </c>
      <c r="B791" s="59" t="str">
        <f ca="1">IFERROR(__xludf.DUMMYFUNCTION("LOWER(REGEXREPLACE(D791&amp;"" ""&amp;E791,""[^а-яa-z0-9 ]"","" ""))"),"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f>
        <v xml:space="preserve">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v>
      </c>
      <c r="C791" s="61" t="s">
        <v>14497</v>
      </c>
      <c r="D791" s="56" t="s">
        <v>14498</v>
      </c>
      <c r="E791" s="56" t="s">
        <v>14499</v>
      </c>
      <c r="F791" s="57">
        <v>95000</v>
      </c>
      <c r="G791" s="58">
        <v>14</v>
      </c>
      <c r="I791" s="5"/>
      <c r="J791" s="5"/>
    </row>
    <row r="792" spans="1:10" x14ac:dyDescent="0.2">
      <c r="A792" s="59" t="str">
        <f ca="1">IFERROR(__xludf.DUMMYFUNCTION("TEXTJOIN(""|"",TRUE,UNIQUE(FILTER(SPLIT(B792,"" ""),LEN(SPLIT(B792,"" ""))&gt;2)))"),"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amp;"оте|ерекидные|карточки|соединены|пружиной|что|предотвращает|потерю|ветовая|маркировка|рдых|мягких|согласных|облегчает|восприятие|материала")</f>
        <v>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оте|ерекидные|карточки|соединены|пружиной|что|предотвращает|потерю|ветовая|маркировка|рдых|мягких|согласных|облегчает|восприятие|материала</v>
      </c>
      <c r="B792" s="59" t="str">
        <f ca="1">IFERROR(__xludf.DUMMYFUNCTION("LOWER(REGEXREPLACE(D792&amp;"" ""&amp;E792,""[^а-яa-z0-9 ]"","" ""))"),"ренаж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инд"&amp;"ивидуальной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f>
        <v xml:space="preserve">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v>
      </c>
      <c r="C792" s="61" t="s">
        <v>14500</v>
      </c>
      <c r="D792" s="56" t="s">
        <v>14501</v>
      </c>
      <c r="E792" s="56" t="s">
        <v>14502</v>
      </c>
      <c r="F792" s="57">
        <v>22800</v>
      </c>
      <c r="G792" s="58">
        <v>2</v>
      </c>
      <c r="I792" s="5"/>
      <c r="J792" s="5"/>
    </row>
    <row r="793" spans="1:10" x14ac:dyDescent="0.2">
      <c r="A793" s="59" t="str">
        <f ca="1">IFERROR(__xludf.DUMMYFUNCTION("TEXTJOIN(""|"",TRUE,UNIQUE(FILTER(SPLIT(B793,"" ""),LEN(SPLIT(B793,"" ""))&gt;2)))"),"остомер|механический|напольный|коном|спользуется|для|измерения|роста|детей|стойчивый|простой|эксплуатации|соответствует|требованиям")</f>
        <v>остомер|механический|напольный|коном|спользуется|для|измерения|роста|детей|стойчивый|простой|эксплуатации|соответствует|требованиям</v>
      </c>
      <c r="B793" s="59" t="str">
        <f ca="1">IFERROR(__xludf.DUMMYFUNCTION("LOWER(REGEXREPLACE(D793&amp;"" ""&amp;E793,""[^а-яa-z0-9 ]"","" ""))")," остомер механический напольный      коном   спользуется для измерения роста детей   стойчивый  простой в эксплуатации  соответствует требованиям     ")</f>
        <v xml:space="preserve"> остомер механический напольный      коном   спользуется для измерения роста детей   стойчивый  простой в эксплуатации  соответствует требованиям     </v>
      </c>
      <c r="C793" s="61" t="s">
        <v>14503</v>
      </c>
      <c r="D793" s="56" t="s">
        <v>14504</v>
      </c>
      <c r="E793" s="56" t="s">
        <v>14505</v>
      </c>
      <c r="F793" s="57">
        <v>97500</v>
      </c>
      <c r="G793" s="58">
        <v>1</v>
      </c>
      <c r="I793" s="5"/>
      <c r="J793" s="5"/>
    </row>
    <row r="794" spans="1:10" x14ac:dyDescent="0.2">
      <c r="A794" s="59" t="str">
        <f ca="1">IFERROR(__xludf.DUMMYFUNCTION("TEXTJOIN(""|"",TRUE,UNIQUE(FILTER(SPLIT(B794,"" ""),LEN(SPLIT(B794,"" ""))&gt;2)))"),"остомер|настенный|остомер|используется|для|измерения|роста|зготовлен|виде|наклеек|размещаемых|стене|ысота|шкалы|составляет|около|135|атериал|нка")</f>
        <v>остомер|настенный|остомер|используется|для|измерения|роста|зготовлен|виде|наклеек|размещаемых|стене|ысота|шкалы|составляет|около|135|атериал|нка</v>
      </c>
      <c r="B794" s="59" t="str">
        <f ca="1">IFERROR(__xludf.DUMMYFUNCTION("LOWER(REGEXREPLACE(D794&amp;"" ""&amp;E794,""[^а-яa-z0-9 ]"","" ""))"),"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f>
        <v xml:space="preserve">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v>
      </c>
      <c r="C794" s="61" t="s">
        <v>14506</v>
      </c>
      <c r="D794" s="56" t="s">
        <v>14507</v>
      </c>
      <c r="E794" s="56" t="s">
        <v>14508</v>
      </c>
      <c r="F794" s="57">
        <v>8000</v>
      </c>
      <c r="G794" s="58">
        <v>91</v>
      </c>
      <c r="I794" s="5"/>
      <c r="J794" s="5"/>
    </row>
    <row r="795" spans="1:10" x14ac:dyDescent="0.2">
      <c r="A795" s="59" t="str">
        <f ca="1">IFERROR(__xludf.DUMMYFUNCTION("TEXTJOIN(""|"",TRUE,UNIQUE(FILTER(SPLIT(B795,"" ""),LEN(SPLIT(B795,"" ""))&gt;2)))"),"укомойник|коленным|управлением|dke50x40|ержавеющая|сталь|430|араметры|500|400|310")</f>
        <v>укомойник|коленным|управлением|dke50x40|ержавеющая|сталь|430|араметры|500|400|310</v>
      </c>
      <c r="B795" s="59" t="str">
        <f ca="1">IFERROR(__xludf.DUMMYFUNCTION("LOWER(REGEXREPLACE(D795&amp;"" ""&amp;E795,""[^а-яa-z0-9 ]"","" ""))")," укомойник с коленным управлением ce dke50x40  ержавеющая сталь 430   араметры  500 400 310 mm")</f>
        <v xml:space="preserve"> укомойник с коленным управлением ce dke50x40  ержавеющая сталь 430   араметры  500 400 310 mm</v>
      </c>
      <c r="C795" s="61" t="s">
        <v>14509</v>
      </c>
      <c r="D795" s="56" t="s">
        <v>14510</v>
      </c>
      <c r="E795" s="56" t="s">
        <v>14511</v>
      </c>
      <c r="F795" s="57">
        <v>200600</v>
      </c>
      <c r="G795" s="58">
        <v>6</v>
      </c>
      <c r="I795" s="5"/>
      <c r="J795" s="5"/>
    </row>
    <row r="796" spans="1:10" x14ac:dyDescent="0.2">
      <c r="A796" s="59" t="str">
        <f ca="1">IFERROR(__xludf.DUMMYFUNCTION("TEXTJOIN(""|"",TRUE,UNIQUE(FILTER(SPLIT(B796,"" ""),LEN(SPLIT(B796,"" ""))&gt;2)))"),"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f>
        <v>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v>
      </c>
      <c r="B796" s="59" t="str">
        <f ca="1">IFERROR(__xludf.DUMMYFUNCTION("LOWER(REGEXREPLACE(D796&amp;"" ""&amp;E796,""[^а-яa-z0-9 ]"","" ""))"),"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f>
        <v xml:space="preserve">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v>
      </c>
      <c r="C796" s="61" t="s">
        <v>14512</v>
      </c>
      <c r="D796" s="56" t="s">
        <v>14513</v>
      </c>
      <c r="E796" s="56" t="s">
        <v>14514</v>
      </c>
      <c r="F796" s="57">
        <v>15200</v>
      </c>
      <c r="G796" s="58">
        <v>1</v>
      </c>
      <c r="I796" s="5"/>
      <c r="J796" s="5"/>
    </row>
    <row r="797" spans="1:10" x14ac:dyDescent="0.2">
      <c r="A797" s="59" t="str">
        <f ca="1">IFERROR(__xludf.DUMMYFUNCTION("TEXTJOIN(""|"",TRUE,UNIQUE(FILTER(SPLIT(B797,"" ""),LEN(SPLIT(B797,"" ""))&gt;2)))"),"алфетки|алфетки|влажные|сухие|предназначены|для|санитарно|гигиенических|нужд|ухода|поверхностями|соблюдения|чистоты|помещениях|дошкольного|учреждения")</f>
        <v>алфетки|алфетки|влажные|сухие|предназначены|для|санитарно|гигиенических|нужд|ухода|поверхностями|соблюдения|чистоты|помещениях|дошкольного|учреждения</v>
      </c>
      <c r="B797" s="59" t="str">
        <f ca="1">IFERROR(__xludf.DUMMYFUNCTION("LOWER(REGEXREPLACE(D797&amp;"" ""&amp;E797,""[^а-яa-z0-9 ]"","" ""))"),"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f>
        <v xml:space="preserve">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v>
      </c>
      <c r="C797" s="61" t="s">
        <v>14515</v>
      </c>
      <c r="D797" s="56" t="s">
        <v>14516</v>
      </c>
      <c r="E797" s="56" t="s">
        <v>14517</v>
      </c>
      <c r="F797" s="57">
        <v>3600</v>
      </c>
      <c r="G797" s="58">
        <v>10</v>
      </c>
      <c r="I797" s="5"/>
      <c r="J797" s="5"/>
    </row>
    <row r="798" spans="1:10" x14ac:dyDescent="0.2">
      <c r="A798" s="59" t="str">
        <f ca="1">IFERROR(__xludf.DUMMYFUNCTION("TEXTJOIN(""|"",TRUE,UNIQUE(FILTER(SPLIT(B798,"" ""),LEN(SPLIT(B798,"" ""))&gt;2)))"),"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amp;"т|менее|205|205|онструкция|рассчитана|эксплуатацию|помещениях")</f>
        <v>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т|менее|205|205|онструкция|рассчитана|эксплуатацию|помещениях</v>
      </c>
      <c r="B798" s="59" t="str">
        <f ca="1">IFERROR(__xludf.DUMMYFUNCTION("LOWER(REGEXREPLACE(D798&amp;"" ""&amp;E798,""[^а-яa-z0-9 ]"","" ""))"),"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с"&amp;"оставляют не менее 205 205 50 мм   онструкция рассчитана на эксплуатацию в помещениях ")</f>
        <v xml:space="preserve">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составляют не менее 205 205 50 мм   онструкция рассчитана на эксплуатацию в помещениях </v>
      </c>
      <c r="C798" s="61" t="s">
        <v>14518</v>
      </c>
      <c r="D798" s="56" t="s">
        <v>14519</v>
      </c>
      <c r="E798" s="56" t="s">
        <v>14520</v>
      </c>
      <c r="F798" s="57">
        <v>123500</v>
      </c>
      <c r="G798" s="58">
        <v>5</v>
      </c>
      <c r="I798" s="5"/>
      <c r="J798" s="5"/>
    </row>
    <row r="799" spans="1:10" x14ac:dyDescent="0.2">
      <c r="A799" s="59" t="str">
        <f ca="1">IFERROR(__xludf.DUMMYFUNCTION("TEXTJOIN(""|"",TRUE,UNIQUE(FILTER(SPLIT(B799,"" ""),LEN(SPLIT(B799,"" ""))&gt;2)))"),"сауалды|жауабы|нциклопедиясы|под|ред|ренсис|ьюстон|перевод|арипова")</f>
        <v>сауалды|жауабы|нциклопедиясы|под|ред|ренсис|ьюстон|перевод|арипова</v>
      </c>
      <c r="B799" s="59" t="str">
        <f ca="1">IFERROR(__xludf.DUMMYFUNCTION("LOWER(REGEXREPLACE(D799&amp;"" ""&amp;E799,""[^а-яa-z0-9 ]"","" ""))")," ан сауалды  жауабы   нциклопедиясы под ред      ренсис      ьюстон  перевод  арипова    ")</f>
        <v xml:space="preserve"> ан сауалды  жауабы   нциклопедиясы под ред      ренсис      ьюстон  перевод  арипова    </v>
      </c>
      <c r="C799" s="61" t="s">
        <v>14521</v>
      </c>
      <c r="D799" s="56" t="s">
        <v>14522</v>
      </c>
      <c r="E799" s="56" t="s">
        <v>14523</v>
      </c>
      <c r="F799" s="57">
        <v>24900</v>
      </c>
      <c r="G799" s="58">
        <v>1</v>
      </c>
      <c r="I799" s="5"/>
      <c r="J799" s="5"/>
    </row>
    <row r="800" spans="1:10" x14ac:dyDescent="0.2">
      <c r="A800" s="59" t="str">
        <f ca="1">IFERROR(__xludf.DUMMYFUNCTION("TEXTJOIN(""|"",TRUE,UNIQUE(FILTER(SPLIT(B800,"" ""),LEN(SPLIT(B800,"" ""))&gt;2)))"),"аят|азахская|традиционная|охота|рус|англ|инаят")</f>
        <v>аят|азахская|традиционная|охота|рус|англ|инаят</v>
      </c>
      <c r="B800" s="59" t="str">
        <f ca="1">IFERROR(__xludf.DUMMYFUNCTION("LOWER(REGEXREPLACE(D800&amp;"" ""&amp;E800,""[^а-яa-z0-9 ]"","" ""))")," аят   азахская традиционная охота   рус   англ    инаят   ")</f>
        <v xml:space="preserve"> аят   азахская традиционная охота   рус   англ    инаят   </v>
      </c>
      <c r="C800" s="61" t="s">
        <v>14524</v>
      </c>
      <c r="D800" s="56" t="s">
        <v>14525</v>
      </c>
      <c r="E800" s="56" t="s">
        <v>13387</v>
      </c>
      <c r="F800" s="57">
        <v>20000</v>
      </c>
      <c r="G800" s="58">
        <v>1</v>
      </c>
      <c r="I800" s="5"/>
      <c r="J800" s="5"/>
    </row>
    <row r="801" spans="1:10" x14ac:dyDescent="0.2">
      <c r="A801" s="59" t="str">
        <f ca="1">IFERROR(__xludf.DUMMYFUNCTION("TEXTJOIN(""|"",TRUE,UNIQUE(FILTER(SPLIT(B801,"" ""),LEN(SPLIT(B801,"" ""))&gt;2)))"),"аятшылы|аза|стурл|аншылы|каз|англ|инаят")</f>
        <v>аятшылы|аза|стурл|аншылы|каз|англ|инаят</v>
      </c>
      <c r="B801" s="59" t="str">
        <f ca="1">IFERROR(__xludf.DUMMYFUNCTION("LOWER(REGEXREPLACE(D801&amp;"" ""&amp;E801,""[^а-яa-z0-9 ]"","" ""))")," аятшылы    аза ты  д стурл  аншылы ы  каз   англ    инаят   ")</f>
        <v xml:space="preserve"> аятшылы    аза ты  д стурл  аншылы ы  каз   англ    инаят   </v>
      </c>
      <c r="C801" s="61" t="s">
        <v>14526</v>
      </c>
      <c r="D801" s="56" t="s">
        <v>14527</v>
      </c>
      <c r="E801" s="56" t="s">
        <v>13387</v>
      </c>
      <c r="F801" s="57">
        <v>20000</v>
      </c>
      <c r="G801" s="58">
        <v>1</v>
      </c>
      <c r="I801" s="5"/>
      <c r="J801" s="5"/>
    </row>
    <row r="802" spans="1:10" x14ac:dyDescent="0.2">
      <c r="A802" s="59" t="str">
        <f ca="1">IFERROR(__xludf.DUMMYFUNCTION("TEXTJOIN(""|"",TRUE,UNIQUE(FILTER(SPLIT(B802,"" ""),LEN(SPLIT(B802,"" ""))&gt;2)))"),"улетш|гра|улетш|включает|себя|200|палочки|инструкцию")</f>
        <v>улетш|гра|улетш|включает|себя|200|палочки|инструкцию</v>
      </c>
      <c r="B802" s="59" t="str">
        <f ca="1">IFERROR(__xludf.DUMMYFUNCTION("LOWER(REGEXREPLACE(D802&amp;"" ""&amp;E802,""[^а-яa-z0-9 ]"","" ""))"),"  улетш    гра    улетш   включает в себя 200 шт палочки  инструкцию")</f>
        <v xml:space="preserve">  улетш    гра    улетш   включает в себя 200 шт палочки  инструкцию</v>
      </c>
      <c r="C802" s="61" t="s">
        <v>14528</v>
      </c>
      <c r="D802" s="56" t="s">
        <v>14529</v>
      </c>
      <c r="E802" s="56" t="s">
        <v>14530</v>
      </c>
      <c r="F802" s="57">
        <v>34700</v>
      </c>
      <c r="G802" s="58">
        <v>5</v>
      </c>
      <c r="I802" s="5"/>
      <c r="J802" s="5"/>
    </row>
    <row r="803" spans="1:10" x14ac:dyDescent="0.2">
      <c r="A803" s="59" t="str">
        <f ca="1">IFERROR(__xludf.DUMMYFUNCTION("TEXTJOIN(""|"",TRUE,UNIQUE(FILTER(SPLIT(B803,"" ""),LEN(SPLIT(B803,"" ""))&gt;2)))"),"борник|стихов|110|летию|поэта|ажибаев|ухани|ыру|ажибаев")</f>
        <v>борник|стихов|110|летию|поэта|ажибаев|ухани|ыру|ажибаев</v>
      </c>
      <c r="B803" s="59" t="str">
        <f ca="1">IFERROR(__xludf.DUMMYFUNCTION("LOWER(REGEXREPLACE(D803&amp;"" ""&amp;E803,""[^а-яa-z0-9 ]"","" ""))")," борник стихов к 110 летию поэта   ажибаев      ухани жа  ыру   ажибаев   ")</f>
        <v xml:space="preserve"> борник стихов к 110 летию поэта   ажибаев      ухани жа  ыру   ажибаев   </v>
      </c>
      <c r="C803" s="61" t="s">
        <v>14531</v>
      </c>
      <c r="D803" s="56" t="s">
        <v>14532</v>
      </c>
      <c r="E803" s="56" t="s">
        <v>14533</v>
      </c>
      <c r="F803" s="57">
        <v>5200</v>
      </c>
      <c r="G803" s="58">
        <v>1</v>
      </c>
      <c r="I803" s="5"/>
      <c r="J803" s="5"/>
    </row>
    <row r="804" spans="1:10" x14ac:dyDescent="0.2">
      <c r="A804" s="59" t="str">
        <f ca="1">IFERROR(__xludf.DUMMYFUNCTION("TEXTJOIN(""|"",TRUE,UNIQUE(FILTER(SPLIT(B804,"" ""),LEN(SPLIT(B804,"" ""))&gt;2)))"),"ветлые|дни|омышулы|хметова")</f>
        <v>ветлые|дни|омышулы|хметова</v>
      </c>
      <c r="B804" s="59" t="str">
        <f ca="1">IFERROR(__xludf.DUMMYFUNCTION("LOWER(REGEXREPLACE(D804&amp;"" ""&amp;E804,""[^а-яa-z0-9 ]"","" ""))")," ветлые дни  о    омышулы   хметова   ")</f>
        <v xml:space="preserve"> ветлые дни  о    омышулы   хметова   </v>
      </c>
      <c r="C804" s="61" t="s">
        <v>14534</v>
      </c>
      <c r="D804" s="56" t="s">
        <v>14535</v>
      </c>
      <c r="E804" s="56" t="s">
        <v>14536</v>
      </c>
      <c r="F804" s="57">
        <v>8000</v>
      </c>
      <c r="G804" s="58">
        <v>1</v>
      </c>
      <c r="I804" s="5"/>
      <c r="J804" s="5"/>
    </row>
    <row r="805" spans="1:10" x14ac:dyDescent="0.2">
      <c r="A805" s="59" t="str">
        <f ca="1">IFERROR(__xludf.DUMMYFUNCTION("TEXTJOIN(""|"",TRUE,UNIQUE(FILTER(SPLIT(B805,"" ""),LEN(SPLIT(B805,"" ""))&gt;2)))"),"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B805" s="59" t="str">
        <f ca="1">IFERROR(__xludf.DUMMYFUNCTION("LOWER(REGEXREPLACE(D805&amp;"" ""&amp;E805,""[^а-яa-z0-9 ]"","" ""))"),"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xml:space="preserve">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C805" s="61" t="s">
        <v>14537</v>
      </c>
      <c r="D805" s="56" t="s">
        <v>14538</v>
      </c>
      <c r="E805" s="56" t="s">
        <v>14539</v>
      </c>
      <c r="F805" s="57">
        <v>2900</v>
      </c>
      <c r="G805" s="58">
        <v>60</v>
      </c>
      <c r="I805" s="5"/>
      <c r="J805" s="5"/>
    </row>
    <row r="806" spans="1:10" x14ac:dyDescent="0.2">
      <c r="A806" s="59" t="str">
        <f ca="1">IFERROR(__xludf.DUMMYFUNCTION("TEXTJOIN(""|"",TRUE,UNIQUE(FILTER(SPLIT(B806,"" ""),LEN(SPLIT(B806,"" ""))&gt;2)))"),"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f>
        <v>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v>
      </c>
      <c r="B806" s="59" t="str">
        <f ca="1">IFERROR(__xludf.DUMMYFUNCTION("LOWER(REGEXREPLACE(D806&amp;"" ""&amp;E806,""[^а-яa-z0-9 ]"","" ""))"),"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f>
        <v xml:space="preserve">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v>
      </c>
      <c r="C806" s="61" t="s">
        <v>14540</v>
      </c>
      <c r="D806" s="56" t="s">
        <v>14541</v>
      </c>
      <c r="E806" s="56" t="s">
        <v>14539</v>
      </c>
      <c r="F806" s="57">
        <v>2900</v>
      </c>
      <c r="G806" s="58">
        <v>65</v>
      </c>
      <c r="I806" s="5"/>
      <c r="J806" s="5"/>
    </row>
    <row r="807" spans="1:10" x14ac:dyDescent="0.2">
      <c r="A807" s="59" t="str">
        <f ca="1">IFERROR(__xludf.DUMMYFUNCTION("TEXTJOIN(""|"",TRUE,UNIQUE(FILTER(SPLIT(B807,"" ""),LEN(SPLIT(B807,"" ""))&gt;2)))"),"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f>
        <v>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v>
      </c>
      <c r="B807" s="59" t="str">
        <f ca="1">IFERROR(__xludf.DUMMYFUNCTION("LOWER(REGEXREPLACE(D807&amp;"" ""&amp;E807,""[^а-яa-z0-9 ]"","" ""))"),"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f>
        <v xml:space="preserve">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v>
      </c>
      <c r="C807" s="61" t="s">
        <v>14542</v>
      </c>
      <c r="D807" s="56" t="s">
        <v>14543</v>
      </c>
      <c r="E807" s="56" t="s">
        <v>14544</v>
      </c>
      <c r="F807" s="57">
        <v>1600</v>
      </c>
      <c r="G807" s="58">
        <v>4</v>
      </c>
      <c r="I807" s="5"/>
      <c r="J807" s="5"/>
    </row>
    <row r="808" spans="1:10" x14ac:dyDescent="0.2">
      <c r="A808" s="59" t="str">
        <f ca="1">IFERROR(__xludf.DUMMYFUNCTION("TEXTJOIN(""|"",TRUE,UNIQUE(FILTER(SPLIT(B808,"" ""),LEN(SPLIT(B808,"" ""))&gt;2)))"),"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f>
        <v>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v>
      </c>
      <c r="B808" s="59" t="str">
        <f ca="1">IFERROR(__xludf.DUMMYFUNCTION("LOWER(REGEXREPLACE(D808&amp;"" ""&amp;E808,""[^а-яa-z0-9 ]"","" ""))"),"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1"&amp;"00 кг ")</f>
        <v xml:space="preserve">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100 кг </v>
      </c>
      <c r="C808" s="61" t="s">
        <v>14545</v>
      </c>
      <c r="D808" s="56" t="s">
        <v>14546</v>
      </c>
      <c r="E808" s="56" t="s">
        <v>14547</v>
      </c>
      <c r="F808" s="57">
        <v>67200</v>
      </c>
      <c r="G808" s="58">
        <v>1</v>
      </c>
      <c r="I808" s="5"/>
      <c r="J808" s="5"/>
    </row>
    <row r="809" spans="1:10" x14ac:dyDescent="0.2">
      <c r="A809" s="59" t="str">
        <f ca="1">IFERROR(__xludf.DUMMYFUNCTION("TEXTJOIN(""|"",TRUE,UNIQUE(FILTER(SPLIT(B809,"" ""),LEN(SPLIT(B809,"" ""))&gt;2)))"),"ейф|несгораемый|есгораемый|сейф|предназначен|для|хранения|важных|документов|ценностей|беспечивает|защиту|содержимого|огня|механических|воздействий")</f>
        <v>ейф|несгораемый|есгораемый|сейф|предназначен|для|хранения|важных|документов|ценностей|беспечивает|защиту|содержимого|огня|механических|воздействий</v>
      </c>
      <c r="B809" s="59" t="str">
        <f ca="1">IFERROR(__xludf.DUMMYFUNCTION("LOWER(REGEXREPLACE(D809&amp;"" ""&amp;E809,""[^а-яa-z0-9 ]"","" ""))"),"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f>
        <v xml:space="preserve">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v>
      </c>
      <c r="C809" s="61" t="s">
        <v>14548</v>
      </c>
      <c r="D809" s="56" t="s">
        <v>9905</v>
      </c>
      <c r="E809" s="56" t="s">
        <v>14549</v>
      </c>
      <c r="F809" s="57">
        <v>540000</v>
      </c>
      <c r="G809" s="58">
        <v>1</v>
      </c>
      <c r="I809" s="5"/>
      <c r="J809" s="5"/>
    </row>
    <row r="810" spans="1:10" x14ac:dyDescent="0.2">
      <c r="A810" s="59" t="str">
        <f ca="1">IFERROR(__xludf.DUMMYFUNCTION("TEXTJOIN(""|"",TRUE,UNIQUE(FILTER(SPLIT(B810,"" ""),LEN(SPLIT(B810,"" ""))&gt;2)))"),"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f>
        <v>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v>
      </c>
      <c r="B810" s="59" t="str">
        <f ca="1">IFERROR(__xludf.DUMMYFUNCTION("LOWER(REGEXREPLACE(D810&amp;"" ""&amp;E810,""[^а-яa-z0-9 ]"","" ""))"),"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f>
        <v xml:space="preserve">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v>
      </c>
      <c r="C810" s="61" t="s">
        <v>14550</v>
      </c>
      <c r="D810" s="56" t="s">
        <v>14551</v>
      </c>
      <c r="E810" s="56" t="s">
        <v>14552</v>
      </c>
      <c r="F810" s="57">
        <v>10500</v>
      </c>
      <c r="G810" s="58">
        <v>1</v>
      </c>
      <c r="I810" s="5"/>
      <c r="J810" s="5"/>
    </row>
    <row r="811" spans="1:10" x14ac:dyDescent="0.2">
      <c r="A811" s="59" t="str">
        <f ca="1">IFERROR(__xludf.DUMMYFUNCTION("TEXTJOIN(""|"",TRUE,UNIQUE(FILTER(SPLIT(B811,"" ""),LEN(SPLIT(B811,"" ""))&gt;2)))"),"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amp;"ю|онструкция|выполнена|дерева|рассчитана|совместную|деятельность")</f>
        <v>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ю|онструкция|выполнена|дерева|рассчитана|совместную|деятельность</v>
      </c>
      <c r="B811" s="59" t="str">
        <f ca="1">IFERROR(__xludf.DUMMYFUNCTION("LOWER(REGEXREPLACE(D811&amp;"" ""&amp;E811,""[^а-яa-z0-9 ]"","" ""))"),"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сортир"&amp;"овке и выкладыванию   онструкция выполнена из дерева и рассчитана на совместную деятельность ")</f>
        <v xml:space="preserve">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сортировке и выкладыванию   онструкция выполнена из дерева и рассчитана на совместную деятельность </v>
      </c>
      <c r="C811" s="61" t="s">
        <v>14553</v>
      </c>
      <c r="D811" s="56" t="s">
        <v>14554</v>
      </c>
      <c r="E811" s="56" t="s">
        <v>14555</v>
      </c>
      <c r="F811" s="57">
        <v>28400</v>
      </c>
      <c r="G811" s="58">
        <v>7</v>
      </c>
      <c r="I811" s="5"/>
      <c r="J811" s="5"/>
    </row>
    <row r="812" spans="1:10" x14ac:dyDescent="0.2">
      <c r="A812" s="59" t="str">
        <f ca="1">IFERROR(__xludf.DUMMYFUNCTION("TEXTJOIN(""|"",TRUE,UNIQUE(FILTER(SPLIT(B812,"" ""),LEN(SPLIT(B812,"" ""))&gt;2)))"),"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f>
        <v>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v>
      </c>
      <c r="B812" s="59" t="str">
        <f ca="1">IFERROR(__xludf.DUMMYFUNCTION("LOWER(REGEXREPLACE(D812&amp;"" ""&amp;E812,""[^а-яa-z0-9 ]"","" ""))"),"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f>
        <v xml:space="preserve">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v>
      </c>
      <c r="C812" s="61" t="s">
        <v>14556</v>
      </c>
      <c r="D812" s="56" t="s">
        <v>14557</v>
      </c>
      <c r="E812" s="56" t="s">
        <v>14558</v>
      </c>
      <c r="F812" s="57">
        <v>256900</v>
      </c>
      <c r="G812" s="58">
        <v>1</v>
      </c>
      <c r="I812" s="5"/>
      <c r="J812" s="5"/>
    </row>
    <row r="813" spans="1:10" x14ac:dyDescent="0.2">
      <c r="A813" s="59" t="str">
        <f ca="1">IFERROR(__xludf.DUMMYFUNCTION("TEXTJOIN(""|"",TRUE,UNIQUE(FILTER(SPLIT(B813,"" ""),LEN(SPLIT(B813,"" ""))&gt;2)))"),"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f>
        <v>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v>
      </c>
      <c r="B813" s="59" t="str">
        <f ca="1">IFERROR(__xludf.DUMMYFUNCTION("LOWER(REGEXREPLACE(D813&amp;"" ""&amp;E813,""[^а-яa-z0-9 ]"","" ""))"),"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f>
        <v xml:space="preserve">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v>
      </c>
      <c r="C813" s="61" t="s">
        <v>14559</v>
      </c>
      <c r="D813" s="56" t="s">
        <v>14560</v>
      </c>
      <c r="E813" s="56" t="s">
        <v>14561</v>
      </c>
      <c r="F813" s="57">
        <v>12400</v>
      </c>
      <c r="G813" s="58">
        <v>1</v>
      </c>
      <c r="I813" s="5"/>
      <c r="J813" s="5"/>
    </row>
    <row r="814" spans="1:10" x14ac:dyDescent="0.2">
      <c r="A814" s="59" t="str">
        <f ca="1">IFERROR(__xludf.DUMMYFUNCTION("TEXTJOIN(""|"",TRUE,UNIQUE(FILTER(SPLIT(B814,"" ""),LEN(SPLIT(B814,"" ""))&gt;2)))"),"ерия|ектеп|кiтапханасы|кольная|библиотека")</f>
        <v>ерия|ектеп|кiтапханасы|кольная|библиотека</v>
      </c>
      <c r="B814" s="59" t="str">
        <f ca="1">IFERROR(__xludf.DUMMYFUNCTION("LOWER(REGEXREPLACE(D814&amp;"" ""&amp;E814,""[^а-яa-z0-9 ]"","" ""))")," ерия   ектеп кiтапханасы      кольная библиотека  ")</f>
        <v xml:space="preserve"> ерия   ектеп кiтапханасы      кольная библиотека  </v>
      </c>
      <c r="C814" s="61" t="s">
        <v>14562</v>
      </c>
      <c r="D814" s="56" t="s">
        <v>14563</v>
      </c>
      <c r="E814" s="56"/>
      <c r="F814" s="57">
        <v>16300</v>
      </c>
      <c r="G814" s="58">
        <v>1</v>
      </c>
      <c r="I814" s="5"/>
      <c r="J814" s="5"/>
    </row>
    <row r="815" spans="1:10" x14ac:dyDescent="0.2">
      <c r="A815" s="59" t="str">
        <f ca="1">IFERROR(__xludf.DUMMYFUNCTION("TEXTJOIN(""|"",TRUE,UNIQUE(FILTER(SPLIT(B815,"" ""),LEN(SPLIT(B815,"" ""))&gt;2)))"),"ырлы|математика|атематика|барлы|саласында|олл")</f>
        <v>ырлы|математика|атематика|барлы|саласында|олл</v>
      </c>
      <c r="B815" s="59" t="str">
        <f ca="1">IFERROR(__xludf.DUMMYFUNCTION("LOWER(REGEXREPLACE(D815&amp;"" ""&amp;E815,""[^а-яa-z0-9 ]"","" ""))")," и ырлы математика   атематика  м рд   барлы  саласында  олл  ж ")</f>
        <v xml:space="preserve"> и ырлы математика   атематика  м рд   барлы  саласында  олл  ж </v>
      </c>
      <c r="C815" s="61" t="s">
        <v>14564</v>
      </c>
      <c r="D815" s="56" t="s">
        <v>14565</v>
      </c>
      <c r="E815" s="56" t="s">
        <v>14566</v>
      </c>
      <c r="F815" s="57">
        <v>8000</v>
      </c>
      <c r="G815" s="58">
        <v>1</v>
      </c>
      <c r="I815" s="5"/>
      <c r="J815" s="5"/>
    </row>
    <row r="816" spans="1:10" x14ac:dyDescent="0.2">
      <c r="A816" s="59" t="str">
        <f ca="1">IFERROR(__xludf.DUMMYFUNCTION("TEXTJOIN(""|"",TRUE,UNIQUE(FILTER(SPLIT(B816,"" ""),LEN(SPLIT(B816,"" ""))&gt;2)))"),"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f>
        <v>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v>
      </c>
      <c r="B816" s="59" t="str">
        <f ca="1">IFERROR(__xludf.DUMMYFUNCTION("LOWER(REGEXREPLACE(D816&amp;"" ""&amp;E816,""[^а-яa-z0-9 ]"","" ""))"),"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f>
        <v xml:space="preserve">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v>
      </c>
      <c r="C816" s="61" t="s">
        <v>14567</v>
      </c>
      <c r="D816" s="56" t="s">
        <v>14568</v>
      </c>
      <c r="E816" s="56" t="s">
        <v>14569</v>
      </c>
      <c r="F816" s="57">
        <v>4000</v>
      </c>
      <c r="G816" s="58">
        <v>20</v>
      </c>
      <c r="I816" s="5"/>
      <c r="J816" s="5"/>
    </row>
    <row r="817" spans="1:10" x14ac:dyDescent="0.2">
      <c r="A817" s="59" t="str">
        <f ca="1">IFERROR(__xludf.DUMMYFUNCTION("TEXTJOIN(""|"",TRUE,UNIQUE(FILTER(SPLIT(B817,"" ""),LEN(SPLIT(B817,"" ""))&gt;2)))"),"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f>
        <v>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v>
      </c>
      <c r="B817" s="59" t="str">
        <f ca="1">IFERROR(__xludf.DUMMYFUNCTION("LOWER(REGEXREPLACE(D817&amp;"" ""&amp;E817,""[^а-яa-z0-9 ]"","" ""))"),"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f>
        <v xml:space="preserve">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v>
      </c>
      <c r="C817" s="61" t="s">
        <v>14570</v>
      </c>
      <c r="D817" s="56" t="s">
        <v>14571</v>
      </c>
      <c r="E817" s="56" t="s">
        <v>14572</v>
      </c>
      <c r="F817" s="57">
        <v>3000</v>
      </c>
      <c r="G817" s="58">
        <v>25</v>
      </c>
      <c r="I817" s="5"/>
      <c r="J817" s="5"/>
    </row>
    <row r="818" spans="1:10" x14ac:dyDescent="0.2">
      <c r="A818" s="59" t="str">
        <f ca="1">IFERROR(__xludf.DUMMYFUNCTION("TEXTJOIN(""|"",TRUE,UNIQUE(FILTER(SPLIT(B818,"" ""),LEN(SPLIT(B818,"" ""))&gt;2)))"),"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f>
        <v>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v>
      </c>
      <c r="B818" s="59" t="str">
        <f ca="1">IFERROR(__xludf.DUMMYFUNCTION("LOWER(REGEXREPLACE(D818&amp;"" ""&amp;E818,""[^а-яa-z0-9 ]"","" ""))"),"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f>
        <v xml:space="preserve">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v>
      </c>
      <c r="C818" s="61" t="s">
        <v>14573</v>
      </c>
      <c r="D818" s="56" t="s">
        <v>14574</v>
      </c>
      <c r="E818" s="56" t="s">
        <v>14575</v>
      </c>
      <c r="F818" s="57">
        <v>4400</v>
      </c>
      <c r="G818" s="58">
        <v>10</v>
      </c>
      <c r="I818" s="5"/>
      <c r="J818" s="5"/>
    </row>
    <row r="819" spans="1:10" x14ac:dyDescent="0.2">
      <c r="A819" s="59" t="str">
        <f ca="1">IFERROR(__xludf.DUMMYFUNCTION("TEXTJOIN(""|"",TRUE,UNIQUE(FILTER(SPLIT(B819,"" ""),LEN(SPLIT(B819,"" ""))&gt;2)))"),"катерть|стол|катерть|предназначена|для|защиты|поверхности|стола|оформления|пространства|зготовлена|износостойкого|материала|легко|очищается")</f>
        <v>катерть|стол|катерть|предназначена|для|защиты|поверхности|стола|оформления|пространства|зготовлена|износостойкого|материала|легко|очищается</v>
      </c>
      <c r="B819" s="59" t="str">
        <f ca="1">IFERROR(__xludf.DUMMYFUNCTION("LOWER(REGEXREPLACE(D819&amp;"" ""&amp;E819,""[^а-яa-z0-9 ]"","" ""))")," катерть на стол  катерть предназначена для защиты поверхности стола и оформления пространства   зготовлена из износостойкого материала  легко очищается ")</f>
        <v xml:space="preserve"> катерть на стол  катерть предназначена для защиты поверхности стола и оформления пространства   зготовлена из износостойкого материала  легко очищается </v>
      </c>
      <c r="C819" s="61" t="s">
        <v>14576</v>
      </c>
      <c r="D819" s="56" t="s">
        <v>14577</v>
      </c>
      <c r="E819" s="56" t="s">
        <v>14578</v>
      </c>
      <c r="F819" s="57">
        <v>13600</v>
      </c>
      <c r="G819" s="58">
        <v>5</v>
      </c>
      <c r="I819" s="5"/>
      <c r="J819" s="5"/>
    </row>
    <row r="820" spans="1:10" x14ac:dyDescent="0.2">
      <c r="A820" s="59" t="str">
        <f ca="1">IFERROR(__xludf.DUMMYFUNCTION("TEXTJOIN(""|"",TRUE,UNIQUE(FILTER(SPLIT(B820,"" ""),LEN(SPLIT(B820,"" ""))&gt;2)))"),"кейтборд|пенниборд|кейтборд|предназначен|для|активного|отдыха|развития|координации|движений|спользуется|под|контролем|взрослых|специально|отвед|нных|зонах")</f>
        <v>кейтборд|пенниборд|кейтборд|предназначен|для|активного|отдыха|развития|координации|движений|спользуется|под|контролем|взрослых|специально|отвед|нных|зонах</v>
      </c>
      <c r="B820" s="59" t="str">
        <f ca="1">IFERROR(__xludf.DUMMYFUNCTION("LOWER(REGEXREPLACE(D820&amp;"" ""&amp;E820,""[^а-яa-z0-9 ]"","" ""))"),"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f>
        <v xml:space="preserve">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v>
      </c>
      <c r="C820" s="61" t="s">
        <v>14579</v>
      </c>
      <c r="D820" s="56" t="s">
        <v>14580</v>
      </c>
      <c r="E820" s="56" t="s">
        <v>14581</v>
      </c>
      <c r="F820" s="57">
        <v>15400</v>
      </c>
      <c r="G820" s="58">
        <v>2</v>
      </c>
      <c r="I820" s="5"/>
      <c r="J820" s="5"/>
    </row>
    <row r="821" spans="1:10" x14ac:dyDescent="0.2">
      <c r="A821" s="59" t="str">
        <f ca="1">IFERROR(__xludf.DUMMYFUNCTION("TEXTJOIN(""|"",TRUE,UNIQUE(FILTER(SPLIT(B821,"" ""),LEN(SPLIT(B821,"" ""))&gt;2)))"),"коро|школу|лубаев")</f>
        <v>коро|школу|лубаев</v>
      </c>
      <c r="B821" s="59" t="str">
        <f ca="1">IFERROR(__xludf.DUMMYFUNCTION("LOWER(REGEXREPLACE(D821&amp;"" ""&amp;E821,""[^а-яa-z0-9 ]"","" ""))")," коро в школу  лубаев   ")</f>
        <v xml:space="preserve"> коро в школу  лубаев   </v>
      </c>
      <c r="C821" s="61" t="s">
        <v>14582</v>
      </c>
      <c r="D821" s="56" t="s">
        <v>14583</v>
      </c>
      <c r="E821" s="56" t="s">
        <v>14584</v>
      </c>
      <c r="F821" s="57">
        <v>2000</v>
      </c>
      <c r="G821" s="58">
        <v>1</v>
      </c>
      <c r="I821" s="5"/>
      <c r="J821" s="5"/>
    </row>
    <row r="822" spans="1:10" x14ac:dyDescent="0.2">
      <c r="A822" s="59" t="str">
        <f ca="1">IFERROR(__xludf.DUMMYFUNCTION("TEXTJOIN(""|"",TRUE,UNIQUE(FILTER(SPLIT(B822,"" ""),LEN(SPLIT(B822,"" ""))&gt;2)))"),"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f>
        <v>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v>
      </c>
      <c r="B822" s="59" t="str">
        <f ca="1">IFERROR(__xludf.DUMMYFUNCTION("LOWER(REGEXREPLACE(D822&amp;"" ""&amp;E822,""[^а-яa-z0-9 ]"","" ""))"),"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f>
        <v xml:space="preserve">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v>
      </c>
      <c r="C822" s="61" t="s">
        <v>14585</v>
      </c>
      <c r="D822" s="56" t="s">
        <v>14586</v>
      </c>
      <c r="E822" s="56" t="s">
        <v>14587</v>
      </c>
      <c r="F822" s="57">
        <v>15000</v>
      </c>
      <c r="G822" s="58">
        <v>7</v>
      </c>
      <c r="I822" s="5"/>
      <c r="J822" s="5"/>
    </row>
    <row r="823" spans="1:10" x14ac:dyDescent="0.2">
      <c r="A823" s="59" t="str">
        <f ca="1">IFERROR(__xludf.DUMMYFUNCTION("TEXTJOIN(""|"",TRUE,UNIQUE(FILTER(SPLIT(B823,"" ""),LEN(SPLIT(B823,"" ""))&gt;2)))"),"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f>
        <v>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v>
      </c>
      <c r="B823" s="59" t="str">
        <f ca="1">IFERROR(__xludf.DUMMYFUNCTION("LOWER(REGEXREPLACE(D823&amp;"" ""&amp;E823,""[^а-яa-z0-9 ]"","" ""))"),"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моделиро"&amp;"ванию и развитию мелкой моторики ")</f>
        <v xml:space="preserve">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моделированию и развитию мелкой моторики </v>
      </c>
      <c r="C823" s="61" t="s">
        <v>14588</v>
      </c>
      <c r="D823" s="56" t="s">
        <v>14589</v>
      </c>
      <c r="E823" s="56" t="s">
        <v>14590</v>
      </c>
      <c r="F823" s="57">
        <v>65600</v>
      </c>
      <c r="G823" s="58">
        <v>10</v>
      </c>
      <c r="I823" s="5"/>
      <c r="J823" s="5"/>
    </row>
    <row r="824" spans="1:10" x14ac:dyDescent="0.2">
      <c r="A824" s="59" t="str">
        <f ca="1">IFERROR(__xludf.DUMMYFUNCTION("TEXTJOIN(""|"",TRUE,UNIQUE(FILTER(SPLIT(B824,"" ""),LEN(SPLIT(B824,"" ""))&gt;2)))"),"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v>
      </c>
      <c r="B824" s="59" t="str">
        <f ca="1">IFERROR(__xludf.DUMMYFUNCTION("LOWER(REGEXREPLACE(D824&amp;"" ""&amp;E824,""[^а-яa-z0-9 ]"","" ""))"),"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f>
        <v xml:space="preserve">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C824" s="61" t="s">
        <v>14591</v>
      </c>
      <c r="D824" s="56" t="s">
        <v>14592</v>
      </c>
      <c r="E824" s="56" t="s">
        <v>14593</v>
      </c>
      <c r="F824" s="57">
        <v>200</v>
      </c>
      <c r="G824" s="58">
        <v>2000</v>
      </c>
      <c r="I824" s="5"/>
      <c r="J824" s="5"/>
    </row>
    <row r="825" spans="1:10" x14ac:dyDescent="0.2">
      <c r="A825" s="59" t="str">
        <f ca="1">IFERROR(__xludf.DUMMYFUNCTION("TEXTJOIN(""|"",TRUE,UNIQUE(FILTER(SPLIT(B825,"" ""),LEN(SPLIT(B825,"" ""))&gt;2)))"),"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f>
        <v>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v>
      </c>
      <c r="B825" s="59" t="str">
        <f ca="1">IFERROR(__xludf.DUMMYFUNCTION("LOWER(REGEXREPLACE(D825&amp;"" ""&amp;E825,""[^а-яa-z0-9 ]"","" ""))"),"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f>
        <v xml:space="preserve">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v>
      </c>
      <c r="C825" s="61" t="s">
        <v>14594</v>
      </c>
      <c r="D825" s="56" t="s">
        <v>14595</v>
      </c>
      <c r="E825" s="56" t="s">
        <v>14593</v>
      </c>
      <c r="F825" s="57">
        <v>200</v>
      </c>
      <c r="G825" s="58">
        <v>2000</v>
      </c>
      <c r="I825" s="5"/>
      <c r="J825" s="5"/>
    </row>
    <row r="826" spans="1:10" x14ac:dyDescent="0.2">
      <c r="A826" s="59" t="str">
        <f ca="1">IFERROR(__xludf.DUMMYFUNCTION("TEXTJOIN(""|"",TRUE,UNIQUE(FILTER(SPLIT(B826,"" ""),LEN(SPLIT(B826,"" ""))&gt;2)))"),"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amp;"нструкцией")</f>
        <v>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нструкцией</v>
      </c>
      <c r="B826" s="59" t="str">
        <f ca="1">IFERROR(__xludf.DUMMYFUNCTION("LOWER(REGEXREPLACE(D826&amp;"" ""&amp;E826,""[^а-яa-z0-9 ]"","" ""))"),"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зелены"&amp;"е   6 шт    желтые   6 шт    синие   6 шт    розовые   6 шт    красные   6 шт    инструкция   1 шт ствии с инструкцией  ")</f>
        <v xml:space="preserve">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 ствии с инструкцией  </v>
      </c>
      <c r="C826" s="61" t="s">
        <v>14596</v>
      </c>
      <c r="D826" s="56" t="s">
        <v>14597</v>
      </c>
      <c r="E826" s="56" t="s">
        <v>14598</v>
      </c>
      <c r="F826" s="57">
        <v>15300</v>
      </c>
      <c r="G826" s="58">
        <v>50</v>
      </c>
      <c r="I826" s="5"/>
      <c r="J826" s="5"/>
    </row>
    <row r="827" spans="1:10" x14ac:dyDescent="0.2">
      <c r="A827" s="59" t="str">
        <f ca="1">IFERROR(__xludf.DUMMYFUNCTION("TEXTJOIN(""|"",TRUE,UNIQUE(FILTER(SPLIT(B827,"" ""),LEN(SPLIT(B827,"" ""))&gt;2)))"),"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f>
        <v>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v>
      </c>
      <c r="B827" s="59" t="str">
        <f ca="1">IFERROR(__xludf.DUMMYFUNCTION("LOWER(REGEXREPLACE(D827&amp;"" ""&amp;E827,""[^а-яa-z0-9 ]"","" ""))"),"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наст"&amp;"ольного размещения ")</f>
        <v xml:space="preserve">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настольного размещения </v>
      </c>
      <c r="C827" s="61" t="s">
        <v>14599</v>
      </c>
      <c r="D827" s="56" t="s">
        <v>14600</v>
      </c>
      <c r="E827" s="56" t="s">
        <v>14601</v>
      </c>
      <c r="F827" s="57">
        <v>32800</v>
      </c>
      <c r="G827" s="58">
        <v>7</v>
      </c>
      <c r="I827" s="5"/>
      <c r="J827" s="5"/>
    </row>
    <row r="828" spans="1:10" x14ac:dyDescent="0.2">
      <c r="A828" s="59" t="str">
        <f ca="1">IFERROR(__xludf.DUMMYFUNCTION("TEXTJOIN(""|"",TRUE,UNIQUE(FILTER(SPLIT(B828,"" ""),LEN(SPLIT(B828,"" ""))&gt;2)))"),"ортер|номики|еревянный|сортер|предназначен|для|развития|логического|мышления|мелкой|моторики|навыков|сортировки|цвету|форме")</f>
        <v>ортер|номики|еревянный|сортер|предназначен|для|развития|логического|мышления|мелкой|моторики|навыков|сортировки|цвету|форме</v>
      </c>
      <c r="B828" s="59" t="str">
        <f ca="1">IFERROR(__xludf.DUMMYFUNCTION("LOWER(REGEXREPLACE(D828&amp;"" ""&amp;E828,""[^а-яa-z0-9 ]"","" ""))")," ортер   номики   еревянный сортер предназначен для развития логического мышления  мелкой моторики и навыков сортировки по цвету и форме ")</f>
        <v xml:space="preserve"> ортер   номики   еревянный сортер предназначен для развития логического мышления  мелкой моторики и навыков сортировки по цвету и форме </v>
      </c>
      <c r="C828" s="61" t="s">
        <v>14602</v>
      </c>
      <c r="D828" s="56" t="s">
        <v>14603</v>
      </c>
      <c r="E828" s="56" t="s">
        <v>14604</v>
      </c>
      <c r="F828" s="57">
        <v>28500</v>
      </c>
      <c r="G828" s="58">
        <v>1</v>
      </c>
      <c r="I828" s="5"/>
      <c r="J828" s="5"/>
    </row>
    <row r="829" spans="1:10" x14ac:dyDescent="0.2">
      <c r="A829" s="59" t="str">
        <f ca="1">IFERROR(__xludf.DUMMYFUNCTION("TEXTJOIN(""|"",TRUE,UNIQUE(FILTER(SPLIT(B829,"" ""),LEN(SPLIT(B829,"" ""))&gt;2)))"),"ортер|есное|дерево|азвивающая|игра|форме|дерева|фигурками|животных|птиц|спользуется|для|развития|логики|моторики|познавательных|навыков")</f>
        <v>ортер|есное|дерево|азвивающая|игра|форме|дерева|фигурками|животных|птиц|спользуется|для|развития|логики|моторики|познавательных|навыков</v>
      </c>
      <c r="B829" s="59" t="str">
        <f ca="1">IFERROR(__xludf.DUMMYFUNCTION("LOWER(REGEXREPLACE(D829&amp;"" ""&amp;E829,""[^а-яa-z0-9 ]"","" ""))")," ортер   есное дерево   азвивающая игра в форме дерева с фигурками животных и птиц   спользуется для развития логики  моторики и познавательных навыков ")</f>
        <v xml:space="preserve"> ортер   есное дерево   азвивающая игра в форме дерева с фигурками животных и птиц   спользуется для развития логики  моторики и познавательных навыков </v>
      </c>
      <c r="C829" s="61" t="s">
        <v>14605</v>
      </c>
      <c r="D829" s="56" t="s">
        <v>14606</v>
      </c>
      <c r="E829" s="56" t="s">
        <v>14607</v>
      </c>
      <c r="F829" s="57">
        <v>9500</v>
      </c>
      <c r="G829" s="58">
        <v>7</v>
      </c>
      <c r="I829" s="5"/>
      <c r="J829" s="5"/>
    </row>
    <row r="830" spans="1:10" x14ac:dyDescent="0.2">
      <c r="A830" s="59" t="str">
        <f ca="1">IFERROR(__xludf.DUMMYFUNCTION("TEXTJOIN(""|"",TRUE,UNIQUE(FILTER(SPLIT(B830,"" ""),LEN(SPLIT(B830,"" ""))&gt;2)))"),"ортер|ыбалка|агнитный|сортер|предназначен|для|развития|координации|рук|внимания|точности|движений")</f>
        <v>ортер|ыбалка|агнитный|сортер|предназначен|для|развития|координации|рук|внимания|точности|движений</v>
      </c>
      <c r="B830" s="59" t="str">
        <f ca="1">IFERROR(__xludf.DUMMYFUNCTION("LOWER(REGEXREPLACE(D830&amp;"" ""&amp;E830,""[^а-яa-z0-9 ]"","" ""))")," ортер   ыбалка   агнитный сортер предназначен для развития координации рук  внимания и точности движений ")</f>
        <v xml:space="preserve"> ортер   ыбалка   агнитный сортер предназначен для развития координации рук  внимания и точности движений </v>
      </c>
      <c r="C830" s="61" t="s">
        <v>14608</v>
      </c>
      <c r="D830" s="56" t="s">
        <v>14609</v>
      </c>
      <c r="E830" s="56" t="s">
        <v>14610</v>
      </c>
      <c r="F830" s="57">
        <v>8600</v>
      </c>
      <c r="G830" s="58">
        <v>1</v>
      </c>
      <c r="I830" s="5"/>
      <c r="J830" s="5"/>
    </row>
    <row r="831" spans="1:10" x14ac:dyDescent="0.2">
      <c r="A831" s="59" t="str">
        <f ca="1">IFERROR(__xludf.DUMMYFUNCTION("TEXTJOIN(""|"",TRUE,UNIQUE(FILTER(SPLIT(B831,"" ""),LEN(SPLIT(B831,"" ""))&gt;2)))"),"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f>
        <v>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v>
      </c>
      <c r="B831" s="59" t="str">
        <f ca="1">IFERROR(__xludf.DUMMYFUNCTION("LOWER(REGEXREPLACE(D831&amp;"" ""&amp;E831,""[^а-яa-z0-9 ]"","" ""))"),"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f>
        <v xml:space="preserve">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v>
      </c>
      <c r="C831" s="61" t="s">
        <v>14611</v>
      </c>
      <c r="D831" s="56" t="s">
        <v>14612</v>
      </c>
      <c r="E831" s="56" t="s">
        <v>14613</v>
      </c>
      <c r="F831" s="57">
        <v>3400</v>
      </c>
      <c r="G831" s="58">
        <v>14</v>
      </c>
      <c r="I831" s="5"/>
      <c r="J831" s="5"/>
    </row>
    <row r="832" spans="1:10" x14ac:dyDescent="0.2">
      <c r="A832" s="59" t="str">
        <f ca="1">IFERROR(__xludf.DUMMYFUNCTION("TEXTJOIN(""|"",TRUE,UNIQUE(FILTER(SPLIT(B832,"" ""),LEN(SPLIT(B832,"" ""))&gt;2)))"),"ортер|для|шариков|еревянный|сортер|предназначен|для|развития|координации|движений|внимания|навыков|сортировки")</f>
        <v>ортер|для|шариков|еревянный|сортер|предназначен|для|развития|координации|движений|внимания|навыков|сортировки</v>
      </c>
      <c r="B832" s="59" t="str">
        <f ca="1">IFERROR(__xludf.DUMMYFUNCTION("LOWER(REGEXREPLACE(D832&amp;"" ""&amp;E832,""[^а-яa-z0-9 ]"","" ""))")," ортер для шариков  еревянный сортер предназначен для развития координации движений  внимания и навыков сортировки ")</f>
        <v xml:space="preserve"> ортер для шариков  еревянный сортер предназначен для развития координации движений  внимания и навыков сортировки </v>
      </c>
      <c r="C832" s="61" t="s">
        <v>14614</v>
      </c>
      <c r="D832" s="56" t="s">
        <v>14615</v>
      </c>
      <c r="E832" s="56" t="s">
        <v>14616</v>
      </c>
      <c r="F832" s="57">
        <v>10500</v>
      </c>
      <c r="G832" s="58">
        <v>7</v>
      </c>
      <c r="I832" s="5"/>
      <c r="J832" s="5"/>
    </row>
    <row r="833" spans="1:10" x14ac:dyDescent="0.2">
      <c r="A833" s="59" t="str">
        <f ca="1">IFERROR(__xludf.DUMMYFUNCTION("TEXTJOIN(""|"",TRUE,UNIQUE(FILTER(SPLIT(B833,"" ""),LEN(SPLIT(B833,"" ""))&gt;2)))"),"ортер|разноцветные|фигурки|ортер|предназначен|для|обучения|сортировке|цвету|форме|азвивает|внимание|мелкую|моторику")</f>
        <v>ортер|разноцветные|фигурки|ортер|предназначен|для|обучения|сортировке|цвету|форме|азвивает|внимание|мелкую|моторику</v>
      </c>
      <c r="B833" s="59" t="str">
        <f ca="1">IFERROR(__xludf.DUMMYFUNCTION("LOWER(REGEXREPLACE(D833&amp;"" ""&amp;E833,""[^а-яa-z0-9 ]"","" ""))")," ортер разноцветные фигурки  ортер предназначен для обучения сортировке по цвету и форме   азвивает внимание и мелкую моторику ")</f>
        <v xml:space="preserve"> ортер разноцветные фигурки  ортер предназначен для обучения сортировке по цвету и форме   азвивает внимание и мелкую моторику </v>
      </c>
      <c r="C833" s="61" t="s">
        <v>14617</v>
      </c>
      <c r="D833" s="56" t="s">
        <v>14618</v>
      </c>
      <c r="E833" s="56" t="s">
        <v>14619</v>
      </c>
      <c r="F833" s="57">
        <v>7600</v>
      </c>
      <c r="G833" s="58">
        <v>1</v>
      </c>
      <c r="I833" s="5"/>
      <c r="J833" s="5"/>
    </row>
    <row r="834" spans="1:10" x14ac:dyDescent="0.2">
      <c r="A834" s="59" t="str">
        <f ca="1">IFERROR(__xludf.DUMMYFUNCTION("TEXTJOIN(""|"",TRUE,UNIQUE(FILTER(SPLIT(B834,"" ""),LEN(SPLIT(B834,"" ""))&gt;2)))"),"ортер|фигур|еревянный|сортер|платформой|геометрическими|фигурками|спользуется|для|развития|логического|мышления|моторики")</f>
        <v>ортер|фигур|еревянный|сортер|платформой|геометрическими|фигурками|спользуется|для|развития|логического|мышления|моторики</v>
      </c>
      <c r="B834" s="59" t="str">
        <f ca="1">IFERROR(__xludf.DUMMYFUNCTION("LOWER(REGEXREPLACE(D834&amp;"" ""&amp;E834,""[^а-яa-z0-9 ]"","" ""))")," ортер фигур  еревянный сортер с платформой и геометрическими фигурками   спользуется для развития логического мышления и моторики ")</f>
        <v xml:space="preserve"> ортер фигур  еревянный сортер с платформой и геометрическими фигурками   спользуется для развития логического мышления и моторики </v>
      </c>
      <c r="C834" s="61" t="s">
        <v>14620</v>
      </c>
      <c r="D834" s="56" t="s">
        <v>14621</v>
      </c>
      <c r="E834" s="56" t="s">
        <v>14622</v>
      </c>
      <c r="F834" s="57">
        <v>8600</v>
      </c>
      <c r="G834" s="58">
        <v>1</v>
      </c>
      <c r="I834" s="5"/>
      <c r="J834" s="5"/>
    </row>
    <row r="835" spans="1:10" x14ac:dyDescent="0.2">
      <c r="A835" s="59" t="str">
        <f ca="1">IFERROR(__xludf.DUMMYFUNCTION("TEXTJOIN(""|"",TRUE,UNIQUE(FILTER(SPLIT(B835,"" ""),LEN(SPLIT(B835,"" ""))&gt;2)))"),"ортировочный|набор|абор|предназначен|для|обучения|сортировке|захвату|предметов|ключает|деревянные|стаканчики|шары|ложку|пинцет")</f>
        <v>ортировочный|набор|абор|предназначен|для|обучения|сортировке|захвату|предметов|ключает|деревянные|стаканчики|шары|ложку|пинцет</v>
      </c>
      <c r="B835" s="59" t="str">
        <f ca="1">IFERROR(__xludf.DUMMYFUNCTION("LOWER(REGEXREPLACE(D835&amp;"" ""&amp;E835,""[^а-яa-z0-9 ]"","" ""))")," ортировочный набор  абор предназначен для обучения сортировке и захвату предметов   ключает деревянные стаканчики  шары  ложку и пинцет ")</f>
        <v xml:space="preserve"> ортировочный набор  абор предназначен для обучения сортировке и захвату предметов   ключает деревянные стаканчики  шары  ложку и пинцет </v>
      </c>
      <c r="C835" s="61" t="s">
        <v>14623</v>
      </c>
      <c r="D835" s="56" t="s">
        <v>14624</v>
      </c>
      <c r="E835" s="56" t="s">
        <v>14625</v>
      </c>
      <c r="F835" s="57">
        <v>11400</v>
      </c>
      <c r="G835" s="58">
        <v>1</v>
      </c>
      <c r="I835" s="5"/>
      <c r="J835" s="5"/>
    </row>
    <row r="836" spans="1:10" x14ac:dyDescent="0.2">
      <c r="A836" s="59" t="str">
        <f ca="1">IFERROR(__xludf.DUMMYFUNCTION("TEXTJOIN(""|"",TRUE,UNIQUE(FILTER(SPLIT(B836,"" ""),LEN(SPLIT(B836,"" ""))&gt;2)))"),"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f>
        <v>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v>
      </c>
      <c r="B836" s="59" t="str">
        <f ca="1">IFERROR(__xludf.DUMMYFUNCTION("LOWER(REGEXREPLACE(D836&amp;"" ""&amp;E836,""[^а-яa-z0-9 ]"","" ""))"),"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f>
        <v xml:space="preserve">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v>
      </c>
      <c r="C836" s="61" t="s">
        <v>14626</v>
      </c>
      <c r="D836" s="56" t="s">
        <v>14627</v>
      </c>
      <c r="E836" s="56" t="s">
        <v>14628</v>
      </c>
      <c r="F836" s="57">
        <v>27400</v>
      </c>
      <c r="G836" s="58">
        <v>5</v>
      </c>
      <c r="I836" s="5"/>
      <c r="J836" s="5"/>
    </row>
    <row r="837" spans="1:10" x14ac:dyDescent="0.2">
      <c r="A837" s="59" t="str">
        <f ca="1">IFERROR(__xludf.DUMMYFUNCTION("TEXTJOIN(""|"",TRUE,UNIQUE(FILTER(SPLIT(B837,"" ""),LEN(SPLIT(B837,"" ""))&gt;2)))"),"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f>
        <v>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v>
      </c>
      <c r="B837" s="59" t="str">
        <f ca="1">IFERROR(__xludf.DUMMYFUNCTION("LOWER(REGEXREPLACE(D837&amp;"" ""&amp;E837,""[^а-яa-z0-9 ]"","" ""))"),"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f>
        <v xml:space="preserve">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v>
      </c>
      <c r="C837" s="61" t="s">
        <v>14629</v>
      </c>
      <c r="D837" s="56" t="s">
        <v>14630</v>
      </c>
      <c r="E837" s="56" t="s">
        <v>14631</v>
      </c>
      <c r="F837" s="57">
        <v>1200</v>
      </c>
      <c r="G837" s="58">
        <v>10</v>
      </c>
      <c r="I837" s="5"/>
      <c r="J837" s="5"/>
    </row>
    <row r="838" spans="1:10" x14ac:dyDescent="0.2">
      <c r="A838" s="59" t="str">
        <f ca="1">IFERROR(__xludf.DUMMYFUNCTION("TEXTJOIN(""|"",TRUE,UNIQUE(FILTER(SPLIT(B838,"" ""),LEN(SPLIT(B838,"" ""))&gt;2)))"),"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f>
        <v>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v>
      </c>
      <c r="B838" s="59" t="str">
        <f ca="1">IFERROR(__xludf.DUMMYFUNCTION("LOWER(REGEXREPLACE(D838&amp;"" ""&amp;E838,""[^а-яa-z0-9 ]"","" ""))"),"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"&amp;"выполнены из дерева ")</f>
        <v xml:space="preserve">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выполнены из дерева </v>
      </c>
      <c r="C838" s="61" t="s">
        <v>14632</v>
      </c>
      <c r="D838" s="56" t="s">
        <v>14633</v>
      </c>
      <c r="E838" s="56" t="s">
        <v>14634</v>
      </c>
      <c r="F838" s="57">
        <v>24700</v>
      </c>
      <c r="G838" s="58">
        <v>7</v>
      </c>
      <c r="I838" s="5"/>
      <c r="J838" s="5"/>
    </row>
    <row r="839" spans="1:10" x14ac:dyDescent="0.2">
      <c r="A839" s="59" t="str">
        <f ca="1">IFERROR(__xludf.DUMMYFUNCTION("TEXTJOIN(""|"",TRUE,UNIQUE(FILTER(SPLIT(B839,"" ""),LEN(SPLIT(B839,"" ""))&gt;2)))"),"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f>
        <v>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v>
      </c>
      <c r="B839" s="59" t="str">
        <f ca="1">IFERROR(__xludf.DUMMYFUNCTION("LOWER(REGEXREPLACE(D839&amp;"" ""&amp;E839,""[^а-яa-z0-9 ]"","" ""))"),"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f>
        <v xml:space="preserve">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v>
      </c>
      <c r="C839" s="61" t="s">
        <v>14635</v>
      </c>
      <c r="D839" s="56" t="s">
        <v>14636</v>
      </c>
      <c r="E839" s="56" t="s">
        <v>14637</v>
      </c>
      <c r="F839" s="57">
        <v>133000</v>
      </c>
      <c r="G839" s="58">
        <v>10</v>
      </c>
      <c r="I839" s="5"/>
      <c r="J839" s="5"/>
    </row>
    <row r="840" spans="1:10" x14ac:dyDescent="0.2">
      <c r="A840" s="59" t="str">
        <f ca="1">IFERROR(__xludf.DUMMYFUNCTION("TEXTJOIN(""|"",TRUE,UNIQUE(FILTER(SPLIT(B840,"" ""),LEN(SPLIT(B840,"" ""))&gt;2)))"),"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v>
      </c>
      <c r="B840" s="59" t="str">
        <f ca="1">IFERROR(__xludf.DUMMYFUNCTION("LOWER(REGEXREPLACE(D840&amp;"" ""&amp;E840,""[^а-яa-z0-9 ]"","" ""))"),"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xml:space="preserve">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C840" s="61" t="s">
        <v>14638</v>
      </c>
      <c r="D840" s="56" t="s">
        <v>14639</v>
      </c>
      <c r="E840" s="56" t="s">
        <v>14640</v>
      </c>
      <c r="F840" s="57">
        <v>9000</v>
      </c>
      <c r="G840" s="58">
        <v>4</v>
      </c>
      <c r="I840" s="5"/>
      <c r="J840" s="5"/>
    </row>
    <row r="841" spans="1:10" x14ac:dyDescent="0.2">
      <c r="A841" s="59" t="str">
        <f ca="1">IFERROR(__xludf.DUMMYFUNCTION("TEXTJOIN(""|"",TRUE,UNIQUE(FILTER(SPLIT(B841,"" ""),LEN(SPLIT(B841,"" ""))&gt;2)))"),"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f>
        <v>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v>
      </c>
      <c r="B841" s="59" t="str">
        <f ca="1">IFERROR(__xludf.DUMMYFUNCTION("LOWER(REGEXREPLACE(D841&amp;"" ""&amp;E841,""[^а-яa-z0-9 ]"","" ""))"),"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f>
        <v xml:space="preserve">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v>
      </c>
      <c r="C841" s="61" t="s">
        <v>14641</v>
      </c>
      <c r="D841" s="56" t="s">
        <v>14642</v>
      </c>
      <c r="E841" s="56" t="s">
        <v>14640</v>
      </c>
      <c r="F841" s="57">
        <v>17600</v>
      </c>
      <c r="G841" s="58">
        <v>48</v>
      </c>
      <c r="I841" s="5"/>
      <c r="J841" s="5"/>
    </row>
    <row r="842" spans="1:10" x14ac:dyDescent="0.2">
      <c r="A842" s="59" t="str">
        <f ca="1">IFERROR(__xludf.DUMMYFUNCTION("TEXTJOIN(""|"",TRUE,UNIQUE(FILTER(SPLIT(B842,"" ""),LEN(SPLIT(B842,"" ""))&gt;2)))"),"теп|платформа|детская|етская|степ|платформа|размером|спользуется|для|физических|упражнений|развития|координации|выносливости|двигательной|активности")</f>
        <v>теп|платформа|детская|етская|степ|платформа|размером|спользуется|для|физических|упражнений|развития|координации|выносливости|двигательной|активности</v>
      </c>
      <c r="B842" s="59" t="str">
        <f ca="1">IFERROR(__xludf.DUMMYFUNCTION("LOWER(REGEXREPLACE(D842&amp;"" ""&amp;E842,""[^а-яa-z0-9 ]"","" ""))"),"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f>
        <v xml:space="preserve">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v>
      </c>
      <c r="C842" s="61" t="s">
        <v>14643</v>
      </c>
      <c r="D842" s="56" t="s">
        <v>14644</v>
      </c>
      <c r="E842" s="56" t="s">
        <v>14645</v>
      </c>
      <c r="F842" s="57">
        <v>34800</v>
      </c>
      <c r="G842" s="58">
        <v>2</v>
      </c>
      <c r="I842" s="5"/>
      <c r="J842" s="5"/>
    </row>
    <row r="843" spans="1:10" x14ac:dyDescent="0.2">
      <c r="A843" s="59" t="str">
        <f ca="1">IFERROR(__xludf.DUMMYFUNCTION("TEXTJOIN(""|"",TRUE,UNIQUE(FILTER(SPLIT(B843,"" ""),LEN(SPLIT(B843,"" ""))&gt;2)))"),"тетоскоп|едицинский|инструмент|для|прослушивания|дыхания|сердечных|тонов")</f>
        <v>тетоскоп|едицинский|инструмент|для|прослушивания|дыхания|сердечных|тонов</v>
      </c>
      <c r="B843" s="59" t="str">
        <f ca="1">IFERROR(__xludf.DUMMYFUNCTION("LOWER(REGEXREPLACE(D843&amp;"" ""&amp;E843,""[^а-яa-z0-9 ]"","" ""))")," тетоскоп  едицинский инструмент для прослушивания дыхания и сердечных тонов ")</f>
        <v xml:space="preserve"> тетоскоп  едицинский инструмент для прослушивания дыхания и сердечных тонов </v>
      </c>
      <c r="C843" s="61" t="s">
        <v>14646</v>
      </c>
      <c r="D843" s="56" t="s">
        <v>14647</v>
      </c>
      <c r="E843" s="56" t="s">
        <v>14648</v>
      </c>
      <c r="F843" s="57">
        <v>10500</v>
      </c>
      <c r="G843" s="58">
        <v>2</v>
      </c>
      <c r="I843" s="5"/>
      <c r="J843" s="5"/>
    </row>
    <row r="844" spans="1:10" x14ac:dyDescent="0.2">
      <c r="A844" s="59" t="str">
        <f ca="1">IFERROR(__xludf.DUMMYFUNCTION("TEXTJOIN(""|"",TRUE,UNIQUE(FILTER(SPLIT(B844,"" ""),LEN(SPLIT(B844,"" ""))&gt;2)))"),"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f>
        <v>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v>
      </c>
      <c r="B844" s="59" t="str">
        <f ca="1">IFERROR(__xludf.DUMMYFUNCTION("LOWER(REGEXREPLACE(D844&amp;"" ""&amp;E844,""[^а-яa-z0-9 ]"","" ""))"),"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"&amp;"игр ")</f>
        <v xml:space="preserve">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игр </v>
      </c>
      <c r="C844" s="61" t="s">
        <v>14649</v>
      </c>
      <c r="D844" s="56" t="s">
        <v>14650</v>
      </c>
      <c r="E844" s="56" t="s">
        <v>14651</v>
      </c>
      <c r="F844" s="57">
        <v>35800</v>
      </c>
      <c r="G844" s="58">
        <v>5</v>
      </c>
      <c r="I844" s="5"/>
      <c r="J844" s="5"/>
    </row>
    <row r="845" spans="1:10" x14ac:dyDescent="0.2">
      <c r="A845" s="59" t="str">
        <f ca="1">IFERROR(__xludf.DUMMYFUNCTION("TEXTJOIN(""|"",TRUE,UNIQUE(FILTER(SPLIT(B845,"" ""),LEN(SPLIT(B845,"" ""))&gt;2)))"),"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f>
        <v>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v>
      </c>
      <c r="B845" s="59" t="str">
        <f ca="1">IFERROR(__xludf.DUMMYFUNCTION("LOWER(REGEXREPLACE(D845&amp;"" ""&amp;E845,""[^а-яa-z0-9 ]"","" ""))"),"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f>
        <v xml:space="preserve">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v>
      </c>
      <c r="C845" s="61" t="s">
        <v>14652</v>
      </c>
      <c r="D845" s="56" t="s">
        <v>14653</v>
      </c>
      <c r="E845" s="56" t="s">
        <v>14654</v>
      </c>
      <c r="F845" s="57">
        <v>11500</v>
      </c>
      <c r="G845" s="58">
        <v>5</v>
      </c>
      <c r="I845" s="5"/>
      <c r="J845" s="5"/>
    </row>
    <row r="846" spans="1:10" x14ac:dyDescent="0.2">
      <c r="A846" s="59" t="str">
        <f ca="1">IFERROR(__xludf.DUMMYFUNCTION("TEXTJOIN(""|"",TRUE,UNIQUE(FILTER(SPLIT(B846,"" ""),LEN(SPLIT(B846,"" ""))&gt;2)))"),"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amp;"го|мышления|координации|движений|комплект|входит|менее|элементов|различной|формы|цвета|атериал|изготовления|пластик")</f>
        <v>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го|мышления|координации|движений|комплект|входит|менее|элементов|различной|формы|цвета|атериал|изготовления|пластик</v>
      </c>
      <c r="B846" s="59" t="str">
        <f ca="1">IFERROR(__xludf.DUMMYFUNCTION("LOWER(REGEXREPLACE(D846&amp;"" ""&amp;E846,""[^а-яa-z0-9 ]"","" ""))"),"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раз"&amp;"витие пространственного мышления и координации движений    комплект входит не менее 49 элементов различной формы и цвета   атериал изготовления   пластик ")</f>
        <v xml:space="preserve">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развитие пространственного мышления и координации движений    комплект входит не менее 49 элементов различной формы и цвета   атериал изготовления   пластик </v>
      </c>
      <c r="C846" s="61" t="s">
        <v>14655</v>
      </c>
      <c r="D846" s="56" t="s">
        <v>14656</v>
      </c>
      <c r="E846" s="56" t="s">
        <v>14657</v>
      </c>
      <c r="F846" s="57">
        <v>6300</v>
      </c>
      <c r="G846" s="58">
        <v>5</v>
      </c>
      <c r="I846" s="5"/>
      <c r="J846" s="5"/>
    </row>
    <row r="847" spans="1:10" x14ac:dyDescent="0.2">
      <c r="A847" s="59" t="str">
        <f ca="1">IFERROR(__xludf.DUMMYFUNCTION("TEXTJOIN(""|"",TRUE,UNIQUE(FILTER(SPLIT(B847,"" ""),LEN(SPLIT(B847,"" ""))&gt;2)))"),"умка|для|девочек|етская|сумка|предназначена|для|сюжетно|ролевых|игр|повседневного|использования|детском|саду|атериал|экокожа|вет|розовый|серебристый|азмер")</f>
        <v>умка|для|девочек|етская|сумка|предназначена|для|сюжетно|ролевых|игр|повседневного|использования|детском|саду|атериал|экокожа|вет|розовый|серебристый|азмер</v>
      </c>
      <c r="B847" s="59" t="str">
        <f ca="1">IFERROR(__xludf.DUMMYFUNCTION("LOWER(REGEXREPLACE(D847&amp;"" ""&amp;E847,""[^а-яa-z0-9 ]"","" ""))"),"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f>
        <v xml:space="preserve">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v>
      </c>
      <c r="C847" s="61" t="s">
        <v>14658</v>
      </c>
      <c r="D847" s="56" t="s">
        <v>14659</v>
      </c>
      <c r="E847" s="56" t="s">
        <v>14660</v>
      </c>
      <c r="F847" s="57">
        <v>7500</v>
      </c>
      <c r="G847" s="58">
        <v>5</v>
      </c>
      <c r="I847" s="5"/>
      <c r="J847" s="5"/>
    </row>
    <row r="848" spans="1:10" x14ac:dyDescent="0.2">
      <c r="A848" s="59" t="str">
        <f ca="1">IFERROR(__xludf.DUMMYFUNCTION("TEXTJOIN(""|"",TRUE,UNIQUE(FILTER(SPLIT(B848,"" ""),LEN(SPLIT(B848,"" ""))&gt;2)))"),"умка|ручками|етская|сумка|ручками|предназначена|для|использования|детском|саду|переноска|личных|вещей|сменной|одежды|пособий|атериал|азмер")</f>
        <v>умка|ручками|етская|сумка|ручками|предназначена|для|использования|детском|саду|переноска|личных|вещей|сменной|одежды|пособий|атериал|азмер</v>
      </c>
      <c r="B848" s="59" t="str">
        <f ca="1">IFERROR(__xludf.DUMMYFUNCTION("LOWER(REGEXREPLACE(D848&amp;"" ""&amp;E848,""[^а-яa-z0-9 ]"","" ""))"),"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f>
        <v xml:space="preserve">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v>
      </c>
      <c r="C848" s="61" t="s">
        <v>14661</v>
      </c>
      <c r="D848" s="56" t="s">
        <v>14662</v>
      </c>
      <c r="E848" s="56" t="s">
        <v>14663</v>
      </c>
      <c r="F848" s="57">
        <v>49400</v>
      </c>
      <c r="G848" s="58">
        <v>70</v>
      </c>
      <c r="I848" s="5"/>
      <c r="J848" s="5"/>
    </row>
    <row r="849" spans="1:10" x14ac:dyDescent="0.2">
      <c r="A849" s="59" t="str">
        <f ca="1">IFERROR(__xludf.DUMMYFUNCTION("TEXTJOIN(""|"",TRUE,UNIQUE(FILTER(SPLIT(B849,"" ""),LEN(SPLIT(B849,"" ""))&gt;2)))"),"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amp;"ует|развитию|координации|движений|творческого|мышления|онструкция|рассчитана|безопасное|использование")</f>
        <v>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ует|развитию|координации|движений|творческого|мышления|онструкция|рассчитана|безопасное|использование</v>
      </c>
      <c r="B849" s="59" t="str">
        <f ca="1">IFERROR(__xludf.DUMMYFUNCTION("LOWER(REGEXREPLACE(D849&amp;"" ""&amp;E849,""[^а-яa-z0-9 ]"","" ""))"),"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абота"&amp;" с кругом способствует развитию координации движений и творческого мышления   онструкция рассчитана на безопасное использование ")</f>
        <v xml:space="preserve">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 с кругом способствует развитию координации движений и творческого мышления   онструкция рассчитана на безопасное использование </v>
      </c>
      <c r="C849" s="61" t="s">
        <v>14664</v>
      </c>
      <c r="D849" s="56" t="s">
        <v>14665</v>
      </c>
      <c r="E849" s="56" t="s">
        <v>14666</v>
      </c>
      <c r="F849" s="57">
        <v>29700</v>
      </c>
      <c r="G849" s="58">
        <v>6</v>
      </c>
      <c r="I849" s="5"/>
      <c r="J849" s="5"/>
    </row>
    <row r="850" spans="1:10" x14ac:dyDescent="0.2">
      <c r="A850" s="59" t="str">
        <f ca="1">IFERROR(__xludf.DUMMYFUNCTION("TEXTJOIN(""|"",TRUE,UNIQUE(FILTER(SPLIT(B850,"" ""),LEN(SPLIT(B850,"" ""))&gt;2)))"),"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f>
        <v>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v>
      </c>
      <c r="B850" s="59" t="str">
        <f ca="1">IFERROR(__xludf.DUMMYFUNCTION("LOWER(REGEXREPLACE(D850&amp;"" ""&amp;E850,""[^а-яa-z0-9 ]"","" ""))"),"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f>
        <v xml:space="preserve">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v>
      </c>
      <c r="C850" s="61" t="s">
        <v>14667</v>
      </c>
      <c r="D850" s="56" t="s">
        <v>14668</v>
      </c>
      <c r="E850" s="56" t="s">
        <v>14669</v>
      </c>
      <c r="F850" s="57">
        <v>17100</v>
      </c>
      <c r="G850" s="58">
        <v>14</v>
      </c>
      <c r="I850" s="5"/>
      <c r="J850" s="5"/>
    </row>
    <row r="851" spans="1:10" x14ac:dyDescent="0.2">
      <c r="A851" s="59" t="str">
        <f ca="1">IFERROR(__xludf.DUMMYFUNCTION("TEXTJOIN(""|"",TRUE,UNIQUE(FILTER(SPLIT(B851,"" ""),LEN(SPLIT(B851,"" ""))&gt;2)))"),"ундук|санды|екоративный|сундук|для|хранения|книг|настольных|игр|текстильных|элементов|спользуется|также|как|интерьерный|элемент|атериал|дерево|или")</f>
        <v>ундук|санды|екоративный|сундук|для|хранения|книг|настольных|игр|текстильных|элементов|спользуется|также|как|интерьерный|элемент|атериал|дерево|или</v>
      </c>
      <c r="B851" s="59" t="str">
        <f ca="1">IFERROR(__xludf.DUMMYFUNCTION("LOWER(REGEXREPLACE(D851&amp;"" ""&amp;E851,""[^а-яa-z0-9 ]"","" ""))")," ундук  санды    екоративный сундук для хранения книг  настольных игр и текстильных элементов   спользуется также как интерьерный элемент   атериал   дерево или      ")</f>
        <v xml:space="preserve"> ундук  санды    екоративный сундук для хранения книг  настольных игр и текстильных элементов   спользуется также как интерьерный элемент   атериал   дерево или      </v>
      </c>
      <c r="C851" s="61" t="s">
        <v>14670</v>
      </c>
      <c r="D851" s="56" t="s">
        <v>14671</v>
      </c>
      <c r="E851" s="56" t="s">
        <v>14672</v>
      </c>
      <c r="F851" s="57">
        <v>66500</v>
      </c>
      <c r="G851" s="58">
        <v>1</v>
      </c>
      <c r="I851" s="5"/>
      <c r="J851" s="5"/>
    </row>
    <row r="852" spans="1:10" x14ac:dyDescent="0.2">
      <c r="A852" s="59" t="str">
        <f ca="1">IFERROR(__xludf.DUMMYFUNCTION("TEXTJOIN(""|"",TRUE,UNIQUE(FILTER(SPLIT(B852,"" ""),LEN(SPLIT(B852,"" ""))&gt;2)))"),"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amp;"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f>
        <v>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v>
      </c>
      <c r="B852" s="59" t="str">
        <f ca="1">IFERROR(__xludf.DUMMYFUNCTION("LOWER(REGEXREPLACE(D852&amp;"" ""&amp;E852,""[^а-яa-z0-9 ]"","" ""))"),"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вст"&amp;"роенный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f>
        <v xml:space="preserve">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v>
      </c>
      <c r="C852" s="61" t="s">
        <v>14673</v>
      </c>
      <c r="D852" s="56" t="s">
        <v>14674</v>
      </c>
      <c r="E852" s="56" t="s">
        <v>14675</v>
      </c>
      <c r="F852" s="57">
        <v>2118500</v>
      </c>
      <c r="G852" s="58">
        <v>1</v>
      </c>
      <c r="I852" s="5"/>
      <c r="J852" s="5"/>
    </row>
    <row r="853" spans="1:10" x14ac:dyDescent="0.2">
      <c r="A853" s="59" t="str">
        <f ca="1">IFERROR(__xludf.DUMMYFUNCTION("TEXTJOIN(""|"",TRUE,UNIQUE(FILTER(SPLIT(B853,"" ""),LEN(SPLIT(B853,"" ""))&gt;2)))"),"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f>
        <v>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v>
      </c>
      <c r="B853" s="59" t="str">
        <f ca="1">IFERROR(__xludf.DUMMYFUNCTION("LOWER(REGEXREPLACE(D853&amp;"" ""&amp;E853,""[^а-яa-z0-9 ]"","" ""))"),"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f>
        <v xml:space="preserve">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v>
      </c>
      <c r="C853" s="61" t="s">
        <v>14676</v>
      </c>
      <c r="D853" s="56" t="s">
        <v>14677</v>
      </c>
      <c r="E853" s="56" t="s">
        <v>14678</v>
      </c>
      <c r="F853" s="57">
        <v>564300</v>
      </c>
      <c r="G853" s="58">
        <v>1</v>
      </c>
      <c r="I853" s="5"/>
      <c r="J853" s="5"/>
    </row>
    <row r="854" spans="1:10" x14ac:dyDescent="0.2">
      <c r="A854" s="59" t="str">
        <f ca="1">IFERROR(__xludf.DUMMYFUNCTION("TEXTJOIN(""|"",TRUE,UNIQUE(FILTER(SPLIT(B854,"" ""),LEN(SPLIT(B854,"" ""))&gt;2)))"),"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f>
        <v>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v>
      </c>
      <c r="B854" s="59" t="str">
        <f ca="1">IFERROR(__xludf.DUMMYFUNCTION("LOWER(REGEXREPLACE(D854&amp;"" ""&amp;E854,""[^а-яa-z0-9 ]"","" ""))"),"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f>
        <v xml:space="preserve">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v>
      </c>
      <c r="C854" s="61" t="s">
        <v>14679</v>
      </c>
      <c r="D854" s="56" t="s">
        <v>14680</v>
      </c>
      <c r="E854" s="56" t="s">
        <v>14681</v>
      </c>
      <c r="F854" s="57">
        <v>279300</v>
      </c>
      <c r="G854" s="58">
        <v>1</v>
      </c>
      <c r="I854" s="5"/>
      <c r="J854" s="5"/>
    </row>
    <row r="855" spans="1:10" x14ac:dyDescent="0.2">
      <c r="A855" s="59" t="str">
        <f ca="1">IFERROR(__xludf.DUMMYFUNCTION("TEXTJOIN(""|"",TRUE,UNIQUE(FILTER(SPLIT(B855,"" ""),LEN(SPLIT(B855,"" ""))&gt;2)))"),"жек|ртег|ояма|растар|ужикова")</f>
        <v>жек|ртег|ояма|растар|ужикова</v>
      </c>
      <c r="B855" s="59" t="str">
        <f ca="1">IFERROR(__xludf.DUMMYFUNCTION("LOWER(REGEXREPLACE(D855&amp;"" ""&amp;E855,""[^а-яa-z0-9 ]"","" ""))"),"  р к жек   ртег   ояма    растар ан  ужикова   ")</f>
        <v xml:space="preserve">  р к жек   ртег   ояма    растар ан  ужикова   </v>
      </c>
      <c r="C855" s="61" t="s">
        <v>14682</v>
      </c>
      <c r="D855" s="56" t="s">
        <v>14683</v>
      </c>
      <c r="E855" s="56" t="s">
        <v>14300</v>
      </c>
      <c r="F855" s="57">
        <v>3000</v>
      </c>
      <c r="G855" s="58">
        <v>1</v>
      </c>
      <c r="I855" s="5"/>
      <c r="J855" s="5"/>
    </row>
    <row r="856" spans="1:10" x14ac:dyDescent="0.2">
      <c r="A856" s="59" t="str">
        <f ca="1">IFERROR(__xludf.DUMMYFUNCTION("TEXTJOIN(""|"",TRUE,UNIQUE(FILTER(SPLIT(B856,"" ""),LEN(SPLIT(B856,"" ""))&gt;2)))"),"тные|палочки|тные|палочки|количестве|спользуются|для|обучения|развитию|математических|представлений|логического|мышления|атериал|безопасный|пластик")</f>
        <v>тные|палочки|тные|палочки|количестве|спользуются|для|обучения|развитию|математических|представлений|логического|мышления|атериал|безопасный|пластик</v>
      </c>
      <c r="B856" s="59" t="str">
        <f ca="1">IFERROR(__xludf.DUMMYFUNCTION("LOWER(REGEXREPLACE(D856&amp;"" ""&amp;E856,""[^а-яa-z0-9 ]"","" ""))"),"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f>
        <v xml:space="preserve">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v>
      </c>
      <c r="C856" s="61" t="s">
        <v>14684</v>
      </c>
      <c r="D856" s="56" t="s">
        <v>14685</v>
      </c>
      <c r="E856" s="56" t="s">
        <v>14686</v>
      </c>
      <c r="F856" s="57">
        <v>3500</v>
      </c>
      <c r="G856" s="58">
        <v>75</v>
      </c>
      <c r="I856" s="5"/>
      <c r="J856" s="5"/>
    </row>
    <row r="857" spans="1:10" x14ac:dyDescent="0.2">
      <c r="A857" s="59" t="str">
        <f ca="1">IFERROR(__xludf.DUMMYFUNCTION("TEXTJOIN(""|"",TRUE,UNIQUE(FILTER(SPLIT(B857,"" ""),LEN(SPLIT(B857,"" ""))&gt;2)))"),"тный|материал|асса|цифр|тных|материалов|предназначена|для|обучения|детей|основам|атериал|пластик|элементы|безопасны|для|использования")</f>
        <v>тный|материал|асса|цифр|тных|материалов|предназначена|для|обучения|детей|основам|атериал|пластик|элементы|безопасны|для|использования</v>
      </c>
      <c r="B857" s="59" t="str">
        <f ca="1">IFERROR(__xludf.DUMMYFUNCTION("LOWER(REGEXREPLACE(D857&amp;"" ""&amp;E857,""[^а-яa-z0-9 ]"","" ""))")," ч тный материал  асса цифр и сч тных материалов предназначена для обучения детей основам сч та   атериал   пластик  элементы безопасны для использования в     ")</f>
        <v xml:space="preserve"> ч тный материал  асса цифр и сч тных материалов предназначена для обучения детей основам сч та   атериал   пластик  элементы безопасны для использования в     </v>
      </c>
      <c r="C857" s="61" t="s">
        <v>14687</v>
      </c>
      <c r="D857" s="56" t="s">
        <v>14688</v>
      </c>
      <c r="E857" s="56" t="s">
        <v>14689</v>
      </c>
      <c r="F857" s="57">
        <v>2600</v>
      </c>
      <c r="G857" s="58">
        <v>175</v>
      </c>
      <c r="I857" s="5"/>
      <c r="J857" s="5"/>
    </row>
    <row r="858" spans="1:10" x14ac:dyDescent="0.2">
      <c r="A858" s="59" t="str">
        <f ca="1">IFERROR(__xludf.DUMMYFUNCTION("TEXTJOIN(""|"",TRUE,UNIQUE(FILTER(SPLIT(B858,"" ""),LEN(SPLIT(B858,"" ""))&gt;2)))"),"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f>
        <v>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v>
      </c>
      <c r="B858" s="59" t="str">
        <f ca="1">IFERROR(__xludf.DUMMYFUNCTION("LOWER(REGEXREPLACE(D858&amp;"" ""&amp;E858,""[^а-яa-z0-9 ]"","" ""))"),"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рименяет"&amp;"ся в учебно игровой деятельности ")</f>
        <v xml:space="preserve">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рименяется в учебно игровой деятельности </v>
      </c>
      <c r="C858" s="61" t="s">
        <v>14690</v>
      </c>
      <c r="D858" s="56" t="s">
        <v>14691</v>
      </c>
      <c r="E858" s="56" t="s">
        <v>14692</v>
      </c>
      <c r="F858" s="57">
        <v>9700</v>
      </c>
      <c r="G858" s="58">
        <v>5</v>
      </c>
      <c r="I858" s="5"/>
      <c r="J858" s="5"/>
    </row>
    <row r="859" spans="1:10" x14ac:dyDescent="0.2">
      <c r="A859" s="59" t="str">
        <f ca="1">IFERROR(__xludf.DUMMYFUNCTION("TEXTJOIN(""|"",TRUE,UNIQUE(FILTER(SPLIT(B859,"" ""),LEN(SPLIT(B859,"" ""))&gt;2)))"),"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amp;"х|растений|азмещаются|помещениях|декоративных|мкостях|требуют|сложного|ухода|подходят|для|эксплуатации|закрытых|пространствах")</f>
        <v>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х|растений|азмещаются|помещениях|декоративных|мкостях|требуют|сложного|ухода|подходят|для|эксплуатации|закрытых|пространствах</v>
      </c>
      <c r="B859" s="59" t="str">
        <f ca="1">IFERROR(__xludf.DUMMYFUNCTION("LOWER(REGEXREPLACE(D859&amp;"" ""&amp;E859,""[^а-яa-z0-9 ]"","" ""))"),"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воспри"&amp;"ятия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f>
        <v xml:space="preserve">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v>
      </c>
      <c r="C859" s="61" t="s">
        <v>14693</v>
      </c>
      <c r="D859" s="56" t="s">
        <v>14694</v>
      </c>
      <c r="E859" s="56" t="s">
        <v>14695</v>
      </c>
      <c r="F859" s="57">
        <v>45600</v>
      </c>
      <c r="G859" s="58">
        <v>5</v>
      </c>
      <c r="I859" s="5"/>
      <c r="J859" s="5"/>
    </row>
    <row r="860" spans="1:10" x14ac:dyDescent="0.2">
      <c r="A860" s="59" t="str">
        <f ca="1">IFERROR(__xludf.DUMMYFUNCTION("TEXTJOIN(""|"",TRUE,UNIQUE(FILTER(SPLIT(B860,"" ""),LEN(SPLIT(B860,"" ""))&gt;2)))"),"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amp;"тию|внимания|онструкция|рассчитана|многократное|использование")</f>
        <v>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тию|внимания|онструкция|рассчитана|многократное|использование</v>
      </c>
      <c r="B860" s="59" t="str">
        <f ca="1">IFERROR(__xludf.DUMMYFUNCTION("LOWER(REGEXREPLACE(D860&amp;"" ""&amp;E860,""[^а-яa-z0-9 ]"","" ""))"),"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деятельност"&amp;"ь способствует освоению операций сч та и развитию внимания   онструкция рассчитана на многократное использование ")</f>
        <v xml:space="preserve">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деятельность способствует освоению операций сч та и развитию внимания   онструкция рассчитана на многократное использование </v>
      </c>
      <c r="C860" s="61" t="s">
        <v>14696</v>
      </c>
      <c r="D860" s="56" t="s">
        <v>14697</v>
      </c>
      <c r="E860" s="56" t="s">
        <v>14698</v>
      </c>
      <c r="F860" s="57">
        <v>13000</v>
      </c>
      <c r="G860" s="58">
        <v>10</v>
      </c>
      <c r="I860" s="5"/>
      <c r="J860" s="5"/>
    </row>
    <row r="861" spans="1:10" x14ac:dyDescent="0.2">
      <c r="A861" s="59" t="str">
        <f ca="1">IFERROR(__xludf.DUMMYFUNCTION("TEXTJOIN(""|"",TRUE,UNIQUE(FILTER(SPLIT(B861,"" ""),LEN(SPLIT(B861,"" ""))&gt;2)))"),"южетные|картинки|абор|сюжетных|картинок|используется|для|развития|речи|мышления|воображения|детей|рименяется|индивидуальной|групповой|работе")</f>
        <v>южетные|картинки|абор|сюжетных|картинок|используется|для|развития|речи|мышления|воображения|детей|рименяется|индивидуальной|групповой|работе</v>
      </c>
      <c r="B861" s="59" t="str">
        <f ca="1">IFERROR(__xludf.DUMMYFUNCTION("LOWER(REGEXREPLACE(D861&amp;"" ""&amp;E861,""[^а-яa-z0-9 ]"","" ""))")," южетные картинки  абор сюжетных картинок используется для развития речи  мышления и воображения детей   рименяется в индивидуальной и групповой работе ")</f>
        <v xml:space="preserve"> южетные картинки  абор сюжетных картинок используется для развития речи  мышления и воображения детей   рименяется в индивидуальной и групповой работе </v>
      </c>
      <c r="C861" s="61" t="s">
        <v>14699</v>
      </c>
      <c r="D861" s="56" t="s">
        <v>14700</v>
      </c>
      <c r="E861" s="56" t="s">
        <v>14701</v>
      </c>
      <c r="F861" s="57">
        <v>7300</v>
      </c>
      <c r="G861" s="58">
        <v>21</v>
      </c>
      <c r="I861" s="5"/>
      <c r="J861" s="5"/>
    </row>
    <row r="862" spans="1:10" x14ac:dyDescent="0.2">
      <c r="A862" s="59" t="str">
        <f ca="1">IFERROR(__xludf.DUMMYFUNCTION("TEXTJOIN(""|"",TRUE,UNIQUE(FILTER(SPLIT(B862,"" ""),LEN(SPLIT(B862,"" ""))&gt;2)))"),"южетные|картинки|комплекты|абор|сюжетных|картинок|теме|кружающий|мир|атериал|бумага|картон|спользуется|образовательной|деятельности")</f>
        <v>южетные|картинки|комплекты|абор|сюжетных|картинок|теме|кружающий|мир|атериал|бумага|картон|спользуется|образовательной|деятельности</v>
      </c>
      <c r="B862" s="59" t="str">
        <f ca="1">IFERROR(__xludf.DUMMYFUNCTION("LOWER(REGEXREPLACE(D862&amp;"" ""&amp;E862,""[^а-яa-z0-9 ]"","" ""))")," южетные картинки   комплекты  абор сюжетных картинок по теме   кружающий мир    атериал   бумага  картон   спользуется в образовательной деятельности     ")</f>
        <v xml:space="preserve"> южетные картинки   комплекты  абор сюжетных картинок по теме   кружающий мир    атериал   бумага  картон   спользуется в образовательной деятельности     </v>
      </c>
      <c r="C862" s="61" t="s">
        <v>14702</v>
      </c>
      <c r="D862" s="56" t="s">
        <v>14703</v>
      </c>
      <c r="E862" s="56" t="s">
        <v>14704</v>
      </c>
      <c r="F862" s="57">
        <v>9500</v>
      </c>
      <c r="G862" s="58">
        <v>1</v>
      </c>
      <c r="I862" s="5"/>
      <c r="J862" s="5"/>
    </row>
    <row r="863" spans="1:10" x14ac:dyDescent="0.2">
      <c r="A863" s="59" t="str">
        <f ca="1">IFERROR(__xludf.DUMMYFUNCTION("TEXTJOIN(""|"",TRUE,UNIQUE(FILTER(SPLIT(B863,"" ""),LEN(SPLIT(B863,"" ""))&gt;2)))"),"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f>
        <v>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v>
      </c>
      <c r="B863" s="59" t="str">
        <f ca="1">IFERROR(__xludf.DUMMYFUNCTION("LOWER(REGEXREPLACE(D863&amp;"" ""&amp;E863,""[^а-яa-z0-9 ]"","" ""))"),"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f>
        <v xml:space="preserve">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v>
      </c>
      <c r="C863" s="61" t="s">
        <v>14705</v>
      </c>
      <c r="D863" s="56" t="s">
        <v>14706</v>
      </c>
      <c r="E863" s="56" t="s">
        <v>14707</v>
      </c>
      <c r="F863" s="57">
        <v>5700</v>
      </c>
      <c r="G863" s="58">
        <v>7</v>
      </c>
      <c r="I863" s="5"/>
      <c r="J863" s="5"/>
    </row>
    <row r="864" spans="1:10" x14ac:dyDescent="0.2">
      <c r="A864" s="59" t="str">
        <f ca="1">IFERROR(__xludf.DUMMYFUNCTION("TEXTJOIN(""|"",TRUE,UNIQUE(FILTER(SPLIT(B864,"" ""),LEN(SPLIT(B864,"" ""))&gt;2)))"),"аза|асыл|асырларда|жырауларды")</f>
        <v>аза|асыл|асырларда|жырауларды</v>
      </c>
      <c r="B864" s="59" t="str">
        <f ca="1">IFERROR(__xludf.DUMMYFUNCTION("LOWER(REGEXREPLACE(D864&amp;"" ""&amp;E864,""[^а-яa-z0-9 ]"","" ""))")," аза м нс з асыл с з           асырларда ы жырауларды   ")</f>
        <v xml:space="preserve"> аза м нс з асыл с з           асырларда ы жырауларды   </v>
      </c>
      <c r="C864" s="61" t="s">
        <v>14708</v>
      </c>
      <c r="D864" s="56" t="s">
        <v>14709</v>
      </c>
      <c r="E864" s="56"/>
      <c r="F864" s="57">
        <v>6400</v>
      </c>
      <c r="G864" s="58">
        <v>1</v>
      </c>
      <c r="I864" s="5"/>
      <c r="J864" s="5"/>
    </row>
    <row r="865" spans="1:10" x14ac:dyDescent="0.2">
      <c r="A865" s="59" t="str">
        <f ca="1">IFERROR(__xludf.DUMMYFUNCTION("TEXTJOIN(""|"",TRUE,UNIQUE(FILTER(SPLIT(B865,"" ""),LEN(SPLIT(B865,"" ""))&gt;2)))"),"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amp;"и")</f>
        <v>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и</v>
      </c>
      <c r="B865" s="59" t="str">
        <f ca="1">IFERROR(__xludf.DUMMYFUNCTION("LOWER(REGEXREPLACE(D865&amp;"" ""&amp;E865,""[^а-яa-z0-9 ]"","" ""))"),"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кисточк"&amp;"и  колесики  шершавые поверхности ")</f>
        <v xml:space="preserve">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 </v>
      </c>
      <c r="C865" s="61" t="s">
        <v>14710</v>
      </c>
      <c r="D865" s="56" t="s">
        <v>14711</v>
      </c>
      <c r="E865" s="56" t="s">
        <v>14712</v>
      </c>
      <c r="F865" s="57">
        <v>375400</v>
      </c>
      <c r="G865" s="58">
        <v>1</v>
      </c>
      <c r="I865" s="5"/>
      <c r="J865" s="5"/>
    </row>
    <row r="866" spans="1:10" x14ac:dyDescent="0.2">
      <c r="A866" s="59" t="str">
        <f ca="1">IFERROR(__xludf.DUMMYFUNCTION("TEXTJOIN(""|"",TRUE,UNIQUE(FILTER(SPLIT(B866,"" ""),LEN(SPLIT(B866,"" ""))&gt;2)))"),"актильные|ячики|пищалки|гравой|набор|сенсорной|тактильных|мячиков|штук|атериал|резина")</f>
        <v>актильные|ячики|пищалки|гравой|набор|сенсорной|тактильных|мячиков|штук|атериал|резина</v>
      </c>
      <c r="B866" s="59" t="str">
        <f ca="1">IFERROR(__xludf.DUMMYFUNCTION("LOWER(REGEXREPLACE(D866&amp;"" ""&amp;E866,""[^а-яa-z0-9 ]"","" ""))")," актильные   ячики пищалки   гравой набор сенсорной  тактильных мячиков 6 штук   атериал резина")</f>
        <v xml:space="preserve"> актильные   ячики пищалки   гравой набор сенсорной  тактильных мячиков 6 штук   атериал резина</v>
      </c>
      <c r="C866" s="61" t="s">
        <v>14713</v>
      </c>
      <c r="D866" s="56" t="s">
        <v>14714</v>
      </c>
      <c r="E866" s="56" t="s">
        <v>14715</v>
      </c>
      <c r="F866" s="57">
        <v>10500</v>
      </c>
      <c r="G866" s="58">
        <v>2</v>
      </c>
      <c r="I866" s="5"/>
      <c r="J866" s="5"/>
    </row>
    <row r="867" spans="1:10" x14ac:dyDescent="0.2">
      <c r="A867" s="59" t="str">
        <f ca="1">IFERROR(__xludf.DUMMYFUNCTION("TEXTJOIN(""|"",TRUE,UNIQUE(FILTER(SPLIT(B867,"" ""),LEN(SPLIT(B867,"" ""))&gt;2)))"),"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f>
        <v>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v>
      </c>
      <c r="B867" s="59" t="str">
        <f ca="1">IFERROR(__xludf.DUMMYFUNCTION("LOWER(REGEXREPLACE(D867&amp;"" ""&amp;E867,""[^а-яa-z0-9 ]"","" ""))"),"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f>
        <v xml:space="preserve">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v>
      </c>
      <c r="C867" s="61" t="s">
        <v>14716</v>
      </c>
      <c r="D867" s="56" t="s">
        <v>14717</v>
      </c>
      <c r="E867" s="56" t="s">
        <v>14718</v>
      </c>
      <c r="F867" s="57">
        <v>292800</v>
      </c>
      <c r="G867" s="58">
        <v>2</v>
      </c>
      <c r="I867" s="5"/>
      <c r="J867" s="5"/>
    </row>
    <row r="868" spans="1:10" x14ac:dyDescent="0.2">
      <c r="A868" s="59" t="str">
        <f ca="1">IFERROR(__xludf.DUMMYFUNCTION("TEXTJOIN(""|"",TRUE,UNIQUE(FILTER(SPLIT(B868,"" ""),LEN(SPLIT(B868,"" ""))&gt;2)))"),"актильные|карточки|актильные|карточки|используются|для|развития|сенсорного|восприятия|речи|мелкой|моторики|детей|дошкольного|возраста")</f>
        <v>актильные|карточки|актильные|карточки|используются|для|развития|сенсорного|восприятия|речи|мелкой|моторики|детей|дошкольного|возраста</v>
      </c>
      <c r="B868" s="59" t="str">
        <f ca="1">IFERROR(__xludf.DUMMYFUNCTION("LOWER(REGEXREPLACE(D868&amp;"" ""&amp;E868,""[^а-яa-z0-9 ]"","" ""))")," актильные карточки  актильные карточки используются для развития сенсорного восприятия  речи и мелкой моторики у детей дошкольного возраста ")</f>
        <v xml:space="preserve"> актильные карточки  актильные карточки используются для развития сенсорного восприятия  речи и мелкой моторики у детей дошкольного возраста </v>
      </c>
      <c r="C868" s="61" t="s">
        <v>14719</v>
      </c>
      <c r="D868" s="56" t="s">
        <v>14720</v>
      </c>
      <c r="E868" s="56" t="s">
        <v>14721</v>
      </c>
      <c r="F868" s="57">
        <v>5300</v>
      </c>
      <c r="G868" s="58">
        <v>1</v>
      </c>
      <c r="I868" s="5"/>
      <c r="J868" s="5"/>
    </row>
    <row r="869" spans="1:10" x14ac:dyDescent="0.2">
      <c r="A869" s="59" t="str">
        <f ca="1">IFERROR(__xludf.DUMMYFUNCTION("TEXTJOIN(""|"",TRUE,UNIQUE(FILTER(SPLIT(B869,"" ""),LEN(SPLIT(B869,"" ""))&gt;2)))"),"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amp;"и|движений|навыков|взаимодействия|между|детьми")</f>
        <v>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и|движений|навыков|взаимодействия|между|детьми</v>
      </c>
      <c r="B869" s="59" t="str">
        <f ca="1">IFERROR(__xludf.DUMMYFUNCTION("LOWER(REGEXREPLACE(D869&amp;"" ""&amp;E869,""[^а-яa-z0-9 ]"","" ""))"),"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формировани"&amp;"ю мелкой моторики  воображения  координации движений и навыков взаимодействия между детьми ")</f>
        <v xml:space="preserve">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 </v>
      </c>
      <c r="C869" s="61" t="s">
        <v>14722</v>
      </c>
      <c r="D869" s="56" t="s">
        <v>14723</v>
      </c>
      <c r="E869" s="56" t="s">
        <v>14724</v>
      </c>
      <c r="F869" s="57">
        <v>20400</v>
      </c>
      <c r="G869" s="58">
        <v>5</v>
      </c>
      <c r="I869" s="5"/>
      <c r="J869" s="5"/>
    </row>
    <row r="870" spans="1:10" x14ac:dyDescent="0.2">
      <c r="A870" s="59" t="str">
        <f ca="1">IFERROR(__xludf.DUMMYFUNCTION("TEXTJOIN(""|"",TRUE,UNIQUE(FILTER(SPLIT(B870,"" ""),LEN(SPLIT(B870,"" ""))&gt;2)))"),"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f>
        <v>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v>
      </c>
      <c r="B870" s="59" t="str">
        <f ca="1">IFERROR(__xludf.DUMMYFUNCTION("LOWER(REGEXREPLACE(D870&amp;"" ""&amp;E870,""[^а-яa-z0-9 ]"","" ""))"),"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диам"&amp;"етром 6 см   2 шт   атериалы безопасные и прочные ")</f>
        <v xml:space="preserve">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диаметром 6 см   2 шт   атериалы безопасные и прочные </v>
      </c>
      <c r="C870" s="61" t="s">
        <v>14725</v>
      </c>
      <c r="D870" s="56" t="s">
        <v>14726</v>
      </c>
      <c r="E870" s="56" t="s">
        <v>14727</v>
      </c>
      <c r="F870" s="57">
        <v>11400</v>
      </c>
      <c r="G870" s="58">
        <v>10</v>
      </c>
      <c r="I870" s="5"/>
      <c r="J870" s="5"/>
    </row>
    <row r="871" spans="1:10" x14ac:dyDescent="0.2">
      <c r="A871" s="59" t="str">
        <f ca="1">IFERROR(__xludf.DUMMYFUNCTION("TEXTJOIN(""|"",TRUE,UNIQUE(FILTER(SPLIT(B871,"" ""),LEN(SPLIT(B871,"" ""))&gt;2)))"),"арихи|тул|алар|огысбаев|ужикова")</f>
        <v>арихи|тул|алар|огысбаев|ужикова</v>
      </c>
      <c r="B871" s="59" t="str">
        <f ca="1">IFERROR(__xludf.DUMMYFUNCTION("LOWER(REGEXREPLACE(D871&amp;"" ""&amp;E871,""[^а-яa-z0-9 ]"","" ""))")," арихи тул алар    огысбаев     ужикова")</f>
        <v xml:space="preserve"> арихи тул алар    огысбаев     ужикова</v>
      </c>
      <c r="C871" s="61" t="s">
        <v>14728</v>
      </c>
      <c r="D871" s="56" t="s">
        <v>14729</v>
      </c>
      <c r="E871" s="56" t="s">
        <v>14730</v>
      </c>
      <c r="F871" s="57">
        <v>21900</v>
      </c>
      <c r="G871" s="58">
        <v>1</v>
      </c>
      <c r="I871" s="5"/>
      <c r="J871" s="5"/>
    </row>
    <row r="872" spans="1:10" x14ac:dyDescent="0.2">
      <c r="A872" s="59" t="str">
        <f ca="1">IFERROR(__xludf.DUMMYFUNCTION("TEXTJOIN(""|"",TRUE,UNIQUE(FILTER(SPLIT(B872,"" ""),LEN(SPLIT(B872,"" ""))&gt;2)))"),"шалар|нтеллектум")</f>
        <v>шалар|нтеллектум</v>
      </c>
      <c r="B872" s="59" t="str">
        <f ca="1">IFERROR(__xludf.DUMMYFUNCTION("LOWER(REGEXREPLACE(D872&amp;"" ""&amp;E872,""[^а-яa-z0-9 ]"","" ""))")," ая шалар  нтеллектум  ")</f>
        <v xml:space="preserve"> ая шалар  нтеллектум  </v>
      </c>
      <c r="C872" s="61" t="s">
        <v>14731</v>
      </c>
      <c r="D872" s="56" t="s">
        <v>14732</v>
      </c>
      <c r="E872" s="56" t="s">
        <v>14733</v>
      </c>
      <c r="F872" s="57">
        <v>11400</v>
      </c>
      <c r="G872" s="58">
        <v>1</v>
      </c>
      <c r="I872" s="5"/>
      <c r="J872" s="5"/>
    </row>
    <row r="873" spans="1:10" x14ac:dyDescent="0.2">
      <c r="A873" s="59" t="str">
        <f ca="1">IFERROR(__xludf.DUMMYFUNCTION("TEXTJOIN(""|"",TRUE,UNIQUE(FILTER(SPLIT(B873,"" ""),LEN(SPLIT(B873,"" ""))&gt;2)))"),"шалар|нтеллектум")</f>
        <v>шалар|нтеллектум</v>
      </c>
      <c r="B873" s="59" t="str">
        <f ca="1">IFERROR(__xludf.DUMMYFUNCTION("LOWER(REGEXREPLACE(D873&amp;"" ""&amp;E873,""[^а-яa-z0-9 ]"","" ""))")," ая шалар   нтеллектум")</f>
        <v xml:space="preserve"> ая шалар   нтеллектум</v>
      </c>
      <c r="C873" s="61" t="s">
        <v>14734</v>
      </c>
      <c r="D873" s="56" t="s">
        <v>14735</v>
      </c>
      <c r="E873" s="56" t="s">
        <v>12677</v>
      </c>
      <c r="F873" s="57">
        <v>11400</v>
      </c>
      <c r="G873" s="58">
        <v>75</v>
      </c>
      <c r="I873" s="5"/>
      <c r="J873" s="5"/>
    </row>
    <row r="874" spans="1:10" x14ac:dyDescent="0.2">
      <c r="A874" s="59" t="str">
        <f ca="1">IFERROR(__xludf.DUMMYFUNCTION("TEXTJOIN(""|"",TRUE,UNIQUE(FILTER(SPLIT(B874,"" ""),LEN(SPLIT(B874,"" ""))&gt;2)))"),"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amp;"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f>
        <v>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v>
      </c>
      <c r="B874" s="59" t="str">
        <f ca="1">IFERROR(__xludf.DUMMYFUNCTION("LOWER(REGEXREPLACE(D874&amp;"" ""&amp;E874,""[^а-яa-z0-9 ]"","" ""))"),"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выразител"&amp;"ьности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f>
        <v xml:space="preserve">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v>
      </c>
      <c r="C874" s="61" t="s">
        <v>14736</v>
      </c>
      <c r="D874" s="56" t="s">
        <v>14737</v>
      </c>
      <c r="E874" s="56" t="s">
        <v>14738</v>
      </c>
      <c r="F874" s="57">
        <v>34400</v>
      </c>
      <c r="G874" s="58">
        <v>5</v>
      </c>
      <c r="I874" s="5"/>
      <c r="J874" s="5"/>
    </row>
    <row r="875" spans="1:10" x14ac:dyDescent="0.2">
      <c r="A875" s="59" t="str">
        <f ca="1">IFERROR(__xludf.DUMMYFUNCTION("TEXTJOIN(""|"",TRUE,UNIQUE(FILTER(SPLIT(B875,"" ""),LEN(SPLIT(B875,"" ""))&gt;2)))"),"тез|тап|нтеллектум")</f>
        <v>тез|тап|нтеллектум</v>
      </c>
      <c r="B875" s="59" t="str">
        <f ca="1">IFERROR(__xludf.DUMMYFUNCTION("LOWER(REGEXREPLACE(D875&amp;"" ""&amp;E875,""[^а-яa-z0-9 ]"","" ""))"),"тез тап   нтеллектум")</f>
        <v>тез тап   нтеллектум</v>
      </c>
      <c r="C875" s="61" t="s">
        <v>14739</v>
      </c>
      <c r="D875" s="56" t="s">
        <v>14740</v>
      </c>
      <c r="E875" s="56" t="s">
        <v>12677</v>
      </c>
      <c r="F875" s="57">
        <v>10800</v>
      </c>
      <c r="G875" s="58">
        <v>75</v>
      </c>
      <c r="I875" s="5"/>
      <c r="J875" s="5"/>
    </row>
    <row r="876" spans="1:10" x14ac:dyDescent="0.2">
      <c r="A876" s="59" t="str">
        <f ca="1">IFERROR(__xludf.DUMMYFUNCTION("TEXTJOIN(""|"",TRUE,UNIQUE(FILTER(SPLIT(B876,"" ""),LEN(SPLIT(B876,"" ""))&gt;2)))"),"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amp;"сплуатации|детских|учреждениях")</f>
        <v>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сплуатации|детских|учреждениях</v>
      </c>
      <c r="B876" s="59" t="str">
        <f ca="1">IFERROR(__xludf.DUMMYFUNCTION("LOWER(REGEXREPLACE(D876&amp;"" ""&amp;E876,""[^а-яa-z0-9 ]"","" ""))"),"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"&amp;"безопасные для эксплуатации в детских учреждениях ")</f>
        <v xml:space="preserve">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безопасные для эксплуатации в детских учреждениях </v>
      </c>
      <c r="C876" s="61" t="s">
        <v>14741</v>
      </c>
      <c r="D876" s="56" t="s">
        <v>14742</v>
      </c>
      <c r="E876" s="56" t="s">
        <v>14743</v>
      </c>
      <c r="F876" s="57">
        <v>123500</v>
      </c>
      <c r="G876" s="58">
        <v>1</v>
      </c>
      <c r="I876" s="5"/>
      <c r="J876" s="5"/>
    </row>
    <row r="877" spans="1:10" x14ac:dyDescent="0.2">
      <c r="A877" s="59" t="str">
        <f ca="1">IFERROR(__xludf.DUMMYFUNCTION("TEXTJOIN(""|"",TRUE,UNIQUE(FILTER(SPLIT(B877,"" ""),LEN(SPLIT(B877,"" ""))&gt;2)))"),"ележка|для|белья|tekne|2700k|нешние|размеры|640x1040x790h|нутренние|размеры|590x930x515h|рузоподъемность|250")</f>
        <v>ележка|для|белья|tekne|2700k|нешние|размеры|640x1040x790h|нутренние|размеры|590x930x515h|рузоподъемность|250</v>
      </c>
      <c r="B877" s="59" t="str">
        <f ca="1">IFERROR(__xludf.DUMMYFUNCTION("LOWER(REGEXREPLACE(D877&amp;"" ""&amp;E877,""[^а-яa-z0-9 ]"","" ""))")," ележка для белья tekne 2700k  нешние размеры  640x1040x790h мм   нутренние размеры  590x930x515h мм   рузоподъемность  250 кг")</f>
        <v xml:space="preserve"> ележка для белья tekne 2700k  нешние размеры  640x1040x790h мм   нутренние размеры  590x930x515h мм   рузоподъемность  250 кг</v>
      </c>
      <c r="C877" s="61" t="s">
        <v>14744</v>
      </c>
      <c r="D877" s="56" t="s">
        <v>14745</v>
      </c>
      <c r="E877" s="56" t="s">
        <v>14746</v>
      </c>
      <c r="F877" s="57">
        <v>96400</v>
      </c>
      <c r="G877" s="58">
        <v>2</v>
      </c>
      <c r="I877" s="5"/>
      <c r="J877" s="5"/>
    </row>
    <row r="878" spans="1:10" x14ac:dyDescent="0.2">
      <c r="A878" s="59" t="str">
        <f ca="1">IFERROR(__xludf.DUMMYFUNCTION("TEXTJOIN(""|"",TRUE,UNIQUE(FILTER(SPLIT(B878,"" ""),LEN(SPLIT(B878,"" ""))&gt;2)))"),"ележка|для|гастроемкостей|agn1|1x16|ержавеющая|сталь|430|местимость|тележки|азмеры|подноса|араметры|383x530x1650")</f>
        <v>ележка|для|гастроемкостей|agn1|1x16|ержавеющая|сталь|430|местимость|тележки|азмеры|подноса|араметры|383x530x1650</v>
      </c>
      <c r="B878" s="59" t="str">
        <f ca="1">IFERROR(__xludf.DUMMYFUNCTION("LOWER(REGEXREPLACE(D878&amp;"" ""&amp;E878,""[^а-яa-z0-9 ]"","" ""))")," ележка для гастроемкостей 1 1 ce agn1 1x16  ержавеющая сталь      430   местимость тележки  16   азмеры подноса     1 1   араметры  383x530x1650 mm")</f>
        <v xml:space="preserve"> ележка для гастроемкостей 1 1 ce agn1 1x16  ержавеющая сталь      430   местимость тележки  16   азмеры подноса     1 1   араметры  383x530x1650 mm</v>
      </c>
      <c r="C878" s="61" t="s">
        <v>14747</v>
      </c>
      <c r="D878" s="56" t="s">
        <v>14748</v>
      </c>
      <c r="E878" s="56" t="s">
        <v>14749</v>
      </c>
      <c r="F878" s="57">
        <v>281500</v>
      </c>
      <c r="G878" s="58">
        <v>1</v>
      </c>
      <c r="I878" s="5"/>
      <c r="J878" s="5"/>
    </row>
    <row r="879" spans="1:10" x14ac:dyDescent="0.2">
      <c r="A879" s="59" t="str">
        <f ca="1">IFERROR(__xludf.DUMMYFUNCTION("TEXTJOIN(""|"",TRUE,UNIQUE(FILTER(SPLIT(B879,"" ""),LEN(SPLIT(B879,"" ""))&gt;2)))"),"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amp;"ые")</f>
        <v>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ые</v>
      </c>
      <c r="B879" s="59" t="str">
        <f ca="1">IFERROR(__xludf.DUMMYFUNCTION("LOWER(REGEXREPLACE(D879&amp;"" ""&amp;E879,""[^а-яa-z0-9 ]"","" ""))"),"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изно"&amp;"состойкие и безопасные ")</f>
        <v xml:space="preserve">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износостойкие и безопасные </v>
      </c>
      <c r="C879" s="61" t="s">
        <v>14750</v>
      </c>
      <c r="D879" s="56" t="s">
        <v>14751</v>
      </c>
      <c r="E879" s="56" t="s">
        <v>14752</v>
      </c>
      <c r="F879" s="57">
        <v>208600</v>
      </c>
      <c r="G879" s="58">
        <v>1</v>
      </c>
      <c r="I879" s="5"/>
      <c r="J879" s="5"/>
    </row>
    <row r="880" spans="1:10" x14ac:dyDescent="0.2">
      <c r="A880" s="59" t="str">
        <f ca="1">IFERROR(__xludf.DUMMYFUNCTION("TEXTJOIN(""|"",TRUE,UNIQUE(FILTER(SPLIT(B880,"" ""),LEN(SPLIT(B880,"" ""))&gt;2)))"),"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amp;"ти|творческих|работ")</f>
        <v>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ти|творческих|работ</v>
      </c>
      <c r="B880" s="59" t="str">
        <f ca="1">IFERROR(__xludf.DUMMYFUNCTION("LOWER(REGEXREPLACE(D880&amp;"" ""&amp;E880,""[^а-яa-z0-9 ]"","" ""))"),"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изобраз"&amp;"ительной деятельности и творческих работ ")</f>
        <v xml:space="preserve">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изобразительной деятельности и творческих работ </v>
      </c>
      <c r="C880" s="61" t="s">
        <v>14753</v>
      </c>
      <c r="D880" s="56" t="s">
        <v>14754</v>
      </c>
      <c r="E880" s="56" t="s">
        <v>14755</v>
      </c>
      <c r="F880" s="57">
        <v>11900</v>
      </c>
      <c r="G880" s="58">
        <v>25</v>
      </c>
      <c r="I880" s="5"/>
      <c r="J880" s="5"/>
    </row>
    <row r="881" spans="1:10" x14ac:dyDescent="0.2">
      <c r="A881" s="59" t="str">
        <f ca="1">IFERROR(__xludf.DUMMYFUNCTION("TEXTJOIN(""|"",TRUE,UNIQUE(FILTER(SPLIT(B881,"" ""),LEN(SPLIT(B881,"" ""))&gt;2)))"),"ележка|сервисная|asi55x86x2|ержавеющая|сталь|430|полками|колесами|араметры|550x860x900")</f>
        <v>ележка|сервисная|asi55x86x2|ержавеющая|сталь|430|полками|колесами|араметры|550x860x900</v>
      </c>
      <c r="B881" s="59" t="str">
        <f ca="1">IFERROR(__xludf.DUMMYFUNCTION("LOWER(REGEXREPLACE(D881&amp;"" ""&amp;E881,""[^а-яa-z0-9 ]"","" ""))")," ележка сервисная 2 ур  ce asi55x86x2  ержавеющая сталь      430    2 полками  и 4 колесами   араметры  550x860x900 mm")</f>
        <v xml:space="preserve"> ележка сервисная 2 ур  ce asi55x86x2  ержавеющая сталь      430    2 полками  и 4 колесами   араметры  550x860x900 mm</v>
      </c>
      <c r="C881" s="61" t="s">
        <v>14756</v>
      </c>
      <c r="D881" s="56" t="s">
        <v>14757</v>
      </c>
      <c r="E881" s="56" t="s">
        <v>14758</v>
      </c>
      <c r="F881" s="57">
        <v>254900</v>
      </c>
      <c r="G881" s="58">
        <v>2</v>
      </c>
      <c r="I881" s="5"/>
      <c r="J881" s="5"/>
    </row>
    <row r="882" spans="1:10" x14ac:dyDescent="0.2">
      <c r="A882" s="59" t="str">
        <f ca="1">IFERROR(__xludf.DUMMYFUNCTION("TEXTJOIN(""|"",TRUE,UNIQUE(FILTER(SPLIT(B882,"" ""),LEN(SPLIT(B882,"" ""))&gt;2)))"),"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amp;"|пластик")</f>
        <v>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пластик</v>
      </c>
      <c r="B882" s="59" t="str">
        <f ca="1">IFERROR(__xludf.DUMMYFUNCTION("LOWER(REGEXREPLACE(D882&amp;"" ""&amp;E882,""[^а-яa-z0-9 ]"","" ""))"),"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атер"&amp;"иал   безопасный пластик ")</f>
        <v xml:space="preserve">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атериал   безопасный пластик </v>
      </c>
      <c r="C882" s="61" t="s">
        <v>14759</v>
      </c>
      <c r="D882" s="56" t="s">
        <v>14760</v>
      </c>
      <c r="E882" s="56" t="s">
        <v>14761</v>
      </c>
      <c r="F882" s="57">
        <v>5700</v>
      </c>
      <c r="G882" s="58">
        <v>1</v>
      </c>
      <c r="I882" s="5"/>
      <c r="J882" s="5"/>
    </row>
    <row r="883" spans="1:10" x14ac:dyDescent="0.2">
      <c r="A883" s="59" t="str">
        <f ca="1">IFERROR(__xludf.DUMMYFUNCTION("TEXTJOIN(""|"",TRUE,UNIQUE(FILTER(SPLIT(B883,"" ""),LEN(SPLIT(B883,"" ""))&gt;2)))"),"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amp;"нужд")</f>
        <v>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нужд</v>
      </c>
      <c r="B883" s="59" t="str">
        <f ca="1">IFERROR(__xludf.DUMMYFUNCTION("LOWER(REGEXREPLACE(D883&amp;"" ""&amp;E883,""[^а-яa-z0-9 ]"","" ""))"),"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за"&amp;"нятий творчеством и хозяйственных нужд ")</f>
        <v xml:space="preserve">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занятий творчеством и хозяйственных нужд </v>
      </c>
      <c r="C883" s="61" t="s">
        <v>14762</v>
      </c>
      <c r="D883" s="56" t="s">
        <v>14763</v>
      </c>
      <c r="E883" s="56" t="s">
        <v>14764</v>
      </c>
      <c r="F883" s="57">
        <v>11400</v>
      </c>
      <c r="G883" s="58">
        <v>25</v>
      </c>
      <c r="I883" s="5"/>
      <c r="J883" s="5"/>
    </row>
    <row r="884" spans="1:10" x14ac:dyDescent="0.2">
      <c r="A884" s="59" t="str">
        <f ca="1">IFERROR(__xludf.DUMMYFUNCTION("TEXTJOIN(""|"",TRUE,UNIQUE(FILTER(SPLIT(B884,"" ""),LEN(SPLIT(B884,"" ""))&gt;2)))"),"ермоконтейнер|онтейнер|для|временного|хранения|транспортировки|медикаментов|поддержанием|температурного|режима")</f>
        <v>ермоконтейнер|онтейнер|для|временного|хранения|транспортировки|медикаментов|поддержанием|температурного|режима</v>
      </c>
      <c r="B884" s="59" t="str">
        <f ca="1">IFERROR(__xludf.DUMMYFUNCTION("LOWER(REGEXREPLACE(D884&amp;"" ""&amp;E884,""[^а-яa-z0-9 ]"","" ""))")," ермоконтейнер  онтейнер для временного хранения и транспортировки медикаментов с поддержанием температурного режима ")</f>
        <v xml:space="preserve"> ермоконтейнер  онтейнер для временного хранения и транспортировки медикаментов с поддержанием температурного режима </v>
      </c>
      <c r="C884" s="61" t="s">
        <v>14765</v>
      </c>
      <c r="D884" s="56" t="s">
        <v>14766</v>
      </c>
      <c r="E884" s="56" t="s">
        <v>14767</v>
      </c>
      <c r="F884" s="57">
        <v>107900</v>
      </c>
      <c r="G884" s="58">
        <v>1</v>
      </c>
      <c r="I884" s="5"/>
      <c r="J884" s="5"/>
    </row>
    <row r="885" spans="1:10" x14ac:dyDescent="0.2">
      <c r="A885" s="59" t="str">
        <f ca="1">IFERROR(__xludf.DUMMYFUNCTION("TEXTJOIN(""|"",TRUE,UNIQUE(FILTER(SPLIT(B885,"" ""),LEN(SPLIT(B885,"" ""))&gt;2)))"),"ермометр|рибор|для|измерения|температуры|тела|спользуется|медицинском|кабинете")</f>
        <v>ермометр|рибор|для|измерения|температуры|тела|спользуется|медицинском|кабинете</v>
      </c>
      <c r="B885" s="59" t="str">
        <f ca="1">IFERROR(__xludf.DUMMYFUNCTION("LOWER(REGEXREPLACE(D885&amp;"" ""&amp;E885,""[^а-яa-z0-9 ]"","" ""))")," ермометр  рибор для измерения температуры тела   спользуется в медицинском кабинете     ")</f>
        <v xml:space="preserve"> ермометр  рибор для измерения температуры тела   спользуется в медицинском кабинете     </v>
      </c>
      <c r="C885" s="61" t="s">
        <v>14768</v>
      </c>
      <c r="D885" s="56" t="s">
        <v>5690</v>
      </c>
      <c r="E885" s="56" t="s">
        <v>14769</v>
      </c>
      <c r="F885" s="57">
        <v>3000</v>
      </c>
      <c r="G885" s="58">
        <v>5</v>
      </c>
      <c r="I885" s="5"/>
      <c r="J885" s="5"/>
    </row>
    <row r="886" spans="1:10" x14ac:dyDescent="0.2">
      <c r="A886" s="59" t="str">
        <f ca="1">IFERROR(__xludf.DUMMYFUNCTION("TEXTJOIN(""|"",TRUE,UNIQUE(FILTER(SPLIT(B886,"" ""),LEN(SPLIT(B886,"" ""))&gt;2)))"),"ехническая|раковина|me50x58|ержавеющая|сталь|430|ойка|40x40x25|араметры|500x580x800")</f>
        <v>ехническая|раковина|me50x58|ержавеющая|сталь|430|ойка|40x40x25|араметры|500x580x800</v>
      </c>
      <c r="B886" s="59" t="str">
        <f ca="1">IFERROR(__xludf.DUMMYFUNCTION("LOWER(REGEXREPLACE(D886&amp;"" ""&amp;E886,""[^а-яa-z0-9 ]"","" ""))")," ехническая раковина ce me50x58  ержавеющая сталь      430   ойка 40x40x25 см   араметры  500x580x800 мм")</f>
        <v xml:space="preserve"> ехническая раковина ce me50x58  ержавеющая сталь      430   ойка 40x40x25 см   араметры  500x580x800 мм</v>
      </c>
      <c r="C886" s="61" t="s">
        <v>14770</v>
      </c>
      <c r="D886" s="56" t="s">
        <v>14771</v>
      </c>
      <c r="E886" s="56" t="s">
        <v>14772</v>
      </c>
      <c r="F886" s="57">
        <v>329600</v>
      </c>
      <c r="G886" s="58">
        <v>1</v>
      </c>
      <c r="I886" s="5"/>
      <c r="J886" s="5"/>
    </row>
    <row r="887" spans="1:10" x14ac:dyDescent="0.2">
      <c r="A887" s="59" t="str">
        <f ca="1">IFERROR(__xludf.DUMMYFUNCTION("TEXTJOIN(""|"",TRUE,UNIQUE(FILTER(SPLIT(B887,"" ""),LEN(SPLIT(B887,"" ""))&gt;2)))"),"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amp;"|безопасные|износостойкие")</f>
        <v>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безопасные|износостойкие</v>
      </c>
      <c r="B887" s="59" t="str">
        <f ca="1">IFERROR(__xludf.DUMMYFUNCTION("LOWER(REGEXREPLACE(D887&amp;"" ""&amp;E887,""[^а-яa-z0-9 ]"","" ""))"),"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"&amp;"  атериалы мягкие  безопасные  износостойкие ")</f>
        <v xml:space="preserve">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атериалы мягкие  безопасные  износостойкие </v>
      </c>
      <c r="C887" s="61" t="s">
        <v>14773</v>
      </c>
      <c r="D887" s="56" t="s">
        <v>14774</v>
      </c>
      <c r="E887" s="56" t="s">
        <v>14775</v>
      </c>
      <c r="F887" s="57">
        <v>15000</v>
      </c>
      <c r="G887" s="58">
        <v>1</v>
      </c>
      <c r="I887" s="5"/>
      <c r="J887" s="5"/>
    </row>
    <row r="888" spans="1:10" x14ac:dyDescent="0.2">
      <c r="A888" s="59" t="str">
        <f ca="1">IFERROR(__xludf.DUMMYFUNCTION("TEXTJOIN(""|"",TRUE,UNIQUE(FILTER(SPLIT(B888,"" ""),LEN(SPLIT(B888,"" ""))&gt;2)))"),"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f>
        <v>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v>
      </c>
      <c r="B888" s="59" t="str">
        <f ca="1">IFERROR(__xludf.DUMMYFUNCTION("LOWER(REGEXREPLACE(D888&amp;"" ""&amp;E888,""[^а-яa-z0-9 ]"","" ""))"),"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f>
        <v xml:space="preserve">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v>
      </c>
      <c r="C888" s="61" t="s">
        <v>14776</v>
      </c>
      <c r="D888" s="56" t="s">
        <v>14777</v>
      </c>
      <c r="E888" s="56" t="s">
        <v>14778</v>
      </c>
      <c r="F888" s="57">
        <v>9000</v>
      </c>
      <c r="G888" s="58">
        <v>10</v>
      </c>
      <c r="I888" s="5"/>
      <c r="J888" s="5"/>
    </row>
    <row r="889" spans="1:10" x14ac:dyDescent="0.2">
      <c r="A889" s="59" t="str">
        <f ca="1">IFERROR(__xludf.DUMMYFUNCTION("TEXTJOIN(""|"",TRUE,UNIQUE(FILTER(SPLIT(B889,"" ""),LEN(SPLIT(B889,"" ""))&gt;2)))"),"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f>
        <v>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v>
      </c>
      <c r="B889" s="59" t="str">
        <f ca="1">IFERROR(__xludf.DUMMYFUNCTION("LOWER(REGEXREPLACE(D889&amp;"" ""&amp;E889,""[^а-яa-z0-9 ]"","" ""))"),"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f>
        <v xml:space="preserve">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v>
      </c>
      <c r="C889" s="61" t="s">
        <v>14779</v>
      </c>
      <c r="D889" s="56" t="s">
        <v>14780</v>
      </c>
      <c r="E889" s="56" t="s">
        <v>14781</v>
      </c>
      <c r="F889" s="57">
        <v>1800</v>
      </c>
      <c r="G889" s="58">
        <v>12</v>
      </c>
      <c r="I889" s="5"/>
      <c r="J889" s="5"/>
    </row>
    <row r="890" spans="1:10" x14ac:dyDescent="0.2">
      <c r="A890" s="59" t="str">
        <f ca="1">IFERROR(__xludf.DUMMYFUNCTION("TEXTJOIN(""|"",TRUE,UNIQUE(FILTER(SPLIT(B890,"" ""),LEN(SPLIT(B890,"" ""))&gt;2)))"),"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f>
        <v>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v>
      </c>
      <c r="B890" s="59" t="str">
        <f ca="1">IFERROR(__xludf.DUMMYFUNCTION("LOWER(REGEXREPLACE(D890&amp;"" ""&amp;E890,""[^а-яa-z0-9 ]"","" ""))"),"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безопасны"&amp;" для детей ")</f>
        <v xml:space="preserve">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 для детей </v>
      </c>
      <c r="C890" s="61" t="s">
        <v>14782</v>
      </c>
      <c r="D890" s="56" t="s">
        <v>14783</v>
      </c>
      <c r="E890" s="56" t="s">
        <v>14784</v>
      </c>
      <c r="F890" s="57">
        <v>100700</v>
      </c>
      <c r="G890" s="58">
        <v>4</v>
      </c>
      <c r="I890" s="5"/>
      <c r="J890" s="5"/>
    </row>
    <row r="891" spans="1:10" x14ac:dyDescent="0.2">
      <c r="A891" s="59" t="str">
        <f ca="1">IFERROR(__xludf.DUMMYFUNCTION("TEXTJOIN(""|"",TRUE,UNIQUE(FILTER(SPLIT(B891,"" ""),LEN(SPLIT(B891,"" ""))&gt;2)))"),"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amp;"охранять|чистоту|изделий|комплект|входит|менее|губок")</f>
        <v>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охранять|чистоту|изделий|комплект|входит|менее|губок</v>
      </c>
      <c r="B891" s="59" t="str">
        <f ca="1">IFERROR(__xludf.DUMMYFUNCTION("LOWER(REGEXREPLACE(D891&amp;"" ""&amp;E891,""[^а-яa-z0-9 ]"","" ""))"),"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каждого"&amp;" этапа позволяет сохранять чистоту изделий    комплект входит не менее 12 губок ")</f>
        <v xml:space="preserve">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 этапа позволяет сохранять чистоту изделий    комплект входит не менее 12 губок </v>
      </c>
      <c r="C891" s="61" t="s">
        <v>14785</v>
      </c>
      <c r="D891" s="56" t="s">
        <v>14786</v>
      </c>
      <c r="E891" s="56" t="s">
        <v>14787</v>
      </c>
      <c r="F891" s="57">
        <v>5700</v>
      </c>
      <c r="G891" s="58">
        <v>10</v>
      </c>
      <c r="I891" s="5"/>
      <c r="J891" s="5"/>
    </row>
    <row r="892" spans="1:10" x14ac:dyDescent="0.2">
      <c r="A892" s="59" t="str">
        <f ca="1">IFERROR(__xludf.DUMMYFUNCTION("TEXTJOIN(""|"",TRUE,UNIQUE(FILTER(SPLIT(B892,"" ""),LEN(SPLIT(B892,"" ""))&gt;2)))"),"онометр|рибор|для|измерения|артериального|давления|используется|при|медицинских|осмотрах|детей|персонала")</f>
        <v>онометр|рибор|для|измерения|артериального|давления|используется|при|медицинских|осмотрах|детей|персонала</v>
      </c>
      <c r="B892" s="59" t="str">
        <f ca="1">IFERROR(__xludf.DUMMYFUNCTION("LOWER(REGEXREPLACE(D892&amp;"" ""&amp;E892,""[^а-яa-z0-9 ]"","" ""))")," онометр  рибор для измерения артериального давления  используется при медицинских осмотрах детей и персонала ")</f>
        <v xml:space="preserve"> онометр  рибор для измерения артериального давления  используется при медицинских осмотрах детей и персонала </v>
      </c>
      <c r="C892" s="61" t="s">
        <v>14788</v>
      </c>
      <c r="D892" s="56" t="s">
        <v>14789</v>
      </c>
      <c r="E892" s="56" t="s">
        <v>14790</v>
      </c>
      <c r="F892" s="57">
        <v>17800</v>
      </c>
      <c r="G892" s="58">
        <v>2</v>
      </c>
      <c r="I892" s="5"/>
      <c r="J892" s="5"/>
    </row>
    <row r="893" spans="1:10" x14ac:dyDescent="0.2">
      <c r="A893" s="59" t="str">
        <f ca="1">IFERROR(__xludf.DUMMYFUNCTION("TEXTJOIN(""|"",TRUE,UNIQUE(FILTER(SPLIT(B893,"" ""),LEN(SPLIT(B893,"" ""))&gt;2)))"),"лубаев")</f>
        <v>лубаев</v>
      </c>
      <c r="B893" s="59" t="str">
        <f ca="1">IFERROR(__xludf.DUMMYFUNCTION("LOWER(REGEXREPLACE(D893&amp;"" ""&amp;E893,""[^а-яa-z0-9 ]"","" ""))"),"  рт т л к с зд г   лубаев   ")</f>
        <v xml:space="preserve">  рт т л к с зд г   лубаев   </v>
      </c>
      <c r="C893" s="61" t="s">
        <v>14791</v>
      </c>
      <c r="D893" s="56" t="s">
        <v>14792</v>
      </c>
      <c r="E893" s="56" t="s">
        <v>14584</v>
      </c>
      <c r="F893" s="57">
        <v>7000</v>
      </c>
      <c r="G893" s="58">
        <v>1</v>
      </c>
      <c r="I893" s="5"/>
      <c r="J893" s="5"/>
    </row>
    <row r="894" spans="1:10" x14ac:dyDescent="0.2">
      <c r="A894" s="59" t="str">
        <f ca="1">IFERROR(__xludf.DUMMYFUNCTION("TEXTJOIN(""|"",TRUE,UNIQUE(FILTER(SPLIT(B894,"" ""),LEN(SPLIT(B894,"" ""))&gt;2)))"),"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f>
        <v>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v>
      </c>
      <c r="B894" s="59" t="str">
        <f ca="1">IFERROR(__xludf.DUMMYFUNCTION("LOWER(REGEXREPLACE(D894&amp;"" ""&amp;E894,""[^а-яa-z0-9 ]"","" ""))"),"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f>
        <v xml:space="preserve">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v>
      </c>
      <c r="C894" s="61" t="s">
        <v>14793</v>
      </c>
      <c r="D894" s="56" t="s">
        <v>14794</v>
      </c>
      <c r="E894" s="56" t="s">
        <v>14795</v>
      </c>
      <c r="F894" s="57">
        <v>45600</v>
      </c>
      <c r="G894" s="58">
        <v>5</v>
      </c>
      <c r="I894" s="5"/>
      <c r="J894" s="5"/>
    </row>
    <row r="895" spans="1:10" x14ac:dyDescent="0.2">
      <c r="A895" s="59" t="str">
        <f ca="1">IFERROR(__xludf.DUMMYFUNCTION("TEXTJOIN(""|"",TRUE,UNIQUE(FILTER(SPLIT(B895,"" ""),LEN(SPLIT(B895,"" ""))&gt;2)))"),"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f>
        <v>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v>
      </c>
      <c r="B895" s="59" t="str">
        <f ca="1">IFERROR(__xludf.DUMMYFUNCTION("LOWER(REGEXREPLACE(D895&amp;"" ""&amp;E895,""[^а-яa-z0-9 ]"","" ""))"),"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f>
        <v xml:space="preserve">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v>
      </c>
      <c r="C895" s="61" t="s">
        <v>14796</v>
      </c>
      <c r="D895" s="56" t="s">
        <v>14797</v>
      </c>
      <c r="E895" s="56" t="s">
        <v>14798</v>
      </c>
      <c r="F895" s="57">
        <v>19800</v>
      </c>
      <c r="G895" s="58">
        <v>7</v>
      </c>
      <c r="I895" s="5"/>
      <c r="J895" s="5"/>
    </row>
    <row r="896" spans="1:10" x14ac:dyDescent="0.2">
      <c r="A896" s="59" t="str">
        <f ca="1">IFERROR(__xludf.DUMMYFUNCTION("TEXTJOIN(""|"",TRUE,UNIQUE(FILTER(SPLIT(B896,"" ""),LEN(SPLIT(B896,"" ""))&gt;2)))"),"задачи|казка")</f>
        <v>задачи|казка</v>
      </c>
      <c r="B896" s="59" t="str">
        <f ca="1">IFERROR(__xludf.DUMMYFUNCTION("LOWER(REGEXREPLACE(D896&amp;"" ""&amp;E896,""[^а-яa-z0-9 ]"","" ""))")," ри задачи   казка ")</f>
        <v xml:space="preserve"> ри задачи   казка </v>
      </c>
      <c r="C896" s="61" t="s">
        <v>14799</v>
      </c>
      <c r="D896" s="56" t="s">
        <v>14800</v>
      </c>
      <c r="E896" s="56"/>
      <c r="F896" s="57">
        <v>2000</v>
      </c>
      <c r="G896" s="58">
        <v>1</v>
      </c>
      <c r="I896" s="5"/>
      <c r="J896" s="5"/>
    </row>
    <row r="897" spans="1:10" x14ac:dyDescent="0.2">
      <c r="A897" s="59" t="str">
        <f ca="1">IFERROR(__xludf.DUMMYFUNCTION("TEXTJOIN(""|"",TRUE,UNIQUE(FILTER(SPLIT(B897,"" ""),LEN(SPLIT(B897,"" ""))&gt;2)))"),"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amp;"атериалы|безопасные|легко|очищаемые")</f>
        <v>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атериалы|безопасные|легко|очищаемые</v>
      </c>
      <c r="B897" s="59" t="str">
        <f ca="1">IFERROR(__xludf.DUMMYFUNCTION("LOWER(REGEXREPLACE(D897&amp;"" ""&amp;E897,""[^а-яa-z0-9 ]"","" ""))"),"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образоват"&amp;"ельной деятельности   атериалы безопасные  легко очищаемые ")</f>
        <v xml:space="preserve">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образовательной деятельности   атериалы безопасные  легко очищаемые </v>
      </c>
      <c r="C897" s="61" t="s">
        <v>14801</v>
      </c>
      <c r="D897" s="56" t="s">
        <v>14802</v>
      </c>
      <c r="E897" s="56" t="s">
        <v>14803</v>
      </c>
      <c r="F897" s="57">
        <v>22800</v>
      </c>
      <c r="G897" s="58">
        <v>5</v>
      </c>
      <c r="I897" s="5"/>
      <c r="J897" s="5"/>
    </row>
    <row r="898" spans="1:10" x14ac:dyDescent="0.2">
      <c r="A898" s="59" t="str">
        <f ca="1">IFERROR(__xludf.DUMMYFUNCTION("TEXTJOIN(""|"",TRUE,UNIQUE(FILTER(SPLIT(B898,"" ""),LEN(SPLIT(B898,"" ""))&gt;2)))"),"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f>
        <v>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v>
      </c>
      <c r="B898" s="59" t="str">
        <f ca="1">IFERROR(__xludf.DUMMYFUNCTION("LOWER(REGEXREPLACE(D898&amp;"" ""&amp;E898,""[^а-яa-z0-9 ]"","" ""))"),"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f>
        <v xml:space="preserve">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v>
      </c>
      <c r="C898" s="61" t="s">
        <v>14804</v>
      </c>
      <c r="D898" s="56" t="s">
        <v>14805</v>
      </c>
      <c r="E898" s="56" t="s">
        <v>14806</v>
      </c>
      <c r="F898" s="57">
        <v>126000</v>
      </c>
      <c r="G898" s="58">
        <v>5</v>
      </c>
      <c r="I898" s="5"/>
      <c r="J898" s="5"/>
    </row>
    <row r="899" spans="1:10" x14ac:dyDescent="0.2">
      <c r="A899" s="59" t="str">
        <f ca="1">IFERROR(__xludf.DUMMYFUNCTION("TEXTJOIN(""|"",TRUE,UNIQUE(FILTER(SPLIT(B899,"" ""),LEN(SPLIT(B899,"" ""))&gt;2)))"),"умба|для|кухонного|гарнитура|полкой|тол|тумба|купе|800|600|850|870")</f>
        <v>умба|для|кухонного|гарнитура|полкой|тол|тумба|купе|800|600|850|870</v>
      </c>
      <c r="B899" s="59" t="str">
        <f ca="1">IFERROR(__xludf.DUMMYFUNCTION("LOWER(REGEXREPLACE(D899&amp;"" ""&amp;E899,""[^а-яa-z0-9 ]"","" ""))")," умба для кухонного гарнитура с полкой  тол тумба купе       8 6     800 600 850 870 мм ")</f>
        <v xml:space="preserve"> умба для кухонного гарнитура с полкой  тол тумба купе       8 6     800 600 850 870 мм </v>
      </c>
      <c r="C899" s="61" t="s">
        <v>14807</v>
      </c>
      <c r="D899" s="56" t="s">
        <v>14808</v>
      </c>
      <c r="E899" s="63" t="s">
        <v>3419</v>
      </c>
      <c r="F899" s="57">
        <v>326250</v>
      </c>
      <c r="G899" s="58">
        <v>13</v>
      </c>
      <c r="I899" s="5"/>
      <c r="J899" s="5"/>
    </row>
    <row r="900" spans="1:10" x14ac:dyDescent="0.2">
      <c r="A900" s="59" t="str">
        <f ca="1">IFERROR(__xludf.DUMMYFUNCTION("TEXTJOIN(""|"",TRUE,UNIQUE(FILTER(SPLIT(B900,"" ""),LEN(SPLIT(B900,"" ""))&gt;2)))"),"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f>
        <v>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v>
      </c>
      <c r="B900" s="59" t="str">
        <f ca="1">IFERROR(__xludf.DUMMYFUNCTION("LOWER(REGEXREPLACE(D900&amp;"" ""&amp;E900,""[^а-яa-z0-9 ]"","" ""))"),"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f>
        <v xml:space="preserve">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v>
      </c>
      <c r="C900" s="61" t="s">
        <v>14809</v>
      </c>
      <c r="D900" s="56" t="s">
        <v>14810</v>
      </c>
      <c r="E900" s="56" t="s">
        <v>14811</v>
      </c>
      <c r="F900" s="57">
        <v>20500</v>
      </c>
      <c r="G900" s="58">
        <v>76</v>
      </c>
      <c r="I900" s="5"/>
      <c r="J900" s="5"/>
    </row>
    <row r="901" spans="1:10" x14ac:dyDescent="0.2">
      <c r="A901" s="59" t="str">
        <f ca="1">IFERROR(__xludf.DUMMYFUNCTION("TEXTJOIN(""|"",TRUE,UNIQUE(FILTER(SPLIT(B901,"" ""),LEN(SPLIT(B901,"" ""))&gt;2)))"),"ыштар|сбаев")</f>
        <v>ыштар|сбаев</v>
      </c>
      <c r="B901" s="59" t="str">
        <f ca="1">IFERROR(__xludf.DUMMYFUNCTION("LOWER(REGEXREPLACE(D901&amp;"" ""&amp;E901,""[^а-яa-z0-9 ]"","" ""))"),"  н ыштар     м сбаев")</f>
        <v xml:space="preserve">  н ыштар     м сбаев</v>
      </c>
      <c r="C901" s="61" t="s">
        <v>14812</v>
      </c>
      <c r="D901" s="56" t="s">
        <v>14813</v>
      </c>
      <c r="E901" s="56" t="s">
        <v>14814</v>
      </c>
      <c r="F901" s="57">
        <v>6600</v>
      </c>
      <c r="G901" s="58">
        <v>1</v>
      </c>
      <c r="I901" s="5"/>
      <c r="J901" s="5"/>
    </row>
    <row r="902" spans="1:10" x14ac:dyDescent="0.2">
      <c r="A902" s="59" t="str">
        <f ca="1">IFERROR(__xludf.DUMMYFUNCTION("TEXTJOIN(""|"",TRUE,UNIQUE(FILTER(SPLIT(B902,"" ""),LEN(SPLIT(B902,"" ""))&gt;2)))"),"румен|кей|пкерлермен|рге|йренем|артоп|мырза")</f>
        <v>румен|кей|пкерлермен|рге|йренем|артоп|мырза</v>
      </c>
      <c r="B902" s="59" t="str">
        <f ca="1">IFERROR(__xludf.DUMMYFUNCTION("LOWER(REGEXREPLACE(D902&amp;"" ""&amp;E902,""[^а-яa-z0-9 ]"","" ""))"),"  румен кей пкерлермен б рге о ып    йренем з   артоп мырза  ")</f>
        <v xml:space="preserve">  румен кей пкерлермен б рге о ып    йренем з   артоп мырза  </v>
      </c>
      <c r="C902" s="61" t="s">
        <v>14815</v>
      </c>
      <c r="D902" s="56" t="s">
        <v>14816</v>
      </c>
      <c r="E902" s="56"/>
      <c r="F902" s="57">
        <v>900</v>
      </c>
      <c r="G902" s="58">
        <v>1</v>
      </c>
      <c r="I902" s="5"/>
      <c r="J902" s="5"/>
    </row>
    <row r="903" spans="1:10" x14ac:dyDescent="0.2">
      <c r="A903" s="59" t="str">
        <f ca="1">IFERROR(__xludf.DUMMYFUNCTION("TEXTJOIN(""|"",TRUE,UNIQUE(FILTER(SPLIT(B903,"" ""),LEN(SPLIT(B903,"" ""))&gt;2)))"),"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amp;"раста")</f>
        <v>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раста</v>
      </c>
      <c r="B903" s="59" t="str">
        <f ca="1">IFERROR(__xludf.DUMMYFUNCTION("LOWER(REGEXREPLACE(D903&amp;"" ""&amp;E903,""[^а-яa-z0-9 ]"","" ""))"),"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спо"&amp;"льзуется детьми с раннего возраста ")</f>
        <v xml:space="preserve">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спользуется детьми с раннего возраста </v>
      </c>
      <c r="C903" s="61" t="s">
        <v>14817</v>
      </c>
      <c r="D903" s="56" t="s">
        <v>14818</v>
      </c>
      <c r="E903" s="56" t="s">
        <v>14819</v>
      </c>
      <c r="F903" s="57">
        <v>102600</v>
      </c>
      <c r="G903" s="58">
        <v>8</v>
      </c>
      <c r="I903" s="5"/>
      <c r="J903" s="5"/>
    </row>
    <row r="904" spans="1:10" x14ac:dyDescent="0.2">
      <c r="A904" s="59" t="str">
        <f ca="1">IFERROR(__xludf.DUMMYFUNCTION("TEXTJOIN(""|"",TRUE,UNIQUE(FILTER(SPLIT(B904,"" ""),LEN(SPLIT(B904,"" ""))&gt;2)))"),"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f>
        <v>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v>
      </c>
      <c r="B904" s="59" t="str">
        <f ca="1">IFERROR(__xludf.DUMMYFUNCTION("LOWER(REGEXREPLACE(D904&amp;"" ""&amp;E904,""[^а-яa-z0-9 ]"","" ""))"),"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f>
        <v xml:space="preserve">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v>
      </c>
      <c r="C904" s="61" t="s">
        <v>14820</v>
      </c>
      <c r="D904" s="56" t="s">
        <v>14821</v>
      </c>
      <c r="E904" s="56" t="s">
        <v>14822</v>
      </c>
      <c r="F904" s="57">
        <v>361000</v>
      </c>
      <c r="G904" s="58">
        <v>1</v>
      </c>
      <c r="I904" s="5"/>
      <c r="J904" s="5"/>
    </row>
    <row r="905" spans="1:10" x14ac:dyDescent="0.2">
      <c r="A905" s="59" t="str">
        <f ca="1">IFERROR(__xludf.DUMMYFUNCTION("TEXTJOIN(""|"",TRUE,UNIQUE(FILTER(SPLIT(B905,"" ""),LEN(SPLIT(B905,"" ""))&gt;2)))"),"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f>
        <v>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v>
      </c>
      <c r="B905" s="59" t="str">
        <f ca="1">IFERROR(__xludf.DUMMYFUNCTION("LOWER(REGEXREPLACE(D905&amp;"" ""&amp;E905,""[^а-яa-z0-9 ]"","" ""))"),"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f>
        <v xml:space="preserve">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v>
      </c>
      <c r="C905" s="61" t="s">
        <v>14823</v>
      </c>
      <c r="D905" s="56" t="s">
        <v>14824</v>
      </c>
      <c r="E905" s="56" t="s">
        <v>14825</v>
      </c>
      <c r="F905" s="57">
        <v>475000</v>
      </c>
      <c r="G905" s="58">
        <v>12</v>
      </c>
      <c r="I905" s="5"/>
      <c r="J905" s="5"/>
    </row>
    <row r="906" spans="1:10" x14ac:dyDescent="0.2">
      <c r="A906" s="59" t="str">
        <f ca="1">IFERROR(__xludf.DUMMYFUNCTION("TEXTJOIN(""|"",TRUE,UNIQUE(FILTER(SPLIT(B906,"" ""),LEN(SPLIT(B906,"" ""))&gt;2)))"),"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f>
        <v>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v>
      </c>
      <c r="B906" s="59" t="str">
        <f ca="1">IFERROR(__xludf.DUMMYFUNCTION("LOWER(REGEXREPLACE(D906&amp;"" ""&amp;E906,""[^а-яa-z0-9 ]"","" ""))"),"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младшег"&amp;"о школьного возраста ")</f>
        <v xml:space="preserve">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младшего школьного возраста </v>
      </c>
      <c r="C906" s="61" t="s">
        <v>14826</v>
      </c>
      <c r="D906" s="56" t="s">
        <v>14827</v>
      </c>
      <c r="E906" s="56" t="s">
        <v>14828</v>
      </c>
      <c r="F906" s="57">
        <v>5400</v>
      </c>
      <c r="G906" s="58">
        <v>7</v>
      </c>
      <c r="I906" s="5"/>
      <c r="J906" s="5"/>
    </row>
    <row r="907" spans="1:10" x14ac:dyDescent="0.2">
      <c r="A907" s="59" t="str">
        <f ca="1">IFERROR(__xludf.DUMMYFUNCTION("TEXTJOIN(""|"",TRUE,UNIQUE(FILTER(SPLIT(B907,"" ""),LEN(SPLIT(B907,"" ""))&gt;2)))"),"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amp;"азвитию|силы|выносливости|координации|движений|общей|физической|активности|детей")</f>
        <v>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азвитию|силы|выносливости|координации|движений|общей|физической|активности|детей</v>
      </c>
      <c r="B907" s="59" t="str">
        <f ca="1">IFERROR(__xludf.DUMMYFUNCTION("LOWER(REGEXREPLACE(D907&amp;"" ""&amp;E907,""[^а-яa-z0-9 ]"","" ""))"),"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"&amp;"нагрузку при упражнениях  способствуют развитию силы  выносливости  координации движений и общей физической активности детей ")</f>
        <v xml:space="preserve">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 </v>
      </c>
      <c r="C907" s="61" t="s">
        <v>14829</v>
      </c>
      <c r="D907" s="56" t="s">
        <v>14830</v>
      </c>
      <c r="E907" s="56" t="s">
        <v>14831</v>
      </c>
      <c r="F907" s="57">
        <v>6100</v>
      </c>
      <c r="G907" s="58">
        <v>5</v>
      </c>
      <c r="I907" s="5"/>
      <c r="J907" s="5"/>
    </row>
    <row r="908" spans="1:10" x14ac:dyDescent="0.2">
      <c r="A908" s="59" t="str">
        <f ca="1">IFERROR(__xludf.DUMMYFUNCTION("TEXTJOIN(""|"",TRUE,UNIQUE(FILTER(SPLIT(B908,"" ""),LEN(SPLIT(B908,"" ""))&gt;2)))"),"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amp;"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amp;"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amp;"|признаки|объектов")</f>
        <v>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признаки|объектов</v>
      </c>
      <c r="B908" s="59" t="str">
        <f ca="1">IFERROR(__xludf.DUMMYFUNCTION("LOWER(REGEXREPLACE(D908&amp;"" ""&amp;E908,""[^а-яa-z0-9 ]"","" ""))"),"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100"&amp;"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принадле"&amp;"жности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"&amp;"исследованию  развитию наблюдательности и умения сравнивать признаки объектов ")</f>
        <v xml:space="preserve">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исследованию  развитию наблюдательности и умения сравнивать признаки объектов </v>
      </c>
      <c r="C908" s="61" t="s">
        <v>14832</v>
      </c>
      <c r="D908" s="56" t="s">
        <v>14833</v>
      </c>
      <c r="E908" s="56" t="s">
        <v>14834</v>
      </c>
      <c r="F908" s="57">
        <v>37400</v>
      </c>
      <c r="G908" s="58">
        <v>5</v>
      </c>
      <c r="I908" s="5"/>
      <c r="J908" s="5"/>
    </row>
    <row r="909" spans="1:10" x14ac:dyDescent="0.2">
      <c r="A909" s="59" t="str">
        <f ca="1">IFERROR(__xludf.DUMMYFUNCTION("TEXTJOIN(""|"",TRUE,UNIQUE(FILTER(SPLIT(B909,"" ""),LEN(SPLIT(B909,"" ""))&gt;2)))"),"чимся|вместе|героями|витаминами|алышка|лубника")</f>
        <v>чимся|вместе|героями|витаминами|алышка|лубника</v>
      </c>
      <c r="B909" s="59" t="str">
        <f ca="1">IFERROR(__xludf.DUMMYFUNCTION("LOWER(REGEXREPLACE(D909&amp;"" ""&amp;E909,""[^а-яa-z0-9 ]"","" ""))")," чимся вместе с героями   витаминами   алышка  лубника  ")</f>
        <v xml:space="preserve"> чимся вместе с героями   витаминами   алышка  лубника  </v>
      </c>
      <c r="C909" s="61" t="s">
        <v>14835</v>
      </c>
      <c r="D909" s="56" t="s">
        <v>14836</v>
      </c>
      <c r="E909" s="56"/>
      <c r="F909" s="57">
        <v>900</v>
      </c>
      <c r="G909" s="58">
        <v>6</v>
      </c>
      <c r="I909" s="5"/>
      <c r="J909" s="5"/>
    </row>
    <row r="910" spans="1:10" x14ac:dyDescent="0.2">
      <c r="A910" s="59" t="str">
        <f ca="1">IFERROR(__xludf.DUMMYFUNCTION("TEXTJOIN(""|"",TRUE,UNIQUE(FILTER(SPLIT(B910,"" ""),LEN(SPLIT(B910,"" ""))&gt;2)))"),"чимся|вместе|героями|витаминами|исс|орковка")</f>
        <v>чимся|вместе|героями|витаминами|исс|орковка</v>
      </c>
      <c r="B910" s="59" t="str">
        <f ca="1">IFERROR(__xludf.DUMMYFUNCTION("LOWER(REGEXREPLACE(D910&amp;"" ""&amp;E910,""[^а-яa-z0-9 ]"","" ""))")," чимся вместе с героями   витаминами   исс  орковка  ")</f>
        <v xml:space="preserve"> чимся вместе с героями   витаминами   исс  орковка  </v>
      </c>
      <c r="C910" s="61" t="s">
        <v>14837</v>
      </c>
      <c r="D910" s="56" t="s">
        <v>14838</v>
      </c>
      <c r="E910" s="56"/>
      <c r="F910" s="57">
        <v>900</v>
      </c>
      <c r="G910" s="58">
        <v>6</v>
      </c>
      <c r="I910" s="5"/>
      <c r="J910" s="5"/>
    </row>
    <row r="911" spans="1:10" x14ac:dyDescent="0.2">
      <c r="A911" s="59" t="str">
        <f ca="1">IFERROR(__xludf.DUMMYFUNCTION("TEXTJOIN(""|"",TRUE,UNIQUE(FILTER(SPLIT(B911,"" ""),LEN(SPLIT(B911,"" ""))&gt;2)))"),"чимся|вместе|героями|витаминами|истер|артофель")</f>
        <v>чимся|вместе|героями|витаминами|истер|артофель</v>
      </c>
      <c r="B911" s="59" t="str">
        <f ca="1">IFERROR(__xludf.DUMMYFUNCTION("LOWER(REGEXREPLACE(D911&amp;"" ""&amp;E911,""[^а-яa-z0-9 ]"","" ""))")," чимся вместе с героями   витаминами   истер  артофель  ")</f>
        <v xml:space="preserve"> чимся вместе с героями   витаминами   истер  артофель  </v>
      </c>
      <c r="C911" s="61" t="s">
        <v>14839</v>
      </c>
      <c r="D911" s="56" t="s">
        <v>14840</v>
      </c>
      <c r="E911" s="56"/>
      <c r="F911" s="57">
        <v>900</v>
      </c>
      <c r="G911" s="58">
        <v>6</v>
      </c>
      <c r="I911" s="5"/>
      <c r="J911" s="5"/>
    </row>
    <row r="912" spans="1:10" x14ac:dyDescent="0.2">
      <c r="A912" s="59" t="str">
        <f ca="1">IFERROR(__xludf.DUMMYFUNCTION("TEXTJOIN(""|"",TRUE,UNIQUE(FILTER(SPLIT(B912,"" ""),LEN(SPLIT(B912,"" ""))&gt;2)))"),"чимся|вместе|героями|витаминами|истер|блоко")</f>
        <v>чимся|вместе|героями|витаминами|истер|блоко</v>
      </c>
      <c r="B912" s="59" t="str">
        <f ca="1">IFERROR(__xludf.DUMMYFUNCTION("LOWER(REGEXREPLACE(D912&amp;"" ""&amp;E912,""[^а-яa-z0-9 ]"","" ""))")," чимся вместе с героями   витаминами   истер  блоко  ")</f>
        <v xml:space="preserve"> чимся вместе с героями   витаминами   истер  блоко  </v>
      </c>
      <c r="C912" s="61" t="s">
        <v>14841</v>
      </c>
      <c r="D912" s="56" t="s">
        <v>14842</v>
      </c>
      <c r="E912" s="56"/>
      <c r="F912" s="57">
        <v>900</v>
      </c>
      <c r="G912" s="58">
        <v>6</v>
      </c>
      <c r="I912" s="5"/>
      <c r="J912" s="5"/>
    </row>
    <row r="913" spans="1:10" x14ac:dyDescent="0.2">
      <c r="A913" s="59" t="str">
        <f ca="1">IFERROR(__xludf.DUMMYFUNCTION("TEXTJOIN(""|"",TRUE,UNIQUE(FILTER(SPLIT(B913,"" ""),LEN(SPLIT(B913,"" ""))&gt;2)))"),"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amp;"спользоваться|как|перегородка|или|элемент|игрового|пространства|абариты|стенда|менее|1000|480|1420")</f>
        <v>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спользоваться|как|перегородка|или|элемент|игрового|пространства|абариты|стенда|менее|1000|480|1420</v>
      </c>
      <c r="B913" s="59" t="str">
        <f ca="1">IFERROR(__xludf.DUMMYFUNCTION("LOWER(REGEXREPLACE(D913&amp;"" ""&amp;E913,""[^а-яa-z0-9 ]"","" ""))"),"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опора"&amp;"х со стопорами   ожет использоваться как перегородка или элемент игрового пространства   абариты стенда   не менее 1000 480 1420 мм ")</f>
        <v xml:space="preserve">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опорах со стопорами   ожет использоваться как перегородка или элемент игрового пространства   абариты стенда   не менее 1000 480 1420 мм </v>
      </c>
      <c r="C913" s="61" t="s">
        <v>14843</v>
      </c>
      <c r="D913" s="56" t="s">
        <v>14844</v>
      </c>
      <c r="E913" s="56" t="s">
        <v>14845</v>
      </c>
      <c r="F913" s="57">
        <v>28700</v>
      </c>
      <c r="G913" s="58">
        <v>5</v>
      </c>
      <c r="I913" s="5"/>
      <c r="J913" s="5"/>
    </row>
    <row r="914" spans="1:10" x14ac:dyDescent="0.2">
      <c r="A914" s="59" t="str">
        <f ca="1">IFERROR(__xludf.DUMMYFUNCTION("TEXTJOIN(""|"",TRUE,UNIQUE(FILTER(SPLIT(B914,"" ""),LEN(SPLIT(B914,"" ""))&gt;2)))"),"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amp;"етьми|дошкольного|возраста")</f>
        <v>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етьми|дошкольного|возраста</v>
      </c>
      <c r="B914" s="59" t="str">
        <f ca="1">IFERROR(__xludf.DUMMYFUNCTION("LOWER(REGEXREPLACE(D914&amp;"" ""&amp;E914,""[^а-яa-z0-9 ]"","" ""))"),"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инди"&amp;"видуальной и групповой работы с детьми дошкольного возраста ")</f>
        <v xml:space="preserve">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индивидуальной и групповой работы с детьми дошкольного возраста </v>
      </c>
      <c r="C914" s="61" t="s">
        <v>14846</v>
      </c>
      <c r="D914" s="56" t="s">
        <v>14847</v>
      </c>
      <c r="E914" s="56" t="s">
        <v>14848</v>
      </c>
      <c r="F914" s="57">
        <v>3500</v>
      </c>
      <c r="G914" s="58">
        <v>13</v>
      </c>
      <c r="I914" s="5"/>
      <c r="J914" s="5"/>
    </row>
    <row r="915" spans="1:10" x14ac:dyDescent="0.2">
      <c r="A915" s="59" t="str">
        <f ca="1">IFERROR(__xludf.DUMMYFUNCTION("TEXTJOIN(""|"",TRUE,UNIQUE(FILTER(SPLIT(B915,"" ""),LEN(SPLIT(B915,"" ""))&gt;2)))"),"скенд|лександр|еликий|lexander|the|reat|каз|рус|англ|ингхэм|перевод|ужикова|ернебекова")</f>
        <v>скенд|лександр|еликий|lexander|the|reat|каз|рус|англ|ингхэм|перевод|ужикова|ернебекова</v>
      </c>
      <c r="B915" s="59" t="str">
        <f ca="1">IFERROR(__xludf.DUMMYFUNCTION("LOWER(REGEXREPLACE(D915&amp;"" ""&amp;E915,""[^а-яa-z0-9 ]"","" ""))")," лы  скенд р   лександр  еликий   lexander the  reat  каз   рус   англ яз      ингхэм  перевод  ужикова      ернебекова    ")</f>
        <v xml:space="preserve"> лы  скенд р   лександр  еликий   lexander the  reat  каз   рус   англ яз      ингхэм  перевод  ужикова      ернебекова    </v>
      </c>
      <c r="C915" s="61" t="s">
        <v>14849</v>
      </c>
      <c r="D915" s="56" t="s">
        <v>14850</v>
      </c>
      <c r="E915" s="56" t="s">
        <v>14851</v>
      </c>
      <c r="F915" s="57">
        <v>3600</v>
      </c>
      <c r="G915" s="58">
        <v>1</v>
      </c>
      <c r="I915" s="5"/>
      <c r="J915" s="5"/>
    </row>
    <row r="916" spans="1:10" x14ac:dyDescent="0.2">
      <c r="A916" s="59" t="str">
        <f ca="1">IFERROR(__xludf.DUMMYFUNCTION("TEXTJOIN(""|"",TRUE,UNIQUE(FILTER(SPLIT(B916,"" ""),LEN(SPLIT(B916,"" ""))&gt;2)))"),"бек|жолы|еликий|елковый|путь|reat|ilk|oad|каз|рус|англ|амраимов")</f>
        <v>бек|жолы|еликий|елковый|путь|reat|ilk|oad|каз|рус|англ|амраимов</v>
      </c>
      <c r="B916" s="59" t="str">
        <f ca="1">IFERROR(__xludf.DUMMYFUNCTION("LOWER(REGEXREPLACE(D916&amp;"" ""&amp;E916,""[^а-яa-z0-9 ]"","" ""))")," лы   бек жолы   еликий  елковый путь   he  reat  ilk  oad  каз   рус   англ яз    амраимов   ")</f>
        <v xml:space="preserve"> лы   бек жолы   еликий  елковый путь   he  reat  ilk  oad  каз   рус   англ яз    амраимов   </v>
      </c>
      <c r="C916" s="61" t="s">
        <v>14852</v>
      </c>
      <c r="D916" s="56" t="s">
        <v>14853</v>
      </c>
      <c r="E916" s="56" t="s">
        <v>14854</v>
      </c>
      <c r="F916" s="57">
        <v>21900</v>
      </c>
      <c r="G916" s="58">
        <v>1</v>
      </c>
      <c r="I916" s="5"/>
      <c r="J916" s="5"/>
    </row>
    <row r="917" spans="1:10" x14ac:dyDescent="0.2">
      <c r="A917" s="59" t="str">
        <f ca="1">IFERROR(__xludf.DUMMYFUNCTION("TEXTJOIN(""|"",TRUE,UNIQUE(FILTER(SPLIT(B917,"" ""),LEN(SPLIT(B917,"" ""))&gt;2)))"),"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f>
        <v>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v>
      </c>
      <c r="B917" s="59" t="str">
        <f ca="1">IFERROR(__xludf.DUMMYFUNCTION("LOWER(REGEXREPLACE(D917&amp;"" ""&amp;E917,""[^а-яa-z0-9 ]"","" ""))"),"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f>
        <v xml:space="preserve">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v>
      </c>
      <c r="C917" s="61" t="s">
        <v>14855</v>
      </c>
      <c r="D917" s="56" t="s">
        <v>14856</v>
      </c>
      <c r="E917" s="56" t="s">
        <v>14857</v>
      </c>
      <c r="F917" s="57">
        <v>5400</v>
      </c>
      <c r="G917" s="58">
        <v>25</v>
      </c>
      <c r="I917" s="5"/>
      <c r="J917" s="5"/>
    </row>
    <row r="918" spans="1:10" x14ac:dyDescent="0.2">
      <c r="A918" s="59" t="str">
        <f ca="1">IFERROR(__xludf.DUMMYFUNCTION("TEXTJOIN(""|"",TRUE,UNIQUE(FILTER(SPLIT(B918,"" ""),LEN(SPLIT(B918,"" ""))&gt;2)))"),"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amp;"укавники|плащевой|ткани|резинками|азмер|фартука|нарукавников")</f>
        <v>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укавники|плащевой|ткани|резинками|азмер|фартука|нарукавников</v>
      </c>
      <c r="B918" s="59" t="str">
        <f ca="1">IFERROR(__xludf.DUMMYFUNCTION("LOWER(REGEXREPLACE(D918&amp;"" ""&amp;E918,""[^а-яa-z0-9 ]"","" ""))"),"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регулируе"&amp;"мых ремней    комплект входят нарукавники из плащевой ткани с резинками   азмер фартука   51 44 см  нарукавников   11 25 см ")</f>
        <v xml:space="preserve">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регулируемых ремней    комплект входят нарукавники из плащевой ткани с резинками   азмер фартука   51 44 см  нарукавников   11 25 см </v>
      </c>
      <c r="C918" s="61" t="s">
        <v>14858</v>
      </c>
      <c r="D918" s="56" t="s">
        <v>14859</v>
      </c>
      <c r="E918" s="56" t="s">
        <v>14860</v>
      </c>
      <c r="F918" s="57">
        <v>3100</v>
      </c>
      <c r="G918" s="58">
        <v>10</v>
      </c>
      <c r="I918" s="5"/>
      <c r="J918" s="5"/>
    </row>
    <row r="919" spans="1:10" x14ac:dyDescent="0.2">
      <c r="A919" s="59" t="str">
        <f ca="1">IFERROR(__xludf.DUMMYFUNCTION("TEXTJOIN(""|"",TRUE,UNIQUE(FILTER(SPLIT(B919,"" ""),LEN(SPLIT(B919,"" ""))&gt;2)))"),"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f>
        <v>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v>
      </c>
      <c r="B919" s="59" t="str">
        <f ca="1">IFERROR(__xludf.DUMMYFUNCTION("LOWER(REGEXREPLACE(D919&amp;"" ""&amp;E919,""[^а-яa-z0-9 ]"","" ""))"),"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f>
        <v xml:space="preserve">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v>
      </c>
      <c r="C919" s="61" t="s">
        <v>14861</v>
      </c>
      <c r="D919" s="56" t="s">
        <v>14862</v>
      </c>
      <c r="E919" s="56" t="s">
        <v>14863</v>
      </c>
      <c r="F919" s="57">
        <v>3800</v>
      </c>
      <c r="G919" s="58">
        <v>16</v>
      </c>
      <c r="I919" s="5"/>
      <c r="J919" s="5"/>
    </row>
    <row r="920" spans="1:10" x14ac:dyDescent="0.2">
      <c r="A920" s="59" t="str">
        <f ca="1">IFERROR(__xludf.DUMMYFUNCTION("TEXTJOIN(""|"",TRUE,UNIQUE(FILTER(SPLIT(B920,"" ""),LEN(SPLIT(B920,"" ""))&gt;2)))"),"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amp;"|800|атериалы|винилискожа|пенополиуретан|карпет")</f>
        <v>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800|атериалы|винилискожа|пенополиуретан|карпет</v>
      </c>
      <c r="B920" s="59" t="str">
        <f ca="1">IFERROR(__xludf.DUMMYFUNCTION("LOWER(REGEXREPLACE(D920&amp;"" ""&amp;E920,""[^а-яa-z0-9 ]"","" ""))"),"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разгр"&amp;"узки детей   азмер 1200 900 800 мм   атериалы  винилискожа  пенополиуретан  карпет ")</f>
        <v xml:space="preserve">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разгрузки детей   азмер 1200 900 800 мм   атериалы  винилискожа  пенополиуретан  карпет </v>
      </c>
      <c r="C920" s="61" t="s">
        <v>14864</v>
      </c>
      <c r="D920" s="56" t="s">
        <v>14865</v>
      </c>
      <c r="E920" s="56" t="s">
        <v>14866</v>
      </c>
      <c r="F920" s="57">
        <v>760000</v>
      </c>
      <c r="G920" s="58">
        <v>1</v>
      </c>
      <c r="I920" s="5"/>
      <c r="J920" s="5"/>
    </row>
    <row r="921" spans="1:10" x14ac:dyDescent="0.2">
      <c r="A921" s="59" t="str">
        <f ca="1">IFERROR(__xludf.DUMMYFUNCTION("TEXTJOIN(""|"",TRUE,UNIQUE(FILTER(SPLIT(B921,"" ""),LEN(SPLIT(B921,"" ""))&gt;2)))"),"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f>
        <v>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v>
      </c>
      <c r="B921" s="59" t="str">
        <f ca="1">IFERROR(__xludf.DUMMYFUNCTION("LOWER(REGEXREPLACE(D921&amp;"" ""&amp;E921,""[^а-яa-z0-9 ]"","" ""))"),"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к"&amp;"рая закругл нные ")</f>
        <v xml:space="preserve">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края закругл нные </v>
      </c>
      <c r="C921" s="61" t="s">
        <v>14867</v>
      </c>
      <c r="D921" s="56" t="s">
        <v>14868</v>
      </c>
      <c r="E921" s="56" t="s">
        <v>14869</v>
      </c>
      <c r="F921" s="57">
        <v>52000</v>
      </c>
      <c r="G921" s="58">
        <v>2</v>
      </c>
      <c r="I921" s="5"/>
      <c r="J921" s="5"/>
    </row>
    <row r="922" spans="1:10" x14ac:dyDescent="0.2">
      <c r="A922" s="59" t="str">
        <f ca="1">IFERROR(__xludf.DUMMYFUNCTION("TEXTJOIN(""|"",TRUE,UNIQUE(FILTER(SPLIT(B922,"" ""),LEN(SPLIT(B922,"" ""))&gt;2)))"),"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amp;"работе")</f>
        <v>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работе</v>
      </c>
      <c r="B922" s="59" t="str">
        <f ca="1">IFERROR(__xludf.DUMMYFUNCTION("LOWER(REGEXREPLACE(D922&amp;"" ""&amp;E922,""[^а-яa-z0-9 ]"","" ""))"),"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индивидуаль"&amp;"ной и групповой работе ")</f>
        <v xml:space="preserve">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индивидуальной и групповой работе </v>
      </c>
      <c r="C922" s="61" t="s">
        <v>14870</v>
      </c>
      <c r="D922" s="56" t="s">
        <v>14871</v>
      </c>
      <c r="E922" s="56" t="s">
        <v>14872</v>
      </c>
      <c r="F922" s="57">
        <v>9600</v>
      </c>
      <c r="G922" s="58">
        <v>5</v>
      </c>
      <c r="I922" s="5"/>
      <c r="J922" s="5"/>
    </row>
    <row r="923" spans="1:10" x14ac:dyDescent="0.2">
      <c r="A923" s="59" t="str">
        <f ca="1">IFERROR(__xludf.DUMMYFUNCTION("TEXTJOIN(""|"",TRUE,UNIQUE(FILTER(SPLIT(B923,"" ""),LEN(SPLIT(B923,"" ""))&gt;2)))"),"изика|под|ред|орган|перевод|усатай")</f>
        <v>изика|под|ред|орган|перевод|усатай</v>
      </c>
      <c r="B923" s="59" t="str">
        <f ca="1">IFERROR(__xludf.DUMMYFUNCTION("LOWER(REGEXREPLACE(D923&amp;"" ""&amp;E923,""[^а-яa-z0-9 ]"","" ""))")," изика    ай  р  же  л под ред      орган  перевод  усатай    ")</f>
        <v xml:space="preserve"> изика    ай  р  же  л под ред      орган  перевод  усатай    </v>
      </c>
      <c r="C923" s="61" t="s">
        <v>14873</v>
      </c>
      <c r="D923" s="56" t="s">
        <v>14874</v>
      </c>
      <c r="E923" s="56" t="s">
        <v>14875</v>
      </c>
      <c r="F923" s="57">
        <v>15000</v>
      </c>
      <c r="G923" s="58">
        <v>1</v>
      </c>
      <c r="I923" s="5"/>
      <c r="J923" s="5"/>
    </row>
    <row r="924" spans="1:10" x14ac:dyDescent="0.2">
      <c r="A924" s="59" t="str">
        <f ca="1">IFERROR(__xludf.DUMMYFUNCTION("TEXTJOIN(""|"",TRUE,UNIQUE(FILTER(SPLIT(B924,"" ""),LEN(SPLIT(B924,"" ""))&gt;2)))"),"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f>
        <v>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v>
      </c>
      <c r="B924" s="59" t="str">
        <f ca="1">IFERROR(__xludf.DUMMYFUNCTION("LOWER(REGEXREPLACE(D924&amp;"" ""&amp;E924,""[^а-яa-z0-9 ]"","" ""))"),"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f>
        <v xml:space="preserve">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v>
      </c>
      <c r="C924" s="61" t="s">
        <v>14876</v>
      </c>
      <c r="D924" s="56" t="s">
        <v>14877</v>
      </c>
      <c r="E924" s="56" t="s">
        <v>14878</v>
      </c>
      <c r="F924" s="57">
        <v>102600</v>
      </c>
      <c r="G924" s="58">
        <v>5</v>
      </c>
      <c r="I924" s="5"/>
      <c r="J924" s="5"/>
    </row>
    <row r="925" spans="1:10" x14ac:dyDescent="0.2">
      <c r="A925" s="59" t="str">
        <f ca="1">IFERROR(__xludf.DUMMYFUNCTION("TEXTJOIN(""|"",TRUE,UNIQUE(FILTER(SPLIT(B925,"" ""),LEN(SPLIT(B925,"" ""))&gt;2)))"),"изика|росто|легко|под|ред|орган|перевод|едрук")</f>
        <v>изика|росто|легко|под|ред|орган|перевод|едрук</v>
      </c>
      <c r="B925" s="59" t="str">
        <f ca="1">IFERROR(__xludf.DUMMYFUNCTION("LOWER(REGEXREPLACE(D925&amp;"" ""&amp;E925,""[^а-яa-z0-9 ]"","" ""))")," изика   росто и легко под ред      орган  перевод  едрук      ")</f>
        <v xml:space="preserve"> изика   росто и легко под ред      орган  перевод  едрук      </v>
      </c>
      <c r="C925" s="61" t="s">
        <v>14879</v>
      </c>
      <c r="D925" s="56" t="s">
        <v>14880</v>
      </c>
      <c r="E925" s="56" t="s">
        <v>14881</v>
      </c>
      <c r="F925" s="57">
        <v>15000</v>
      </c>
      <c r="G925" s="58">
        <v>1</v>
      </c>
      <c r="I925" s="5"/>
      <c r="J925" s="5"/>
    </row>
    <row r="926" spans="1:10" x14ac:dyDescent="0.2">
      <c r="A926" s="59" t="str">
        <f ca="1">IFERROR(__xludf.DUMMYFUNCTION("TEXTJOIN(""|"",TRUE,UNIQUE(FILTER(SPLIT(B926,"" ""),LEN(SPLIT(B926,"" ""))&gt;2)))"),"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f>
        <v>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v>
      </c>
      <c r="B926" s="59" t="str">
        <f ca="1">IFERROR(__xludf.DUMMYFUNCTION("LOWER(REGEXREPLACE(D926&amp;"" ""&amp;E926,""[^а-яa-z0-9 ]"","" ""))"),"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f>
        <v xml:space="preserve">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v>
      </c>
      <c r="C926" s="61" t="s">
        <v>14882</v>
      </c>
      <c r="D926" s="56" t="s">
        <v>14883</v>
      </c>
      <c r="E926" s="56" t="s">
        <v>14884</v>
      </c>
      <c r="F926" s="57">
        <v>5400</v>
      </c>
      <c r="G926" s="58">
        <v>1</v>
      </c>
      <c r="I926" s="5"/>
      <c r="J926" s="5"/>
    </row>
    <row r="927" spans="1:10" x14ac:dyDescent="0.2">
      <c r="A927" s="59" t="str">
        <f ca="1">IFERROR(__xludf.DUMMYFUNCTION("TEXTJOIN(""|"",TRUE,UNIQUE(FILTER(SPLIT(B927,"" ""),LEN(SPLIT(B927,"" ""))&gt;2)))"),"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f>
        <v>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v>
      </c>
      <c r="B927" s="59" t="str">
        <f ca="1">IFERROR(__xludf.DUMMYFUNCTION("LOWER(REGEXREPLACE(D927&amp;"" ""&amp;E927,""[^а-яa-z0-9 ]"","" ""))"),"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f>
        <v xml:space="preserve">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v>
      </c>
      <c r="C927" s="61" t="s">
        <v>14885</v>
      </c>
      <c r="D927" s="56" t="s">
        <v>14886</v>
      </c>
      <c r="E927" s="56" t="s">
        <v>14887</v>
      </c>
      <c r="F927" s="57">
        <v>68400</v>
      </c>
      <c r="G927" s="58">
        <v>5</v>
      </c>
      <c r="I927" s="5"/>
      <c r="J927" s="5"/>
    </row>
    <row r="928" spans="1:10" x14ac:dyDescent="0.2">
      <c r="A928" s="59" t="str">
        <f ca="1">IFERROR(__xludf.DUMMYFUNCTION("TEXTJOIN(""|"",TRUE,UNIQUE(FILTER(SPLIT(B928,"" ""),LEN(SPLIT(B928,"" ""))&gt;2)))"),"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amp;"щей|физической|активности|детей|лет")</f>
        <v>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щей|физической|активности|детей|лет</v>
      </c>
      <c r="B928" s="59" t="str">
        <f ca="1">IFERROR(__xludf.DUMMYFUNCTION("LOWER(REGEXREPLACE(D928&amp;"" ""&amp;E928,""[^а-яa-z0-9 ]"","" ""))"),"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ра"&amp;"звитию координации движений  равновесия  силы и общей физической активности детей от 3 лет ")</f>
        <v xml:space="preserve">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 </v>
      </c>
      <c r="C928" s="61" t="s">
        <v>14888</v>
      </c>
      <c r="D928" s="56" t="s">
        <v>14889</v>
      </c>
      <c r="E928" s="56" t="s">
        <v>14890</v>
      </c>
      <c r="F928" s="57">
        <v>7000</v>
      </c>
      <c r="G928" s="58">
        <v>21</v>
      </c>
      <c r="I928" s="5"/>
      <c r="J928" s="5"/>
    </row>
    <row r="929" spans="1:10" x14ac:dyDescent="0.2">
      <c r="A929" s="59" t="str">
        <f ca="1">IFERROR(__xludf.DUMMYFUNCTION("TEXTJOIN(""|"",TRUE,UNIQUE(FILTER(SPLIT(B929,"" ""),LEN(SPLIT(B929,"" ""))&gt;2)))"),"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f>
        <v>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v>
      </c>
      <c r="B929" s="59" t="str">
        <f ca="1">IFERROR(__xludf.DUMMYFUNCTION("LOWER(REGEXREPLACE(D929&amp;"" ""&amp;E929,""[^а-яa-z0-9 ]"","" ""))"),"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f>
        <v xml:space="preserve">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v>
      </c>
      <c r="C929" s="61" t="s">
        <v>14891</v>
      </c>
      <c r="D929" s="56" t="s">
        <v>14892</v>
      </c>
      <c r="E929" s="56" t="s">
        <v>14893</v>
      </c>
      <c r="F929" s="57">
        <v>1000</v>
      </c>
      <c r="G929" s="58">
        <v>25</v>
      </c>
      <c r="I929" s="5"/>
      <c r="J929" s="5"/>
    </row>
    <row r="930" spans="1:10" x14ac:dyDescent="0.2">
      <c r="A930" s="59" t="str">
        <f ca="1">IFERROR(__xludf.DUMMYFUNCTION("TEXTJOIN(""|"",TRUE,UNIQUE(FILTER(SPLIT(B930,"" ""),LEN(SPLIT(B930,"" ""))&gt;2)))"),"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f>
        <v>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v>
      </c>
      <c r="B930" s="59" t="str">
        <f ca="1">IFERROR(__xludf.DUMMYFUNCTION("LOWER(REGEXREPLACE(D930&amp;"" ""&amp;E930,""[^а-яa-z0-9 ]"","" ""))"),"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f>
        <v xml:space="preserve">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v>
      </c>
      <c r="C930" s="61" t="s">
        <v>14894</v>
      </c>
      <c r="D930" s="56" t="s">
        <v>6054</v>
      </c>
      <c r="E930" s="56" t="s">
        <v>14895</v>
      </c>
      <c r="F930" s="57">
        <v>1100</v>
      </c>
      <c r="G930" s="58">
        <v>10</v>
      </c>
      <c r="I930" s="5"/>
      <c r="J930" s="5"/>
    </row>
    <row r="931" spans="1:10" x14ac:dyDescent="0.2">
      <c r="A931" s="59" t="str">
        <f ca="1">IFERROR(__xludf.DUMMYFUNCTION("TEXTJOIN(""|"",TRUE,UNIQUE(FILTER(SPLIT(B931,"" ""),LEN(SPLIT(B931,"" ""))&gt;2)))"),"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f>
        <v>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v>
      </c>
      <c r="B931" s="59" t="str">
        <f ca="1">IFERROR(__xludf.DUMMYFUNCTION("LOWER(REGEXREPLACE(D931&amp;"" ""&amp;E931,""[^а-яa-z0-9 ]"","" ""))"),"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f>
        <v xml:space="preserve">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v>
      </c>
      <c r="C931" s="61" t="s">
        <v>14896</v>
      </c>
      <c r="D931" s="56" t="s">
        <v>14897</v>
      </c>
      <c r="E931" s="56" t="s">
        <v>14898</v>
      </c>
      <c r="F931" s="57">
        <v>13300</v>
      </c>
      <c r="G931" s="58">
        <v>1</v>
      </c>
      <c r="I931" s="5"/>
      <c r="J931" s="5"/>
    </row>
    <row r="932" spans="1:10" x14ac:dyDescent="0.2">
      <c r="A932" s="59" t="str">
        <f ca="1">IFERROR(__xludf.DUMMYFUNCTION("TEXTJOIN(""|"",TRUE,UNIQUE(FILTER(SPLIT(B932,"" ""),LEN(SPLIT(B932,"" ""))&gt;2)))"),"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f>
        <v>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v>
      </c>
      <c r="B932" s="59" t="str">
        <f ca="1">IFERROR(__xludf.DUMMYFUNCTION("LOWER(REGEXREPLACE(D932&amp;"" ""&amp;E932,""[^а-яa-z0-9 ]"","" ""))"),"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f>
        <v xml:space="preserve">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v>
      </c>
      <c r="C932" s="61" t="s">
        <v>14899</v>
      </c>
      <c r="D932" s="56" t="s">
        <v>14900</v>
      </c>
      <c r="E932" s="56" t="s">
        <v>14901</v>
      </c>
      <c r="F932" s="57">
        <v>44800</v>
      </c>
      <c r="G932" s="58">
        <v>7</v>
      </c>
      <c r="I932" s="5"/>
      <c r="J932" s="5"/>
    </row>
    <row r="933" spans="1:10" x14ac:dyDescent="0.2">
      <c r="A933" s="59" t="str">
        <f ca="1">IFERROR(__xludf.DUMMYFUNCTION("TEXTJOIN(""|"",TRUE,UNIQUE(FILTER(SPLIT(B933,"" ""),LEN(SPLIT(B933,"" ""))&gt;2)))"),"ланелеграф|идактическое|пособие|для|крепления|фигурок|карточек|фетра|спользуется|образовательной|деятельности|для|визуализации|учебного|материала")</f>
        <v>ланелеграф|идактическое|пособие|для|крепления|фигурок|карточек|фетра|спользуется|образовательной|деятельности|для|визуализации|учебного|материала</v>
      </c>
      <c r="B933" s="59" t="str">
        <f ca="1">IFERROR(__xludf.DUMMYFUNCTION("LOWER(REGEXREPLACE(D933&amp;"" ""&amp;E933,""[^а-яa-z0-9 ]"","" ""))"),"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f>
        <v xml:space="preserve">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v>
      </c>
      <c r="C933" s="61" t="s">
        <v>14902</v>
      </c>
      <c r="D933" s="56" t="s">
        <v>14903</v>
      </c>
      <c r="E933" s="56" t="s">
        <v>14904</v>
      </c>
      <c r="F933" s="57">
        <v>44700</v>
      </c>
      <c r="G933" s="58">
        <v>8</v>
      </c>
      <c r="I933" s="5"/>
      <c r="J933" s="5"/>
    </row>
    <row r="934" spans="1:10" x14ac:dyDescent="0.2">
      <c r="A934" s="59" t="str">
        <f ca="1">IFERROR(__xludf.DUMMYFUNCTION("TEXTJOIN(""|"",TRUE,UNIQUE(FILTER(SPLIT(B934,"" ""),LEN(SPLIT(B934,"" ""))&gt;2)))"),"дар|нтеллектум|гра|предназначена|для|развития|логического|мышления|посредством|объединения|дорог|знакам")</f>
        <v>дар|нтеллектум|гра|предназначена|для|развития|логического|мышления|посредством|объединения|дорог|знакам</v>
      </c>
      <c r="B934" s="59" t="str">
        <f ca="1">IFERROR(__xludf.DUMMYFUNCTION("LOWER(REGEXREPLACE(D934&amp;"" ""&amp;E934,""[^а-яa-z0-9 ]"","" ""))"),"  ол ба дар    нтеллектум   гра предназначена для развития логического мышления посредством объединения дорог по знакам  ")</f>
        <v xml:space="preserve">  ол ба дар    нтеллектум   гра предназначена для развития логического мышления посредством объединения дорог по знакам  </v>
      </c>
      <c r="C934" s="61" t="s">
        <v>14905</v>
      </c>
      <c r="D934" s="56" t="s">
        <v>14906</v>
      </c>
      <c r="E934" s="56" t="s">
        <v>14907</v>
      </c>
      <c r="F934" s="57">
        <v>11400</v>
      </c>
      <c r="G934" s="58">
        <v>50</v>
      </c>
      <c r="I934" s="5"/>
      <c r="J934" s="5"/>
    </row>
    <row r="935" spans="1:10" x14ac:dyDescent="0.2">
      <c r="A935" s="59" t="str">
        <f ca="1">IFERROR(__xludf.DUMMYFUNCTION("TEXTJOIN(""|"",TRUE,UNIQUE(FILTER(SPLIT(B935,"" ""),LEN(SPLIT(B935,"" ""))&gt;2)))"),"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f>
        <v>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v>
      </c>
      <c r="B935" s="59" t="str">
        <f ca="1">IFERROR(__xludf.DUMMYFUNCTION("LOWER(REGEXREPLACE(D935&amp;"" ""&amp;E935,""[^а-яa-z0-9 ]"","" ""))"),"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поме"&amp;"щениях ")</f>
        <v xml:space="preserve">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помещениях </v>
      </c>
      <c r="C935" s="61" t="s">
        <v>14908</v>
      </c>
      <c r="D935" s="56" t="s">
        <v>14909</v>
      </c>
      <c r="E935" s="56" t="s">
        <v>14910</v>
      </c>
      <c r="F935" s="57">
        <v>27400</v>
      </c>
      <c r="G935" s="58">
        <v>5</v>
      </c>
      <c r="I935" s="5"/>
      <c r="J935" s="5"/>
    </row>
    <row r="936" spans="1:10" x14ac:dyDescent="0.2">
      <c r="A936" s="59" t="str">
        <f ca="1">IFERROR(__xludf.DUMMYFUNCTION("TEXTJOIN(""|"",TRUE,UNIQUE(FILTER(SPLIT(B936,"" ""),LEN(SPLIT(B936,"" ""))&gt;2)))"),"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amp;"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amp;"ек")</f>
        <v>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ек</v>
      </c>
      <c r="B936" s="59" t="str">
        <f ca="1">IFERROR(__xludf.DUMMYFUNCTION("LOWER(REGEXREPLACE(D936&amp;"" ""&amp;E936,""[^а-яa-z0-9 ]"","" ""))"),"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восп"&amp;"роизводить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мо"&amp;"гут крепиться на фетровую поверхность с использованием кнопок или липучек ")</f>
        <v xml:space="preserve">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могут крепиться на фетровую поверхность с использованием кнопок или липучек </v>
      </c>
      <c r="C936" s="61" t="s">
        <v>14911</v>
      </c>
      <c r="D936" s="56" t="s">
        <v>14912</v>
      </c>
      <c r="E936" s="56" t="s">
        <v>14913</v>
      </c>
      <c r="F936" s="57">
        <v>6900</v>
      </c>
      <c r="G936" s="58">
        <v>5</v>
      </c>
      <c r="I936" s="5"/>
      <c r="J936" s="5"/>
    </row>
    <row r="937" spans="1:10" x14ac:dyDescent="0.2">
      <c r="A937" s="59" t="str">
        <f ca="1">IFERROR(__xludf.DUMMYFUNCTION("TEXTJOIN(""|"",TRUE,UNIQUE(FILTER(SPLIT(B937,"" ""),LEN(SPLIT(B937,"" ""))&gt;2)))"),"ланелеграф|тканевый|ольшой|тканевый|фланелеграф|карманами|для|хранения|элементов|спользуется|для|творческих|обучающих|игровых|занятий|детьми")</f>
        <v>ланелеграф|тканевый|ольшой|тканевый|фланелеграф|карманами|для|хранения|элементов|спользуется|для|творческих|обучающих|игровых|занятий|детьми</v>
      </c>
      <c r="B937" s="59" t="str">
        <f ca="1">IFERROR(__xludf.DUMMYFUNCTION("LOWER(REGEXREPLACE(D937&amp;"" ""&amp;E937,""[^а-яa-z0-9 ]"","" ""))")," ланелеграф тканевый  ольшой тканевый фланелеграф с карманами для хранения элементов   спользуется для творческих  обучающих и игровых занятий с детьми ")</f>
        <v xml:space="preserve"> ланелеграф тканевый  ольшой тканевый фланелеграф с карманами для хранения элементов   спользуется для творческих  обучающих и игровых занятий с детьми </v>
      </c>
      <c r="C937" s="61" t="s">
        <v>14914</v>
      </c>
      <c r="D937" s="56" t="s">
        <v>14915</v>
      </c>
      <c r="E937" s="56" t="s">
        <v>14916</v>
      </c>
      <c r="F937" s="57">
        <v>44800</v>
      </c>
      <c r="G937" s="58">
        <v>7</v>
      </c>
      <c r="I937" s="5"/>
      <c r="J937" s="5"/>
    </row>
    <row r="938" spans="1:10" x14ac:dyDescent="0.2">
      <c r="A938" s="59" t="str">
        <f ca="1">IFERROR(__xludf.DUMMYFUNCTION("TEXTJOIN(""|"",TRUE,UNIQUE(FILTER(SPLIT(B938,"" ""),LEN(SPLIT(B938,"" ""))&gt;2)))"),"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f>
        <v>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v>
      </c>
      <c r="B938" s="59" t="str">
        <f ca="1">IFERROR(__xludf.DUMMYFUNCTION("LOWER(REGEXREPLACE(D938&amp;"" ""&amp;E938,""[^а-яa-z0-9 ]"","" ""))"),"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f>
        <v xml:space="preserve">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v>
      </c>
      <c r="C938" s="61" t="s">
        <v>14917</v>
      </c>
      <c r="D938" s="56" t="s">
        <v>14918</v>
      </c>
      <c r="E938" s="56" t="s">
        <v>14919</v>
      </c>
      <c r="F938" s="57">
        <v>2600</v>
      </c>
      <c r="G938" s="58">
        <v>125</v>
      </c>
      <c r="I938" s="5"/>
      <c r="J938" s="5"/>
    </row>
    <row r="939" spans="1:10" x14ac:dyDescent="0.2">
      <c r="A939" s="59" t="str">
        <f ca="1">IFERROR(__xludf.DUMMYFUNCTION("TEXTJOIN(""|"",TRUE,UNIQUE(FILTER(SPLIT(B939,"" ""),LEN(SPLIT(B939,"" ""))&gt;2)))"),"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f>
        <v>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v>
      </c>
      <c r="B939" s="59" t="str">
        <f ca="1">IFERROR(__xludf.DUMMYFUNCTION("LOWER(REGEXREPLACE(D939&amp;"" ""&amp;E939,""[^а-яa-z0-9 ]"","" ""))"),"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f>
        <v xml:space="preserve">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v>
      </c>
      <c r="C939" s="61" t="s">
        <v>14920</v>
      </c>
      <c r="D939" s="56" t="s">
        <v>14921</v>
      </c>
      <c r="E939" s="56" t="s">
        <v>14922</v>
      </c>
      <c r="F939" s="57">
        <v>28500</v>
      </c>
      <c r="G939" s="58">
        <v>1</v>
      </c>
      <c r="I939" s="5"/>
      <c r="J939" s="5"/>
    </row>
    <row r="940" spans="1:10" x14ac:dyDescent="0.2">
      <c r="A940" s="59" t="str">
        <f ca="1">IFERROR(__xludf.DUMMYFUNCTION("TEXTJOIN(""|"",TRUE,UNIQUE(FILTER(SPLIT(B940,"" ""),LEN(SPLIT(B940,"" ""))&gt;2)))"),"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f>
        <v>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v>
      </c>
      <c r="B940" s="59" t="str">
        <f ca="1">IFERROR(__xludf.DUMMYFUNCTION("LOWER(REGEXREPLACE(D940&amp;"" ""&amp;E940,""[^а-яa-z0-9 ]"","" ""))"),"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f>
        <v xml:space="preserve">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v>
      </c>
      <c r="C940" s="61" t="s">
        <v>14923</v>
      </c>
      <c r="D940" s="56" t="s">
        <v>14924</v>
      </c>
      <c r="E940" s="56" t="s">
        <v>14925</v>
      </c>
      <c r="F940" s="57">
        <v>4800</v>
      </c>
      <c r="G940" s="58">
        <v>5</v>
      </c>
      <c r="I940" s="5"/>
      <c r="J940" s="5"/>
    </row>
    <row r="941" spans="1:10" x14ac:dyDescent="0.2">
      <c r="A941" s="59" t="str">
        <f ca="1">IFERROR(__xludf.DUMMYFUNCTION("TEXTJOIN(""|"",TRUE,UNIQUE(FILTER(SPLIT(B941,"" ""),LEN(SPLIT(B941,"" ""))&gt;2)))"),"аншайымны|асы|ертолет")</f>
        <v>аншайымны|асы|ертолет</v>
      </c>
      <c r="B941" s="59" t="str">
        <f ca="1">IFERROR(__xludf.DUMMYFUNCTION("LOWER(REGEXREPLACE(D941&amp;"" ""&amp;E941,""[^а-яa-z0-9 ]"","" ""))")," аншайымны  10 о и асы  ертолет   ")</f>
        <v xml:space="preserve"> аншайымны  10 о и асы  ертолет   </v>
      </c>
      <c r="C941" s="61" t="s">
        <v>14926</v>
      </c>
      <c r="D941" s="56" t="s">
        <v>14927</v>
      </c>
      <c r="E941" s="56" t="s">
        <v>12637</v>
      </c>
      <c r="F941" s="57">
        <v>4800</v>
      </c>
      <c r="G941" s="58">
        <v>1</v>
      </c>
      <c r="I941" s="5"/>
      <c r="J941" s="5"/>
    </row>
    <row r="942" spans="1:10" x14ac:dyDescent="0.2">
      <c r="A942" s="59" t="str">
        <f ca="1">IFERROR(__xludf.DUMMYFUNCTION("TEXTJOIN(""|"",TRUE,UNIQUE(FILTER(SPLIT(B942,"" ""),LEN(SPLIT(B942,"" ""))&gt;2)))"),"имия|под|ред|амасвами|перевод|арт")</f>
        <v>имия|под|ред|амасвами|перевод|арт</v>
      </c>
      <c r="B942" s="59" t="str">
        <f ca="1">IFERROR(__xludf.DUMMYFUNCTION("LOWER(REGEXREPLACE(D942&amp;"" ""&amp;E942,""[^а-яa-z0-9 ]"","" ""))")," имия    ай  р  же  л под ред      амасвами  перевод  арт      ")</f>
        <v xml:space="preserve"> имия    ай  р  же  л под ред      амасвами  перевод  арт      </v>
      </c>
      <c r="C942" s="61" t="s">
        <v>14928</v>
      </c>
      <c r="D942" s="56" t="s">
        <v>14929</v>
      </c>
      <c r="E942" s="56" t="s">
        <v>14930</v>
      </c>
      <c r="F942" s="57">
        <v>15000</v>
      </c>
      <c r="G942" s="58">
        <v>1</v>
      </c>
      <c r="I942" s="5"/>
      <c r="J942" s="5"/>
    </row>
    <row r="943" spans="1:10" x14ac:dyDescent="0.2">
      <c r="A943" s="59" t="str">
        <f ca="1">IFERROR(__xludf.DUMMYFUNCTION("TEXTJOIN(""|"",TRUE,UNIQUE(FILTER(SPLIT(B943,"" ""),LEN(SPLIT(B943,"" ""))&gt;2)))"),"имия|росто|легко|под|ред|амасвами|перевод|арт")</f>
        <v>имия|росто|легко|под|ред|амасвами|перевод|арт</v>
      </c>
      <c r="B943" s="59" t="str">
        <f ca="1">IFERROR(__xludf.DUMMYFUNCTION("LOWER(REGEXREPLACE(D943&amp;"" ""&amp;E943,""[^а-яa-z0-9 ]"","" ""))")," имия   росто и легко под ред      амасвами  перевод  арт      ")</f>
        <v xml:space="preserve"> имия   росто и легко под ред      амасвами  перевод  арт      </v>
      </c>
      <c r="C943" s="61" t="s">
        <v>14931</v>
      </c>
      <c r="D943" s="56" t="s">
        <v>14932</v>
      </c>
      <c r="E943" s="56" t="s">
        <v>14930</v>
      </c>
      <c r="F943" s="57">
        <v>15000</v>
      </c>
      <c r="G943" s="58">
        <v>1</v>
      </c>
      <c r="I943" s="5"/>
      <c r="J943" s="5"/>
    </row>
    <row r="944" spans="1:10" x14ac:dyDescent="0.2">
      <c r="A944" s="59" t="str">
        <f ca="1">IFERROR(__xludf.DUMMYFUNCTION("TEXTJOIN(""|"",TRUE,UNIQUE(FILTER(SPLIT(B944,"" ""),LEN(SPLIT(B944,"" ""))&gt;2)))"),"лорофитум|омнатное|растение|очищающее|воздух|спользуется|для|озеленения|помещений|дошкольного|учреждения|формирования|детей|экологических|представлений")</f>
        <v>лорофитум|омнатное|растение|очищающее|воздух|спользуется|для|озеленения|помещений|дошкольного|учреждения|формирования|детей|экологических|представлений</v>
      </c>
      <c r="B944" s="59" t="str">
        <f ca="1">IFERROR(__xludf.DUMMYFUNCTION("LOWER(REGEXREPLACE(D944&amp;"" ""&amp;E944,""[^а-яa-z0-9 ]"","" ""))"),"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f>
        <v xml:space="preserve">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v>
      </c>
      <c r="C944" s="61" t="s">
        <v>14933</v>
      </c>
      <c r="D944" s="56" t="s">
        <v>14934</v>
      </c>
      <c r="E944" s="56" t="s">
        <v>14935</v>
      </c>
      <c r="F944" s="57">
        <v>6800</v>
      </c>
      <c r="G944" s="58">
        <v>5</v>
      </c>
      <c r="I944" s="5"/>
      <c r="J944" s="5"/>
    </row>
    <row r="945" spans="1:10" x14ac:dyDescent="0.2">
      <c r="A945" s="59" t="str">
        <f ca="1">IFERROR(__xludf.DUMMYFUNCTION("TEXTJOIN(""|"",TRUE,UNIQUE(FILTER(SPLIT(B945,"" ""),LEN(SPLIT(B945,"" ""))&gt;2)))"),"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amp;"редназначены|для|использования|помещениях")</f>
        <v>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редназначены|для|использования|помещениях</v>
      </c>
      <c r="B945" s="59" t="str">
        <f ca="1">IFERROR(__xludf.DUMMYFUNCTION("LOWER(REGEXREPLACE(D945&amp;"" ""&amp;E945,""[^а-яa-z0-9 ]"","" ""))"),"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треб"&amp;"уют сложного ухода   редназначены для использования в помещениях ")</f>
        <v xml:space="preserve">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требуют сложного ухода   редназначены для использования в помещениях </v>
      </c>
      <c r="C945" s="61" t="s">
        <v>14936</v>
      </c>
      <c r="D945" s="56" t="s">
        <v>14937</v>
      </c>
      <c r="E945" s="56" t="s">
        <v>14938</v>
      </c>
      <c r="F945" s="57">
        <v>285000</v>
      </c>
      <c r="G945" s="58">
        <v>5</v>
      </c>
      <c r="I945" s="5"/>
      <c r="J945" s="5"/>
    </row>
    <row r="946" spans="1:10" x14ac:dyDescent="0.2">
      <c r="A946" s="59" t="str">
        <f ca="1">IFERROR(__xludf.DUMMYFUNCTION("TEXTJOIN(""|"",TRUE,UNIQUE(FILTER(SPLIT(B946,"" ""),LEN(SPLIT(B946,"" ""))&gt;2)))"),"ристофор|олумб|hristopher|olumbus|каз|рус|англ|ейси|перевод|ужикова|ернебекова")</f>
        <v>ристофор|олумб|hristopher|olumbus|каз|рус|англ|ейси|перевод|ужикова|ернебекова</v>
      </c>
      <c r="B946" s="59" t="str">
        <f ca="1">IFERROR(__xludf.DUMMYFUNCTION("LOWER(REGEXREPLACE(D946&amp;"" ""&amp;E946,""[^а-яa-z0-9 ]"","" ""))")," ристофор  олумб   hristopher  olumbus  каз   рус   англ яз      ейси  перевод  ужикова      ернебекова    ")</f>
        <v xml:space="preserve"> ристофор  олумб   hristopher  olumbus  каз   рус   англ яз      ейси  перевод  ужикова      ернебекова    </v>
      </c>
      <c r="C946" s="61" t="s">
        <v>14939</v>
      </c>
      <c r="D946" s="56" t="s">
        <v>14940</v>
      </c>
      <c r="E946" s="56" t="s">
        <v>14941</v>
      </c>
      <c r="F946" s="57">
        <v>3600</v>
      </c>
      <c r="G946" s="58">
        <v>1</v>
      </c>
      <c r="I946" s="5"/>
      <c r="J946" s="5"/>
    </row>
    <row r="947" spans="1:10" x14ac:dyDescent="0.2">
      <c r="A947" s="59" t="str">
        <f ca="1">IFERROR(__xludf.DUMMYFUNCTION("TEXTJOIN(""|"",TRUE,UNIQUE(FILTER(SPLIT(B947,"" ""),LEN(SPLIT(B947,"" ""))&gt;2)))"),"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f>
        <v>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v>
      </c>
      <c r="B947" s="59" t="str">
        <f ca="1">IFERROR(__xludf.DUMMYFUNCTION("LOWER(REGEXREPLACE(D947&amp;"" ""&amp;E947,""[^а-яa-z0-9 ]"","" ""))"),"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f>
        <v xml:space="preserve">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v>
      </c>
      <c r="C947" s="61" t="s">
        <v>14942</v>
      </c>
      <c r="D947" s="56" t="s">
        <v>14943</v>
      </c>
      <c r="E947" s="56" t="s">
        <v>14944</v>
      </c>
      <c r="F947" s="57">
        <v>4800</v>
      </c>
      <c r="G947" s="58">
        <v>3</v>
      </c>
      <c r="I947" s="5"/>
      <c r="J947" s="5"/>
    </row>
    <row r="948" spans="1:10" x14ac:dyDescent="0.2">
      <c r="A948" s="59" t="str">
        <f ca="1">IFERROR(__xludf.DUMMYFUNCTION("TEXTJOIN(""|"",TRUE,UNIQUE(FILTER(SPLIT(B948,"" ""),LEN(SPLIT(B948,"" ""))&gt;2)))"),"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f>
        <v>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v>
      </c>
      <c r="B948" s="59" t="str">
        <f ca="1">IFERROR(__xludf.DUMMYFUNCTION("LOWER(REGEXREPLACE(D948&amp;"" ""&amp;E948,""[^а-яa-z0-9 ]"","" ""))"),"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f>
        <v xml:space="preserve">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v>
      </c>
      <c r="C948" s="61" t="s">
        <v>14945</v>
      </c>
      <c r="D948" s="56" t="s">
        <v>14946</v>
      </c>
      <c r="E948" s="56" t="s">
        <v>14947</v>
      </c>
      <c r="F948" s="57">
        <v>90000</v>
      </c>
      <c r="G948" s="58">
        <v>5</v>
      </c>
      <c r="I948" s="5"/>
      <c r="J948" s="5"/>
    </row>
    <row r="949" spans="1:10" x14ac:dyDescent="0.2">
      <c r="A949" s="59" t="str">
        <f ca="1">IFERROR(__xludf.DUMMYFUNCTION("TEXTJOIN(""|"",TRUE,UNIQUE(FILTER(SPLIT(B949,"" ""),LEN(SPLIT(B949,"" ""))&gt;2)))"),"айник|айник|электрический")</f>
        <v>айник|айник|электрический</v>
      </c>
      <c r="B949" s="59" t="str">
        <f ca="1">IFERROR(__xludf.DUMMYFUNCTION("LOWER(REGEXREPLACE(D949&amp;"" ""&amp;E949,""[^а-яa-z0-9 ]"","" ""))")," айник  айник электрический")</f>
        <v xml:space="preserve"> айник  айник электрический</v>
      </c>
      <c r="C949" s="61" t="s">
        <v>14948</v>
      </c>
      <c r="D949" s="56" t="s">
        <v>14949</v>
      </c>
      <c r="E949" s="56" t="s">
        <v>3537</v>
      </c>
      <c r="F949" s="57">
        <v>13287</v>
      </c>
      <c r="G949" s="58">
        <v>1</v>
      </c>
      <c r="I949" s="5"/>
      <c r="J949" s="5"/>
    </row>
    <row r="950" spans="1:10" x14ac:dyDescent="0.2">
      <c r="A950" s="59" t="str">
        <f ca="1">IFERROR(__xludf.DUMMYFUNCTION("TEXTJOIN(""|"",TRUE,UNIQUE(FILTER(SPLIT(B950,"" ""),LEN(SPLIT(B950,"" ""))&gt;2)))"),"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f>
        <v>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v>
      </c>
      <c r="B950" s="59" t="str">
        <f ca="1">IFERROR(__xludf.DUMMYFUNCTION("LOWER(REGEXREPLACE(D950&amp;"" ""&amp;E950,""[^а-яa-z0-9 ]"","" ""))"),"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f>
        <v xml:space="preserve">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v>
      </c>
      <c r="C950" s="61" t="s">
        <v>14950</v>
      </c>
      <c r="D950" s="56" t="s">
        <v>14951</v>
      </c>
      <c r="E950" s="56" t="s">
        <v>14952</v>
      </c>
      <c r="F950" s="57">
        <v>13000</v>
      </c>
      <c r="G950" s="58">
        <v>1</v>
      </c>
      <c r="I950" s="5"/>
      <c r="J950" s="5"/>
    </row>
    <row r="951" spans="1:10" x14ac:dyDescent="0.2">
      <c r="A951" s="59" t="str">
        <f ca="1">IFERROR(__xludf.DUMMYFUNCTION("TEXTJOIN(""|"",TRUE,UNIQUE(FILTER(SPLIT(B951,"" ""),LEN(SPLIT(B951,"" ""))&gt;2)))"),"окан|утеводная|звезда|востока|ужикова")</f>
        <v>окан|утеводная|звезда|востока|ужикова</v>
      </c>
      <c r="B951" s="59" t="str">
        <f ca="1">IFERROR(__xludf.DUMMYFUNCTION("LOWER(REGEXREPLACE(D951&amp;"" ""&amp;E951,""[^а-яa-z0-9 ]"","" ""))")," окан   утеводная звезда востока  ужикова   ")</f>
        <v xml:space="preserve"> окан   утеводная звезда востока  ужикова   </v>
      </c>
      <c r="C951" s="61" t="s">
        <v>14953</v>
      </c>
      <c r="D951" s="56" t="s">
        <v>14954</v>
      </c>
      <c r="E951" s="56" t="s">
        <v>12563</v>
      </c>
      <c r="F951" s="57">
        <v>16000</v>
      </c>
      <c r="G951" s="58">
        <v>1</v>
      </c>
      <c r="I951" s="5"/>
      <c r="J951" s="5"/>
    </row>
    <row r="952" spans="1:10" x14ac:dyDescent="0.2">
      <c r="A952" s="59" t="str">
        <f ca="1">IFERROR(__xludf.DUMMYFUNCTION("TEXTJOIN(""|"",TRUE,UNIQUE(FILTER(SPLIT(B952,"" ""),LEN(SPLIT(B952,"" ""))&gt;2)))"),"удесное|путешествие|рестоматия|для|классов|без|автора")</f>
        <v>удесное|путешествие|рестоматия|для|классов|без|автора</v>
      </c>
      <c r="B952" s="59" t="str">
        <f ca="1">IFERROR(__xludf.DUMMYFUNCTION("LOWER(REGEXREPLACE(D952&amp;"" ""&amp;E952,""[^а-яa-z0-9 ]"","" ""))")," удесное путешествие   рестоматия для 2 4 классов без автора")</f>
        <v xml:space="preserve"> удесное путешествие   рестоматия для 2 4 классов без автора</v>
      </c>
      <c r="C952" s="61" t="s">
        <v>14955</v>
      </c>
      <c r="D952" s="56" t="s">
        <v>14956</v>
      </c>
      <c r="E952" s="56" t="s">
        <v>14957</v>
      </c>
      <c r="F952" s="57">
        <v>7200</v>
      </c>
      <c r="G952" s="58">
        <v>1</v>
      </c>
      <c r="I952" s="5"/>
      <c r="J952" s="5"/>
    </row>
    <row r="953" spans="1:10" x14ac:dyDescent="0.2">
      <c r="A953" s="59" t="str">
        <f ca="1">IFERROR(__xludf.DUMMYFUNCTION("TEXTJOIN(""|"",TRUE,UNIQUE(FILTER(SPLIT(B953,"" ""),LEN(SPLIT(B953,"" ""))&gt;2)))"),"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f>
        <v>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v>
      </c>
      <c r="B953" s="59" t="str">
        <f ca="1">IFERROR(__xludf.DUMMYFUNCTION("LOWER(REGEXREPLACE(D953&amp;"" ""&amp;E953,""[^а-яa-z0-9 ]"","" ""))"),"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безоп"&amp;"асны для детей ")</f>
        <v xml:space="preserve">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безопасны для детей </v>
      </c>
      <c r="C953" s="61" t="s">
        <v>14958</v>
      </c>
      <c r="D953" s="56" t="s">
        <v>14959</v>
      </c>
      <c r="E953" s="56" t="s">
        <v>14960</v>
      </c>
      <c r="F953" s="57">
        <v>14400</v>
      </c>
      <c r="G953" s="58">
        <v>5</v>
      </c>
      <c r="I953" s="5"/>
      <c r="J953" s="5"/>
    </row>
    <row r="954" spans="1:10" x14ac:dyDescent="0.2">
      <c r="A954" s="59" t="str">
        <f ca="1">IFERROR(__xludf.DUMMYFUNCTION("TEXTJOIN(""|"",TRUE,UNIQUE(FILTER(SPLIT(B954,"" ""),LEN(SPLIT(B954,"" ""))&gt;2)))"),"арики|ластиковые|шарики|предназначены|для|использования|сухом|бассейне|сенсорных|подвижных|играх|оличество|наборе|100|вета|разноцветные|атериал|гкий|пластик")</f>
        <v>арики|ластиковые|шарики|предназначены|для|использования|сухом|бассейне|сенсорных|подвижных|играх|оличество|наборе|100|вета|разноцветные|атериал|гкий|пластик</v>
      </c>
      <c r="B954" s="59" t="str">
        <f ca="1">IFERROR(__xludf.DUMMYFUNCTION("LOWER(REGEXREPLACE(D954&amp;"" ""&amp;E954,""[^а-яa-z0-9 ]"","" ""))"),"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f>
        <v xml:space="preserve">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v>
      </c>
      <c r="C954" s="61" t="s">
        <v>14961</v>
      </c>
      <c r="D954" s="56" t="s">
        <v>14962</v>
      </c>
      <c r="E954" s="56" t="s">
        <v>14963</v>
      </c>
      <c r="F954" s="57">
        <v>6800</v>
      </c>
      <c r="G954" s="58">
        <v>1</v>
      </c>
      <c r="I954" s="5"/>
      <c r="J954" s="5"/>
    </row>
    <row r="955" spans="1:10" x14ac:dyDescent="0.2">
      <c r="A955" s="59" t="str">
        <f ca="1">IFERROR(__xludf.DUMMYFUNCTION("TEXTJOIN(""|"",TRUE,UNIQUE(FILTER(SPLIT(B955,"" ""),LEN(SPLIT(B955,"" ""))&gt;2)))"),"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f>
        <v>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v>
      </c>
      <c r="B955" s="59" t="str">
        <f ca="1">IFERROR(__xludf.DUMMYFUNCTION("LOWER(REGEXREPLACE(D955&amp;"" ""&amp;E955,""[^а-яa-z0-9 ]"","" ""))"),"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помещ"&amp;"ениях ")</f>
        <v xml:space="preserve">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помещениях </v>
      </c>
      <c r="C955" s="61" t="s">
        <v>14964</v>
      </c>
      <c r="D955" s="56" t="s">
        <v>14965</v>
      </c>
      <c r="E955" s="56" t="s">
        <v>14966</v>
      </c>
      <c r="F955" s="57">
        <v>8600</v>
      </c>
      <c r="G955" s="58">
        <v>7</v>
      </c>
      <c r="I955" s="5"/>
      <c r="J955" s="5"/>
    </row>
    <row r="956" spans="1:10" x14ac:dyDescent="0.2">
      <c r="A956" s="59" t="str">
        <f ca="1">IFERROR(__xludf.DUMMYFUNCTION("TEXTJOIN(""|"",TRUE,UNIQUE(FILTER(SPLIT(B956,"" ""),LEN(SPLIT(B956,"" ""))&gt;2)))"),"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f>
        <v>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v>
      </c>
      <c r="B956" s="59" t="str">
        <f ca="1">IFERROR(__xludf.DUMMYFUNCTION("LOWER(REGEXREPLACE(D956&amp;"" ""&amp;E956,""[^а-яa-z0-9 ]"","" ""))"),"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f>
        <v xml:space="preserve">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v>
      </c>
      <c r="C956" s="61" t="s">
        <v>14967</v>
      </c>
      <c r="D956" s="56" t="s">
        <v>14968</v>
      </c>
      <c r="E956" s="56" t="s">
        <v>14969</v>
      </c>
      <c r="F956" s="57">
        <v>285000</v>
      </c>
      <c r="G956" s="58">
        <v>1</v>
      </c>
      <c r="I956" s="5"/>
      <c r="J956" s="5"/>
    </row>
    <row r="957" spans="1:10" x14ac:dyDescent="0.2">
      <c r="A957" s="59" t="str">
        <f ca="1">IFERROR(__xludf.DUMMYFUNCTION("TEXTJOIN(""|"",TRUE,UNIQUE(FILTER(SPLIT(B957,"" ""),LEN(SPLIT(B957,"" ""))&gt;2)))"),"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f>
        <v>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v>
      </c>
      <c r="B957" s="59" t="str">
        <f ca="1">IFERROR(__xludf.DUMMYFUNCTION("LOWER(REGEXREPLACE(D957&amp;"" ""&amp;E957,""[^а-яa-z0-9 ]"","" ""))"),"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f>
        <v xml:space="preserve">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v>
      </c>
      <c r="C957" s="61" t="s">
        <v>14970</v>
      </c>
      <c r="D957" s="56" t="s">
        <v>14971</v>
      </c>
      <c r="E957" s="56" t="s">
        <v>14972</v>
      </c>
      <c r="F957" s="57">
        <v>24700</v>
      </c>
      <c r="G957" s="58">
        <v>14</v>
      </c>
      <c r="I957" s="5"/>
      <c r="J957" s="5"/>
    </row>
    <row r="958" spans="1:10" x14ac:dyDescent="0.2">
      <c r="A958" s="59" t="str">
        <f ca="1">IFERROR(__xludf.DUMMYFUNCTION("TEXTJOIN(""|"",TRUE,UNIQUE(FILTER(SPLIT(B958,"" ""),LEN(SPLIT(B958,"" ""))&gt;2)))"),"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f>
        <v>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v>
      </c>
      <c r="B958" s="59" t="str">
        <f ca="1">IFERROR(__xludf.DUMMYFUNCTION("LOWER(REGEXREPLACE(D958&amp;"" ""&amp;E958,""[^а-яa-z0-9 ]"","" ""))"),"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f>
        <v xml:space="preserve">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v>
      </c>
      <c r="C958" s="61" t="s">
        <v>14973</v>
      </c>
      <c r="D958" s="56" t="s">
        <v>14974</v>
      </c>
      <c r="E958" s="56" t="s">
        <v>14975</v>
      </c>
      <c r="F958" s="57">
        <v>13700</v>
      </c>
      <c r="G958" s="58">
        <v>5</v>
      </c>
      <c r="I958" s="5"/>
      <c r="J958" s="5"/>
    </row>
    <row r="959" spans="1:10" x14ac:dyDescent="0.2">
      <c r="A959" s="59" t="str">
        <f ca="1">IFERROR(__xludf.DUMMYFUNCTION("TEXTJOIN(""|"",TRUE,UNIQUE(FILTER(SPLIT(B959,"" ""),LEN(SPLIT(B959,"" ""))&gt;2)))"),"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amp;"алогов|что|способствует|развитию|воображения|связной|речи|ысота|ширмы|составляет|менее|ширина|менее|азмер|окна|менее|атериал|фанера|толщиной|менее")</f>
        <v>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алогов|что|способствует|развитию|воображения|связной|речи|ысота|ширмы|составляет|менее|ширина|менее|азмер|окна|менее|атериал|фанера|толщиной|менее</v>
      </c>
      <c r="B959" s="59" t="str">
        <f ca="1">IFERROR(__xludf.DUMMYFUNCTION("LOWER(REGEXREPLACE(D959&amp;"" ""&amp;E959,""[^а-яa-z0-9 ]"","" ""))"),"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раз"&amp;"ыгрывание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f>
        <v xml:space="preserve">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v>
      </c>
      <c r="C959" s="61" t="s">
        <v>14976</v>
      </c>
      <c r="D959" s="56" t="s">
        <v>14977</v>
      </c>
      <c r="E959" s="56" t="s">
        <v>14978</v>
      </c>
      <c r="F959" s="57">
        <v>25400</v>
      </c>
      <c r="G959" s="58">
        <v>10</v>
      </c>
      <c r="I959" s="5"/>
      <c r="J959" s="5"/>
    </row>
    <row r="960" spans="1:10" x14ac:dyDescent="0.2">
      <c r="A960" s="59" t="str">
        <f ca="1">IFERROR(__xludf.DUMMYFUNCTION("TEXTJOIN(""|"",TRUE,UNIQUE(FILTER(SPLIT(B960,"" ""),LEN(SPLIT(B960,"" ""))&gt;2)))"),"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f>
        <v>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v>
      </c>
      <c r="B960" s="59" t="str">
        <f ca="1">IFERROR(__xludf.DUMMYFUNCTION("LOWER(REGEXREPLACE(D960&amp;"" ""&amp;E960,""[^а-яa-z0-9 ]"","" ""))"),"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f>
        <v xml:space="preserve">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v>
      </c>
      <c r="C960" s="61" t="s">
        <v>14979</v>
      </c>
      <c r="D960" s="56" t="s">
        <v>14980</v>
      </c>
      <c r="E960" s="56" t="s">
        <v>14981</v>
      </c>
      <c r="F960" s="57">
        <v>52300</v>
      </c>
      <c r="G960" s="58">
        <v>7</v>
      </c>
      <c r="I960" s="5"/>
      <c r="J960" s="5"/>
    </row>
    <row r="961" spans="1:10" x14ac:dyDescent="0.2">
      <c r="A961" s="59" t="str">
        <f ca="1">IFERROR(__xludf.DUMMYFUNCTION("TEXTJOIN(""|"",TRUE,UNIQUE(FILTER(SPLIT(B961,"" ""),LEN(SPLIT(B961,"" ""))&gt;2)))"),"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f>
        <v>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v>
      </c>
      <c r="B961" s="59" t="str">
        <f ca="1">IFERROR(__xludf.DUMMYFUNCTION("LOWER(REGEXREPLACE(D961&amp;"" ""&amp;E961,""[^а-яa-z0-9 ]"","" ""))"),"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ма"&amp;"териала ")</f>
        <v xml:space="preserve">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материала </v>
      </c>
      <c r="C961" s="61" t="s">
        <v>14982</v>
      </c>
      <c r="D961" s="56" t="s">
        <v>14983</v>
      </c>
      <c r="E961" s="56" t="s">
        <v>14984</v>
      </c>
      <c r="F961" s="57">
        <v>19000</v>
      </c>
      <c r="G961" s="58">
        <v>21</v>
      </c>
      <c r="I961" s="5"/>
      <c r="J961" s="5"/>
    </row>
    <row r="962" spans="1:10" x14ac:dyDescent="0.2">
      <c r="A962" s="59" t="str">
        <f ca="1">IFERROR(__xludf.DUMMYFUNCTION("TEXTJOIN(""|"",TRUE,UNIQUE(FILTER(SPLIT(B962,"" ""),LEN(SPLIT(B962,"" ""))&gt;2)))"),"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amp;"контролем|взрослого")</f>
        <v>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контролем|взрослого</v>
      </c>
      <c r="B962" s="59" t="str">
        <f ca="1">IFERROR(__xludf.DUMMYFUNCTION("LOWER(REGEXREPLACE(D962&amp;"" ""&amp;E962,""[^а-яa-z0-9 ]"","" ""))"),"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подход"&amp;"ят для использования под контролем взрослого ")</f>
        <v xml:space="preserve">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подходят для использования под контролем взрослого </v>
      </c>
      <c r="C962" s="61" t="s">
        <v>14985</v>
      </c>
      <c r="D962" s="56" t="s">
        <v>14986</v>
      </c>
      <c r="E962" s="56" t="s">
        <v>14987</v>
      </c>
      <c r="F962" s="57">
        <v>6700</v>
      </c>
      <c r="G962" s="58">
        <v>7</v>
      </c>
      <c r="I962" s="5"/>
      <c r="J962" s="5"/>
    </row>
    <row r="963" spans="1:10" x14ac:dyDescent="0.2">
      <c r="A963" s="59" t="str">
        <f ca="1">IFERROR(__xludf.DUMMYFUNCTION("TEXTJOIN(""|"",TRUE,UNIQUE(FILTER(SPLIT(B963,"" ""),LEN(SPLIT(B963,"" ""))&gt;2)))"),"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amp;"риал|дерево")</f>
        <v>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риал|дерево</v>
      </c>
      <c r="B963" s="59" t="str">
        <f ca="1">IFERROR(__xludf.DUMMYFUNCTION("LOWER(REGEXREPLACE(D963&amp;"" ""&amp;E963,""[^а-яa-z0-9 ]"","" ""))"),"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нан"&amp;"изывания   атериал   дерево ")</f>
        <v xml:space="preserve">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нанизывания   атериал   дерево </v>
      </c>
      <c r="C963" s="61" t="s">
        <v>14988</v>
      </c>
      <c r="D963" s="56" t="s">
        <v>14989</v>
      </c>
      <c r="E963" s="56" t="s">
        <v>14990</v>
      </c>
      <c r="F963" s="57">
        <v>8600</v>
      </c>
      <c r="G963" s="58">
        <v>7</v>
      </c>
      <c r="I963" s="5"/>
      <c r="J963" s="5"/>
    </row>
    <row r="964" spans="1:10" x14ac:dyDescent="0.2">
      <c r="A964" s="59" t="str">
        <f ca="1">IFERROR(__xludf.DUMMYFUNCTION("TEXTJOIN(""|"",TRUE,UNIQUE(FILTER(SPLIT(B964,"" ""),LEN(SPLIT(B964,"" ""))&gt;2)))"),"лиханов|географ|саяхатшы|рмагамбетов")</f>
        <v>лиханов|географ|саяхатшы|рмагамбетов</v>
      </c>
      <c r="B964" s="59" t="str">
        <f ca="1">IFERROR(__xludf.DUMMYFUNCTION("LOWER(REGEXREPLACE(D964&amp;"" ""&amp;E964,""[^а-яa-z0-9 ]"","" ""))")," о ан   лиханов   географ ж не саяхатшы   рмагамбетов   ")</f>
        <v xml:space="preserve"> о ан   лиханов   географ ж не саяхатшы   рмагамбетов   </v>
      </c>
      <c r="C964" s="61" t="s">
        <v>14991</v>
      </c>
      <c r="D964" s="56" t="s">
        <v>14992</v>
      </c>
      <c r="E964" s="56" t="s">
        <v>14993</v>
      </c>
      <c r="F964" s="57">
        <v>4800</v>
      </c>
      <c r="G964" s="58">
        <v>1</v>
      </c>
      <c r="I964" s="5"/>
      <c r="J964" s="5"/>
    </row>
    <row r="965" spans="1:10" x14ac:dyDescent="0.2">
      <c r="A965" s="59" t="str">
        <f ca="1">IFERROR(__xludf.DUMMYFUNCTION("TEXTJOIN(""|"",TRUE,UNIQUE(FILTER(SPLIT(B965,"" ""),LEN(SPLIT(B965,"" ""))&gt;2)))"),"ысты|жары|лдызы|ужикова")</f>
        <v>ысты|жары|лдызы|ужикова</v>
      </c>
      <c r="B965" s="59" t="str">
        <f ca="1">IFERROR(__xludf.DUMMYFUNCTION("LOWER(REGEXREPLACE(D965&amp;"" ""&amp;E965,""[^а-яa-z0-9 ]"","" ""))")," о ан   ы ысты  жары  ж лдызы  ужикова   ")</f>
        <v xml:space="preserve"> о ан   ы ысты  жары  ж лдызы  ужикова   </v>
      </c>
      <c r="C965" s="61" t="s">
        <v>14994</v>
      </c>
      <c r="D965" s="56" t="s">
        <v>14995</v>
      </c>
      <c r="E965" s="56" t="s">
        <v>12563</v>
      </c>
      <c r="F965" s="57">
        <v>16000</v>
      </c>
      <c r="G965" s="58">
        <v>1</v>
      </c>
      <c r="I965" s="5"/>
      <c r="J965" s="5"/>
    </row>
    <row r="966" spans="1:10" x14ac:dyDescent="0.2">
      <c r="A966" s="59" t="str">
        <f ca="1">IFERROR(__xludf.DUMMYFUNCTION("TEXTJOIN(""|"",TRUE,UNIQUE(FILTER(SPLIT(B966,"" ""),LEN(SPLIT(B966,"" ""))&gt;2)))"),"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amp;"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f>
        <v>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v>
      </c>
      <c r="B966" s="59" t="str">
        <f ca="1">IFERROR(__xludf.DUMMYFUNCTION("LOWER(REGEXREPLACE(D966&amp;"" ""&amp;E966,""[^а-яa-z0-9 ]"","" ""))"),"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длитель"&amp;"ной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f>
        <v xml:space="preserve">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v>
      </c>
      <c r="C966" s="61" t="s">
        <v>14996</v>
      </c>
      <c r="D966" s="56" t="s">
        <v>14997</v>
      </c>
      <c r="E966" s="56" t="s">
        <v>14998</v>
      </c>
      <c r="F966" s="57">
        <v>2700</v>
      </c>
      <c r="G966" s="58">
        <v>5</v>
      </c>
      <c r="I966" s="5"/>
      <c r="J966" s="5"/>
    </row>
    <row r="967" spans="1:10" x14ac:dyDescent="0.2">
      <c r="A967" s="59" t="str">
        <f ca="1">IFERROR(__xludf.DUMMYFUNCTION("TEXTJOIN(""|"",TRUE,UNIQUE(FILTER(SPLIT(B967,"" ""),LEN(SPLIT(B967,"" ""))&gt;2)))"),"уакты|кундер|омыш|туралы|хметова")</f>
        <v>уакты|кундер|омыш|туралы|хметова</v>
      </c>
      <c r="B967" s="59" t="str">
        <f ca="1">IFERROR(__xludf.DUMMYFUNCTION("LOWER(REGEXREPLACE(D967&amp;"" ""&amp;E967,""[^а-яa-z0-9 ]"","" ""))")," уакты кундер     омыш лы туралы   хметова   ")</f>
        <v xml:space="preserve"> уакты кундер     омыш лы туралы   хметова   </v>
      </c>
      <c r="C967" s="61" t="s">
        <v>14999</v>
      </c>
      <c r="D967" s="56" t="s">
        <v>15000</v>
      </c>
      <c r="E967" s="56" t="s">
        <v>14536</v>
      </c>
      <c r="F967" s="57">
        <v>8000</v>
      </c>
      <c r="G967" s="58">
        <v>1</v>
      </c>
      <c r="I967" s="5"/>
      <c r="J967" s="5"/>
    </row>
    <row r="968" spans="1:10" x14ac:dyDescent="0.2">
      <c r="A968" s="59" t="str">
        <f ca="1">IFERROR(__xludf.DUMMYFUNCTION("TEXTJOIN(""|"",TRUE,UNIQUE(FILTER(SPLIT(B968,"" ""),LEN(SPLIT(B968,"" ""))&gt;2)))"),"бырай|аланы|таза|лагы|спанов|телбаева|лтынсарин|туралы")</f>
        <v>бырай|аланы|таза|лагы|спанов|телбаева|лтынсарин|туралы</v>
      </c>
      <c r="B968" s="59" t="str">
        <f ca="1">IFERROR(__xludf.DUMMYFUNCTION("LOWER(REGEXREPLACE(D968&amp;"" ""&amp;E968,""[^а-яa-z0-9 ]"","" ""))")," бырай   аланы  таза б лагы  спанов      телбаева        лтынсарин туралы ")</f>
        <v xml:space="preserve"> бырай   аланы  таза б лагы  спанов      телбаева        лтынсарин туралы </v>
      </c>
      <c r="C968" s="61" t="s">
        <v>15001</v>
      </c>
      <c r="D968" s="56" t="s">
        <v>15002</v>
      </c>
      <c r="E968" s="56" t="s">
        <v>15003</v>
      </c>
      <c r="F968" s="57">
        <v>13400</v>
      </c>
      <c r="G968" s="58">
        <v>1</v>
      </c>
      <c r="I968" s="5"/>
      <c r="J968" s="5"/>
    </row>
    <row r="969" spans="1:10" x14ac:dyDescent="0.2">
      <c r="A969" s="59" t="str">
        <f ca="1">IFERROR(__xludf.DUMMYFUNCTION("TEXTJOIN(""|"",TRUE,UNIQUE(FILTER(SPLIT(B969,"" ""),LEN(SPLIT(B969,"" ""))&gt;2)))"),"бырай|истый|родник|степи|спанов|тельбаева")</f>
        <v>бырай|истый|родник|степи|спанов|тельбаева</v>
      </c>
      <c r="B969" s="59" t="str">
        <f ca="1">IFERROR(__xludf.DUMMYFUNCTION("LOWER(REGEXREPLACE(D969&amp;"" ""&amp;E969,""[^а-яa-z0-9 ]"","" ""))")," бырай   истый родник степи  спанов      тельбаева   ")</f>
        <v xml:space="preserve"> бырай   истый родник степи  спанов      тельбаева   </v>
      </c>
      <c r="C969" s="61" t="s">
        <v>15004</v>
      </c>
      <c r="D969" s="56" t="s">
        <v>15005</v>
      </c>
      <c r="E969" s="56" t="s">
        <v>15006</v>
      </c>
      <c r="F969" s="57">
        <v>13400</v>
      </c>
      <c r="G969" s="58">
        <v>1</v>
      </c>
      <c r="I969" s="5"/>
      <c r="J969" s="5"/>
    </row>
    <row r="970" spans="1:10" x14ac:dyDescent="0.2">
      <c r="A970" s="59" t="str">
        <f ca="1">IFERROR(__xludf.DUMMYFUNCTION("TEXTJOIN(""|"",TRUE,UNIQUE(FILTER(SPLIT(B970,"" ""),LEN(SPLIT(B970,"" ""))&gt;2)))"),"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amp;"ивает|внимание|память|скорость|реакции|редусмотрено|менее|режимов|игры|грушка|оснащена|световыми|звуковыми|эффектами")</f>
        <v>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ивает|внимание|память|скорость|реакции|редусмотрено|менее|режимов|игры|грушка|оснащена|световыми|звуковыми|эффектами</v>
      </c>
      <c r="B970" s="59" t="str">
        <f ca="1">IFERROR(__xludf.DUMMYFUNCTION("LOWER(REGEXREPLACE(D970&amp;"" ""&amp;E970,""[^а-яa-z0-9 ]"","" ""))"),"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"&amp;"темпе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f>
        <v xml:space="preserve">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v>
      </c>
      <c r="C970" s="61" t="s">
        <v>15007</v>
      </c>
      <c r="D970" s="56" t="s">
        <v>15008</v>
      </c>
      <c r="E970" s="56" t="s">
        <v>15009</v>
      </c>
      <c r="F970" s="57">
        <v>64600</v>
      </c>
      <c r="G970" s="58">
        <v>21</v>
      </c>
      <c r="I970" s="5"/>
      <c r="J970" s="5"/>
    </row>
    <row r="971" spans="1:10" x14ac:dyDescent="0.2">
      <c r="A971" s="59" t="str">
        <f ca="1">IFERROR(__xludf.DUMMYFUNCTION("TEXTJOIN(""|"",TRUE,UNIQUE(FILTER(SPLIT(B971,"" ""),LEN(SPLIT(B971,"" ""))&gt;2)))"),"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amp;"выков")</f>
        <v>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выков</v>
      </c>
      <c r="B971" s="59" t="str">
        <f ca="1">IFERROR(__xludf.DUMMYFUNCTION("LOWER(REGEXREPLACE(D971&amp;"" ""&amp;E971,""[^а-яa-z0-9 ]"","" ""))"),"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ко"&amp;"ммуникативных навыков ")</f>
        <v xml:space="preserve">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коммуникативных навыков </v>
      </c>
      <c r="C971" s="61" t="s">
        <v>15010</v>
      </c>
      <c r="D971" s="56" t="s">
        <v>15011</v>
      </c>
      <c r="E971" s="56" t="s">
        <v>15012</v>
      </c>
      <c r="F971" s="57">
        <v>12400</v>
      </c>
      <c r="G971" s="58">
        <v>1</v>
      </c>
      <c r="I971" s="5"/>
      <c r="J971" s="5"/>
    </row>
    <row r="972" spans="1:10" x14ac:dyDescent="0.2">
      <c r="A972" s="59" t="str">
        <f ca="1">IFERROR(__xludf.DUMMYFUNCTION("TEXTJOIN(""|"",TRUE,UNIQUE(FILTER(SPLIT(B972,"" ""),LEN(SPLIT(B972,"" ""))&gt;2)))"),"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f>
        <v>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v>
      </c>
      <c r="B972" s="59" t="str">
        <f ca="1">IFERROR(__xludf.DUMMYFUNCTION("LOWER(REGEXREPLACE(D972&amp;"" ""&amp;E972,""[^а-яa-z0-9 ]"","" ""))"),"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работы"&amp;" ")</f>
        <v xml:space="preserve">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 </v>
      </c>
      <c r="C972" s="61" t="s">
        <v>15013</v>
      </c>
      <c r="D972" s="56" t="s">
        <v>15014</v>
      </c>
      <c r="E972" s="56" t="s">
        <v>15015</v>
      </c>
      <c r="F972" s="57">
        <v>4800</v>
      </c>
      <c r="G972" s="58">
        <v>1</v>
      </c>
      <c r="I972" s="5"/>
      <c r="J972" s="5"/>
    </row>
    <row r="973" spans="1:10" x14ac:dyDescent="0.2">
      <c r="A973" s="59" t="str">
        <f ca="1">IFERROR(__xludf.DUMMYFUNCTION("TEXTJOIN(""|"",TRUE,UNIQUE(FILTER(SPLIT(B973,"" ""),LEN(SPLIT(B973,"" ""))&gt;2)))"),"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f>
        <v>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v>
      </c>
      <c r="B973" s="59" t="str">
        <f ca="1">IFERROR(__xludf.DUMMYFUNCTION("LOWER(REGEXREPLACE(D973&amp;"" ""&amp;E973,""[^а-яa-z0-9 ]"","" ""))"),"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f>
        <v xml:space="preserve">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v>
      </c>
      <c r="C973" s="61" t="s">
        <v>15016</v>
      </c>
      <c r="D973" s="56" t="s">
        <v>15017</v>
      </c>
      <c r="E973" s="56" t="s">
        <v>15018</v>
      </c>
      <c r="F973" s="57">
        <v>12700</v>
      </c>
      <c r="G973" s="58">
        <v>12</v>
      </c>
      <c r="I973" s="5"/>
      <c r="J973" s="5"/>
    </row>
    <row r="974" spans="1:10" x14ac:dyDescent="0.2">
      <c r="A974" s="59" t="str">
        <f ca="1">IFERROR(__xludf.DUMMYFUNCTION("TEXTJOIN(""|"",TRUE,UNIQUE(FILTER(SPLIT(B974,"" ""),LEN(SPLIT(B974,"" ""))&gt;2)))"),"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amp;"е|улице")</f>
        <v>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е|улице</v>
      </c>
      <c r="B974" s="59" t="str">
        <f ca="1">IFERROR(__xludf.DUMMYFUNCTION("LOWER(REGEXREPLACE(D974&amp;"" ""&amp;E974,""[^а-яa-z0-9 ]"","" ""))"),"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эста"&amp;"фет и командных игр в спортивном зале и на улице ")</f>
        <v xml:space="preserve">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эстафет и командных игр в спортивном зале и на улице </v>
      </c>
      <c r="C974" s="61" t="s">
        <v>15019</v>
      </c>
      <c r="D974" s="56" t="s">
        <v>15020</v>
      </c>
      <c r="E974" s="56" t="s">
        <v>15021</v>
      </c>
      <c r="F974" s="57">
        <v>6700</v>
      </c>
      <c r="G974" s="58">
        <v>25</v>
      </c>
      <c r="I974" s="5"/>
      <c r="J974" s="5"/>
    </row>
    <row r="975" spans="1:10" x14ac:dyDescent="0.2">
      <c r="A975" s="59" t="str">
        <f ca="1">IFERROR(__xludf.DUMMYFUNCTION("TEXTJOIN(""|"",TRUE,UNIQUE(FILTER(SPLIT(B975,"" ""),LEN(SPLIT(B975,"" ""))&gt;2)))"),"stana|the|heart|our|otherland|уреханова")</f>
        <v>stana|the|heart|our|otherland|уреханова</v>
      </c>
      <c r="B975" s="59" t="str">
        <f ca="1">IFERROR(__xludf.DUMMYFUNCTION("LOWER(REGEXREPLACE(D975&amp;"" ""&amp;E975,""[^а-яa-z0-9 ]"","" ""))")," stana   the heart of our  otherland  уреханова   ")</f>
        <v xml:space="preserve"> stana   the heart of our  otherland  уреханова   </v>
      </c>
      <c r="C975" s="61" t="s">
        <v>15022</v>
      </c>
      <c r="D975" s="56" t="s">
        <v>15023</v>
      </c>
      <c r="E975" s="56" t="s">
        <v>13820</v>
      </c>
      <c r="F975" s="57">
        <v>7000</v>
      </c>
      <c r="G975" s="58">
        <v>1</v>
      </c>
      <c r="I975" s="5"/>
      <c r="J975" s="5"/>
    </row>
    <row r="976" spans="1:10" x14ac:dyDescent="0.2">
      <c r="A976" s="59" t="str">
        <f ca="1">IFERROR(__xludf.DUMMYFUNCTION("TEXTJOIN(""|"",TRUE,UNIQUE(FILTER(SPLIT(B976,"" ""),LEN(SPLIT(B976,"" ""))&gt;2)))"),"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amp;"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amp;"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amp;"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amp;"ермоусадочной|пленке|пособия|превышает")</f>
        <v>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ермоусадочной|пленке|пособия|превышает</v>
      </c>
      <c r="B976" s="59" t="str">
        <f ca="1">IFERROR(__xludf.DUMMYFUNCTION("LOWER(REGEXREPLACE(D976&amp;"" ""&amp;E976,""[^а-яa-z0-9 ]"","" ""))"),"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оформ"&amp;"ленное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проис"&amp;"хождения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собо"&amp;"й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"&amp;"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f>
        <v xml:space="preserve">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v>
      </c>
      <c r="C976" s="61" t="s">
        <v>15024</v>
      </c>
      <c r="D976" s="56" t="s">
        <v>15025</v>
      </c>
      <c r="E976" s="56" t="s">
        <v>15026</v>
      </c>
      <c r="F976" s="57">
        <v>22100</v>
      </c>
      <c r="G976" s="58">
        <v>2</v>
      </c>
      <c r="I976" s="5"/>
      <c r="J976" s="5"/>
    </row>
    <row r="977" spans="1:10" x14ac:dyDescent="0.2">
      <c r="A977" s="59" t="str">
        <f ca="1">IFERROR(__xludf.DUMMYFUNCTION("TEXTJOIN(""|"",TRUE,UNIQUE(FILTER(SPLIT(B977,"" ""),LEN(SPLIT(B977,"" ""))&gt;2)))"),"анузакова")</f>
        <v>анузакова</v>
      </c>
      <c r="B977" s="59" t="str">
        <f ca="1">IFERROR(__xludf.DUMMYFUNCTION("LOWER(REGEXREPLACE(D977&amp;"" ""&amp;E977,""[^а-яa-z0-9 ]"","" ""))"),"                                                             анузакова    ")</f>
        <v xml:space="preserve">                                                             анузакова    </v>
      </c>
      <c r="C977" s="61" t="s">
        <v>15027</v>
      </c>
      <c r="D977" s="56" t="s">
        <v>15028</v>
      </c>
      <c r="E977" s="56" t="s">
        <v>15029</v>
      </c>
      <c r="F977" s="57">
        <v>91000</v>
      </c>
      <c r="G977" s="58">
        <v>1</v>
      </c>
      <c r="I977" s="5"/>
      <c r="J977" s="5"/>
    </row>
    <row r="978" spans="1:10" x14ac:dyDescent="0.2">
      <c r="A978" s="59" t="str">
        <f ca="1">IFERROR(__xludf.DUMMYFUNCTION("TEXTJOIN(""|"",TRUE,UNIQUE(FILTER(SPLIT(B978,"" ""),LEN(SPLIT(B978,"" ""))&gt;2)))"),"анузакова")</f>
        <v>анузакова</v>
      </c>
      <c r="B978" s="59" t="str">
        <f ca="1">IFERROR(__xludf.DUMMYFUNCTION("LOWER(REGEXREPLACE(D978&amp;"" ""&amp;E978,""[^а-яa-z0-9 ]"","" ""))"),"                                                                 анузакова    ")</f>
        <v xml:space="preserve">                                                                 анузакова    </v>
      </c>
      <c r="C978" s="61" t="s">
        <v>15030</v>
      </c>
      <c r="D978" s="56" t="s">
        <v>15031</v>
      </c>
      <c r="E978" s="56" t="s">
        <v>15029</v>
      </c>
      <c r="F978" s="57">
        <v>142500</v>
      </c>
      <c r="G978" s="58">
        <v>1</v>
      </c>
      <c r="I978" s="5"/>
      <c r="J978" s="5"/>
    </row>
    <row r="979" spans="1:10" x14ac:dyDescent="0.2">
      <c r="A979" s="59" t="str">
        <f ca="1">IFERROR(__xludf.DUMMYFUNCTION("TEXTJOIN(""|"",TRUE,UNIQUE(FILTER(SPLIT(B979,"" ""),LEN(SPLIT(B979,"" ""))&gt;2)))"),"azakhstan|ative|and|юрта|ужикова")</f>
        <v>azakhstan|ative|and|юрта|ужикова</v>
      </c>
      <c r="B979" s="59" t="str">
        <f ca="1">IFERROR(__xludf.DUMMYFUNCTION("LOWER(REGEXREPLACE(D979&amp;"" ""&amp;E979,""[^а-яa-z0-9 ]"","" ""))")," azakhstan   y  ative  and  юрта      ужикова")</f>
        <v xml:space="preserve"> azakhstan   y  ative  and  юрта      ужикова</v>
      </c>
      <c r="C979" s="61" t="s">
        <v>15032</v>
      </c>
      <c r="D979" s="56" t="s">
        <v>15033</v>
      </c>
      <c r="E979" s="56" t="s">
        <v>13607</v>
      </c>
      <c r="F979" s="57">
        <v>30700</v>
      </c>
      <c r="G979" s="58">
        <v>1</v>
      </c>
      <c r="I979" s="5"/>
      <c r="J979" s="5"/>
    </row>
    <row r="980" spans="1:10" x14ac:dyDescent="0.2">
      <c r="A980" s="59" t="str">
        <f ca="1">IFERROR(__xludf.DUMMYFUNCTION("TEXTJOIN(""|"",TRUE,UNIQUE(FILTER(SPLIT(B980,"" ""),LEN(SPLIT(B980,"" ""))&gt;2)))"),"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amp;"х|представлений|одходит|для|индивидуальной|групповой|работы")</f>
        <v>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х|представлений|одходит|для|индивидуальной|групповой|работы</v>
      </c>
      <c r="B980" s="59" t="str">
        <f ca="1">IFERROR(__xludf.DUMMYFUNCTION("LOWER(REGEXREPLACE(D980&amp;"" ""&amp;E980,""[^а-яa-z0-9 ]"","" ""))"),"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командной"&amp;" работы и базовых инженерных представлений   одходит для индивидуальной и групповой работы ")</f>
        <v xml:space="preserve">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 работы и базовых инженерных представлений   одходит для индивидуальной и групповой работы </v>
      </c>
      <c r="C980" s="61" t="s">
        <v>15034</v>
      </c>
      <c r="D980" s="56" t="s">
        <v>15035</v>
      </c>
      <c r="E980" s="56" t="s">
        <v>15036</v>
      </c>
      <c r="F980" s="57">
        <v>511200</v>
      </c>
      <c r="G980" s="58">
        <v>15</v>
      </c>
      <c r="I980" s="5"/>
      <c r="J980" s="5"/>
    </row>
    <row r="981" spans="1:10" x14ac:dyDescent="0.2">
      <c r="A981" s="59" t="str">
        <f ca="1">IFERROR(__xludf.DUMMYFUNCTION("TEXTJOIN(""|"",TRUE,UNIQUE(FILTER(SPLIT(B981,"" ""),LEN(SPLIT(B981,"" ""))&gt;2)))"),"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amp;"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f>
        <v>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v>
      </c>
      <c r="B981" s="59" t="str">
        <f ca="1">IFERROR(__xludf.DUMMYFUNCTION("LOWER(REGEXREPLACE(D981&amp;"" ""&amp;E981,""[^а-яa-z0-9 ]"","" ""))"),"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с"&amp;"оздается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программ"&amp;"ированию ")</f>
        <v xml:space="preserve">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программированию </v>
      </c>
      <c r="C981" s="61" t="s">
        <v>15037</v>
      </c>
      <c r="D981" s="56" t="s">
        <v>15038</v>
      </c>
      <c r="E981" s="56" t="s">
        <v>15039</v>
      </c>
      <c r="F981" s="57">
        <v>403800</v>
      </c>
      <c r="G981" s="58">
        <v>20</v>
      </c>
      <c r="I981" s="5"/>
      <c r="J981" s="5"/>
    </row>
    <row r="982" spans="1:10" x14ac:dyDescent="0.2">
      <c r="A982" s="59" t="str">
        <f ca="1">IFERROR(__xludf.DUMMYFUNCTION("TEXTJOIN(""|"",TRUE,UNIQUE(FILTER(SPLIT(B982,"" ""),LEN(SPLIT(B982,"" ""))&gt;2)))"),"hokan|odestar|the|ast|ужикова|перевод|санова")</f>
        <v>hokan|odestar|the|ast|ужикова|перевод|санова</v>
      </c>
      <c r="B982" s="59" t="str">
        <f ca="1">IFERROR(__xludf.DUMMYFUNCTION("LOWER(REGEXREPLACE(D982&amp;"" ""&amp;E982,""[^а-яa-z0-9 ]"","" ""))")," hokan  he  odestar of the  ast  ужикова     перевод  санова    ")</f>
        <v xml:space="preserve"> hokan  he  odestar of the  ast  ужикова     перевод  санова    </v>
      </c>
      <c r="C982" s="61" t="s">
        <v>15040</v>
      </c>
      <c r="D982" s="56" t="s">
        <v>15041</v>
      </c>
      <c r="E982" s="56" t="s">
        <v>15042</v>
      </c>
      <c r="F982" s="57">
        <v>27900</v>
      </c>
      <c r="G982" s="58">
        <v>1</v>
      </c>
      <c r="I982" s="5"/>
      <c r="J982" s="5"/>
    </row>
    <row r="983" spans="1:10" x14ac:dyDescent="0.2">
      <c r="A983" s="59" t="str">
        <f ca="1">IFERROR(__xludf.DUMMYFUNCTION("TEXTJOIN(""|"",TRUE,UNIQUE(FILTER(SPLIT(B983,"" ""),LEN(SPLIT(B983,"" ""))&gt;2)))"),"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f>
        <v>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v>
      </c>
      <c r="B983" s="59" t="str">
        <f ca="1">IFERROR(__xludf.DUMMYFUNCTION("LOWER(REGEXREPLACE(D983&amp;"" ""&amp;E983,""[^а-яa-z0-9 ]"","" ""))"),"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f>
        <v xml:space="preserve">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v>
      </c>
      <c r="C983" s="61" t="s">
        <v>15043</v>
      </c>
      <c r="D983" s="56" t="s">
        <v>15044</v>
      </c>
      <c r="E983" s="56" t="s">
        <v>15045</v>
      </c>
      <c r="F983" s="57">
        <v>285000</v>
      </c>
      <c r="G983" s="58">
        <v>10</v>
      </c>
      <c r="I983" s="5"/>
      <c r="J983" s="5"/>
    </row>
    <row r="984" spans="1:10" x14ac:dyDescent="0.2">
      <c r="A984" s="59" t="str">
        <f ca="1">IFERROR(__xludf.DUMMYFUNCTION("TEXTJOIN(""|"",TRUE,UNIQUE(FILTER(SPLIT(B984,"" ""),LEN(SPLIT(B984,"" ""))&gt;2)))"),"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amp;"чень|важно|для|сохранения|концентрации|детей|илый|интуитивно|понятный|дизайн|способен|покорить|внимание|каждого|ребенка")</f>
        <v>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чень|важно|для|сохранения|концентрации|детей|илый|интуитивно|понятный|дизайн|способен|покорить|внимание|каждого|ребенка</v>
      </c>
      <c r="B984" s="59" t="str">
        <f ca="1">IFERROR(__xludf.DUMMYFUNCTION("LOWER(REGEXREPLACE(D984&amp;"" ""&amp;E984,""[^а-яa-z0-9 ]"","" ""))"),"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использовани"&amp;"и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f>
        <v xml:space="preserve">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v>
      </c>
      <c r="C984" s="61" t="s">
        <v>15046</v>
      </c>
      <c r="D984" s="56" t="s">
        <v>15047</v>
      </c>
      <c r="E984" s="56" t="s">
        <v>15048</v>
      </c>
      <c r="F984" s="57">
        <v>158100</v>
      </c>
      <c r="G984" s="58">
        <v>20</v>
      </c>
      <c r="I984" s="5"/>
      <c r="J984" s="5"/>
    </row>
    <row r="985" spans="1:10" x14ac:dyDescent="0.2">
      <c r="A985" s="59" t="str">
        <f ca="1">IFERROR(__xludf.DUMMYFUNCTION("TEXTJOIN(""|"",TRUE,UNIQUE(FILTER(SPLIT(B985,"" ""),LEN(SPLIT(B985,"" ""))&gt;2)))"),"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amp;"ии|обсуждении")</f>
        <v>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ии|обсуждении</v>
      </c>
      <c r="B985" s="59" t="str">
        <f ca="1">IFERROR(__xludf.DUMMYFUNCTION("LOWER(REGEXREPLACE(D985&amp;"" ""&amp;E985,""[^а-яa-z0-9 ]"","" ""))"),"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р"&amp;"именяются при рассматривании и обсуждении ")</f>
        <v xml:space="preserve">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рименяются при рассматривании и обсуждении </v>
      </c>
      <c r="C985" s="61" t="s">
        <v>15049</v>
      </c>
      <c r="D985" s="56" t="s">
        <v>15050</v>
      </c>
      <c r="E985" s="56" t="s">
        <v>15051</v>
      </c>
      <c r="F985" s="57">
        <v>2500</v>
      </c>
      <c r="G985" s="58">
        <v>5</v>
      </c>
      <c r="I985" s="5"/>
      <c r="J985" s="5"/>
    </row>
    <row r="986" spans="1:10" x14ac:dyDescent="0.2">
      <c r="A986" s="59" t="str">
        <f ca="1">IFERROR(__xludf.DUMMYFUNCTION("TEXTJOIN(""|"",TRUE,UNIQUE(FILTER(SPLIT(B986,"" ""),LEN(SPLIT(B986,"" ""))&gt;2)))"),"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amp;"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f>
        <v>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v>
      </c>
      <c r="B986" s="59" t="str">
        <f ca="1">IFERROR(__xludf.DUMMYFUNCTION("LOWER(REGEXREPLACE(D986&amp;"" ""&amp;E986,""[^а-яa-z0-9 ]"","" ""))"),"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"&amp;"программирования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f>
        <v xml:space="preserve">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v>
      </c>
      <c r="C986" s="61" t="s">
        <v>15052</v>
      </c>
      <c r="D986" s="56" t="s">
        <v>15053</v>
      </c>
      <c r="E986" s="56" t="s">
        <v>15054</v>
      </c>
      <c r="F986" s="57">
        <v>57000</v>
      </c>
      <c r="G986" s="58">
        <v>20</v>
      </c>
      <c r="I986" s="5"/>
      <c r="J986" s="5"/>
    </row>
    <row r="987" spans="1:10" x14ac:dyDescent="0.2">
      <c r="A987" s="59" t="str">
        <f ca="1">IFERROR(__xludf.DUMMYFUNCTION("TEXTJOIN(""|"",TRUE,UNIQUE(FILTER(SPLIT(B987,"" ""),LEN(SPLIT(B987,"" ""))&gt;2)))"),"reat|bai|ужикова|айрамбаева")</f>
        <v>reat|bai|ужикова|айрамбаева</v>
      </c>
      <c r="B987" s="59" t="str">
        <f ca="1">IFERROR(__xludf.DUMMYFUNCTION("LOWER(REGEXREPLACE(D987&amp;"" ""&amp;E987,""[^а-яa-z0-9 ]"","" ""))")," he  reat  bai     ужикова      айрамбаева")</f>
        <v xml:space="preserve"> he  reat  bai     ужикова      айрамбаева</v>
      </c>
      <c r="C987" s="61" t="s">
        <v>15055</v>
      </c>
      <c r="D987" s="56" t="s">
        <v>15056</v>
      </c>
      <c r="E987" s="56" t="s">
        <v>15057</v>
      </c>
      <c r="F987" s="57">
        <v>29300</v>
      </c>
      <c r="G987" s="58">
        <v>1</v>
      </c>
      <c r="I987" s="5"/>
      <c r="J987" s="5"/>
    </row>
    <row r="988" spans="1:10" x14ac:dyDescent="0.2">
      <c r="A988" s="59" t="str">
        <f ca="1">IFERROR(__xludf.DUMMYFUNCTION("TEXTJOIN(""|"",TRUE,UNIQUE(FILTER(SPLIT(B988,"" ""),LEN(SPLIT(B988,"" ""))&gt;2)))"),"elcome|auryz|спанова")</f>
        <v>elcome|auryz|спанова</v>
      </c>
      <c r="B988" s="59" t="str">
        <f ca="1">IFERROR(__xludf.DUMMYFUNCTION("LOWER(REGEXREPLACE(D988&amp;"" ""&amp;E988,""[^а-яa-z0-9 ]"","" ""))")," elcome   auryz      спанова")</f>
        <v xml:space="preserve"> elcome   auryz      спанова</v>
      </c>
      <c r="C988" s="61" t="s">
        <v>15058</v>
      </c>
      <c r="D988" s="56" t="s">
        <v>15059</v>
      </c>
      <c r="E988" s="56" t="s">
        <v>12569</v>
      </c>
      <c r="F988" s="57">
        <v>19900</v>
      </c>
      <c r="G988" s="58">
        <v>1</v>
      </c>
      <c r="I988" s="5"/>
      <c r="J988" s="5"/>
    </row>
    <row r="989" spans="1:10" x14ac:dyDescent="0.2">
      <c r="A989" s="59" t="str">
        <f ca="1">IFERROR(__xludf.DUMMYFUNCTION("TEXTJOIN(""|"",TRUE,UNIQUE(FILTER(SPLIT(B989,"" ""),LEN(SPLIT(B989,"" ""))&gt;2)))"),"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amp;"|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amp;"ии")</f>
        <v>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ии</v>
      </c>
      <c r="B989" s="59" t="str">
        <f ca="1">IFERROR(__xludf.DUMMYFUNCTION("LOWER(REGEXREPLACE(D989&amp;"" ""&amp;E989,""[^а-яa-z0-9 ]"","" ""))"),"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"&amp;"пособствует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адап"&amp;"тированы для индивидуальной и групповой работы  соответствуют требованиям эксплуатации в     ")</f>
        <v xml:space="preserve">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адаптированы для индивидуальной и групповой работы  соответствуют требованиям эксплуатации в     </v>
      </c>
      <c r="C989" s="61" t="s">
        <v>15060</v>
      </c>
      <c r="D989" s="56" t="s">
        <v>15061</v>
      </c>
      <c r="E989" s="56" t="s">
        <v>15062</v>
      </c>
      <c r="F989" s="57">
        <v>298300</v>
      </c>
      <c r="G989" s="58">
        <v>4</v>
      </c>
      <c r="I989" s="5"/>
      <c r="J989" s="5"/>
    </row>
    <row r="990" spans="1:10" x14ac:dyDescent="0.2">
      <c r="A990" s="59" t="str">
        <f ca="1">IFERROR(__xludf.DUMMYFUNCTION("TEXTJOIN(""|"",TRUE,UNIQUE(FILTER(SPLIT(B990,"" ""),LEN(SPLIT(B990,"" ""))&gt;2)))"),"каф|медицинский|каф|медицинский|двухстворчатый|полипропилена|размер|800х400х1800|1780")</f>
        <v>каф|медицинский|каф|медицинский|двухстворчатый|полипропилена|размер|800х400х1800|1780</v>
      </c>
      <c r="B990" s="59" t="str">
        <f ca="1">IFERROR(__xludf.DUMMYFUNCTION("LOWER(REGEXREPLACE(D990&amp;"" ""&amp;E990,""[^а-яa-z0-9 ]"","" ""))")," каф медицинский  каф медицинский двухстворчатый из полипропилена  размер 800х400х1800 мм                           2 1780   ")</f>
        <v xml:space="preserve"> каф медицинский  каф медицинский двухстворчатый из полипропилена  размер 800х400х1800 мм                           2 1780   </v>
      </c>
      <c r="C990" s="61" t="s">
        <v>15063</v>
      </c>
      <c r="D990" s="56" t="s">
        <v>15064</v>
      </c>
      <c r="E990" s="56" t="s">
        <v>15065</v>
      </c>
      <c r="F990" s="57">
        <v>241500</v>
      </c>
      <c r="G990" s="58">
        <v>4</v>
      </c>
      <c r="I990" s="5"/>
      <c r="J990" s="5"/>
    </row>
    <row r="991" spans="1:10" x14ac:dyDescent="0.2">
      <c r="A991" s="59" t="str">
        <f ca="1">IFERROR(__xludf.DUMMYFUNCTION("TEXTJOIN(""|"",TRUE,UNIQUE(FILTER(SPLIT(B991,"" ""),LEN(SPLIT(B991,"" ""))&gt;2)))"),"есконтактный|инфракрасный|термометр|есконтактный|термометр|идеален|для|измерения|температуры|тела|взрослых|детей|новорожденных")</f>
        <v>есконтактный|инфракрасный|термометр|есконтактный|термометр|идеален|для|измерения|температуры|тела|взрослых|детей|новорожденных</v>
      </c>
      <c r="B991" s="59" t="str">
        <f ca="1">IFERROR(__xludf.DUMMYFUNCTION("LOWER(REGEXREPLACE(D991&amp;"" ""&amp;E991,""[^а-яa-z0-9 ]"","" ""))")," есконтактный инфракрасный термометр  есконтактный термометр идеален для измерения температуры тела у взрослых  детей и новорожденных")</f>
        <v xml:space="preserve"> есконтактный инфракрасный термометр  есконтактный термометр идеален для измерения температуры тела у взрослых  детей и новорожденных</v>
      </c>
      <c r="C991" s="61" t="s">
        <v>15066</v>
      </c>
      <c r="D991" s="56" t="s">
        <v>15067</v>
      </c>
      <c r="E991" s="56" t="s">
        <v>15068</v>
      </c>
      <c r="F991" s="57">
        <v>15300</v>
      </c>
      <c r="G991" s="58">
        <v>7</v>
      </c>
      <c r="I991" s="5"/>
      <c r="J991" s="5"/>
    </row>
    <row r="992" spans="1:10" x14ac:dyDescent="0.2">
      <c r="A992" s="59" t="str">
        <f ca="1">IFERROR(__xludf.DUMMYFUNCTION("TEXTJOIN(""|"",TRUE,UNIQUE(FILTER(SPLIT(B992,"" ""),LEN(SPLIT(B992,"" ""))&gt;2)))"),"остомер|механический|остомер|механический|400х398х2360")</f>
        <v>остомер|механический|остомер|механический|400х398х2360</v>
      </c>
      <c r="B992" s="59" t="str">
        <f ca="1">IFERROR(__xludf.DUMMYFUNCTION("LOWER(REGEXREPLACE(D992&amp;"" ""&amp;E992,""[^а-яa-z0-9 ]"","" ""))")," остомер механический   остомер механический 400х398х2360")</f>
        <v xml:space="preserve"> остомер механический   остомер механический 400х398х2360</v>
      </c>
      <c r="C992" s="61" t="s">
        <v>15069</v>
      </c>
      <c r="D992" s="56" t="s">
        <v>15070</v>
      </c>
      <c r="E992" s="56" t="s">
        <v>15071</v>
      </c>
      <c r="F992" s="57">
        <v>71500</v>
      </c>
      <c r="G992" s="58">
        <v>1</v>
      </c>
      <c r="I992" s="5"/>
      <c r="J992" s="5"/>
    </row>
    <row r="993" spans="1:10" x14ac:dyDescent="0.2">
      <c r="A993" s="59" t="str">
        <f ca="1">IFERROR(__xludf.DUMMYFUNCTION("TEXTJOIN(""|"",TRUE,UNIQUE(FILTER(SPLIT(B993,"" ""),LEN(SPLIT(B993,"" ""))&gt;2)))"),"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f>
        <v>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v>
      </c>
      <c r="B993" s="59" t="str">
        <f ca="1">IFERROR(__xludf.DUMMYFUNCTION("LOWER(REGEXREPLACE(D993&amp;"" ""&amp;E993,""[^а-яa-z0-9 ]"","" ""))"),"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f>
        <v xml:space="preserve">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v>
      </c>
      <c r="C993" s="61" t="s">
        <v>15072</v>
      </c>
      <c r="D993" s="56" t="s">
        <v>15073</v>
      </c>
      <c r="E993" s="56" t="s">
        <v>15074</v>
      </c>
      <c r="F993" s="57">
        <v>3600</v>
      </c>
      <c r="G993" s="58">
        <v>1</v>
      </c>
      <c r="I993" s="5"/>
      <c r="J993" s="5"/>
    </row>
    <row r="994" spans="1:10" x14ac:dyDescent="0.2">
      <c r="A994" s="59" t="str">
        <f ca="1">IFERROR(__xludf.DUMMYFUNCTION("TEXTJOIN(""|"",TRUE,UNIQUE(FILTER(SPLIT(B994,"" ""),LEN(SPLIT(B994,"" ""))&gt;2)))"),"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amp;"нее|демонстрационных|картинок|размером|около|173|220|раздаточных|карточек")</f>
        <v>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нее|демонстрационных|картинок|размером|около|173|220|раздаточных|карточек</v>
      </c>
      <c r="B994" s="59" t="str">
        <f ca="1">IFERROR(__xludf.DUMMYFUNCTION("LOWER(REGEXREPLACE(D994&amp;"" ""&amp;E994,""[^а-яa-z0-9 ]"","" ""))"),"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признак"&amp;"ов    набор входит не менее 16 демонстрационных картинок размером около 173 220 мм и 16 раздаточных карточек ")</f>
        <v xml:space="preserve">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признаков    набор входит не менее 16 демонстрационных картинок размером около 173 220 мм и 16 раздаточных карточек </v>
      </c>
      <c r="C994" s="61" t="s">
        <v>15075</v>
      </c>
      <c r="D994" s="56" t="s">
        <v>15076</v>
      </c>
      <c r="E994" s="56" t="s">
        <v>15077</v>
      </c>
      <c r="F994" s="57">
        <v>6700</v>
      </c>
      <c r="G994" s="58">
        <v>5</v>
      </c>
      <c r="I994" s="5"/>
      <c r="J994" s="5"/>
    </row>
    <row r="995" spans="1:10" x14ac:dyDescent="0.2">
      <c r="A995" s="59" t="str">
        <f ca="1">IFERROR(__xludf.DUMMYFUNCTION("TEXTJOIN(""|"",TRUE,UNIQUE(FILTER(SPLIT(B995,"" ""),LEN(SPLIT(B995,"" ""))&gt;2)))"),"змерительная|лента|змерительная|лента")</f>
        <v>змерительная|лента|змерительная|лента</v>
      </c>
      <c r="B995" s="59" t="str">
        <f ca="1">IFERROR(__xludf.DUMMYFUNCTION("LOWER(REGEXREPLACE(D995&amp;"" ""&amp;E995,""[^а-яa-z0-9 ]"","" ""))")," змерительная лента  змерительная лента")</f>
        <v xml:space="preserve"> змерительная лента  змерительная лента</v>
      </c>
      <c r="C995" s="61" t="s">
        <v>15078</v>
      </c>
      <c r="D995" s="56" t="s">
        <v>15079</v>
      </c>
      <c r="E995" s="56" t="s">
        <v>15079</v>
      </c>
      <c r="F995" s="57">
        <v>1000</v>
      </c>
      <c r="G995" s="58">
        <v>1</v>
      </c>
      <c r="I995" s="5"/>
      <c r="J995" s="5"/>
    </row>
    <row r="996" spans="1:10" x14ac:dyDescent="0.2">
      <c r="A996" s="59" t="str">
        <f ca="1">IFERROR(__xludf.DUMMYFUNCTION("TEXTJOIN(""|"",TRUE,UNIQUE(FILTER(SPLIT(B996,"" ""),LEN(SPLIT(B996,"" ""))&gt;2)))"),"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amp;"|удобный|крой|презентабельности")</f>
        <v>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удобный|крой|презентабельности</v>
      </c>
      <c r="B996" s="59" t="str">
        <f ca="1">IFERROR(__xludf.DUMMYFUNCTION("LOWER(REGEXREPLACE(D996&amp;"" ""&amp;E996,""[^а-яa-z0-9 ]"","" ""))"),"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фун"&amp;"кциональности  карманы  удобный крой  и презентабельности")</f>
        <v xml:space="preserve">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v>
      </c>
      <c r="C996" s="61" t="s">
        <v>15080</v>
      </c>
      <c r="D996" s="56" t="s">
        <v>15081</v>
      </c>
      <c r="E996" s="56" t="s">
        <v>15082</v>
      </c>
      <c r="F996" s="57">
        <v>17800</v>
      </c>
      <c r="G996" s="58">
        <v>2</v>
      </c>
      <c r="I996" s="5"/>
      <c r="J996" s="5"/>
    </row>
    <row r="997" spans="1:10" x14ac:dyDescent="0.2">
      <c r="A997" s="59" t="str">
        <f ca="1">IFERROR(__xludf.DUMMYFUNCTION("TEXTJOIN(""|"",TRUE,UNIQUE(FILTER(SPLIT(B997,"" ""),LEN(SPLIT(B997,"" ""))&gt;2)))"),"ровать|для|кукол|иниатюрная|кровать|для|кукол|покрывалом|спользуется|сюжетно|ролевых|бытовых|играх")</f>
        <v>ровать|для|кукол|иниатюрная|кровать|для|кукол|покрывалом|спользуется|сюжетно|ролевых|бытовых|играх</v>
      </c>
      <c r="B997" s="59" t="str">
        <f ca="1">IFERROR(__xludf.DUMMYFUNCTION("LOWER(REGEXREPLACE(D997&amp;"" ""&amp;E997,""[^а-яa-z0-9 ]"","" ""))")," ровать для кукол  иниатюрная кровать для кукол с покрывалом   спользуется в сюжетно ролевых и бытовых играх ")</f>
        <v xml:space="preserve"> ровать для кукол  иниатюрная кровать для кукол с покрывалом   спользуется в сюжетно ролевых и бытовых играх </v>
      </c>
      <c r="C997" s="61" t="s">
        <v>15083</v>
      </c>
      <c r="D997" s="56" t="s">
        <v>15084</v>
      </c>
      <c r="E997" s="56" t="s">
        <v>15085</v>
      </c>
      <c r="F997" s="57">
        <v>11400</v>
      </c>
      <c r="G997" s="58">
        <v>2</v>
      </c>
      <c r="I997" s="5"/>
      <c r="J997" s="5"/>
    </row>
    <row r="998" spans="1:10" x14ac:dyDescent="0.2">
      <c r="A998" s="59" t="str">
        <f ca="1">IFERROR(__xludf.DUMMYFUNCTION("TEXTJOIN(""|"",TRUE,UNIQUE(FILTER(SPLIT(B998,"" ""),LEN(SPLIT(B998,"" ""))&gt;2)))"),"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amp;"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f>
        <v>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v>
      </c>
      <c r="B998" s="59" t="str">
        <f ca="1">IFERROR(__xludf.DUMMYFUNCTION("LOWER(REGEXREPLACE(D998&amp;"" ""&amp;E998,""[^а-яa-z0-9 ]"","" ""))"),"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ин"&amp;"струкции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f>
        <v xml:space="preserve">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v>
      </c>
      <c r="C998" s="61" t="s">
        <v>15086</v>
      </c>
      <c r="D998" s="56" t="s">
        <v>15087</v>
      </c>
      <c r="E998" s="56" t="s">
        <v>15088</v>
      </c>
      <c r="F998" s="57">
        <v>3500</v>
      </c>
      <c r="G998" s="58">
        <v>7</v>
      </c>
      <c r="I998" s="5"/>
      <c r="J998" s="5"/>
    </row>
    <row r="999" spans="1:10" x14ac:dyDescent="0.2">
      <c r="A999" s="59" t="str">
        <f ca="1">IFERROR(__xludf.DUMMYFUNCTION("TEXTJOIN(""|"",TRUE,UNIQUE(FILTER(SPLIT(B999,"" ""),LEN(SPLIT(B999,"" ""))&gt;2)))"),"олодильник|фармацевтический|олодильник|предназначен|для|хранения|медикаментов|соблюдением|температурного|режима|установленного|санитарными|требованиями")</f>
        <v>олодильник|фармацевтический|олодильник|предназначен|для|хранения|медикаментов|соблюдением|температурного|режима|установленного|санитарными|требованиями</v>
      </c>
      <c r="B999" s="59" t="str">
        <f ca="1">IFERROR(__xludf.DUMMYFUNCTION("LOWER(REGEXREPLACE(D999&amp;"" ""&amp;E999,""[^а-яa-z0-9 ]"","" ""))"),"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f>
        <v xml:space="preserve">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v>
      </c>
      <c r="C999" s="61" t="s">
        <v>15089</v>
      </c>
      <c r="D999" s="56" t="s">
        <v>15090</v>
      </c>
      <c r="E999" s="56" t="s">
        <v>15091</v>
      </c>
      <c r="F999" s="57">
        <v>805800</v>
      </c>
      <c r="G999" s="58">
        <v>1</v>
      </c>
      <c r="I999" s="5"/>
      <c r="J999" s="5"/>
    </row>
    <row r="1000" spans="1:10" x14ac:dyDescent="0.2">
      <c r="A1000" s="59" t="str">
        <f ca="1">IFERROR(__xludf.DUMMYFUNCTION("TEXTJOIN(""|"",TRUE,UNIQUE(FILTER(SPLIT(B1000,"" ""),LEN(SPLIT(B1000,"" ""))&gt;2)))"),"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amp;"тинок|раздаточных|карточек")</f>
        <v>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тинок|раздаточных|карточек</v>
      </c>
      <c r="B1000" s="59" t="str">
        <f ca="1">IFERROR(__xludf.DUMMYFUNCTION("LOWER(REGEXREPLACE(D1000&amp;"" ""&amp;E1000,""[^а-яa-z0-9 ]"","" ""))"),"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менее"&amp;" 16 демонстрационных картинок и 16 раздаточных карточек ")</f>
        <v xml:space="preserve">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 16 демонстрационных картинок и 16 раздаточных карточек </v>
      </c>
      <c r="C1000" s="61" t="s">
        <v>15092</v>
      </c>
      <c r="D1000" s="56" t="s">
        <v>15093</v>
      </c>
      <c r="E1000" s="56" t="s">
        <v>15094</v>
      </c>
      <c r="F1000" s="57">
        <v>6300</v>
      </c>
      <c r="G1000" s="58">
        <v>5</v>
      </c>
      <c r="I1000" s="5"/>
      <c r="J1000" s="5"/>
    </row>
    <row r="1001" spans="1:10" x14ac:dyDescent="0.2">
      <c r="A1001" s="59" t="str">
        <f ca="1">IFERROR(__xludf.DUMMYFUNCTION("TEXTJOIN(""|"",TRUE,UNIQUE(FILTER(SPLIT(B1001,"" ""),LEN(SPLIT(B1001,"" ""))&gt;2)))"),"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amp;"арточек")</f>
        <v>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арточек</v>
      </c>
      <c r="B1001" s="59" t="str">
        <f ca="1">IFERROR(__xludf.DUMMYFUNCTION("LOWER(REGEXREPLACE(D1001&amp;"" ""&amp;E1001,""[^а-яa-z0-9 ]"","" ""))"),"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изо"&amp;"бражений и 16 раздаточных карточек ")</f>
        <v xml:space="preserve">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изображений и 16 раздаточных карточек </v>
      </c>
      <c r="C1001" s="61" t="s">
        <v>15095</v>
      </c>
      <c r="D1001" s="56" t="s">
        <v>15096</v>
      </c>
      <c r="E1001" s="56" t="s">
        <v>15097</v>
      </c>
      <c r="F1001" s="57">
        <v>6700</v>
      </c>
      <c r="G1001" s="58">
        <v>5</v>
      </c>
      <c r="I1001" s="5"/>
      <c r="J1001" s="5"/>
    </row>
    <row r="1002" spans="1:10" x14ac:dyDescent="0.2">
      <c r="A1002" s="59" t="str">
        <f ca="1">IFERROR(__xludf.DUMMYFUNCTION("TEXTJOIN(""|"",TRUE,UNIQUE(FILTER(SPLIT(B1002,"" ""),LEN(SPLIT(B1002,"" ""))&gt;2)))"),"устройство|ппарат|для|терапии|12квт|220")</f>
        <v>устройство|ппарат|для|терапии|12квт|220</v>
      </c>
      <c r="B1002" s="59" t="str">
        <f ca="1">IFERROR(__xludf.DUMMYFUNCTION("LOWER(REGEXREPLACE(D1002&amp;"" ""&amp;E1002,""[^а-яa-z0-9 ]"","" ""))"),"   устройство  ппарат для     терапии   0 12квт   220        60")</f>
        <v xml:space="preserve">   устройство  ппарат для     терапии   0 12квт   220        60</v>
      </c>
      <c r="C1002" s="61" t="s">
        <v>15098</v>
      </c>
      <c r="D1002" s="56" t="s">
        <v>15099</v>
      </c>
      <c r="E1002" s="56" t="s">
        <v>15100</v>
      </c>
      <c r="F1002" s="57">
        <v>119000</v>
      </c>
      <c r="G1002" s="58">
        <v>2</v>
      </c>
      <c r="I1002" s="5"/>
      <c r="J1002" s="5"/>
    </row>
    <row r="1003" spans="1:10" x14ac:dyDescent="0.2">
      <c r="A1003" s="59" t="str">
        <f ca="1">IFERROR(__xludf.DUMMYFUNCTION("TEXTJOIN(""|"",TRUE,UNIQUE(FILTER(SPLIT(B1003,"" ""),LEN(SPLIT(B1003,"" ""))&gt;2)))"),"знакомление|окружающим|миром|электронная|версия|знакомление|окружающим|миром|етодическое|пособие|электронная|версия")</f>
        <v>знакомление|окружающим|миром|электронная|версия|знакомление|окружающим|миром|етодическое|пособие|электронная|версия</v>
      </c>
      <c r="B1003" s="59" t="str">
        <f ca="1">IFERROR(__xludf.DUMMYFUNCTION("LOWER(REGEXREPLACE(D1003&amp;"" ""&amp;E1003,""[^а-яa-z0-9 ]"","" ""))")," знакомление с окружающим миром  электронная версия  2   знакомление с окружающим миром   етодическое пособие  электронная версия ")</f>
        <v xml:space="preserve"> знакомление с окружающим миром  электронная версия  2   знакомление с окружающим миром   етодическое пособие  электронная версия </v>
      </c>
      <c r="C1003" s="61" t="s">
        <v>15101</v>
      </c>
      <c r="D1003" s="56" t="s">
        <v>15102</v>
      </c>
      <c r="E1003" s="56" t="s">
        <v>15103</v>
      </c>
      <c r="F1003" s="57">
        <v>5400</v>
      </c>
      <c r="G1003" s="58">
        <v>1</v>
      </c>
      <c r="I1003" s="5"/>
      <c r="J1003" s="5"/>
    </row>
    <row r="1004" spans="1:10" x14ac:dyDescent="0.2">
      <c r="A1004" s="59" t="str">
        <f ca="1">IFERROR(__xludf.DUMMYFUNCTION("TEXTJOIN(""|"",TRUE,UNIQUE(FILTER(SPLIT(B1004,"" ""),LEN(SPLIT(B1004,"" ""))&gt;2)))"),"знакомление|окружающим|миром|раздаточный|материал|знакомление|окружающим|миром|аздаточный|материал")</f>
        <v>знакомление|окружающим|миром|раздаточный|материал|знакомление|окружающим|миром|аздаточный|материал</v>
      </c>
      <c r="B1004" s="59" t="str">
        <f ca="1">IFERROR(__xludf.DUMMYFUNCTION("LOWER(REGEXREPLACE(D1004&amp;"" ""&amp;E1004,""[^а-яa-z0-9 ]"","" ""))")," знакомление с окружающим миром  раздаточный материал  2   знакомление с окружающим миром   аздаточный материал")</f>
        <v xml:space="preserve"> знакомление с окружающим миром  раздаточный материал  2   знакомление с окружающим миром   аздаточный материал</v>
      </c>
      <c r="C1004" s="61" t="s">
        <v>15104</v>
      </c>
      <c r="D1004" s="56" t="s">
        <v>15105</v>
      </c>
      <c r="E1004" s="56" t="s">
        <v>15106</v>
      </c>
      <c r="F1004" s="57">
        <v>4800</v>
      </c>
      <c r="G1004" s="58">
        <v>1</v>
      </c>
      <c r="I1004" s="5"/>
      <c r="J1004" s="5"/>
    </row>
    <row r="1005" spans="1:10" x14ac:dyDescent="0.2">
      <c r="A1005" s="59" t="str">
        <f ca="1">IFERROR(__xludf.DUMMYFUNCTION("TEXTJOIN(""|"",TRUE,UNIQUE(FILTER(SPLIT(B1005,"" ""),LEN(SPLIT(B1005,"" ""))&gt;2)))"),"озатор|для|жидкого|мыла|озатор|жидкого|мыла")</f>
        <v>озатор|для|жидкого|мыла|озатор|жидкого|мыла</v>
      </c>
      <c r="B1005" s="59" t="str">
        <f ca="1">IFERROR(__xludf.DUMMYFUNCTION("LOWER(REGEXREPLACE(D1005&amp;"" ""&amp;E1005,""[^а-яa-z0-9 ]"","" ""))")," озатор для жидкого мыла  озатор жидкого мыла")</f>
        <v xml:space="preserve"> озатор для жидкого мыла  озатор жидкого мыла</v>
      </c>
      <c r="C1005" s="61" t="s">
        <v>15107</v>
      </c>
      <c r="D1005" s="56" t="s">
        <v>12289</v>
      </c>
      <c r="E1005" s="63" t="s">
        <v>9936</v>
      </c>
      <c r="F1005" s="57">
        <v>15045</v>
      </c>
      <c r="G1005" s="58">
        <v>61</v>
      </c>
      <c r="I1005" s="5"/>
      <c r="J1005" s="5"/>
    </row>
    <row r="1006" spans="1:10" x14ac:dyDescent="0.2">
      <c r="A1006" s="59" t="str">
        <f ca="1">IFERROR(__xludf.DUMMYFUNCTION("TEXTJOIN(""|"",TRUE,UNIQUE(FILTER(SPLIT(B1006,"" ""),LEN(SPLIT(B1006,"" ""))&gt;2)))"),"ерстак|ерстак|для|столярных|работ|работы|деревом")</f>
        <v>ерстак|ерстак|для|столярных|работ|работы|деревом</v>
      </c>
      <c r="B1006" s="59" t="str">
        <f ca="1">IFERROR(__xludf.DUMMYFUNCTION("LOWER(REGEXREPLACE(D1006&amp;"" ""&amp;E1006,""[^а-яa-z0-9 ]"","" ""))")," ерстак   ерстак для столярных работ и работы с деревом")</f>
        <v xml:space="preserve"> ерстак   ерстак для столярных работ и работы с деревом</v>
      </c>
      <c r="C1006" s="61" t="s">
        <v>15108</v>
      </c>
      <c r="D1006" s="61" t="s">
        <v>15109</v>
      </c>
      <c r="E1006" s="56" t="s">
        <v>15110</v>
      </c>
      <c r="F1006" s="57">
        <v>1650200</v>
      </c>
      <c r="G1006" s="58">
        <v>1</v>
      </c>
      <c r="I1006" s="5"/>
      <c r="J1006" s="5"/>
    </row>
    <row r="1007" spans="1:10" x14ac:dyDescent="0.2">
      <c r="A1007" s="59" t="str">
        <f ca="1">IFERROR(__xludf.DUMMYFUNCTION("TEXTJOIN(""|"",TRUE,UNIQUE(FILTER(SPLIT(B1007,"" ""),LEN(SPLIT(B1007,"" ""))&gt;2)))"),"тол|верстак|тол|верстак|для|проектной|деятельности")</f>
        <v>тол|верстак|тол|верстак|для|проектной|деятельности</v>
      </c>
      <c r="B1007" s="59" t="str">
        <f ca="1">IFERROR(__xludf.DUMMYFUNCTION("LOWER(REGEXREPLACE(D1007&amp;"" ""&amp;E1007,""[^а-яa-z0-9 ]"","" ""))")," тол верстак  тол верстак для проектной деятельности")</f>
        <v xml:space="preserve"> тол верстак  тол верстак для проектной деятельности</v>
      </c>
      <c r="C1007" s="61" t="s">
        <v>15111</v>
      </c>
      <c r="D1007" s="61" t="s">
        <v>15112</v>
      </c>
      <c r="E1007" s="56" t="s">
        <v>15113</v>
      </c>
      <c r="F1007" s="57">
        <v>1429200</v>
      </c>
      <c r="G1007" s="58">
        <v>2</v>
      </c>
      <c r="I1007" s="5"/>
      <c r="J1007" s="5"/>
    </row>
    <row r="1008" spans="1:10" x14ac:dyDescent="0.2">
      <c r="A1008" s="59" t="str">
        <f ca="1">IFERROR(__xludf.DUMMYFUNCTION("TEXTJOIN(""|"",TRUE,UNIQUE(FILTER(SPLIT(B1008,"" ""),LEN(SPLIT(B1008,"" ""))&gt;2)))"),"обильный|стол|обильный|стол|для|экспериментов|песком|водой")</f>
        <v>обильный|стол|обильный|стол|для|экспериментов|песком|водой</v>
      </c>
      <c r="B1008" s="59" t="str">
        <f ca="1">IFERROR(__xludf.DUMMYFUNCTION("LOWER(REGEXREPLACE(D1008&amp;"" ""&amp;E1008,""[^а-яa-z0-9 ]"","" ""))")," обильный стол  обильный стол для экспериментов с песком и водой")</f>
        <v xml:space="preserve"> обильный стол  обильный стол для экспериментов с песком и водой</v>
      </c>
      <c r="C1008" s="61" t="s">
        <v>15114</v>
      </c>
      <c r="D1008" s="61" t="s">
        <v>15115</v>
      </c>
      <c r="E1008" s="56" t="s">
        <v>15116</v>
      </c>
      <c r="F1008" s="57">
        <v>1056200</v>
      </c>
      <c r="G1008" s="58">
        <v>1</v>
      </c>
      <c r="I1008" s="5"/>
      <c r="J1008" s="5"/>
    </row>
    <row r="1009" spans="1:10" x14ac:dyDescent="0.2">
      <c r="A1009" s="59" t="str">
        <f ca="1">IFERROR(__xludf.DUMMYFUNCTION("TEXTJOIN(""|"",TRUE,UNIQUE(FILTER(SPLIT(B1009,"" ""),LEN(SPLIT(B1009,"" ""))&gt;2)))"),"тол|линзами|тол|линзами|для|макро|наблюдений|объектов")</f>
        <v>тол|линзами|тол|линзами|для|макро|наблюдений|объектов</v>
      </c>
      <c r="B1009" s="59" t="str">
        <f ca="1">IFERROR(__xludf.DUMMYFUNCTION("LOWER(REGEXREPLACE(D1009&amp;"" ""&amp;E1009,""[^а-яa-z0-9 ]"","" ""))")," тол с линзами   тол с линзами для макро наблюдений объектов")</f>
        <v xml:space="preserve"> тол с линзами   тол с линзами для макро наблюдений объектов</v>
      </c>
      <c r="C1009" s="61" t="s">
        <v>15117</v>
      </c>
      <c r="D1009" s="61" t="s">
        <v>15118</v>
      </c>
      <c r="E1009" s="56" t="s">
        <v>15119</v>
      </c>
      <c r="F1009" s="57">
        <v>973200</v>
      </c>
      <c r="G1009" s="58">
        <v>1</v>
      </c>
      <c r="I1009" s="5"/>
      <c r="J1009" s="5"/>
    </row>
    <row r="1010" spans="1:10" x14ac:dyDescent="0.2">
      <c r="A1010" s="59" t="str">
        <f ca="1">IFERROR(__xludf.DUMMYFUNCTION("TEXTJOIN(""|"",TRUE,UNIQUE(FILTER(SPLIT(B1010,"" ""),LEN(SPLIT(B1010,"" ""))&gt;2)))"),"тол|для|демонстрации|находок|коллекций|тол|для|демонстрации|находок|коллекций")</f>
        <v>тол|для|демонстрации|находок|коллекций|тол|для|демонстрации|находок|коллекций</v>
      </c>
      <c r="B1010" s="59" t="str">
        <f ca="1">IFERROR(__xludf.DUMMYFUNCTION("LOWER(REGEXREPLACE(D1010&amp;"" ""&amp;E1010,""[^а-яa-z0-9 ]"","" ""))")," тол для демонстрации находок и коллекций  тол для демонстрации находок и коллекций")</f>
        <v xml:space="preserve"> тол для демонстрации находок и коллекций  тол для демонстрации находок и коллекций</v>
      </c>
      <c r="C1010" s="61" t="s">
        <v>15120</v>
      </c>
      <c r="D1010" s="56" t="s">
        <v>15121</v>
      </c>
      <c r="E1010" s="56" t="s">
        <v>15121</v>
      </c>
      <c r="F1010" s="57">
        <v>952800</v>
      </c>
      <c r="G1010" s="58">
        <v>1</v>
      </c>
      <c r="I1010" s="5"/>
      <c r="J1010" s="5"/>
    </row>
    <row r="1011" spans="1:10" x14ac:dyDescent="0.2">
      <c r="A1011" s="59" t="str">
        <f ca="1">IFERROR(__xludf.DUMMYFUNCTION("TEXTJOIN(""|"",TRUE,UNIQUE(FILTER(SPLIT(B1011,"" ""),LEN(SPLIT(B1011,"" ""))&gt;2)))"),"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amp;"ек")</f>
        <v>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ек</v>
      </c>
      <c r="B1011" s="59" t="str">
        <f ca="1">IFERROR(__xludf.DUMMYFUNCTION("LOWER(REGEXREPLACE(D1011&amp;"" ""&amp;E1011,""[^а-яa-z0-9 ]"","" ""))"),"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демонстрационны"&amp;"х и 16 раздаточных карточек ")</f>
        <v xml:space="preserve">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демонстрационных и 16 раздаточных карточек </v>
      </c>
      <c r="C1011" s="61" t="s">
        <v>15122</v>
      </c>
      <c r="D1011" s="56" t="s">
        <v>15123</v>
      </c>
      <c r="E1011" s="56" t="s">
        <v>15124</v>
      </c>
      <c r="F1011" s="57">
        <v>6700</v>
      </c>
      <c r="G1011" s="58">
        <v>5</v>
      </c>
      <c r="I1011" s="5"/>
      <c r="J1011" s="5"/>
    </row>
    <row r="1012" spans="1:10" x14ac:dyDescent="0.2">
      <c r="A1012" s="59" t="str">
        <f ca="1">IFERROR(__xludf.DUMMYFUNCTION("TEXTJOIN(""|"",TRUE,UNIQUE(FILTER(SPLIT(B1012,"" ""),LEN(SPLIT(B1012,"" ""))&gt;2)))"),"теллаж|для|хранения|наборов|лотков|теллаж|для|хранения|наборов|лотков")</f>
        <v>теллаж|для|хранения|наборов|лотков|теллаж|для|хранения|наборов|лотков</v>
      </c>
      <c r="B1012" s="59" t="str">
        <f ca="1">IFERROR(__xludf.DUMMYFUNCTION("LOWER(REGEXREPLACE(D1012&amp;"" ""&amp;E1012,""[^а-яa-z0-9 ]"","" ""))")," теллаж для хранения      наборов и лотков  теллаж для хранения      наборов и лотков")</f>
        <v xml:space="preserve"> теллаж для хранения      наборов и лотков  теллаж для хранения      наборов и лотков</v>
      </c>
      <c r="C1012" s="61" t="s">
        <v>15125</v>
      </c>
      <c r="D1012" s="56" t="s">
        <v>15126</v>
      </c>
      <c r="E1012" s="56" t="s">
        <v>15126</v>
      </c>
      <c r="F1012" s="57">
        <v>722400</v>
      </c>
      <c r="G1012" s="58">
        <v>2</v>
      </c>
      <c r="I1012" s="5"/>
      <c r="J1012" s="5"/>
    </row>
    <row r="1013" spans="1:10" x14ac:dyDescent="0.2">
      <c r="A1013" s="59" t="str">
        <f ca="1">IFERROR(__xludf.DUMMYFUNCTION("TEXTJOIN(""|"",TRUE,UNIQUE(FILTER(SPLIT(B1013,"" ""),LEN(SPLIT(B1013,"" ""))&gt;2)))"),"абор|глубоких|лотков|для|мелких|деталей|абор|глубоких|лотков|для|мелких|деталей")</f>
        <v>абор|глубоких|лотков|для|мелких|деталей|абор|глубоких|лотков|для|мелких|деталей</v>
      </c>
      <c r="B1013" s="59" t="str">
        <f ca="1">IFERROR(__xludf.DUMMYFUNCTION("LOWER(REGEXREPLACE(D1013&amp;"" ""&amp;E1013,""[^а-яa-z0-9 ]"","" ""))")," абор глубоких лотков для мелких деталей  абор глубоких лотков для мелких деталей")</f>
        <v xml:space="preserve"> абор глубоких лотков для мелких деталей  абор глубоких лотков для мелких деталей</v>
      </c>
      <c r="C1013" s="61" t="s">
        <v>15127</v>
      </c>
      <c r="D1013" s="56" t="s">
        <v>15128</v>
      </c>
      <c r="E1013" s="56" t="s">
        <v>15128</v>
      </c>
      <c r="F1013" s="57">
        <v>166600</v>
      </c>
      <c r="G1013" s="58">
        <v>2</v>
      </c>
      <c r="I1013" s="5"/>
      <c r="J1013" s="5"/>
    </row>
    <row r="1014" spans="1:10" x14ac:dyDescent="0.2">
      <c r="A1014" s="59" t="str">
        <f ca="1">IFERROR(__xludf.DUMMYFUNCTION("TEXTJOIN(""|"",TRUE,UNIQUE(FILTER(SPLIT(B1014,"" ""),LEN(SPLIT(B1014,"" ""))&gt;2)))"),"тулья|для|всей|группы|высота|сиденья|тулья|для|всей|группы|высота|сиденья")</f>
        <v>тулья|для|всей|группы|высота|сиденья|тулья|для|всей|группы|высота|сиденья</v>
      </c>
      <c r="B1014" s="59" t="str">
        <f ca="1">IFERROR(__xludf.DUMMYFUNCTION("LOWER(REGEXREPLACE(D1014&amp;"" ""&amp;E1014,""[^а-яa-z0-9 ]"","" ""))")," тулья для всей группы  высота сиденья 25 см   тулья для всей группы  высота сиденья 25 см ")</f>
        <v xml:space="preserve"> тулья для всей группы  высота сиденья 25 см   тулья для всей группы  высота сиденья 25 см </v>
      </c>
      <c r="C1014" s="61" t="s">
        <v>15129</v>
      </c>
      <c r="D1014" s="56" t="s">
        <v>15130</v>
      </c>
      <c r="E1014" s="56" t="s">
        <v>15130</v>
      </c>
      <c r="F1014" s="57">
        <v>163000</v>
      </c>
      <c r="G1014" s="58">
        <v>25</v>
      </c>
      <c r="I1014" s="5"/>
      <c r="J1014" s="5"/>
    </row>
    <row r="1015" spans="1:10" x14ac:dyDescent="0.2">
      <c r="A1015" s="59" t="str">
        <f ca="1">IFERROR(__xludf.DUMMYFUNCTION("TEXTJOIN(""|"",TRUE,UNIQUE(FILTER(SPLIT(B1015,"" ""),LEN(SPLIT(B1015,"" ""))&gt;2)))"),"овер|осмос|для|занятий|полу|овер|осмос|для|занятий|полу")</f>
        <v>овер|осмос|для|занятий|полу|овер|осмос|для|занятий|полу</v>
      </c>
      <c r="B1015" s="59" t="str">
        <f ca="1">IFERROR(__xludf.DUMMYFUNCTION("LOWER(REGEXREPLACE(D1015&amp;"" ""&amp;E1015,""[^а-яa-z0-9 ]"","" ""))")," овер   осмос  для занятий на полу  овер   осмос  для занятий на полу")</f>
        <v xml:space="preserve"> овер   осмос  для занятий на полу  овер   осмос  для занятий на полу</v>
      </c>
      <c r="C1015" s="61" t="s">
        <v>15131</v>
      </c>
      <c r="D1015" s="56" t="s">
        <v>15132</v>
      </c>
      <c r="E1015" s="56" t="s">
        <v>15132</v>
      </c>
      <c r="F1015" s="57">
        <v>736100</v>
      </c>
      <c r="G1015" s="58">
        <v>1</v>
      </c>
      <c r="I1015" s="5"/>
      <c r="J1015" s="5"/>
    </row>
    <row r="1016" spans="1:10" x14ac:dyDescent="0.2">
      <c r="A1016" s="59" t="str">
        <f ca="1">IFERROR(__xludf.DUMMYFUNCTION("TEXTJOIN(""|"",TRUE,UNIQUE(FILTER(SPLIT(B1016,"" ""),LEN(SPLIT(B1016,"" ""))&gt;2)))"),"тойка|для|сушки|работ|после|экспериментов|тойка|для|сушки|работ|после|экспериментов")</f>
        <v>тойка|для|сушки|работ|после|экспериментов|тойка|для|сушки|работ|после|экспериментов</v>
      </c>
      <c r="B1016" s="59" t="str">
        <f ca="1">IFERROR(__xludf.DUMMYFUNCTION("LOWER(REGEXREPLACE(D1016&amp;"" ""&amp;E1016,""[^а-яa-z0-9 ]"","" ""))")," тойка для сушки работ после экспериментов  тойка для сушки работ после экспериментов")</f>
        <v xml:space="preserve"> тойка для сушки работ после экспериментов  тойка для сушки работ после экспериментов</v>
      </c>
      <c r="C1016" s="61" t="s">
        <v>15133</v>
      </c>
      <c r="D1016" s="56" t="s">
        <v>15134</v>
      </c>
      <c r="E1016" s="56" t="s">
        <v>15134</v>
      </c>
      <c r="F1016" s="57">
        <v>347900</v>
      </c>
      <c r="G1016" s="58">
        <v>1</v>
      </c>
      <c r="I1016" s="5"/>
      <c r="J1016" s="5"/>
    </row>
    <row r="1017" spans="1:10" x14ac:dyDescent="0.2">
      <c r="A1017" s="59" t="str">
        <f ca="1">IFERROR(__xludf.DUMMYFUNCTION("TEXTJOIN(""|"",TRUE,UNIQUE(FILTER(SPLIT(B1017,"" ""),LEN(SPLIT(B1017,"" ""))&gt;2)))"),"абор|для|дошкольного|изучения|omputer|science|and|абор|для|дошкольного|изучения|omputer|science|and")</f>
        <v>абор|для|дошкольного|изучения|omputer|science|and|абор|для|дошкольного|изучения|omputer|science|and</v>
      </c>
      <c r="B1017" s="59" t="str">
        <f ca="1">IFERROR(__xludf.DUMMYFUNCTION("LOWER(REGEXREPLACE(D1017&amp;"" ""&amp;E1017,""[^а-яa-z0-9 ]"","" ""))")," абор для дошкольного изучения  omputer science and     абор для дошкольного изучения  omputer science and   ")</f>
        <v xml:space="preserve"> абор для дошкольного изучения  omputer science and     абор для дошкольного изучения  omputer science and   </v>
      </c>
      <c r="C1017" s="61" t="s">
        <v>15135</v>
      </c>
      <c r="D1017" s="56" t="s">
        <v>15136</v>
      </c>
      <c r="E1017" s="56" t="s">
        <v>15136</v>
      </c>
      <c r="F1017" s="57">
        <v>389900</v>
      </c>
      <c r="G1017" s="58">
        <v>10</v>
      </c>
      <c r="I1017" s="5"/>
      <c r="J1017" s="5"/>
    </row>
    <row r="1018" spans="1:10" x14ac:dyDescent="0.2">
      <c r="A1018" s="59" t="str">
        <f ca="1">IFERROR(__xludf.DUMMYFUNCTION("TEXTJOIN(""|"",TRUE,UNIQUE(FILTER(SPLIT(B1018,"" ""),LEN(SPLIT(B1018,"" ""))&gt;2)))"),"ric|otion|ssential|ric|otion|ssential")</f>
        <v>ric|otion|ssential|ric|otion|ssential</v>
      </c>
      <c r="B1018" s="59" t="str">
        <f ca="1">IFERROR(__xludf.DUMMYFUNCTION("LOWER(REGEXREPLACE(D1018&amp;"" ""&amp;E1018,""[^а-яa-z0-9 ]"","" ""))")," ric   otion  ssential  ric   otion  ssential")</f>
        <v xml:space="preserve"> ric   otion  ssential  ric   otion  ssential</v>
      </c>
      <c r="C1018" s="61" t="s">
        <v>15137</v>
      </c>
      <c r="D1018" s="56" t="s">
        <v>15138</v>
      </c>
      <c r="E1018" s="56" t="s">
        <v>15138</v>
      </c>
      <c r="F1018" s="57">
        <v>612000</v>
      </c>
      <c r="G1018" s="58">
        <v>0</v>
      </c>
      <c r="I1018" s="5"/>
      <c r="J1018" s="5"/>
    </row>
    <row r="1019" spans="1:10" x14ac:dyDescent="0.2">
      <c r="A1019" s="59" t="str">
        <f ca="1">IFERROR(__xludf.DUMMYFUNCTION("TEXTJOIN(""|"",TRUE,UNIQUE(FILTER(SPLIT(B1019,"" ""),LEN(SPLIT(B1019,"" ""))&gt;2)))"),"ducation|ark|ducation|ark")</f>
        <v>ducation|ark|ducation|ark</v>
      </c>
      <c r="B1019" s="59" t="str">
        <f ca="1">IFERROR(__xludf.DUMMYFUNCTION("LOWER(REGEXREPLACE(D1019&amp;"" ""&amp;E1019,""[^а-яa-z0-9 ]"","" ""))"),"       ducation        ark        ducation        ark")</f>
        <v xml:space="preserve">       ducation        ark        ducation        ark</v>
      </c>
      <c r="C1019" s="61" t="s">
        <v>15139</v>
      </c>
      <c r="D1019" s="56" t="s">
        <v>15140</v>
      </c>
      <c r="E1019" s="56" t="s">
        <v>15140</v>
      </c>
      <c r="F1019" s="57">
        <v>373400</v>
      </c>
      <c r="G1019" s="58">
        <v>10</v>
      </c>
      <c r="I1019" s="5"/>
      <c r="J1019" s="5"/>
    </row>
    <row r="1020" spans="1:10" x14ac:dyDescent="0.2">
      <c r="A1020" s="59" t="str">
        <f ca="1">IFERROR(__xludf.DUMMYFUNCTION("TEXTJOIN(""|"",TRUE,UNIQUE(FILTER(SPLIT(B1020,"" ""),LEN(SPLIT(B1020,"" ""))&gt;2)))"),"нструменты|для|конструирования|картона|для|начальной|школы|нструменты|для|конструирования|картона|для|начальной|школы")</f>
        <v>нструменты|для|конструирования|картона|для|начальной|школы|нструменты|для|конструирования|картона|для|начальной|школы</v>
      </c>
      <c r="B1020" s="59" t="str">
        <f ca="1">IFERROR(__xludf.DUMMYFUNCTION("LOWER(REGEXREPLACE(D1020&amp;"" ""&amp;E1020,""[^а-яa-z0-9 ]"","" ""))")," нструменты для конструирования из картона для начальной школы  нструменты для конструирования из картона для начальной школы")</f>
        <v xml:space="preserve"> нструменты для конструирования из картона для начальной школы  нструменты для конструирования из картона для начальной школы</v>
      </c>
      <c r="C1020" s="61" t="s">
        <v>15141</v>
      </c>
      <c r="D1020" s="56" t="s">
        <v>15142</v>
      </c>
      <c r="E1020" s="56" t="s">
        <v>15142</v>
      </c>
      <c r="F1020" s="57">
        <v>385600</v>
      </c>
      <c r="G1020" s="58">
        <v>0</v>
      </c>
      <c r="I1020" s="5"/>
      <c r="J1020" s="5"/>
    </row>
    <row r="1021" spans="1:10" x14ac:dyDescent="0.2">
      <c r="A1021" s="59" t="str">
        <f ca="1">IFERROR(__xludf.DUMMYFUNCTION("TEXTJOIN(""|"",TRUE,UNIQUE(FILTER(SPLIT(B1021,"" ""),LEN(SPLIT(B1021,"" ""))&gt;2)))"),"ешалка|напольная|для|верхней|одежды|апольная|вешалка|азмеры|высота|1700мм|кол|крючков|8шт")</f>
        <v>ешалка|напольная|для|верхней|одежды|апольная|вешалка|азмеры|высота|1700мм|кол|крючков|8шт</v>
      </c>
      <c r="B1021" s="59" t="str">
        <f ca="1">IFERROR(__xludf.DUMMYFUNCTION("LOWER(REGEXREPLACE(D1021&amp;"" ""&amp;E1021,""[^а-яa-z0-9 ]"","" ""))")," ешалка напольная для верхней одежды  апольная вешалка   азмеры высота 1700мм  кол во крючков 8шт ")</f>
        <v xml:space="preserve"> ешалка напольная для верхней одежды  апольная вешалка   азмеры высота 1700мм  кол во крючков 8шт </v>
      </c>
      <c r="C1021" s="61" t="s">
        <v>15143</v>
      </c>
      <c r="D1021" s="61" t="s">
        <v>15144</v>
      </c>
      <c r="E1021" s="56" t="s">
        <v>15145</v>
      </c>
      <c r="F1021" s="57">
        <v>2100</v>
      </c>
      <c r="G1021" s="58">
        <v>2</v>
      </c>
      <c r="I1021" s="5"/>
      <c r="J1021" s="5"/>
    </row>
    <row r="1022" spans="1:10" x14ac:dyDescent="0.2">
      <c r="A1022" s="59" t="str">
        <f ca="1">IFERROR(__xludf.DUMMYFUNCTION("TEXTJOIN(""|"",TRUE,UNIQUE(FILTER(SPLIT(B1022,"" ""),LEN(SPLIT(B1022,"" ""))&gt;2)))"),"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f>
        <v>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v>
      </c>
      <c r="B1022" s="59" t="str">
        <f ca="1">IFERROR(__xludf.DUMMYFUNCTION("LOWER(REGEXREPLACE(D1022&amp;"" ""&amp;E1022,""[^а-яa-z0-9 ]"","" ""))"),"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настенн"&amp;"ого монтажа ")</f>
        <v xml:space="preserve">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настенного монтажа </v>
      </c>
      <c r="C1022" s="61" t="s">
        <v>15146</v>
      </c>
      <c r="D1022" s="56" t="s">
        <v>15147</v>
      </c>
      <c r="E1022" s="56" t="s">
        <v>15148</v>
      </c>
      <c r="F1022" s="57">
        <v>36000</v>
      </c>
      <c r="G1022" s="58">
        <v>1</v>
      </c>
      <c r="I1022" s="5"/>
      <c r="J1022" s="5"/>
    </row>
    <row r="1023" spans="1:10" x14ac:dyDescent="0.2">
      <c r="A1023" s="59" t="str">
        <f ca="1">IFERROR(__xludf.DUMMYFUNCTION("TEXTJOIN(""|"",TRUE,UNIQUE(FILTER(SPLIT(B1023,"" ""),LEN(SPLIT(B1023,"" ""))&gt;2)))"),"тол|производственный|роизводственный|стол|предназначен|для|хозяйственных|работ|азмеры|1800х600х850")</f>
        <v>тол|производственный|роизводственный|стол|предназначен|для|хозяйственных|работ|азмеры|1800х600х850</v>
      </c>
      <c r="B1023" s="59" t="str">
        <f ca="1">IFERROR(__xludf.DUMMYFUNCTION("LOWER(REGEXREPLACE(D1023&amp;"" ""&amp;E1023,""[^а-яa-z0-9 ]"","" ""))")," тол производственный  роизводственный стол предназначен для хозяйственных работ   азмеры  1800х600х850")</f>
        <v xml:space="preserve"> тол производственный  роизводственный стол предназначен для хозяйственных работ   азмеры  1800х600х850</v>
      </c>
      <c r="C1023" s="61" t="s">
        <v>15149</v>
      </c>
      <c r="D1023" s="56" t="s">
        <v>10653</v>
      </c>
      <c r="E1023" s="56" t="s">
        <v>15150</v>
      </c>
      <c r="F1023" s="57">
        <v>315000</v>
      </c>
      <c r="G1023" s="58">
        <v>1</v>
      </c>
      <c r="I1023" s="5"/>
      <c r="J1023" s="5"/>
    </row>
    <row r="1024" spans="1:10" x14ac:dyDescent="0.2">
      <c r="A1024" s="59" t="str">
        <f ca="1">IFERROR(__xludf.DUMMYFUNCTION("TEXTJOIN(""|"",TRUE,UNIQUE(FILTER(SPLIT(B1024,"" ""),LEN(SPLIT(B1024,"" ""))&gt;2)))"),"тол|промежуточный|vpn7|азмеры|800|700|300")</f>
        <v>тол|промежуточный|vpn7|азмеры|800|700|300</v>
      </c>
      <c r="B1024" s="59" t="str">
        <f ca="1">IFERROR(__xludf.DUMMYFUNCTION("LOWER(REGEXREPLACE(D1024&amp;"" ""&amp;E1024,""[^а-яa-z0-9 ]"","" ""))")," тол промежуточный vpn7 2  азмеры  800 700 300 мм ")</f>
        <v xml:space="preserve"> тол промежуточный vpn7 2  азмеры  800 700 300 мм </v>
      </c>
      <c r="C1024" s="61" t="s">
        <v>15151</v>
      </c>
      <c r="D1024" s="56" t="s">
        <v>15152</v>
      </c>
      <c r="E1024" s="56" t="s">
        <v>15153</v>
      </c>
      <c r="F1024" s="57">
        <v>387000</v>
      </c>
      <c r="G1024" s="58">
        <v>2</v>
      </c>
      <c r="I1024" s="5"/>
      <c r="J1024" s="5"/>
    </row>
    <row r="1025" spans="1:10" x14ac:dyDescent="0.2">
      <c r="A1025" s="59" t="str">
        <f ca="1">IFERROR(__xludf.DUMMYFUNCTION("TEXTJOIN(""|"",TRUE,UNIQUE(FILTER(SPLIT(B1025,"" ""),LEN(SPLIT(B1025,"" ""))&gt;2)))"),"тол|рабочий|абочий|стол|металлической|поверхностью|стойчивый|легко|моющийся|азмеры|1800х600х850")</f>
        <v>тол|рабочий|абочий|стол|металлической|поверхностью|стойчивый|легко|моющийся|азмеры|1800х600х850</v>
      </c>
      <c r="B1025" s="59" t="str">
        <f ca="1">IFERROR(__xludf.DUMMYFUNCTION("LOWER(REGEXREPLACE(D1025&amp;"" ""&amp;E1025,""[^а-яa-z0-9 ]"","" ""))")," тол рабочий  абочий стол с металлической поверхностью   стойчивый  легко моющийся   азмеры  1800х600х850")</f>
        <v xml:space="preserve"> тол рабочий  абочий стол с металлической поверхностью   стойчивый  легко моющийся   азмеры  1800х600х850</v>
      </c>
      <c r="C1025" s="61" t="s">
        <v>15154</v>
      </c>
      <c r="D1025" s="56" t="s">
        <v>15155</v>
      </c>
      <c r="E1025" s="56" t="s">
        <v>15156</v>
      </c>
      <c r="F1025" s="57">
        <v>283500</v>
      </c>
      <c r="G1025" s="58">
        <v>4</v>
      </c>
      <c r="I1025" s="5"/>
      <c r="J1025" s="5"/>
    </row>
    <row r="1026" spans="1:10" x14ac:dyDescent="0.2">
      <c r="A1026" s="59" t="str">
        <f ca="1">IFERROR(__xludf.DUMMYFUNCTION("TEXTJOIN(""|"",TRUE,UNIQUE(FILTER(SPLIT(B1026,"" ""),LEN(SPLIT(B1026,"" ""))&gt;2)))"),"тол|разгрузки|посудомойки|tbc70x75|ержавеющая|сталь|430|нижней|полки|бортика|араметры|700x750x850")</f>
        <v>тол|разгрузки|посудомойки|tbc70x75|ержавеющая|сталь|430|нижней|полки|бортика|араметры|700x750x850</v>
      </c>
      <c r="B1026" s="59" t="str">
        <f ca="1">IFERROR(__xludf.DUMMYFUNCTION("LOWER(REGEXREPLACE(D1026&amp;"" ""&amp;E1026,""[^а-яa-z0-9 ]"","" ""))")," тол разгрузки посудомойки ce tbc70x75  ержавеющая сталь      430   ез нижней  полки и бортика   араметры  700x750x850 мм")</f>
        <v xml:space="preserve"> тол разгрузки посудомойки ce tbc70x75  ержавеющая сталь      430   ез нижней  полки и бортика   араметры  700x750x850 мм</v>
      </c>
      <c r="C1026" s="61" t="s">
        <v>15157</v>
      </c>
      <c r="D1026" s="56" t="s">
        <v>15158</v>
      </c>
      <c r="E1026" s="56" t="s">
        <v>15159</v>
      </c>
      <c r="F1026" s="57">
        <v>237600</v>
      </c>
      <c r="G1026" s="58">
        <v>1</v>
      </c>
      <c r="I1026" s="5"/>
      <c r="J1026" s="5"/>
    </row>
    <row r="1027" spans="1:10" x14ac:dyDescent="0.2">
      <c r="A1027" s="59" t="str">
        <f ca="1">IFERROR(__xludf.DUMMYFUNCTION("TEXTJOIN(""|"",TRUE,UNIQUE(FILTER(SPLIT(B1027,"" ""),LEN(SPLIT(B1027,"" ""))&gt;2)))"),"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amp;"покрытия|азмеры|1800|800|750|комплект|входит|приставной|стол|для|посетителей")</f>
        <v>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покрытия|азмеры|1800|800|750|комплект|входит|приставной|стол|для|посетителей</v>
      </c>
      <c r="B1027" s="59" t="str">
        <f ca="1">IFERROR(__xludf.DUMMYFUNCTION("LOWER(REGEXREPLACE(D1027&amp;"" ""&amp;E1027,""[^а-яa-z0-9 ]"","" ""))"),"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устойчив"&amp;"ые  с подпятниками для защиты напольного покрытия   азмеры   1800 800 750 мм    комплект входит приставной стол для посетителей  ")</f>
        <v xml:space="preserve">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устойчивые  с подпятниками для защиты напольного покрытия   азмеры   1800 800 750 мм    комплект входит приставной стол для посетителей  </v>
      </c>
      <c r="C1027" s="61" t="s">
        <v>15160</v>
      </c>
      <c r="D1027" s="56" t="s">
        <v>15161</v>
      </c>
      <c r="E1027" s="56" t="s">
        <v>15162</v>
      </c>
      <c r="F1027" s="57">
        <v>735000</v>
      </c>
      <c r="G1027" s="58">
        <v>1</v>
      </c>
      <c r="I1027" s="5"/>
      <c r="J1027" s="5"/>
    </row>
    <row r="1028" spans="1:10" x14ac:dyDescent="0.2">
      <c r="A1028" s="59" t="str">
        <f ca="1">IFERROR(__xludf.DUMMYFUNCTION("TEXTJOIN(""|"",TRUE,UNIQUE(FILTER(SPLIT(B1028,"" ""),LEN(SPLIT(B1028,"" ""))&gt;2)))"),"тол|мойками|тол|двумя|мойками|120|ержавеющая|сталь|азмер|1200x600x850мм")</f>
        <v>тол|мойками|тол|двумя|мойками|120|ержавеющая|сталь|азмер|1200x600x850мм</v>
      </c>
      <c r="B1028" s="59" t="str">
        <f ca="1">IFERROR(__xludf.DUMMYFUNCTION("LOWER(REGEXREPLACE(D1028&amp;"" ""&amp;E1028,""[^а-яa-z0-9 ]"","" ""))")," тол с 2 мойками  тол с двумя мойками       120 60   ержавеющая сталь   азмер  1200x600x850мм")</f>
        <v xml:space="preserve"> тол с 2 мойками  тол с двумя мойками       120 60   ержавеющая сталь   азмер  1200x600x850мм</v>
      </c>
      <c r="C1028" s="61" t="s">
        <v>15163</v>
      </c>
      <c r="D1028" s="56" t="s">
        <v>15164</v>
      </c>
      <c r="E1028" s="63" t="s">
        <v>10577</v>
      </c>
      <c r="F1028" s="57">
        <v>175126</v>
      </c>
      <c r="G1028" s="58">
        <v>13</v>
      </c>
      <c r="I1028" s="5"/>
      <c r="J1028" s="5"/>
    </row>
    <row r="1029" spans="1:10" x14ac:dyDescent="0.2">
      <c r="A1029" s="59" t="str">
        <f ca="1">IFERROR(__xludf.DUMMYFUNCTION("TEXTJOIN(""|"",TRUE,UNIQUE(FILTER(SPLIT(B1029,"" ""),LEN(SPLIT(B1029,"" ""))&gt;2)))"),"тол|мойками|tce120x70|ержавеющая|сталь|430|бортиком|без|полки|ойка|50x40x25|араметры|1200x700x850")</f>
        <v>тол|мойками|tce120x70|ержавеющая|сталь|430|бортиком|без|полки|ойка|50x40x25|араметры|1200x700x850</v>
      </c>
      <c r="B1029" s="59" t="str">
        <f ca="1">IFERROR(__xludf.DUMMYFUNCTION("LOWER(REGEXREPLACE(D1029&amp;"" ""&amp;E1029,""[^а-яa-z0-9 ]"","" ""))")," тол с 2 мойками ce tce120x70  ержавеющая сталь      430    бортиком без полки   ойка  50x40x25 см   араметры  1200x700x850 мм")</f>
        <v xml:space="preserve"> тол с 2 мойками ce tce120x70  ержавеющая сталь      430    бортиком без полки   ойка  50x40x25 см   араметры  1200x700x850 мм</v>
      </c>
      <c r="C1029" s="61" t="s">
        <v>15165</v>
      </c>
      <c r="D1029" s="56" t="s">
        <v>15166</v>
      </c>
      <c r="E1029" s="56" t="s">
        <v>12325</v>
      </c>
      <c r="F1029" s="57">
        <v>707900</v>
      </c>
      <c r="G1029" s="58">
        <v>2</v>
      </c>
      <c r="I1029" s="5"/>
      <c r="J1029" s="5"/>
    </row>
    <row r="1030" spans="1:10" x14ac:dyDescent="0.2">
      <c r="A1030" s="59" t="str">
        <f ca="1">IFERROR(__xludf.DUMMYFUNCTION("TEXTJOIN(""|"",TRUE,UNIQUE(FILTER(SPLIT(B1030,"" ""),LEN(SPLIT(B1030,"" ""))&gt;2)))"),"тол|одной|полкой|тол|производственный|рабочий|1120|ержавеющая|сталь|одной|полкой|бортиком|азмер|1200x600x850мм")</f>
        <v>тол|одной|полкой|тол|производственный|рабочий|1120|ержавеющая|сталь|одной|полкой|бортиком|азмер|1200x600x850мм</v>
      </c>
      <c r="B1030" s="59" t="str">
        <f ca="1">IFERROR(__xludf.DUMMYFUNCTION("LOWER(REGEXREPLACE(D1030&amp;"" ""&amp;E1030,""[^а-яa-z0-9 ]"","" ""))")," тол с одной полкой  тол производственный рабочий      1120 60   ержавеющая сталь    одной полкой и бортиком   азмер  1200x600x850мм")</f>
        <v xml:space="preserve"> тол с одной полкой  тол производственный рабочий      1120 60   ержавеющая сталь    одной полкой и бортиком   азмер  1200x600x850мм</v>
      </c>
      <c r="C1030" s="61" t="s">
        <v>15167</v>
      </c>
      <c r="D1030" s="56" t="s">
        <v>15168</v>
      </c>
      <c r="E1030" s="63" t="s">
        <v>15169</v>
      </c>
      <c r="F1030" s="57">
        <v>66984</v>
      </c>
      <c r="G1030" s="58">
        <v>13</v>
      </c>
      <c r="I1030" s="5"/>
      <c r="J1030" s="5"/>
    </row>
    <row r="1031" spans="1:10" x14ac:dyDescent="0.2">
      <c r="A1031" s="59" t="str">
        <f ca="1">IFERROR(__xludf.DUMMYFUNCTION("TEXTJOIN(""|"",TRUE,UNIQUE(FILTER(SPLIT(B1031,"" ""),LEN(SPLIT(B1031,"" ""))&gt;2)))"),"тол|tc080x70|ержавеющая|сталь|430|абариты|800x700x850")</f>
        <v>тол|tc080x70|ержавеющая|сталь|430|абариты|800x700x850</v>
      </c>
      <c r="B1031" s="59" t="str">
        <f ca="1">IFERROR(__xludf.DUMMYFUNCTION("LOWER(REGEXREPLACE(D1031&amp;"" ""&amp;E1031,""[^а-яa-z0-9 ]"","" ""))")," тол ce tc080x70  ержавеющая сталь 430   абариты  800x700x850 мм")</f>
        <v xml:space="preserve"> тол ce tc080x70  ержавеющая сталь 430   абариты  800x700x850 мм</v>
      </c>
      <c r="C1031" s="61" t="s">
        <v>15170</v>
      </c>
      <c r="D1031" s="56" t="s">
        <v>15171</v>
      </c>
      <c r="E1031" s="56" t="s">
        <v>15172</v>
      </c>
      <c r="F1031" s="57">
        <v>218000</v>
      </c>
      <c r="G1031" s="58">
        <v>1</v>
      </c>
      <c r="I1031" s="5"/>
      <c r="J1031" s="5"/>
    </row>
    <row r="1032" spans="1:10" x14ac:dyDescent="0.2">
      <c r="A1032" s="59" t="str">
        <f ca="1">IFERROR(__xludf.DUMMYFUNCTION("TEXTJOIN(""|"",TRUE,UNIQUE(FILTER(SPLIT(B1032,"" ""),LEN(SPLIT(B1032,"" ""))&gt;2)))"),"тол|ромашка|половинки|регулируемых|ножках|етский|стол|состоит|половинок|общий|диаметр|160|редназначен|для|групповой|работы|занятий")</f>
        <v>тол|ромашка|половинки|регулируемых|ножках|етский|стол|состоит|половинок|общий|диаметр|160|редназначен|для|групповой|работы|занятий</v>
      </c>
      <c r="B1032" s="59" t="str">
        <f ca="1">IFERROR(__xludf.DUMMYFUNCTION("LOWER(REGEXREPLACE(D1032&amp;"" ""&amp;E1032,""[^а-яa-z0-9 ]"","" ""))")," тол ромашка  3 половинки  на регулируемых ножках  етский стол состоит из тр х половинок  общий диаметр   160 см   редназначен для групповой работы и занятий  ")</f>
        <v xml:space="preserve"> тол ромашка  3 половинки  на регулируемых ножках  етский стол состоит из тр х половинок  общий диаметр   160 см   редназначен для групповой работы и занятий  </v>
      </c>
      <c r="C1032" s="61" t="s">
        <v>15173</v>
      </c>
      <c r="D1032" s="56" t="s">
        <v>15174</v>
      </c>
      <c r="E1032" s="56" t="s">
        <v>15175</v>
      </c>
      <c r="F1032" s="57">
        <v>516600</v>
      </c>
      <c r="G1032" s="58">
        <v>1</v>
      </c>
      <c r="I1032" s="5"/>
      <c r="J1032" s="5"/>
    </row>
    <row r="1033" spans="1:10" x14ac:dyDescent="0.2">
      <c r="A1033" s="59" t="str">
        <f ca="1">IFERROR(__xludf.DUMMYFUNCTION("TEXTJOIN(""|"",TRUE,UNIQUE(FILTER(SPLIT(B1033,"" ""),LEN(SPLIT(B1033,"" ""))&gt;2)))"),"толик|для|игры|песком|водой|ластиковый|столик|для|игр|песком|водой|крышкой|спользуется|для|сенсорных|развивающих|занятий|устойчивый|безопасный|легко|очищается")</f>
        <v>толик|для|игры|песком|водой|ластиковый|столик|для|игр|песком|водой|крышкой|спользуется|для|сенсорных|развивающих|занятий|устойчивый|безопасный|легко|очищается</v>
      </c>
      <c r="B1033" s="59" t="str">
        <f ca="1">IFERROR(__xludf.DUMMYFUNCTION("LOWER(REGEXREPLACE(D1033&amp;"" ""&amp;E1033,""[^а-яa-z0-9 ]"","" ""))"),"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f>
        <v xml:space="preserve">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v>
      </c>
      <c r="C1033" s="61" t="s">
        <v>15176</v>
      </c>
      <c r="D1033" s="56" t="s">
        <v>15177</v>
      </c>
      <c r="E1033" s="56" t="s">
        <v>15178</v>
      </c>
      <c r="F1033" s="57">
        <v>19300</v>
      </c>
      <c r="G1033" s="58">
        <v>7</v>
      </c>
      <c r="I1033" s="5"/>
      <c r="J1033" s="5"/>
    </row>
    <row r="1034" spans="1:10" x14ac:dyDescent="0.2">
      <c r="A1034" s="59" t="str">
        <f ca="1">IFERROR(__xludf.DUMMYFUNCTION("TEXTJOIN(""|"",TRUE,UNIQUE(FILTER(SPLIT(B1034,"" ""),LEN(SPLIT(B1034,"" ""))&gt;2)))"),"тул|тул|офисный|388|спинкой|удобной|посадкой|азмеры|530х560х820")</f>
        <v>тул|тул|офисный|388|спинкой|удобной|посадкой|азмеры|530х560х820</v>
      </c>
      <c r="B1034" s="59" t="str">
        <f ca="1">IFERROR(__xludf.DUMMYFUNCTION("LOWER(REGEXREPLACE(D1034&amp;"" ""&amp;E1034,""[^а-яa-z0-9 ]"","" ""))")," тул  тул офисный     388 со спинкой с удобной посадкой   азмеры 530х560х820 см ")</f>
        <v xml:space="preserve"> тул  тул офисный     388 со спинкой с удобной посадкой   азмеры 530х560х820 см </v>
      </c>
      <c r="C1034" s="61" t="s">
        <v>15179</v>
      </c>
      <c r="D1034" s="56" t="s">
        <v>15180</v>
      </c>
      <c r="E1034" s="56" t="s">
        <v>15181</v>
      </c>
      <c r="F1034" s="57">
        <v>42000</v>
      </c>
      <c r="G1034" s="58">
        <v>1</v>
      </c>
      <c r="I1034" s="5"/>
      <c r="J1034" s="5"/>
    </row>
    <row r="1035" spans="1:10" x14ac:dyDescent="0.2">
      <c r="A1035" s="59" t="str">
        <f ca="1">IFERROR(__xludf.DUMMYFUNCTION("TEXTJOIN(""|"",TRUE,UNIQUE(FILTER(SPLIT(B1035,"" ""),LEN(SPLIT(B1035,"" ""))&gt;2)))"),"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amp;"на|тул|прочный|тщательно|обработанными|краями|безопасными|углами|подходит|для|ежедневного|использования|детских|учреждениях")</f>
        <v>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на|тул|прочный|тщательно|обработанными|краями|безопасными|углами|подходит|для|ежедневного|использования|детских|учреждениях</v>
      </c>
      <c r="B1035" s="59" t="str">
        <f ca="1">IFERROR(__xludf.DUMMYFUNCTION("LOWER(REGEXREPLACE(D1035&amp;"" ""&amp;E1035,""[^а-яa-z0-9 ]"","" ""))"),"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высота"&amp;"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f>
        <v xml:space="preserve">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v>
      </c>
      <c r="C1035" s="61" t="s">
        <v>15182</v>
      </c>
      <c r="D1035" s="61" t="s">
        <v>15183</v>
      </c>
      <c r="E1035" s="56" t="s">
        <v>15184</v>
      </c>
      <c r="F1035" s="57">
        <v>42000</v>
      </c>
      <c r="G1035" s="58">
        <v>20</v>
      </c>
      <c r="I1035" s="5"/>
      <c r="J1035" s="5"/>
    </row>
    <row r="1036" spans="1:10" x14ac:dyDescent="0.2">
      <c r="A1036" s="59" t="str">
        <f ca="1">IFERROR(__xludf.DUMMYFUNCTION("TEXTJOIN(""|"",TRUE,UNIQUE(FILTER(SPLIT(B1036,"" ""),LEN(SPLIT(B1036,"" ""))&gt;2)))"),"тул|для|воспитателя|спинкой|тул|полумягкий|ромированный|каркас|азмер|550x600x830мм")</f>
        <v>тул|для|воспитателя|спинкой|тул|полумягкий|ромированный|каркас|азмер|550x600x830мм</v>
      </c>
      <c r="B1036" s="59" t="str">
        <f ca="1">IFERROR(__xludf.DUMMYFUNCTION("LOWER(REGEXREPLACE(D1036&amp;"" ""&amp;E1036,""[^а-яa-z0-9 ]"","" ""))")," тул для воспитателя с спинкой  тул полумягкий   ромированный каркас   азмер  550x600x830мм")</f>
        <v xml:space="preserve"> тул для воспитателя с спинкой  тул полумягкий   ромированный каркас   азмер  550x600x830мм</v>
      </c>
      <c r="C1036" s="61" t="s">
        <v>15185</v>
      </c>
      <c r="D1036" s="56" t="s">
        <v>15186</v>
      </c>
      <c r="E1036" s="63" t="s">
        <v>8176</v>
      </c>
      <c r="F1036" s="57">
        <v>23131</v>
      </c>
      <c r="G1036" s="58">
        <v>26</v>
      </c>
      <c r="I1036" s="5"/>
      <c r="J1036" s="5"/>
    </row>
    <row r="1037" spans="1:10" x14ac:dyDescent="0.2">
      <c r="A1037" s="59" t="str">
        <f ca="1">IFERROR(__xludf.DUMMYFUNCTION("TEXTJOIN(""|"",TRUE,UNIQUE(FILTER(SPLIT(B1037,"" ""),LEN(SPLIT(B1037,"" ""))&gt;2)))"),"тул|для|зрителей|тул|предназначен|для|оснащения|актового|зала|азмеры|500х650х860мм")</f>
        <v>тул|для|зрителей|тул|предназначен|для|оснащения|актового|зала|азмеры|500х650х860мм</v>
      </c>
      <c r="B1037" s="59" t="str">
        <f ca="1">IFERROR(__xludf.DUMMYFUNCTION("LOWER(REGEXREPLACE(D1037&amp;"" ""&amp;E1037,""[^а-яa-z0-9 ]"","" ""))")," тул для зрителей  тул предназначен для оснащения актового зала   азмеры   х х   500х650х860мм")</f>
        <v xml:space="preserve"> тул для зрителей  тул предназначен для оснащения актового зала   азмеры   х х   500х650х860мм</v>
      </c>
      <c r="C1037" s="61" t="s">
        <v>15187</v>
      </c>
      <c r="D1037" s="56" t="s">
        <v>15188</v>
      </c>
      <c r="E1037" s="56" t="s">
        <v>15189</v>
      </c>
      <c r="F1037" s="57">
        <v>210000</v>
      </c>
      <c r="G1037" s="58">
        <v>50</v>
      </c>
      <c r="I1037" s="5"/>
      <c r="J1037" s="5"/>
    </row>
    <row r="1038" spans="1:10" x14ac:dyDescent="0.2">
      <c r="A1038" s="59" t="str">
        <f ca="1">IFERROR(__xludf.DUMMYFUNCTION("TEXTJOIN(""|"",TRUE,UNIQUE(FILTER(SPLIT(B1038,"" ""),LEN(SPLIT(B1038,"" ""))&gt;2)))"),"тул|полумягкий|тул|полумягкий|атериал|обивки|ткань|эко|кожа|еталлический|каркас|окрашен|порошковой|полимерной|краской|азмер|410х560х940мм")</f>
        <v>тул|полумягкий|тул|полумягкий|атериал|обивки|ткань|эко|кожа|еталлический|каркас|окрашен|порошковой|полимерной|краской|азмер|410х560х940мм</v>
      </c>
      <c r="B1038" s="59" t="str">
        <f ca="1">IFERROR(__xludf.DUMMYFUNCTION("LOWER(REGEXREPLACE(D1038&amp;"" ""&amp;E1038,""[^а-яa-z0-9 ]"","" ""))")," тул полумягкий  тул полумягкий   атериал обивки ткань эко кожа   еталлический каркас  окрашен порошковой полимерной краской   азмер 410х560х940мм")</f>
        <v xml:space="preserve"> тул полумягкий  тул полумягкий   атериал обивки ткань эко кожа   еталлический каркас  окрашен порошковой полимерной краской   азмер 410х560х940мм</v>
      </c>
      <c r="C1038" s="61" t="s">
        <v>15190</v>
      </c>
      <c r="D1038" s="56" t="s">
        <v>8151</v>
      </c>
      <c r="E1038" s="56" t="s">
        <v>8179</v>
      </c>
      <c r="F1038" s="57">
        <v>31045</v>
      </c>
      <c r="G1038" s="58">
        <v>3</v>
      </c>
      <c r="I1038" s="5"/>
      <c r="J1038" s="5"/>
    </row>
    <row r="1039" spans="1:10" x14ac:dyDescent="0.2">
      <c r="A1039" s="59" t="str">
        <f ca="1">IFERROR(__xludf.DUMMYFUNCTION("TEXTJOIN(""|"",TRUE,UNIQUE(FILTER(SPLIT(B1039,"" ""),LEN(SPLIT(B1039,"" ""))&gt;2)))"),"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f>
        <v>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v>
      </c>
      <c r="B1039" s="59" t="str">
        <f ca="1">IFERROR(__xludf.DUMMYFUNCTION("LOWER(REGEXREPLACE(D1039&amp;"" ""&amp;E1039,""[^а-яa-z0-9 ]"","" ""))"),"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410х560х94"&amp;"0мм")</f>
        <v xml:space="preserve">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410х560х940мм</v>
      </c>
      <c r="C1039" s="56"/>
      <c r="D1039" s="56"/>
      <c r="E1039" s="56" t="s">
        <v>15191</v>
      </c>
      <c r="F1039" s="57">
        <v>94500</v>
      </c>
      <c r="G1039" s="58">
        <v>15</v>
      </c>
      <c r="I1039" s="5"/>
      <c r="J1039" s="5"/>
    </row>
    <row r="1040" spans="1:10" x14ac:dyDescent="0.2">
      <c r="A1040" s="59" t="str">
        <f ca="1">IFERROR(__xludf.DUMMYFUNCTION("TEXTJOIN(""|"",TRUE,UNIQUE(FILTER(SPLIT(B1040,"" ""),LEN(SPLIT(B1040,"" ""))&gt;2)))"),"чительский|стол|тол|однотумбовый|выдвижными|ящиками|размер|1200х600х760мм")</f>
        <v>чительский|стол|тол|однотумбовый|выдвижными|ящиками|размер|1200х600х760мм</v>
      </c>
      <c r="B1040" s="59" t="str">
        <f ca="1">IFERROR(__xludf.DUMMYFUNCTION("LOWER(REGEXREPLACE(D1040&amp;"" ""&amp;E1040,""[^а-яa-z0-9 ]"","" ""))")," чительский стол  тол однотумбовый с 2 выдвижными ящиками       16 мм  размер 1200х600х760мм")</f>
        <v xml:space="preserve"> чительский стол  тол однотумбовый с 2 выдвижными ящиками       16 мм  размер 1200х600х760мм</v>
      </c>
      <c r="C1040" s="61" t="s">
        <v>15192</v>
      </c>
      <c r="D1040" s="56" t="s">
        <v>15193</v>
      </c>
      <c r="E1040" s="63" t="s">
        <v>7473</v>
      </c>
      <c r="F1040" s="57">
        <v>35124</v>
      </c>
      <c r="G1040" s="58">
        <v>13</v>
      </c>
      <c r="I1040" s="5"/>
      <c r="J1040" s="5"/>
    </row>
    <row r="1041" spans="1:10" x14ac:dyDescent="0.2">
      <c r="A1041" s="59" t="str">
        <f ca="1">IFERROR(__xludf.DUMMYFUNCTION("TEXTJOIN(""|"",TRUE,UNIQUE(FILTER(SPLIT(B1041,"" ""),LEN(SPLIT(B1041,"" ""))&gt;2)))"),"онференц|стол|для|совещаний|онференц|стол|для|проведения|совещаний|рабочих|встреч|азмеры|2700х1000х750мм")</f>
        <v>онференц|стол|для|совещаний|онференц|стол|для|проведения|совещаний|рабочих|встреч|азмеры|2700х1000х750мм</v>
      </c>
      <c r="B1041" s="59" t="str">
        <f ca="1">IFERROR(__xludf.DUMMYFUNCTION("LOWER(REGEXREPLACE(D1041&amp;"" ""&amp;E1041,""[^а-яa-z0-9 ]"","" ""))")," онференц стол для совещаний  онференц стол для проведения совещаний и рабочих встреч   азмеры 2700х1000х750мм")</f>
        <v xml:space="preserve"> онференц стол для совещаний  онференц стол для проведения совещаний и рабочих встреч   азмеры 2700х1000х750мм</v>
      </c>
      <c r="C1041" s="61" t="s">
        <v>15194</v>
      </c>
      <c r="D1041" s="56" t="s">
        <v>15195</v>
      </c>
      <c r="E1041" s="56" t="s">
        <v>15196</v>
      </c>
      <c r="F1041" s="57">
        <v>525000</v>
      </c>
      <c r="G1041" s="58">
        <v>1</v>
      </c>
      <c r="I1041" s="5"/>
      <c r="J1041" s="5"/>
    </row>
    <row r="1042" spans="1:10" x14ac:dyDescent="0.2">
      <c r="A1042" s="59" t="str">
        <f ca="1">IFERROR(__xludf.DUMMYFUNCTION("TEXTJOIN(""|"",TRUE,UNIQUE(FILTER(SPLIT(B1042,"" ""),LEN(SPLIT(B1042,"" ""))&gt;2)))"),"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f>
        <v>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v>
      </c>
      <c r="B1042" s="59" t="str">
        <f ca="1">IFERROR(__xludf.DUMMYFUNCTION("LOWER(REGEXREPLACE(D1042&amp;"" ""&amp;E1042,""[^а-яa-z0-9 ]"","" ""))"),"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f>
        <v xml:space="preserve">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v>
      </c>
      <c r="C1042" s="61" t="s">
        <v>15197</v>
      </c>
      <c r="D1042" s="56" t="s">
        <v>4806</v>
      </c>
      <c r="E1042" s="56" t="s">
        <v>15198</v>
      </c>
      <c r="F1042" s="57">
        <v>163800</v>
      </c>
      <c r="G1042" s="58">
        <v>2</v>
      </c>
      <c r="I1042" s="5"/>
      <c r="J1042" s="5"/>
    </row>
    <row r="1043" spans="1:10" x14ac:dyDescent="0.2">
      <c r="A1043" s="59" t="str">
        <f ca="1">IFERROR(__xludf.DUMMYFUNCTION("TEXTJOIN(""|"",TRUE,UNIQUE(FILTER(SPLIT(B1043,"" ""),LEN(SPLIT(B1043,"" ""))&gt;2)))"),"каф|снащ|полками|азмеры|800х380х2000")</f>
        <v>каф|снащ|полками|азмеры|800х380х2000</v>
      </c>
      <c r="B1043" s="59" t="str">
        <f ca="1">IFERROR(__xludf.DUMMYFUNCTION("LOWER(REGEXREPLACE(D1043&amp;"" ""&amp;E1043,""[^а-яa-z0-9 ]"","" ""))")," каф  снащ н полками   азмеры 800х380х2000")</f>
        <v xml:space="preserve"> каф  снащ н полками   азмеры 800х380х2000</v>
      </c>
      <c r="C1043" s="61" t="s">
        <v>15199</v>
      </c>
      <c r="D1043" s="56" t="s">
        <v>15200</v>
      </c>
      <c r="E1043" s="56" t="s">
        <v>15201</v>
      </c>
      <c r="F1043" s="57">
        <v>244200</v>
      </c>
      <c r="G1043" s="58">
        <v>2</v>
      </c>
      <c r="I1043" s="5"/>
      <c r="J1043" s="5"/>
    </row>
    <row r="1044" spans="1:10" x14ac:dyDescent="0.2">
      <c r="A1044" s="59" t="str">
        <f ca="1">IFERROR(__xludf.DUMMYFUNCTION("TEXTJOIN(""|"",TRUE,UNIQUE(FILTER(SPLIT(B1044,"" ""),LEN(SPLIT(B1044,"" ""))&gt;2)))"),"каф|секционный|каф|для|одежды|секционный|16мм|металиический|каркас|размер|1375х500х1250мм")</f>
        <v>каф|секционный|каф|для|одежды|секционный|16мм|металиический|каркас|размер|1375х500х1250мм</v>
      </c>
      <c r="B1044" s="59" t="str">
        <f ca="1">IFERROR(__xludf.DUMMYFUNCTION("LOWER(REGEXREPLACE(D1044&amp;"" ""&amp;E1044,""[^а-яa-z0-9 ]"","" ""))")," каф 5 секционный  каф для одежды 5 ти секционный       16мм  металиический каркас  размер 1375х500х1250мм")</f>
        <v xml:space="preserve"> каф 5 секционный  каф для одежды 5 ти секционный       16мм  металиический каркас  размер 1375х500х1250мм</v>
      </c>
      <c r="C1044" s="61" t="s">
        <v>15202</v>
      </c>
      <c r="D1044" s="56" t="s">
        <v>15203</v>
      </c>
      <c r="E1044" s="63" t="s">
        <v>8615</v>
      </c>
      <c r="F1044" s="57">
        <v>172228</v>
      </c>
      <c r="G1044" s="58">
        <v>52</v>
      </c>
      <c r="I1044" s="5"/>
      <c r="J1044" s="5"/>
    </row>
    <row r="1045" spans="1:10" x14ac:dyDescent="0.2">
      <c r="A1045" s="59" t="str">
        <f ca="1">IFERROR(__xludf.DUMMYFUNCTION("TEXTJOIN(""|"",TRUE,UNIQUE(FILTER(SPLIT(B1045,"" ""),LEN(SPLIT(B1045,"" ""))&gt;2)))"),"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f>
        <v>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v>
      </c>
      <c r="B1045" s="59" t="str">
        <f ca="1">IFERROR(__xludf.DUMMYFUNCTION("LOWER(REGEXREPLACE(D1045&amp;"" ""&amp;E1045,""[^а-яa-z0-9 ]"","" ""))"),"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повер"&amp;"хность   влагостойкая  легко моющаяся")</f>
        <v xml:space="preserve">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поверхность   влагостойкая  легко моющаяся</v>
      </c>
      <c r="C1045" s="61" t="s">
        <v>15204</v>
      </c>
      <c r="D1045" s="56" t="s">
        <v>15205</v>
      </c>
      <c r="E1045" s="56" t="s">
        <v>15206</v>
      </c>
      <c r="F1045" s="57">
        <v>105000</v>
      </c>
      <c r="G1045" s="58">
        <v>13</v>
      </c>
      <c r="I1045" s="5"/>
      <c r="J1045" s="5"/>
    </row>
    <row r="1046" spans="1:10" x14ac:dyDescent="0.2">
      <c r="A1046" s="59" t="str">
        <f ca="1">IFERROR(__xludf.DUMMYFUNCTION("TEXTJOIN(""|"",TRUE,UNIQUE(FILTER(SPLIT(B1046,"" ""),LEN(SPLIT(B1046,"" ""))&gt;2)))"),"каф|для|грязного|белья|каф|для|временного|хранения|грязного|белья|онструкция|устойчивая|легко|моется|дезинфицируется|азмеры|600х500х1860")</f>
        <v>каф|для|грязного|белья|каф|для|временного|хранения|грязного|белья|онструкция|устойчивая|легко|моется|дезинфицируется|азмеры|600х500х1860</v>
      </c>
      <c r="B1046" s="59" t="str">
        <f ca="1">IFERROR(__xludf.DUMMYFUNCTION("LOWER(REGEXREPLACE(D1046&amp;"" ""&amp;E1046,""[^а-яa-z0-9 ]"","" ""))")," каф для грязного белья  каф для временного хранения грязного белья  онструкция устойчивая  легко моется и дезинфицируется   азмеры 600х500х1860")</f>
        <v xml:space="preserve"> каф для грязного белья  каф для временного хранения грязного белья  онструкция устойчивая  легко моется и дезинфицируется   азмеры 600х500х1860</v>
      </c>
      <c r="C1046" s="61" t="s">
        <v>15207</v>
      </c>
      <c r="D1046" s="56" t="s">
        <v>15208</v>
      </c>
      <c r="E1046" s="56" t="s">
        <v>15209</v>
      </c>
      <c r="F1046" s="57">
        <v>136500</v>
      </c>
      <c r="G1046" s="58">
        <v>1</v>
      </c>
      <c r="I1046" s="5"/>
      <c r="J1046" s="5"/>
    </row>
    <row r="1047" spans="1:10" x14ac:dyDescent="0.2">
      <c r="A1047" s="59" t="str">
        <f ca="1">IFERROR(__xludf.DUMMYFUNCTION("TEXTJOIN(""|"",TRUE,UNIQUE(FILTER(SPLIT(B1047,"" ""),LEN(SPLIT(B1047,"" ""))&gt;2)))"),"каф|для|документов|каф|для|документации|закрытый|азмеры|800|450|1200")</f>
        <v>каф|для|документов|каф|для|документации|закрытый|азмеры|800|450|1200</v>
      </c>
      <c r="B1047" s="59" t="str">
        <f ca="1">IFERROR(__xludf.DUMMYFUNCTION("LOWER(REGEXREPLACE(D1047&amp;"" ""&amp;E1047,""[^а-яa-z0-9 ]"","" ""))")," каф для документов  каф для документации  закрытый   азмеры  800 450 1200 мм ")</f>
        <v xml:space="preserve"> каф для документов  каф для документации  закрытый   азмеры  800 450 1200 мм </v>
      </c>
      <c r="C1047" s="61" t="s">
        <v>15210</v>
      </c>
      <c r="D1047" s="56" t="s">
        <v>799</v>
      </c>
      <c r="E1047" s="56" t="s">
        <v>15211</v>
      </c>
      <c r="F1047" s="57">
        <v>168000</v>
      </c>
      <c r="G1047" s="58">
        <v>16</v>
      </c>
      <c r="I1047" s="5"/>
      <c r="J1047" s="5"/>
    </row>
    <row r="1048" spans="1:10" x14ac:dyDescent="0.2">
      <c r="A1048" s="59" t="str">
        <f ca="1">IFERROR(__xludf.DUMMYFUNCTION("TEXTJOIN(""|"",TRUE,UNIQUE(FILTER(SPLIT(B1048,"" ""),LEN(SPLIT(B1048,"" ""))&gt;2)))"),"каф|для|одежды|каф|для|одежды|дверный|размеры|800х540х1930")</f>
        <v>каф|для|одежды|каф|для|одежды|дверный|размеры|800х540х1930</v>
      </c>
      <c r="B1048" s="59" t="str">
        <f ca="1">IFERROR(__xludf.DUMMYFUNCTION("LOWER(REGEXREPLACE(D1048&amp;"" ""&amp;E1048,""[^а-яa-z0-9 ]"","" ""))")," каф для одежды  каф для одежды 2 х дверный       16 мм  размеры 800х540х1930 мм")</f>
        <v xml:space="preserve"> каф для одежды  каф для одежды 2 х дверный       16 мм  размеры 800х540х1930 мм</v>
      </c>
      <c r="C1048" s="61" t="s">
        <v>15212</v>
      </c>
      <c r="D1048" s="61" t="s">
        <v>8573</v>
      </c>
      <c r="E1048" s="63" t="s">
        <v>8651</v>
      </c>
      <c r="F1048" s="57">
        <v>60861</v>
      </c>
      <c r="G1048" s="58">
        <v>27</v>
      </c>
      <c r="I1048" s="5"/>
      <c r="J1048" s="5"/>
    </row>
    <row r="1049" spans="1:10" x14ac:dyDescent="0.2">
      <c r="A1049" s="59" t="str">
        <f ca="1">IFERROR(__xludf.DUMMYFUNCTION("TEXTJOIN(""|"",TRUE,UNIQUE(FILTER(SPLIT(B1049,"" ""),LEN(SPLIT(B1049,"" ""))&gt;2)))"),"каф|для|тканей|тдельное|хранение|тканей|каф|для|тканей|закрытый|азмеры|800|450|1200")</f>
        <v>каф|для|тканей|тдельное|хранение|тканей|каф|для|тканей|закрытый|азмеры|800|450|1200</v>
      </c>
      <c r="B1049" s="59" t="str">
        <f ca="1">IFERROR(__xludf.DUMMYFUNCTION("LOWER(REGEXREPLACE(D1049&amp;"" ""&amp;E1049,""[^а-яa-z0-9 ]"","" ""))")," каф для тканей         тдельное хранение тканей  каф для тканей  закрытый   азмеры  800 450 1200 мм ")</f>
        <v xml:space="preserve"> каф для тканей         тдельное хранение тканей  каф для тканей  закрытый   азмеры  800 450 1200 мм </v>
      </c>
      <c r="C1049" s="61" t="s">
        <v>15213</v>
      </c>
      <c r="D1049" s="56" t="s">
        <v>15214</v>
      </c>
      <c r="E1049" s="56" t="s">
        <v>15215</v>
      </c>
      <c r="F1049" s="57">
        <v>52500</v>
      </c>
      <c r="G1049" s="58">
        <v>1</v>
      </c>
      <c r="I1049" s="5"/>
      <c r="J1049" s="5"/>
    </row>
    <row r="1050" spans="1:10" x14ac:dyDescent="0.2">
      <c r="A1050" s="59" t="str">
        <f ca="1">IFERROR(__xludf.DUMMYFUNCTION("TEXTJOIN(""|"",TRUE,UNIQUE(FILTER(SPLIT(B1050,"" ""),LEN(SPLIT(B1050,"" ""))&gt;2)))"),"каф|закрытый|каф|закрытый|азмеры|800|450|1200")</f>
        <v>каф|закрытый|каф|закрытый|азмеры|800|450|1200</v>
      </c>
      <c r="B1050" s="59" t="str">
        <f ca="1">IFERROR(__xludf.DUMMYFUNCTION("LOWER(REGEXREPLACE(D1050&amp;"" ""&amp;E1050,""[^а-яa-z0-9 ]"","" ""))")," каф закрытый  каф закрытый   азмеры  800 450 1200 мм ")</f>
        <v xml:space="preserve"> каф закрытый  каф закрытый   азмеры  800 450 1200 мм </v>
      </c>
      <c r="C1050" s="61" t="s">
        <v>15216</v>
      </c>
      <c r="D1050" s="61" t="s">
        <v>8667</v>
      </c>
      <c r="E1050" s="56" t="s">
        <v>15217</v>
      </c>
      <c r="F1050" s="57">
        <v>126000</v>
      </c>
      <c r="G1050" s="58">
        <v>4</v>
      </c>
      <c r="I1050" s="5"/>
      <c r="J1050" s="5"/>
    </row>
    <row r="1051" spans="1:10" x14ac:dyDescent="0.2">
      <c r="A1051" s="59" t="str">
        <f ca="1">IFERROR(__xludf.DUMMYFUNCTION("TEXTJOIN(""|"",TRUE,UNIQUE(FILTER(SPLIT(B1051,"" ""),LEN(SPLIT(B1051,"" ""))&gt;2)))"),"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f>
        <v>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v>
      </c>
      <c r="B1051" s="59" t="str">
        <f ca="1">IFERROR(__xludf.DUMMYFUNCTION("LOWER(REGEXREPLACE(D1051&amp;"" ""&amp;E1051,""[^а-яa-z0-9 ]"","" ""))"),"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моющая"&amp;"ся ")</f>
        <v xml:space="preserve">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моющаяся </v>
      </c>
      <c r="C1051" s="61" t="s">
        <v>15218</v>
      </c>
      <c r="D1051" s="56" t="s">
        <v>15219</v>
      </c>
      <c r="E1051" s="56" t="s">
        <v>15220</v>
      </c>
      <c r="F1051" s="57">
        <v>126000</v>
      </c>
      <c r="G1051" s="58">
        <v>13</v>
      </c>
      <c r="I1051" s="5"/>
      <c r="J1051" s="5"/>
    </row>
    <row r="1052" spans="1:10" x14ac:dyDescent="0.2">
      <c r="A1052" s="59" t="str">
        <f ca="1">IFERROR(__xludf.DUMMYFUNCTION("TEXTJOIN(""|"",TRUE,UNIQUE(FILTER(SPLIT(B1052,"" ""),LEN(SPLIT(B1052,"" ""))&gt;2)))"),"каф|расстоечный|vmk|местимость|противней|40x60|230|азмеры|940x790x850")</f>
        <v>каф|расстоечный|vmk|местимость|противней|40x60|230|азмеры|940x790x850</v>
      </c>
      <c r="B1052" s="59" t="str">
        <f ca="1">IFERROR(__xludf.DUMMYFUNCTION("LOWER(REGEXREPLACE(D1052&amp;"" ""&amp;E1052,""[^а-яa-z0-9 ]"","" ""))")," каф расстоечный vmk 2  местимость  8 противней 40x60  3 2 к т   230    азмеры  940x790x850 мм")</f>
        <v xml:space="preserve"> каф расстоечный vmk 2  местимость  8 противней 40x60  3 2 к т   230    азмеры  940x790x850 мм</v>
      </c>
      <c r="C1052" s="61" t="s">
        <v>15221</v>
      </c>
      <c r="D1052" s="56" t="s">
        <v>15222</v>
      </c>
      <c r="E1052" s="56" t="s">
        <v>15223</v>
      </c>
      <c r="F1052" s="57">
        <v>1408500</v>
      </c>
      <c r="G1052" s="58">
        <v>1</v>
      </c>
      <c r="I1052" s="5"/>
      <c r="J1052" s="5"/>
    </row>
    <row r="1053" spans="1:10" x14ac:dyDescent="0.2">
      <c r="A1053" s="59" t="str">
        <f ca="1">IFERROR(__xludf.DUMMYFUNCTION("TEXTJOIN(""|"",TRUE,UNIQUE(FILTER(SPLIT(B1053,"" ""),LEN(SPLIT(B1053,"" ""))&gt;2)))"),"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f>
        <v>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v>
      </c>
      <c r="B1053" s="59" t="str">
        <f ca="1">IFERROR(__xludf.DUMMYFUNCTION("LOWER(REGEXREPLACE(D1053&amp;"" ""&amp;E1053,""[^а-яa-z0-9 ]"","" ""))"),"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f>
        <v xml:space="preserve">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v>
      </c>
      <c r="C1053" s="61" t="s">
        <v>15224</v>
      </c>
      <c r="D1053" s="56" t="s">
        <v>15225</v>
      </c>
      <c r="E1053" s="56" t="s">
        <v>15226</v>
      </c>
      <c r="F1053" s="57">
        <v>136500</v>
      </c>
      <c r="G1053" s="58">
        <v>3</v>
      </c>
      <c r="I1053" s="5"/>
      <c r="J1053" s="5"/>
    </row>
    <row r="1054" spans="1:10" x14ac:dyDescent="0.2">
      <c r="A1054" s="59" t="str">
        <f ca="1">IFERROR(__xludf.DUMMYFUNCTION("TEXTJOIN(""|"",TRUE,UNIQUE(FILTER(SPLIT(B1054,"" ""),LEN(SPLIT(B1054,"" ""))&gt;2)))"),"каф|dm120x60|ержавеющая|сталь|430|дверями|полками|араметры|1200x600x1600")</f>
        <v>каф|dm120x60|ержавеющая|сталь|430|дверями|полками|араметры|1200x600x1600</v>
      </c>
      <c r="B1054" s="59" t="str">
        <f ca="1">IFERROR(__xludf.DUMMYFUNCTION("LOWER(REGEXREPLACE(D1054&amp;"" ""&amp;E1054,""[^а-яa-z0-9 ]"","" ""))")," каф ce dm120x60  ержавеющая сталь 430    2 дверями  4 полками   араметры  1200x600x1600 мм")</f>
        <v xml:space="preserve"> каф ce dm120x60  ержавеющая сталь 430    2 дверями  4 полками   араметры  1200x600x1600 мм</v>
      </c>
      <c r="C1054" s="61" t="s">
        <v>15227</v>
      </c>
      <c r="D1054" s="56" t="s">
        <v>15228</v>
      </c>
      <c r="E1054" s="56" t="s">
        <v>15229</v>
      </c>
      <c r="F1054" s="57">
        <v>770400</v>
      </c>
      <c r="G1054" s="58">
        <v>1</v>
      </c>
      <c r="I1054" s="5"/>
      <c r="J1054" s="5"/>
    </row>
    <row r="1055" spans="1:10" x14ac:dyDescent="0.2">
      <c r="A1055" s="59" t="str">
        <f ca="1">IFERROR(__xludf.DUMMYFUNCTION("TEXTJOIN(""|"",TRUE,UNIQUE(FILTER(SPLIT(B1055,"" ""),LEN(SPLIT(B1055,"" ""))&gt;2)))"),"тол|однотумбовый|выдвижными|ящиками|тол|однотумбовый|выдвижными|ящиками|размер|1200х700х750мм")</f>
        <v>тол|однотумбовый|выдвижными|ящиками|тол|однотумбовый|выдвижными|ящиками|размер|1200х700х750мм</v>
      </c>
      <c r="B1055" s="59" t="str">
        <f ca="1">IFERROR(__xludf.DUMMYFUNCTION("LOWER(REGEXREPLACE(D1055&amp;"" ""&amp;E1055,""[^а-яa-z0-9 ]"","" ""))")," тол однотумбовый с 2 выдвижными ящиками  тол однотумбовый с 2 выдвижными ящиками       16 мм  размер 1200х700х750мм ")</f>
        <v xml:space="preserve"> тол однотумбовый с 2 выдвижными ящиками  тол однотумбовый с 2 выдвижными ящиками       16 мм  размер 1200х700х750мм </v>
      </c>
      <c r="C1055" s="61" t="s">
        <v>15230</v>
      </c>
      <c r="D1055" s="56" t="s">
        <v>15231</v>
      </c>
      <c r="E1055" s="56" t="s">
        <v>15232</v>
      </c>
      <c r="F1055" s="57">
        <v>35830</v>
      </c>
      <c r="G1055" s="58">
        <v>3</v>
      </c>
      <c r="I1055" s="5"/>
      <c r="J1055" s="5"/>
    </row>
    <row r="1056" spans="1:10" x14ac:dyDescent="0.2">
      <c r="A1056" s="59" t="str">
        <f ca="1">IFERROR(__xludf.DUMMYFUNCTION("TEXTJOIN(""|"",TRUE,UNIQUE(FILTER(SPLIT(B1056,"" ""),LEN(SPLIT(B1056,"" ""))&gt;2)))"),"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f>
        <v>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v>
      </c>
      <c r="B1056" s="59" t="str">
        <f ca="1">IFERROR(__xludf.DUMMYFUNCTION("LOWER(REGEXREPLACE(D1056&amp;"" ""&amp;E1056,""[^а-яa-z0-9 ]"","" ""))"),"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f>
        <v xml:space="preserve">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v>
      </c>
      <c r="C1056" s="61" t="s">
        <v>15233</v>
      </c>
      <c r="D1056" s="61" t="s">
        <v>15234</v>
      </c>
      <c r="E1056" s="56" t="s">
        <v>15235</v>
      </c>
      <c r="F1056" s="57">
        <v>84000</v>
      </c>
      <c r="G1056" s="58">
        <v>2</v>
      </c>
      <c r="I1056" s="5"/>
      <c r="J1056" s="5"/>
    </row>
    <row r="1057" spans="1:10" x14ac:dyDescent="0.2">
      <c r="A1057" s="59" t="str">
        <f ca="1">IFERROR(__xludf.DUMMYFUNCTION("TEXTJOIN(""|"",TRUE,UNIQUE(FILTER(SPLIT(B1057,"" ""),LEN(SPLIT(B1057,"" ""))&gt;2)))"),"ресло|офисное|фисное|кресло|ihoo|используется|административных|рабочих|зонах|снащено|механизмом|регулировки|высоты|функцией|качания|азмеры")</f>
        <v>ресло|офисное|фисное|кресло|ihoo|используется|административных|рабочих|зонах|снащено|механизмом|регулировки|высоты|функцией|качания|азмеры</v>
      </c>
      <c r="B1057" s="59" t="str">
        <f ca="1">IFERROR(__xludf.DUMMYFUNCTION("LOWER(REGEXREPLACE(D1057&amp;"" ""&amp;E1057,""[^а-яa-z0-9 ]"","" ""))"),"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f>
        <v xml:space="preserve">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v>
      </c>
      <c r="C1057" s="61" t="s">
        <v>15236</v>
      </c>
      <c r="D1057" s="61" t="s">
        <v>15237</v>
      </c>
      <c r="E1057" s="56" t="s">
        <v>15238</v>
      </c>
      <c r="F1057" s="57">
        <v>105000</v>
      </c>
      <c r="G1057" s="58">
        <v>29</v>
      </c>
      <c r="I1057" s="5"/>
      <c r="J1057" s="5"/>
    </row>
    <row r="1058" spans="1:10" x14ac:dyDescent="0.2">
      <c r="A1058" s="59" t="str">
        <f ca="1">IFERROR(__xludf.DUMMYFUNCTION("TEXTJOIN(""|"",TRUE,UNIQUE(FILTER(SPLIT(B1058,"" ""),LEN(SPLIT(B1058,"" ""))&gt;2)))"),"теллаж|производственный|теллаж|1850х1000х500|каркас|труба|нерж|40х40|полка|сплошная")</f>
        <v>теллаж|производственный|теллаж|1850х1000х500|каркас|труба|нерж|40х40|полка|сплошная</v>
      </c>
      <c r="B1058" s="59" t="str">
        <f ca="1">IFERROR(__xludf.DUMMYFUNCTION("LOWER(REGEXREPLACE(D1058&amp;"" ""&amp;E1058,""[^а-яa-z0-9 ]"","" ""))")," теллаж производственный   теллаж           10 5 4  01    х х   1850х1000х500  каркас труба нерж 40х40  полка сплошная ")</f>
        <v xml:space="preserve"> теллаж производственный   теллаж           10 5 4  01    х х   1850х1000х500  каркас труба нерж 40х40  полка сплошная </v>
      </c>
      <c r="C1058" s="61" t="s">
        <v>15239</v>
      </c>
      <c r="D1058" s="56" t="s">
        <v>15240</v>
      </c>
      <c r="E1058" s="56" t="s">
        <v>15241</v>
      </c>
      <c r="F1058" s="57">
        <v>420000</v>
      </c>
      <c r="G1058" s="58">
        <v>2</v>
      </c>
      <c r="I1058" s="5"/>
      <c r="J1058" s="5"/>
    </row>
    <row r="1059" spans="1:10" x14ac:dyDescent="0.2">
      <c r="A1059" s="59" t="str">
        <f ca="1">IFERROR(__xludf.DUMMYFUNCTION("TEXTJOIN(""|"",TRUE,UNIQUE(FILTER(SPLIT(B1059,"" ""),LEN(SPLIT(B1059,"" ""))&gt;2)))"),"оска|маркерная|меловая|поворотная|оска|двухсторонняя|1200|2400|маркерная|меловая|магнитная|подставке|передвижная|колесиках")</f>
        <v>оска|маркерная|меловая|поворотная|оска|двухсторонняя|1200|2400|маркерная|меловая|магнитная|подставке|передвижная|колесиках</v>
      </c>
      <c r="B1059" s="59" t="str">
        <f ca="1">IFERROR(__xludf.DUMMYFUNCTION("LOWER(REGEXREPLACE(D1059&amp;"" ""&amp;E1059,""[^а-яa-z0-9 ]"","" ""))")," оска маркерная меловая поворотная  оска двухсторонняя 1200 2400 см  маркерная  меловая   магнитная  на подставке  передвижная на колесиках")</f>
        <v xml:space="preserve"> оска маркерная меловая поворотная  оска двухсторонняя 1200 2400 см  маркерная  меловая   магнитная  на подставке  передвижная на колесиках</v>
      </c>
      <c r="C1059" s="61" t="s">
        <v>15242</v>
      </c>
      <c r="D1059" s="56" t="s">
        <v>15243</v>
      </c>
      <c r="E1059" s="56" t="s">
        <v>15244</v>
      </c>
      <c r="F1059" s="57">
        <v>112300</v>
      </c>
      <c r="G1059" s="58">
        <v>4</v>
      </c>
      <c r="I1059" s="5"/>
      <c r="J1059" s="5"/>
    </row>
    <row r="1060" spans="1:10" x14ac:dyDescent="0.2">
      <c r="A1060" s="59" t="str">
        <f ca="1">IFERROR(__xludf.DUMMYFUNCTION("TEXTJOIN(""|"",TRUE,UNIQUE(FILTER(SPLIT(B1060,"" ""),LEN(SPLIT(B1060,"" ""))&gt;2)))"),"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amp;"тов|истящая|жидкость|спрей")</f>
        <v>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тов|истящая|жидкость|спрей</v>
      </c>
      <c r="B1060" s="59" t="str">
        <f ca="1">IFERROR(__xludf.DUMMYFUNCTION("LOWER(REGEXREPLACE(D1060&amp;"" ""&amp;E1060,""[^а-яa-z0-9 ]"","" ""))"),"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аркер"&amp;"ов 6 шт    ерный 2 шт    иний 2 шт    расный 2 шт     12  агнитов    истящая жидкость спрей   1 шт")</f>
        <v xml:space="preserve">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аркеров 6 шт    ерный 2 шт    иний 2 шт    расный 2 шт     12  агнитов    истящая жидкость спрей   1 шт</v>
      </c>
      <c r="C1060" s="61" t="s">
        <v>15245</v>
      </c>
      <c r="D1060" s="56" t="s">
        <v>15246</v>
      </c>
      <c r="E1060" s="56" t="s">
        <v>15247</v>
      </c>
      <c r="F1060" s="57">
        <v>28100</v>
      </c>
      <c r="G1060" s="58">
        <v>4</v>
      </c>
      <c r="I1060" s="5"/>
      <c r="J1060" s="5"/>
    </row>
    <row r="1061" spans="1:10" x14ac:dyDescent="0.2">
      <c r="A1061" s="59" t="str">
        <f ca="1">IFERROR(__xludf.DUMMYFUNCTION("TEXTJOIN(""|"",TRUE,UNIQUE(FILTER(SPLIT(B1061,"" ""),LEN(SPLIT(B1061,"" ""))&gt;2)))"),"теллаж|для|горшков|каф|для|горшков|мест|ножках|збука|иний|135х32х113|атериал")</f>
        <v>теллаж|для|горшков|каф|для|горшков|мест|ножках|збука|иний|135х32х113|атериал</v>
      </c>
      <c r="B1061" s="59" t="str">
        <f ca="1">IFERROR(__xludf.DUMMYFUNCTION("LOWER(REGEXREPLACE(D1061&amp;"" ""&amp;E1061,""[^а-яa-z0-9 ]"","" ""))")," теллаж для горшков  каф для горшков на 20 мест на ножках    20    збука   иний   х х  135х32х113  атериал     ")</f>
        <v xml:space="preserve"> теллаж для горшков  каф для горшков на 20 мест на ножках    20    збука   иний   х х  135х32х113  атериал     </v>
      </c>
      <c r="C1061" s="61" t="s">
        <v>15248</v>
      </c>
      <c r="D1061" s="56" t="s">
        <v>15249</v>
      </c>
      <c r="E1061" s="56" t="s">
        <v>15250</v>
      </c>
      <c r="F1061" s="57">
        <v>277200</v>
      </c>
      <c r="G1061" s="58">
        <v>1</v>
      </c>
      <c r="I1061" s="5"/>
      <c r="J1061" s="5"/>
    </row>
    <row r="1062" spans="1:10" x14ac:dyDescent="0.2">
      <c r="A1062" s="59" t="str">
        <f ca="1">IFERROR(__xludf.DUMMYFUNCTION("TEXTJOIN(""|"",TRUE,UNIQUE(FILTER(SPLIT(B1062,"" ""),LEN(SPLIT(B1062,"" ""))&gt;2)))"),"олл|шторы|олл|шторы|белые|однотонные|слуги|доставки|монтажа")</f>
        <v>олл|шторы|олл|шторы|белые|однотонные|слуги|доставки|монтажа</v>
      </c>
      <c r="B1062" s="59" t="str">
        <f ca="1">IFERROR(__xludf.DUMMYFUNCTION("LOWER(REGEXREPLACE(D1062&amp;"" ""&amp;E1062,""[^а-яa-z0-9 ]"","" ""))")," олл шторы  олл шторы белые однотонные   слуги доставки и монтажа")</f>
        <v xml:space="preserve"> олл шторы  олл шторы белые однотонные   слуги доставки и монтажа</v>
      </c>
      <c r="C1062" s="61" t="s">
        <v>15251</v>
      </c>
      <c r="D1062" s="56" t="s">
        <v>12352</v>
      </c>
      <c r="E1062" s="56" t="s">
        <v>15252</v>
      </c>
      <c r="F1062" s="57">
        <v>1352700</v>
      </c>
      <c r="G1062" s="58">
        <v>1</v>
      </c>
      <c r="I1062" s="5"/>
      <c r="J1062" s="5"/>
    </row>
    <row r="1063" spans="1:10" x14ac:dyDescent="0.2">
      <c r="A1063" s="59" t="str">
        <f ca="1">IFERROR(__xludf.DUMMYFUNCTION("TEXTJOIN(""|"",TRUE,UNIQUE(FILTER(SPLIT(B1063,"" ""),LEN(SPLIT(B1063,""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B1063" s="59" t="str">
        <f ca="1">IFERROR(__xludf.DUMMYFUNCTION("LOWER(REGEXREPLACE(D1063&amp;"" ""&amp;E1063,""[^а-яa-z0-9 ]"","" ""))")," троительство соляной пещеры  1  еновое предложение на строительство соляной пещеры  1   омплектация  люкс")</f>
        <v xml:space="preserve"> троительство соляной пещеры  1  еновое предложение на строительство соляной пещеры  1   омплектация  люкс</v>
      </c>
      <c r="C1063" s="61" t="s">
        <v>15253</v>
      </c>
      <c r="D1063" s="61" t="s">
        <v>15254</v>
      </c>
      <c r="E1063" s="56" t="s">
        <v>15255</v>
      </c>
      <c r="F1063" s="57">
        <v>2024600</v>
      </c>
      <c r="G1063" s="58">
        <v>1</v>
      </c>
      <c r="I1063" s="5"/>
      <c r="J1063" s="5"/>
    </row>
    <row r="1064" spans="1:10" x14ac:dyDescent="0.2">
      <c r="A1064" s="59" t="str">
        <f ca="1">IFERROR(__xludf.DUMMYFUNCTION("TEXTJOIN(""|"",TRUE,UNIQUE(FILTER(SPLIT(B1064,"" ""),LEN(SPLIT(B1064,"" ""))&gt;2)))"),"троительство|соляной|пещеры|еновое|предложение|строительство|соляной|пещеры|омплектация|люкс")</f>
        <v>троительство|соляной|пещеры|еновое|предложение|строительство|соляной|пещеры|омплектация|люкс</v>
      </c>
      <c r="B1064" s="59" t="str">
        <f ca="1">IFERROR(__xludf.DUMMYFUNCTION("LOWER(REGEXREPLACE(D1064&amp;"" ""&amp;E1064,""[^а-яa-z0-9 ]"","" ""))")," троительство соляной пещеры  2  еновое предложение на строительство соляной пещеры  2   омплектация  люкс")</f>
        <v xml:space="preserve"> троительство соляной пещеры  2  еновое предложение на строительство соляной пещеры  2   омплектация  люкс</v>
      </c>
      <c r="C1064" s="61" t="s">
        <v>15256</v>
      </c>
      <c r="D1064" s="61" t="s">
        <v>15257</v>
      </c>
      <c r="E1064" s="56" t="s">
        <v>15258</v>
      </c>
      <c r="F1064" s="57">
        <v>2077900</v>
      </c>
      <c r="G1064" s="58">
        <v>1</v>
      </c>
      <c r="I1064" s="5"/>
      <c r="J1064" s="5"/>
    </row>
    <row r="1065" spans="1:10" x14ac:dyDescent="0.2">
      <c r="A1065" s="59" t="str">
        <f ca="1">IFERROR(__xludf.DUMMYFUNCTION("TEXTJOIN(""|"",TRUE,UNIQUE(FILTER(SPLIT(B1065,"" ""),LEN(SPLIT(B1065,"" ""))&gt;2)))"),"едро|18л|бъем|атериал|плластик|едро|без|крышки|орма|рямоугольная")</f>
        <v>едро|18л|бъем|атериал|плластик|едро|без|крышки|орма|рямоугольная</v>
      </c>
      <c r="B1065" s="59" t="str">
        <f ca="1">IFERROR(__xludf.DUMMYFUNCTION("LOWER(REGEXREPLACE(D1065&amp;"" ""&amp;E1065,""[^а-яa-z0-9 ]"","" ""))")," едро 18л  бъем 18 л  атериал     плластик  ип  едро без крышки  орма  рямоугольная")</f>
        <v xml:space="preserve"> едро 18л  бъем 18 л  атериал     плластик  ип  едро без крышки  орма  рямоугольная</v>
      </c>
      <c r="C1065" s="61" t="s">
        <v>15259</v>
      </c>
      <c r="D1065" s="56" t="s">
        <v>15260</v>
      </c>
      <c r="E1065" s="56" t="s">
        <v>15261</v>
      </c>
      <c r="F1065" s="57">
        <v>14400</v>
      </c>
      <c r="G1065" s="58">
        <v>4</v>
      </c>
      <c r="I1065" s="5"/>
      <c r="J1065" s="5"/>
    </row>
    <row r="1066" spans="1:10" x14ac:dyDescent="0.2">
      <c r="A1066" s="59" t="str">
        <f ca="1">IFERROR(__xludf.DUMMYFUNCTION("TEXTJOIN(""|"",TRUE,UNIQUE(FILTER(SPLIT(B1066,"" ""),LEN(SPLIT(B1066,"" ""))&gt;2)))"),"вухвед|рная|тележка|атериа|ластик|аксимальная|нагрузка|всю|конструкцию|оличество|поворотных|колес|оличество|ведер")</f>
        <v>вухвед|рная|тележка|атериа|ластик|аксимальная|нагрузка|всю|конструкцию|оличество|поворотных|колес|оличество|ведер</v>
      </c>
      <c r="B1066" s="59" t="str">
        <f ca="1">IFERROR(__xludf.DUMMYFUNCTION("LOWER(REGEXREPLACE(D1066&amp;"" ""&amp;E1066,""[^а-яa-z0-9 ]"","" ""))")," вухвед рная тележка  атериа  ластик  аксимальная нагрузка на всю конструкцию 80 кг  оличество поворотных колес 4 шт  оличество ведер 2 шт")</f>
        <v xml:space="preserve"> вухвед рная тележка  атериа  ластик  аксимальная нагрузка на всю конструкцию 80 кг  оличество поворотных колес 4 шт  оличество ведер 2 шт</v>
      </c>
      <c r="C1066" s="61" t="s">
        <v>15262</v>
      </c>
      <c r="D1066" s="56" t="s">
        <v>15263</v>
      </c>
      <c r="E1066" s="56" t="s">
        <v>15264</v>
      </c>
      <c r="F1066" s="57">
        <v>90000</v>
      </c>
      <c r="G1066" s="58">
        <v>6</v>
      </c>
      <c r="I1066" s="5"/>
      <c r="J1066" s="5"/>
    </row>
    <row r="1067" spans="1:10" x14ac:dyDescent="0.2">
      <c r="A1067" s="59" t="str">
        <f ca="1">IFERROR(__xludf.DUMMYFUNCTION("TEXTJOIN(""|"",TRUE,UNIQUE(FILTER(SPLIT(B1067,"" ""),LEN(SPLIT(B1067,"" ""))&gt;2)))"),"вабра|платформой|лина|насадки|40см|ирина|насадки|ысота|насадки|лина|ручки|130")</f>
        <v>вабра|платформой|лина|насадки|40см|ирина|насадки|ысота|насадки|лина|ручки|130</v>
      </c>
      <c r="B1067" s="59" t="str">
        <f ca="1">IFERROR(__xludf.DUMMYFUNCTION("LOWER(REGEXREPLACE(D1067&amp;"" ""&amp;E1067,""[^а-яa-z0-9 ]"","" ""))")," вабра с платформой  лина насадки 40см  ирина насадки 12 см  ысота насадки 1 5 см  лина ручки 130 см")</f>
        <v xml:space="preserve"> вабра с платформой  лина насадки 40см  ирина насадки 12 см  ысота насадки 1 5 см  лина ручки 130 см</v>
      </c>
      <c r="C1067" s="61" t="s">
        <v>15265</v>
      </c>
      <c r="D1067" s="56" t="s">
        <v>15266</v>
      </c>
      <c r="E1067" s="56" t="s">
        <v>15267</v>
      </c>
      <c r="F1067" s="57">
        <v>18000</v>
      </c>
      <c r="G1067" s="58">
        <v>12</v>
      </c>
      <c r="I1067" s="5"/>
      <c r="J1067" s="5"/>
    </row>
    <row r="1068" spans="1:10" x14ac:dyDescent="0.2">
      <c r="A1068" s="59" t="str">
        <f ca="1">IFERROR(__xludf.DUMMYFUNCTION("TEXTJOIN(""|"",TRUE,UNIQUE(FILTER(SPLIT(B1068,"" ""),LEN(SPLIT(B1068,"" ""))&gt;2)))"),"каф|металлический|для|одежды|инвентаря|каф|размер|1860|500|500")</f>
        <v>каф|металлический|для|одежды|инвентаря|каф|размер|1860|500|500</v>
      </c>
      <c r="B1068" s="59" t="str">
        <f ca="1">IFERROR(__xludf.DUMMYFUNCTION("LOWER(REGEXREPLACE(D1068&amp;"" ""&amp;E1068,""[^а-яa-z0-9 ]"","" ""))")," каф металлический для одежды и инвентаря  каф           размер 1860 500 500 мм")</f>
        <v xml:space="preserve"> каф металлический для одежды и инвентаря  каф           размер 1860 500 500 мм</v>
      </c>
      <c r="C1068" s="61" t="s">
        <v>15268</v>
      </c>
      <c r="D1068" s="56" t="s">
        <v>15269</v>
      </c>
      <c r="E1068" s="56" t="s">
        <v>15270</v>
      </c>
      <c r="F1068" s="57">
        <v>130200</v>
      </c>
      <c r="G1068" s="58">
        <v>3</v>
      </c>
      <c r="I1068" s="5"/>
      <c r="J1068" s="5"/>
    </row>
    <row r="1069" spans="1:10" x14ac:dyDescent="0.2">
      <c r="A1069" s="59" t="str">
        <f ca="1">IFERROR(__xludf.DUMMYFUNCTION("TEXTJOIN(""|"",TRUE,UNIQUE(FILTER(SPLIT(B1069,"" ""),LEN(SPLIT(B1069,"" ""))&gt;2)))"),"едро|бъем|атериал|плластик|едро|без|крышки|орма|рямоугольная")</f>
        <v>едро|бъем|атериал|плластик|едро|без|крышки|орма|рямоугольная</v>
      </c>
      <c r="B1069" s="59" t="str">
        <f ca="1">IFERROR(__xludf.DUMMYFUNCTION("LOWER(REGEXREPLACE(D1069&amp;"" ""&amp;E1069,""[^а-яa-z0-9 ]"","" ""))")," едро   бъем 18 л  атериал     плластик  ип  едро без крышки  орма  рямоугольная")</f>
        <v xml:space="preserve"> едро   бъем 18 л  атериал     плластик  ип  едро без крышки  орма  рямоугольная</v>
      </c>
      <c r="C1069" s="61" t="s">
        <v>15271</v>
      </c>
      <c r="D1069" s="56" t="s">
        <v>15272</v>
      </c>
      <c r="E1069" s="56" t="s">
        <v>15261</v>
      </c>
      <c r="F1069" s="57">
        <v>14400</v>
      </c>
      <c r="G1069" s="58">
        <v>4</v>
      </c>
      <c r="I1069" s="5"/>
      <c r="J1069" s="5"/>
    </row>
    <row r="1070" spans="1:10" x14ac:dyDescent="0.2">
      <c r="A1070" s="59" t="str">
        <f ca="1">IFERROR(__xludf.DUMMYFUNCTION("TEXTJOIN(""|"",TRUE,UNIQUE(FILTER(SPLIT(B1070,"" ""),LEN(SPLIT(B1070,"" ""))&gt;2)))"),"еркало|ирина|ысота|одсветка|нет")</f>
        <v>еркало|ирина|ысота|одсветка|нет</v>
      </c>
      <c r="B1070" s="59" t="str">
        <f ca="1">IFERROR(__xludf.DUMMYFUNCTION("LOWER(REGEXREPLACE(D1070&amp;"" ""&amp;E1070,""[^а-яa-z0-9 ]"","" ""))")," еркало  ирина  см  55  ысота  см  80  одсветка нет")</f>
        <v xml:space="preserve"> еркало  ирина  см  55  ысота  см  80  одсветка нет</v>
      </c>
      <c r="C1070" s="61" t="s">
        <v>15273</v>
      </c>
      <c r="D1070" s="56" t="s">
        <v>15274</v>
      </c>
      <c r="E1070" s="56" t="s">
        <v>15275</v>
      </c>
      <c r="F1070" s="57">
        <v>22500</v>
      </c>
      <c r="G1070" s="58">
        <v>20</v>
      </c>
      <c r="I1070" s="5"/>
      <c r="J1070" s="5"/>
    </row>
    <row r="1071" spans="1:10" x14ac:dyDescent="0.2">
      <c r="A1071" s="59" t="str">
        <f ca="1">IFERROR(__xludf.DUMMYFUNCTION("TEXTJOIN(""|"",TRUE,UNIQUE(FILTER(SPLIT(B1071,"" ""),LEN(SPLIT(B1071,"" ""))&gt;2)))"),"рючки|рючки|для|хранения|полотенец|фартуков|атериал|крючка|плав|металлов")</f>
        <v>рючки|рючки|для|хранения|полотенец|фартуков|атериал|крючка|плав|металлов</v>
      </c>
      <c r="B1071" s="59" t="str">
        <f ca="1">IFERROR(__xludf.DUMMYFUNCTION("LOWER(REGEXREPLACE(D1071&amp;"" ""&amp;E1071,""[^а-яa-z0-9 ]"","" ""))")," рючки  рючки для хранения полотенец  фартуков   атериал крючка    плав металлов")</f>
        <v xml:space="preserve"> рючки  рючки для хранения полотенец  фартуков   атериал крючка    плав металлов</v>
      </c>
      <c r="C1071" s="61" t="s">
        <v>15276</v>
      </c>
      <c r="D1071" s="56" t="s">
        <v>15277</v>
      </c>
      <c r="E1071" s="56" t="s">
        <v>15278</v>
      </c>
      <c r="F1071" s="57">
        <v>8800</v>
      </c>
      <c r="G1071" s="58">
        <v>432</v>
      </c>
      <c r="I1071" s="5"/>
      <c r="J1071" s="5"/>
    </row>
    <row r="1072" spans="1:10" x14ac:dyDescent="0.2">
      <c r="A1072" s="59" t="str">
        <f ca="1">IFERROR(__xludf.DUMMYFUNCTION("TEXTJOIN(""|"",TRUE,UNIQUE(FILTER(SPLIT(B1072,"" ""),LEN(SPLIT(B1072,"" ""))&gt;2)))"),"вабра|лина|насадки|40см|ирина|насадки|ысота|насадки|лина|ручки|130")</f>
        <v>вабра|лина|насадки|40см|ирина|насадки|ысота|насадки|лина|ручки|130</v>
      </c>
      <c r="B1072" s="59" t="str">
        <f ca="1">IFERROR(__xludf.DUMMYFUNCTION("LOWER(REGEXREPLACE(D1072&amp;"" ""&amp;E1072,""[^а-яa-z0-9 ]"","" ""))")," вабра  лина насадки 40см  ирина насадки 12 см  ысота насадки 1 5 см  лина ручки 130 см")</f>
        <v xml:space="preserve"> вабра  лина насадки 40см  ирина насадки 12 см  ысота насадки 1 5 см  лина ручки 130 см</v>
      </c>
      <c r="C1072" s="61" t="s">
        <v>15279</v>
      </c>
      <c r="D1072" s="56" t="s">
        <v>15280</v>
      </c>
      <c r="E1072" s="56" t="s">
        <v>15267</v>
      </c>
      <c r="F1072" s="57">
        <v>18000</v>
      </c>
      <c r="G1072" s="58">
        <v>4</v>
      </c>
      <c r="I1072" s="5"/>
      <c r="J1072" s="5"/>
    </row>
    <row r="1073" spans="1:10" x14ac:dyDescent="0.2">
      <c r="A1073" s="59" t="str">
        <f ca="1">IFERROR(__xludf.DUMMYFUNCTION("TEXTJOIN(""|"",TRUE,UNIQUE(FILTER(SPLIT(B1073,"" ""),LEN(SPLIT(B1073,"" ""))&gt;2)))"),"ресло|руководителя|ресло|888|кзам|подл|818|кзам|крест|d680|кол")</f>
        <v>ресло|руководителя|ресло|888|кзам|подл|818|кзам|крест|d680|кол</v>
      </c>
      <c r="B1073" s="59" t="str">
        <f ca="1">IFERROR(__xludf.DUMMYFUNCTION("LOWER(REGEXREPLACE(D1073&amp;"" ""&amp;E1073,""[^а-яa-z0-9 ]"","" ""))")," ресло руководителя  ресло    888 кзам     подл пл 818 1 кзам  крест пл d680 м п  кол   ")</f>
        <v xml:space="preserve"> ресло руководителя  ресло    888 кзам     подл пл 818 1 кзам  крест пл d680 м п  кол   </v>
      </c>
      <c r="C1073" s="61" t="s">
        <v>15281</v>
      </c>
      <c r="D1073" s="56" t="s">
        <v>8333</v>
      </c>
      <c r="E1073" s="56" t="s">
        <v>15282</v>
      </c>
      <c r="F1073" s="57">
        <v>136500</v>
      </c>
      <c r="G1073" s="58">
        <v>1</v>
      </c>
      <c r="I1073" s="5"/>
      <c r="J1073" s="5"/>
    </row>
    <row r="1074" spans="1:10" x14ac:dyDescent="0.2">
      <c r="A1074" s="59" t="str">
        <f ca="1">IFERROR(__xludf.DUMMYFUNCTION("TEXTJOIN(""|"",TRUE,UNIQUE(FILTER(SPLIT(B1074,"" ""),LEN(SPLIT(B1074,"" ""))&gt;2)))"),"испенсер|для|бумажных|полотенец|испенсер|для|бумажных|полотенец|типа|ialli|атериал|пластик|укладка|открывается|ключом|небольшое|окошко|для|контроля|заполнения")</f>
        <v>испенсер|для|бумажных|полотенец|испенсер|для|бумажных|полотенец|типа|ialli|атериал|пластик|укладка|открывается|ключом|небольшое|окошко|для|контроля|заполнения</v>
      </c>
      <c r="B1074" s="59" t="str">
        <f ca="1">IFERROR(__xludf.DUMMYFUNCTION("LOWER(REGEXREPLACE(D1074&amp;"" ""&amp;E1074,""[^а-яa-z0-9 ]"","" ""))"),"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f>
        <v xml:space="preserve">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v>
      </c>
      <c r="C1074" s="61" t="s">
        <v>15283</v>
      </c>
      <c r="D1074" s="56" t="s">
        <v>9955</v>
      </c>
      <c r="E1074" s="63" t="s">
        <v>9957</v>
      </c>
      <c r="F1074" s="57">
        <v>4949</v>
      </c>
      <c r="G1074" s="58">
        <v>33</v>
      </c>
      <c r="I1074" s="5"/>
      <c r="J1074" s="5"/>
    </row>
    <row r="1075" spans="1:10" x14ac:dyDescent="0.2">
      <c r="A1075" s="59" t="str">
        <f ca="1">IFERROR(__xludf.DUMMYFUNCTION("TEXTJOIN(""|"",TRUE,UNIQUE(FILTER(SPLIT(B1075,"" ""),LEN(SPLIT(B1075,"" ""))&gt;2)))"),"испенсер|антивандальный|для|туалетной|бумаги|испенсер|для|туалетной|бумаги|рулонах|типа|umbo|атериал|пластик|ручная|подача|открывается|помощью|ключа")</f>
        <v>испенсер|антивандальный|для|туалетной|бумаги|испенсер|для|туалетной|бумаги|рулонах|типа|umbo|атериал|пластик|ручная|подача|открывается|помощью|ключа</v>
      </c>
      <c r="B1075" s="59" t="str">
        <f ca="1">IFERROR(__xludf.DUMMYFUNCTION("LOWER(REGEXREPLACE(D1075&amp;"" ""&amp;E1075,""[^а-яa-z0-9 ]"","" ""))"),"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f>
        <v xml:space="preserve">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v>
      </c>
      <c r="C1075" s="61" t="s">
        <v>15284</v>
      </c>
      <c r="D1075" s="56" t="s">
        <v>15285</v>
      </c>
      <c r="E1075" s="63" t="s">
        <v>9953</v>
      </c>
      <c r="F1075" s="57">
        <v>8905</v>
      </c>
      <c r="G1075" s="58">
        <v>63</v>
      </c>
      <c r="I1075" s="5"/>
      <c r="J1075" s="5"/>
    </row>
    <row r="1076" spans="1:10" x14ac:dyDescent="0.2">
      <c r="A1076" s="59" t="str">
        <f ca="1">IFERROR(__xludf.DUMMYFUNCTION("TEXTJOIN(""|"",TRUE,UNIQUE(FILTER(SPLIT(B1076,"" ""),LEN(SPLIT(B1076,""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amp;"жедн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жедневного|использования</v>
      </c>
      <c r="B1076" s="59" t="str">
        <f ca="1">IFERROR(__xludf.DUMMYFUNCTION("LOWER(REGEXREPLACE(D1076&amp;"" ""&amp;E1076,""[^а-яa-z0-9 ]"","" ""))"),"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устойчива"&amp;"я  с безопасно обработанными кромками  подходит для ежедневного использования ")</f>
        <v xml:space="preserve">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устойчивая  с безопасно обработанными кромками  подходит для ежедневного использования </v>
      </c>
      <c r="C1076" s="61" t="s">
        <v>15286</v>
      </c>
      <c r="D1076" s="56" t="s">
        <v>15287</v>
      </c>
      <c r="E1076" s="56" t="s">
        <v>15288</v>
      </c>
      <c r="F1076" s="57">
        <v>94500</v>
      </c>
      <c r="G1076" s="58">
        <v>42</v>
      </c>
      <c r="I1076" s="5"/>
      <c r="J1076" s="5"/>
    </row>
    <row r="1077" spans="1:10" x14ac:dyDescent="0.2">
      <c r="A1077" s="59" t="str">
        <f ca="1">IFERROR(__xludf.DUMMYFUNCTION("TEXTJOIN(""|"",TRUE,UNIQUE(FILTER(SPLIT(B1077,"" ""),LEN(SPLIT(B1077,"" ""))&gt;2)))"),"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amp;"евного|использования")</f>
        <v>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евного|использования</v>
      </c>
      <c r="B1077" s="59" t="str">
        <f ca="1">IFERROR(__xludf.DUMMYFUNCTION("LOWER(REGEXREPLACE(D1077&amp;"" ""&amp;E1077,""[^а-яa-z0-9 ]"","" ""))"),"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усто"&amp;"йчивая  с безопасно обработанными кромками  подходит для ежедневного использования ")</f>
        <v xml:space="preserve">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устойчивая  с безопасно обработанными кромками  подходит для ежедневного использования </v>
      </c>
      <c r="C1077" s="61" t="s">
        <v>15289</v>
      </c>
      <c r="D1077" s="56" t="s">
        <v>15290</v>
      </c>
      <c r="E1077" s="56" t="s">
        <v>15291</v>
      </c>
      <c r="F1077" s="57">
        <v>94500</v>
      </c>
      <c r="G1077" s="58">
        <v>31</v>
      </c>
      <c r="I1077" s="5"/>
      <c r="J1077" s="5"/>
    </row>
    <row r="1078" spans="1:10" x14ac:dyDescent="0.2">
      <c r="A1078" s="59" t="str">
        <f ca="1">IFERROR(__xludf.DUMMYFUNCTION("TEXTJOIN(""|"",TRUE,UNIQUE(FILTER(SPLIT(B1078,"" ""),LEN(SPLIT(B1078,"" ""))&gt;2)))"),"ягкая|подушка|абор|подушек|для|создания|мягкой|зоны|размер|30х30см")</f>
        <v>ягкая|подушка|абор|подушек|для|создания|мягкой|зоны|размер|30х30см</v>
      </c>
      <c r="B1078" s="59" t="str">
        <f ca="1">IFERROR(__xludf.DUMMYFUNCTION("LOWER(REGEXREPLACE(D1078&amp;"" ""&amp;E1078,""[^а-яa-z0-9 ]"","" ""))")," ягкая подушка  абор подушек для создания мягкой зоны  размер 30х30см")</f>
        <v xml:space="preserve"> ягкая подушка  абор подушек для создания мягкой зоны  размер 30х30см</v>
      </c>
      <c r="C1078" s="61" t="s">
        <v>15292</v>
      </c>
      <c r="D1078" s="61" t="s">
        <v>15293</v>
      </c>
      <c r="E1078" s="56" t="s">
        <v>15294</v>
      </c>
      <c r="F1078" s="57">
        <v>9000</v>
      </c>
      <c r="G1078" s="58">
        <v>190</v>
      </c>
      <c r="I1078" s="5"/>
      <c r="J1078" s="5"/>
    </row>
    <row r="1079" spans="1:10" x14ac:dyDescent="0.2">
      <c r="A1079" s="59" t="str">
        <f ca="1">IFERROR(__xludf.DUMMYFUNCTION("TEXTJOIN(""|"",TRUE,UNIQUE(FILTER(SPLIT(B1079,"" ""),LEN(SPLIT(B1079,"" ""))&gt;2)))"),"камья|детская|узкая|камья|деревянная|металлической|основе|1500х300х450")</f>
        <v>камья|детская|узкая|камья|деревянная|металлической|основе|1500х300х450</v>
      </c>
      <c r="B1079" s="59" t="str">
        <f ca="1">IFERROR(__xludf.DUMMYFUNCTION("LOWER(REGEXREPLACE(D1079&amp;"" ""&amp;E1079,""[^а-яa-z0-9 ]"","" ""))")," камья детская узкая  камья деревянная на металлической основе 1500х300х450 мм")</f>
        <v xml:space="preserve"> камья детская узкая  камья деревянная на металлической основе 1500х300х450 мм</v>
      </c>
      <c r="C1079" s="61" t="s">
        <v>15295</v>
      </c>
      <c r="D1079" s="61" t="s">
        <v>15296</v>
      </c>
      <c r="E1079" s="63" t="s">
        <v>5867</v>
      </c>
      <c r="F1079" s="57">
        <v>30343</v>
      </c>
      <c r="G1079" s="58">
        <v>78</v>
      </c>
      <c r="I1079" s="5"/>
      <c r="J1079" s="5"/>
    </row>
    <row r="1080" spans="1:10" x14ac:dyDescent="0.2">
      <c r="A1080" s="59" t="str">
        <f ca="1">IFERROR(__xludf.DUMMYFUNCTION("TEXTJOIN(""|"",TRUE,UNIQUE(FILTER(SPLIT(B1080,"" ""),LEN(SPLIT(B1080,"" ""))&gt;2)))"),"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amp;"ряжения")</f>
        <v>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ряжения</v>
      </c>
      <c r="B1080" s="59" t="str">
        <f ca="1">IFERROR(__xludf.DUMMYFUNCTION("LOWER(REGEXREPLACE(D1080&amp;"" ""&amp;E1080,""[^а-яa-z0-9 ]"","" ""))"),"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"&amp;"эмоционального напряжения ")</f>
        <v xml:space="preserve">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эмоционального напряжения </v>
      </c>
      <c r="C1080" s="61" t="s">
        <v>15297</v>
      </c>
      <c r="D1080" s="56" t="s">
        <v>15298</v>
      </c>
      <c r="E1080" s="56" t="s">
        <v>15299</v>
      </c>
      <c r="F1080" s="57">
        <v>327600</v>
      </c>
      <c r="G1080" s="58">
        <v>1</v>
      </c>
      <c r="I1080" s="5"/>
      <c r="J1080" s="5"/>
    </row>
    <row r="1081" spans="1:10" x14ac:dyDescent="0.2">
      <c r="A1081" s="59" t="str">
        <f ca="1">IFERROR(__xludf.DUMMYFUNCTION("TEXTJOIN(""|"",TRUE,UNIQUE(FILTER(SPLIT(B1081,"" ""),LEN(SPLIT(B1081,"" ""))&gt;2)))"),"авесной|шкаф|каф|навесной|двухстворчатый|распашной|атериал|азмеры|800х300х720мм")</f>
        <v>авесной|шкаф|каф|навесной|двухстворчатый|распашной|атериал|азмеры|800х300х720мм</v>
      </c>
      <c r="B1081" s="59" t="str">
        <f ca="1">IFERROR(__xludf.DUMMYFUNCTION("LOWER(REGEXREPLACE(D1081&amp;"" ""&amp;E1081,""[^а-яa-z0-9 ]"","" ""))")," авесной шкаф  каф навесной  двухстворчатый  распашной   атериал              азмеры  800х300х720мм")</f>
        <v xml:space="preserve"> авесной шкаф  каф навесной  двухстворчатый  распашной   атериал              азмеры  800х300х720мм</v>
      </c>
      <c r="C1081" s="61" t="s">
        <v>15300</v>
      </c>
      <c r="D1081" s="61" t="s">
        <v>15301</v>
      </c>
      <c r="E1081" s="56" t="s">
        <v>15302</v>
      </c>
      <c r="F1081" s="57">
        <v>157500</v>
      </c>
      <c r="G1081" s="58">
        <v>16</v>
      </c>
      <c r="I1081" s="5"/>
      <c r="J1081" s="5"/>
    </row>
    <row r="1082" spans="1:10" x14ac:dyDescent="0.2">
      <c r="A1082" s="59" t="str">
        <f ca="1">IFERROR(__xludf.DUMMYFUNCTION("TEXTJOIN(""|"",TRUE,UNIQUE(FILTER(SPLIT(B1082,"" ""),LEN(SPLIT(B1082,"" ""))&gt;2)))"),"иван|иван|uick|lim|ofa|лина|1900|ширина|800|высота|850")</f>
        <v>иван|иван|uick|lim|ofa|лина|1900|ширина|800|высота|850</v>
      </c>
      <c r="B1082" s="59" t="str">
        <f ca="1">IFERROR(__xludf.DUMMYFUNCTION("LOWER(REGEXREPLACE(D1082&amp;"" ""&amp;E1082,""[^а-яa-z0-9 ]"","" ""))")," иван   иван  uick  ab  lim  ofa  лина  1900 мм  ширина  800 мм  высота  850 мм  ")</f>
        <v xml:space="preserve"> иван   иван  uick  ab  lim  ofa  лина  1900 мм  ширина  800 мм  высота  850 мм  </v>
      </c>
      <c r="C1082" s="61" t="s">
        <v>15303</v>
      </c>
      <c r="D1082" s="56" t="s">
        <v>15304</v>
      </c>
      <c r="E1082" s="56" t="s">
        <v>15305</v>
      </c>
      <c r="F1082" s="57">
        <v>199500</v>
      </c>
      <c r="G1082" s="58">
        <v>2</v>
      </c>
      <c r="I1082" s="5"/>
      <c r="J1082" s="5"/>
    </row>
    <row r="1083" spans="1:10" x14ac:dyDescent="0.2">
      <c r="A1083" s="59" t="str">
        <f ca="1">IFERROR(__xludf.DUMMYFUNCTION("TEXTJOIN(""|"",TRUE,UNIQUE(FILTER(SPLIT(B1083,"" ""),LEN(SPLIT(B1083,"" ""))&gt;2)))"),"иван|руководителя|ирина|1480|лубина|820|ысота|670")</f>
        <v>иван|руководителя|ирина|1480|лубина|820|ысота|670</v>
      </c>
      <c r="B1083" s="59" t="str">
        <f ca="1">IFERROR(__xludf.DUMMYFUNCTION("LOWER(REGEXREPLACE(D1083&amp;"" ""&amp;E1083,""[^а-яa-z0-9 ]"","" ""))")," иван руководителя  ирина  мм 1480  лубина  мм 820  ысота  мм 670")</f>
        <v xml:space="preserve"> иван руководителя  ирина  мм 1480  лубина  мм 820  ысота  мм 670</v>
      </c>
      <c r="C1083" s="61" t="s">
        <v>15306</v>
      </c>
      <c r="D1083" s="61" t="s">
        <v>15307</v>
      </c>
      <c r="E1083" s="56" t="s">
        <v>15308</v>
      </c>
      <c r="F1083" s="57">
        <v>735000</v>
      </c>
      <c r="G1083" s="58">
        <v>1</v>
      </c>
      <c r="I1083" s="5"/>
      <c r="J1083" s="5"/>
    </row>
    <row r="1084" spans="1:10" x14ac:dyDescent="0.2">
      <c r="A1084" s="59" t="str">
        <f ca="1">IFERROR(__xludf.DUMMYFUNCTION("TEXTJOIN(""|"",TRUE,UNIQUE(FILTER(SPLIT(B1084,"" ""),LEN(SPLIT(B1084,"" ""))&gt;2)))"),"етский|стул|спинкой|лет|етский|стул|спинкой|для|лет|260|200|550|250")</f>
        <v>етский|стул|спинкой|лет|етский|стул|спинкой|для|лет|260|200|550|250</v>
      </c>
      <c r="B1084" s="59" t="str">
        <f ca="1">IFERROR(__xludf.DUMMYFUNCTION("LOWER(REGEXREPLACE(D1084&amp;"" ""&amp;E1084,""[^а-яa-z0-9 ]"","" ""))")," етский стул с спинкой  2 3 лет   етский стул со спинкой для 3 лет  260 200 550 250 мм")</f>
        <v xml:space="preserve"> етский стул с спинкой  2 3 лет   етский стул со спинкой для 3 лет  260 200 550 250 мм</v>
      </c>
      <c r="C1084" s="61" t="s">
        <v>15309</v>
      </c>
      <c r="D1084" s="61" t="s">
        <v>15310</v>
      </c>
      <c r="E1084" s="56" t="s">
        <v>15311</v>
      </c>
      <c r="F1084" s="57">
        <v>42000</v>
      </c>
      <c r="G1084" s="58">
        <v>202</v>
      </c>
      <c r="I1084" s="5"/>
      <c r="J1084" s="5"/>
    </row>
    <row r="1085" spans="1:10" x14ac:dyDescent="0.2">
      <c r="A1085" s="59" t="str">
        <f ca="1">IFERROR(__xludf.DUMMYFUNCTION("TEXTJOIN(""|"",TRUE,UNIQUE(FILTER(SPLIT(B1085,"" ""),LEN(SPLIT(B1085,"" ""))&gt;2)))"),"етский|стул|спинкой|лет|етский|стул|спинкой|для|300|220|590|270")</f>
        <v>етский|стул|спинкой|лет|етский|стул|спинкой|для|300|220|590|270</v>
      </c>
      <c r="B1085" s="59" t="str">
        <f ca="1">IFERROR(__xludf.DUMMYFUNCTION("LOWER(REGEXREPLACE(D1085&amp;"" ""&amp;E1085,""[^а-яa-z0-9 ]"","" ""))")," етский стул с спинкой  4  лет   етский стул со спинкой для 4   300 220 590 270")</f>
        <v xml:space="preserve"> етский стул с спинкой  4  лет   етский стул со спинкой для 4   300 220 590 270</v>
      </c>
      <c r="C1085" s="61" t="s">
        <v>15312</v>
      </c>
      <c r="D1085" s="61" t="s">
        <v>15313</v>
      </c>
      <c r="E1085" s="56" t="s">
        <v>15314</v>
      </c>
      <c r="F1085" s="57">
        <v>42000</v>
      </c>
      <c r="G1085" s="58">
        <v>194</v>
      </c>
      <c r="I1085" s="5"/>
      <c r="J1085" s="5"/>
    </row>
    <row r="1086" spans="1:10" x14ac:dyDescent="0.2">
      <c r="A1086" s="59" t="str">
        <f ca="1">IFERROR(__xludf.DUMMYFUNCTION("TEXTJOIN(""|"",TRUE,UNIQUE(FILTER(SPLIT(B1086,"" ""),LEN(SPLIT(B1086,"" ""))&gt;2)))"),"ардеробная|вешалка|ирина|109|ысота|179|лубина|атериал|еталл")</f>
        <v>ардеробная|вешалка|ирина|109|ысота|179|лубина|атериал|еталл</v>
      </c>
      <c r="B1086" s="59" t="str">
        <f ca="1">IFERROR(__xludf.DUMMYFUNCTION("LOWER(REGEXREPLACE(D1086&amp;"" ""&amp;E1086,""[^а-яa-z0-9 ]"","" ""))")," ардеробная вешалка  ирина 109 см  ысота 179 см  лубина 74 см  атериал  еталл")</f>
        <v xml:space="preserve"> ардеробная вешалка  ирина 109 см  ысота 179 см  лубина 74 см  атериал  еталл</v>
      </c>
      <c r="C1086" s="61" t="s">
        <v>15315</v>
      </c>
      <c r="D1086" s="61" t="s">
        <v>15316</v>
      </c>
      <c r="E1086" s="56" t="s">
        <v>15317</v>
      </c>
      <c r="F1086" s="57">
        <v>157500</v>
      </c>
      <c r="G1086" s="58">
        <v>3</v>
      </c>
      <c r="I1086" s="5"/>
      <c r="J1086" s="5"/>
    </row>
    <row r="1087" spans="1:10" x14ac:dyDescent="0.2">
      <c r="A1087" s="59" t="str">
        <f ca="1">IFERROR(__xludf.DUMMYFUNCTION("TEXTJOIN(""|"",TRUE,UNIQUE(FILTER(SPLIT(B1087,"" ""),LEN(SPLIT(B1087,"" ""))&gt;2)))"),"ровать|гровая|или|декоративная|кровать|комплектом|текстильных|элементов|спользуется|сюжетно|ролевых|играх")</f>
        <v>ровать|гровая|или|декоративная|кровать|комплектом|текстильных|элементов|спользуется|сюжетно|ролевых|играх</v>
      </c>
      <c r="B1087" s="59" t="str">
        <f ca="1">IFERROR(__xludf.DUMMYFUNCTION("LOWER(REGEXREPLACE(D1087&amp;"" ""&amp;E1087,""[^а-яa-z0-9 ]"","" ""))")," ровать  гровая или декоративная кровать с комплектом текстильных элементов   спользуется в сюжетно ролевых играх ")</f>
        <v xml:space="preserve"> ровать  гровая или декоративная кровать с комплектом текстильных элементов   спользуется в сюжетно ролевых играх </v>
      </c>
      <c r="C1087" s="61" t="s">
        <v>15318</v>
      </c>
      <c r="D1087" s="56" t="s">
        <v>15319</v>
      </c>
      <c r="E1087" s="56" t="s">
        <v>15320</v>
      </c>
      <c r="F1087" s="57">
        <v>13600</v>
      </c>
      <c r="G1087" s="58">
        <v>5</v>
      </c>
      <c r="I1087" s="5"/>
      <c r="J1087" s="5"/>
    </row>
    <row r="1088" spans="1:10" x14ac:dyDescent="0.2">
      <c r="A1088" s="59" t="str">
        <f ca="1">IFERROR(__xludf.DUMMYFUNCTION("TEXTJOIN(""|"",TRUE,UNIQUE(FILTER(SPLIT(B1088,"" ""),LEN(SPLIT(B1088,"" ""))&gt;2)))"),"тойка|ресепшен|тойка|ресепшен|прямая|азмеры|ирина|1640|лубина|510|ысота|1150")</f>
        <v>тойка|ресепшен|тойка|ресепшен|прямая|азмеры|ирина|1640|лубина|510|ысота|1150</v>
      </c>
      <c r="B1088" s="59" t="str">
        <f ca="1">IFERROR(__xludf.DUMMYFUNCTION("LOWER(REGEXREPLACE(D1088&amp;"" ""&amp;E1088,""[^а-яa-z0-9 ]"","" ""))")," тойка ресепшен  тойка ресепшен прямая   азмеры   ирина  1640 мм   лубина  510 мм   ысота  1150 мм")</f>
        <v xml:space="preserve"> тойка ресепшен  тойка ресепшен прямая   азмеры   ирина  1640 мм   лубина  510 мм   ысота  1150 мм</v>
      </c>
      <c r="C1088" s="61" t="s">
        <v>15321</v>
      </c>
      <c r="D1088" s="61" t="s">
        <v>15322</v>
      </c>
      <c r="E1088" s="56" t="s">
        <v>15323</v>
      </c>
      <c r="F1088" s="57">
        <v>420000</v>
      </c>
      <c r="G1088" s="58">
        <v>1</v>
      </c>
      <c r="I1088" s="5"/>
      <c r="J1088" s="5"/>
    </row>
    <row r="1089" spans="1:10" x14ac:dyDescent="0.2">
      <c r="A1089" s="59" t="str">
        <f ca="1">IFERROR(__xludf.DUMMYFUNCTION("TEXTJOIN(""|"",TRUE,UNIQUE(FILTER(SPLIT(B1089,"" ""),LEN(SPLIT(B1089,"" ""))&gt;2)))"),"ценический|занавес|карниз|истема|горизонтального|раздвижного|занавеса|электроприводом|пультом|дистанционного|управления")</f>
        <v>ценический|занавес|карниз|истема|горизонтального|раздвижного|занавеса|электроприводом|пультом|дистанционного|управления</v>
      </c>
      <c r="B1089" s="59" t="str">
        <f ca="1">IFERROR(__xludf.DUMMYFUNCTION("LOWER(REGEXREPLACE(D1089&amp;"" ""&amp;E1089,""[^а-яa-z0-9 ]"","" ""))")," ценический занавес и карниз  истема горизонтального раздвижного занавеса с электроприводом с пультом дистанционного управления ")</f>
        <v xml:space="preserve"> ценический занавес и карниз  истема горизонтального раздвижного занавеса с электроприводом с пультом дистанционного управления </v>
      </c>
      <c r="C1089" s="61" t="s">
        <v>15324</v>
      </c>
      <c r="D1089" s="61" t="s">
        <v>15325</v>
      </c>
      <c r="E1089" s="56" t="s">
        <v>15326</v>
      </c>
      <c r="F1089" s="57">
        <v>6300000</v>
      </c>
      <c r="G1089" s="58">
        <v>1</v>
      </c>
      <c r="I1089" s="5"/>
      <c r="J1089" s="5"/>
    </row>
    <row r="1090" spans="1:10" x14ac:dyDescent="0.2">
      <c r="A1090" s="59" t="str">
        <f ca="1">IFERROR(__xludf.DUMMYFUNCTION("TEXTJOIN(""|"",TRUE,UNIQUE(FILTER(SPLIT(B1090,"" ""),LEN(SPLIT(B1090,"" ""))&gt;2)))"),"иван|мягкий|иван|мягкий|местный|подлокотниками")</f>
        <v>иван|мягкий|иван|мягкий|местный|подлокотниками</v>
      </c>
      <c r="B1090" s="59" t="str">
        <f ca="1">IFERROR(__xludf.DUMMYFUNCTION("LOWER(REGEXREPLACE(D1090&amp;"" ""&amp;E1090,""[^а-яa-z0-9 ]"","" ""))")," иван  мягкий   иван  мягкий   3 х местный  с подлокотниками")</f>
        <v xml:space="preserve"> иван  мягкий   иван  мягкий   3 х местный  с подлокотниками</v>
      </c>
      <c r="C1090" s="61" t="s">
        <v>15327</v>
      </c>
      <c r="D1090" s="61" t="s">
        <v>15328</v>
      </c>
      <c r="E1090" s="56" t="s">
        <v>15329</v>
      </c>
      <c r="F1090" s="57">
        <v>283500</v>
      </c>
      <c r="G1090" s="58">
        <v>1</v>
      </c>
      <c r="I1090" s="5"/>
      <c r="J1090" s="5"/>
    </row>
    <row r="1091" spans="1:10" x14ac:dyDescent="0.2">
      <c r="A1091" s="59" t="str">
        <f ca="1">IFERROR(__xludf.DUMMYFUNCTION("TEXTJOIN(""|"",TRUE,UNIQUE(FILTER(SPLIT(B1091,"" ""),LEN(SPLIT(B1091,"" ""))&gt;2)))"),"ардеробная|мест|ардеробный|шкаф|для|верхней|одежды|азмеры|ширина|длина|высота|асстояние|между|крючками|330мм")</f>
        <v>ардеробная|мест|ардеробный|шкаф|для|верхней|одежды|азмеры|ширина|длина|высота|асстояние|между|крючками|330мм</v>
      </c>
      <c r="B1091" s="59" t="str">
        <f ca="1">IFERROR(__xludf.DUMMYFUNCTION("LOWER(REGEXREPLACE(D1091&amp;"" ""&amp;E1091,""[^а-яa-z0-9 ]"","" ""))")," ардеробная на 70 мест  ардеробный шкаф для верхней одежды  азмеры  ширина 2 2 м  длина 3 3 м  высота 1 8м   асстояние между крючками  330мм")</f>
        <v xml:space="preserve"> ардеробная на 70 мест  ардеробный шкаф для верхней одежды  азмеры  ширина 2 2 м  длина 3 3 м  высота 1 8м   асстояние между крючками  330мм</v>
      </c>
      <c r="C1091" s="61" t="s">
        <v>15330</v>
      </c>
      <c r="D1091" s="56" t="s">
        <v>15331</v>
      </c>
      <c r="E1091" s="56" t="s">
        <v>15332</v>
      </c>
      <c r="F1091" s="57">
        <v>2850000</v>
      </c>
      <c r="G1091" s="58">
        <v>1</v>
      </c>
      <c r="I1091" s="5"/>
      <c r="J1091" s="5"/>
    </row>
    <row r="1092" spans="1:10" x14ac:dyDescent="0.2">
      <c r="A1092" s="59" t="str">
        <f ca="1">IFERROR(__xludf.DUMMYFUNCTION("TEXTJOIN(""|"",TRUE,UNIQUE(FILTER(SPLIT(B1092,"" ""),LEN(SPLIT(B1092,"" ""))&gt;2)))"),"осударственная|символика|тенд|объемный|настенный")</f>
        <v>осударственная|символика|тенд|объемный|настенный</v>
      </c>
      <c r="B1092" s="59" t="str">
        <f ca="1">IFERROR(__xludf.DUMMYFUNCTION("LOWER(REGEXREPLACE(D1092&amp;"" ""&amp;E1092,""[^а-яa-z0-9 ]"","" ""))")," осударственная символика  тенд объемный настенный                ")</f>
        <v xml:space="preserve"> осударственная символика  тенд объемный настенный                </v>
      </c>
      <c r="C1092" s="61" t="s">
        <v>15333</v>
      </c>
      <c r="D1092" s="56" t="s">
        <v>15334</v>
      </c>
      <c r="E1092" s="56" t="s">
        <v>15335</v>
      </c>
      <c r="F1092" s="57">
        <v>850000</v>
      </c>
      <c r="G1092" s="58">
        <v>1</v>
      </c>
      <c r="I1092" s="5"/>
      <c r="J1092" s="5"/>
    </row>
    <row r="1093" spans="1:10" x14ac:dyDescent="0.2">
      <c r="A1093" s="59" t="str">
        <f ca="1">IFERROR(__xludf.DUMMYFUNCTION("TEXTJOIN(""|"",TRUE,UNIQUE(FILTER(SPLIT(B1093,"" ""),LEN(SPLIT(B1093,"" ""))&gt;2)))"),"ровать|для|сна|группы|ровать|детская|односпальная|размеры|1400х600х450мм|16мм|без|острых|углов")</f>
        <v>ровать|для|сна|группы|ровать|детская|односпальная|размеры|1400х600х450мм|16мм|без|острых|углов</v>
      </c>
      <c r="B1093" s="59" t="str">
        <f ca="1">IFERROR(__xludf.DUMMYFUNCTION("LOWER(REGEXREPLACE(D1093&amp;"" ""&amp;E1093,""[^а-яa-z0-9 ]"","" ""))")," ровать для сна  группы 3    ровать детская односпальная  размеры 1400х600х450мм       16мм  без острых углов")</f>
        <v xml:space="preserve"> ровать для сна  группы 3    ровать детская односпальная  размеры 1400х600х450мм       16мм  без острых углов</v>
      </c>
      <c r="C1093" s="64" t="s">
        <v>15336</v>
      </c>
      <c r="D1093" s="61" t="s">
        <v>15337</v>
      </c>
      <c r="E1093" s="63" t="s">
        <v>729</v>
      </c>
      <c r="F1093" s="57">
        <v>30809</v>
      </c>
      <c r="G1093" s="58">
        <v>320</v>
      </c>
      <c r="I1093" s="5"/>
      <c r="J1093" s="5"/>
    </row>
    <row r="1094" spans="1:10" x14ac:dyDescent="0.2">
      <c r="A1094" s="59" t="str">
        <f ca="1">IFERROR(__xludf.DUMMYFUNCTION("TEXTJOIN(""|"",TRUE,UNIQUE(FILTER(SPLIT(B1094,"" ""),LEN(SPLIT(B1094,"" ""))&gt;2)))"),"руглый|стол|тол|для|совместного|чтения|обсуждений|игровых|занятий|пособствует|развитию|общения|между|детьми|атериал|или|дерево|иаметр|1000|1200")</f>
        <v>руглый|стол|тол|для|совместного|чтения|обсуждений|игровых|занятий|пособствует|развитию|общения|между|детьми|атериал|или|дерево|иаметр|1000|1200</v>
      </c>
      <c r="B1094" s="59" t="str">
        <f ca="1">IFERROR(__xludf.DUMMYFUNCTION("LOWER(REGEXREPLACE(D1094&amp;"" ""&amp;E1094,""[^а-яa-z0-9 ]"","" ""))")," руглый стол  тол для совместного чтения  обсуждений и игровых занятий   пособствует развитию общения между детьми   атериал        или дерево   иаметр   1000 1200 мм ")</f>
        <v xml:space="preserve"> руглый стол  тол для совместного чтения  обсуждений и игровых занятий   пособствует развитию общения между детьми   атериал        или дерево   иаметр   1000 1200 мм </v>
      </c>
      <c r="C1094" s="61" t="s">
        <v>15338</v>
      </c>
      <c r="D1094" s="56" t="s">
        <v>15339</v>
      </c>
      <c r="E1094" s="56" t="s">
        <v>15340</v>
      </c>
      <c r="F1094" s="57">
        <v>189000</v>
      </c>
      <c r="G1094" s="58">
        <v>1</v>
      </c>
      <c r="I1094" s="5"/>
      <c r="J1094" s="5"/>
    </row>
    <row r="1095" spans="1:10" x14ac:dyDescent="0.2">
      <c r="A1095" s="59" t="str">
        <f ca="1">IFERROR(__xludf.DUMMYFUNCTION("TEXTJOIN(""|"",TRUE,UNIQUE(FILTER(SPLIT(B1095,"" ""),LEN(SPLIT(B1095,"" ""))&gt;2)))"),"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amp;"х")</f>
        <v>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х</v>
      </c>
      <c r="B1095" s="59" t="str">
        <f ca="1">IFERROR(__xludf.DUMMYFUNCTION("LOWER(REGEXREPLACE(D1095&amp;"" ""&amp;E1095,""[^а-яa-z0-9 ]"","" ""))"),"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"&amp;"для использования в помещениях ")</f>
        <v xml:space="preserve">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для использования в помещениях </v>
      </c>
      <c r="C1095" s="61" t="s">
        <v>15341</v>
      </c>
      <c r="D1095" s="56" t="s">
        <v>15342</v>
      </c>
      <c r="E1095" s="56" t="s">
        <v>15343</v>
      </c>
      <c r="F1095" s="57">
        <v>105000</v>
      </c>
      <c r="G1095" s="58">
        <v>4</v>
      </c>
      <c r="I1095" s="5"/>
      <c r="J1095" s="5"/>
    </row>
    <row r="1096" spans="1:10" x14ac:dyDescent="0.2">
      <c r="A1096" s="59" t="str">
        <f ca="1">IFERROR(__xludf.DUMMYFUNCTION("TEXTJOIN(""|"",TRUE,UNIQUE(FILTER(SPLIT(B1096,"" ""),LEN(SPLIT(B1096,"" ""))&gt;2)))"),"ушетка|процедурная|ушетка|предназначена|для|осмотров|процедур|медицинских|манипуляций|медблоке|азмеры|560х1930х670")</f>
        <v>ушетка|процедурная|ушетка|предназначена|для|осмотров|процедур|медицинских|манипуляций|медблоке|азмеры|560х1930х670</v>
      </c>
      <c r="B1096" s="59" t="str">
        <f ca="1">IFERROR(__xludf.DUMMYFUNCTION("LOWER(REGEXREPLACE(D1096&amp;"" ""&amp;E1096,""[^а-яa-z0-9 ]"","" ""))")," ушетка процедурная  ушетка предназначена для осмотров  процедур и медицинских манипуляций в медблоке       азмеры 560х1930х670")</f>
        <v xml:space="preserve"> ушетка процедурная  ушетка предназначена для осмотров  процедур и медицинских манипуляций в медблоке       азмеры 560х1930х670</v>
      </c>
      <c r="C1096" s="61" t="s">
        <v>15344</v>
      </c>
      <c r="D1096" s="56" t="s">
        <v>15345</v>
      </c>
      <c r="E1096" s="56" t="s">
        <v>15346</v>
      </c>
      <c r="F1096" s="57">
        <v>283500</v>
      </c>
      <c r="G1096" s="58">
        <v>3</v>
      </c>
      <c r="I1096" s="5"/>
      <c r="J1096" s="5"/>
    </row>
    <row r="1097" spans="1:10" x14ac:dyDescent="0.2">
      <c r="A1097" s="59" t="str">
        <f ca="1">IFERROR(__xludf.DUMMYFUNCTION("TEXTJOIN(""|"",TRUE,UNIQUE(FILTER(SPLIT(B1097,"" ""),LEN(SPLIT(B1097,"" ""))&gt;2)))"),"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amp;"ы|деформации|влаге|подходят|для|регулярной|санитарной|обработки")</f>
        <v>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ы|деформации|влаге|подходят|для|регулярной|санитарной|обработки</v>
      </c>
      <c r="B1097" s="59" t="str">
        <f ca="1">IFERROR(__xludf.DUMMYFUNCTION("LOWER(REGEXREPLACE(D1097&amp;"" ""&amp;E1097,""[^а-яa-z0-9 ]"","" ""))"),"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безопасно"&amp;"сть   спользуемые материалы устойчивы к деформации  влаге и подходят для регулярной санитарной обработки ")</f>
        <v xml:space="preserve">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безопасность   спользуемые материалы устойчивы к деформации  влаге и подходят для регулярной санитарной обработки </v>
      </c>
      <c r="C1097" s="61" t="s">
        <v>15347</v>
      </c>
      <c r="D1097" s="56" t="s">
        <v>15348</v>
      </c>
      <c r="E1097" s="56" t="s">
        <v>15349</v>
      </c>
      <c r="F1097" s="57">
        <v>23400</v>
      </c>
      <c r="G1097" s="58">
        <v>325</v>
      </c>
      <c r="I1097" s="5"/>
      <c r="J1097" s="5"/>
    </row>
    <row r="1098" spans="1:10" x14ac:dyDescent="0.2">
      <c r="A1098" s="59" t="str">
        <f ca="1">IFERROR(__xludf.DUMMYFUNCTION("TEXTJOIN(""|"",TRUE,UNIQUE(FILTER(SPLIT(B1098,"" ""),LEN(SPLIT(B1098,"" ""))&gt;2)))"),"атрас|азмеры|изделия|параметрам|кровати|длина|1400|ширина|600|ипоаллергенный|матрас|для|детской|кровати")</f>
        <v>атрас|азмеры|изделия|параметрам|кровати|длина|1400|ширина|600|ипоаллергенный|матрас|для|детской|кровати</v>
      </c>
      <c r="B1098" s="59" t="str">
        <f ca="1">IFERROR(__xludf.DUMMYFUNCTION("LOWER(REGEXREPLACE(D1098&amp;"" ""&amp;E1098,""[^а-яa-z0-9 ]"","" ""))")," атрас   азмеры изделия  по параметрам кровати  длина   1400 мм  ширина   600 мм   ипоаллергенный матрас для детской кровати ")</f>
        <v xml:space="preserve"> атрас   азмеры изделия  по параметрам кровати  длина   1400 мм  ширина   600 мм   ипоаллергенный матрас для детской кровати </v>
      </c>
      <c r="C1098" s="61" t="s">
        <v>15350</v>
      </c>
      <c r="D1098" s="56" t="s">
        <v>15351</v>
      </c>
      <c r="E1098" s="56" t="s">
        <v>15352</v>
      </c>
      <c r="F1098" s="57">
        <v>23400</v>
      </c>
      <c r="G1098" s="58">
        <v>20</v>
      </c>
      <c r="I1098" s="5"/>
      <c r="J1098" s="5"/>
    </row>
    <row r="1099" spans="1:10" x14ac:dyDescent="0.2">
      <c r="A1099" s="59" t="str">
        <f ca="1">IFERROR(__xludf.DUMMYFUNCTION("TEXTJOIN(""|"",TRUE,UNIQUE(FILTER(SPLIT(B1099,"" ""),LEN(SPLIT(B1099,"" ""))&gt;2)))"),"атрас|группа|лет|азмеры|изделия|параметрам|кровати|длина|120|ширина|ипоаллергенный|матрас|для|детской|кровати")</f>
        <v>атрас|группа|лет|азмеры|изделия|параметрам|кровати|длина|120|ширина|ипоаллергенный|матрас|для|детской|кровати</v>
      </c>
      <c r="B1099" s="59" t="str">
        <f ca="1">IFERROR(__xludf.DUMMYFUNCTION("LOWER(REGEXREPLACE(D1099&amp;"" ""&amp;E1099,""[^а-яa-z0-9 ]"","" ""))")," атрас  группа 2 х лет   азмеры изделия  по параметрам кровати  длина   120 см  ширина   60 см   ипоаллергенный матрас для детской кровати ")</f>
        <v xml:space="preserve"> атрас  группа 2 х лет   азмеры изделия  по параметрам кровати  длина   120 см  ширина   60 см   ипоаллергенный матрас для детской кровати </v>
      </c>
      <c r="C1099" s="56"/>
      <c r="D1099" s="56" t="s">
        <v>15353</v>
      </c>
      <c r="E1099" s="56" t="s">
        <v>15354</v>
      </c>
      <c r="F1099" s="57">
        <v>23400</v>
      </c>
      <c r="G1099" s="58">
        <v>5</v>
      </c>
      <c r="I1099" s="5"/>
      <c r="J1099" s="5"/>
    </row>
    <row r="1100" spans="1:10" x14ac:dyDescent="0.2">
      <c r="A1100" s="59" t="str">
        <f ca="1">IFERROR(__xludf.DUMMYFUNCTION("TEXTJOIN(""|"",TRUE,UNIQUE(FILTER(SPLIT(B1100,"" ""),LEN(SPLIT(B1100,"" ""))&gt;2)))"),"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amp;"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amp;"вания")</f>
        <v>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вания</v>
      </c>
      <c r="B1100" s="59" t="str">
        <f ca="1">IFERROR(__xludf.DUMMYFUNCTION("LOWER(REGEXREPLACE(D1100&amp;"" ""&amp;E1100,""[^а-яa-z0-9 ]"","" ""))"),"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"&amp;"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обесп"&amp;"ечивая компактное хранение и удобство использования ")</f>
        <v xml:space="preserve">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обеспечивая компактное хранение и удобство использования </v>
      </c>
      <c r="C1100" s="61" t="s">
        <v>15355</v>
      </c>
      <c r="D1100" s="56" t="s">
        <v>15356</v>
      </c>
      <c r="E1100" s="56" t="s">
        <v>15357</v>
      </c>
      <c r="F1100" s="57">
        <v>191300</v>
      </c>
      <c r="G1100" s="58">
        <v>11</v>
      </c>
      <c r="I1100" s="5"/>
      <c r="J1100" s="5"/>
    </row>
    <row r="1101" spans="1:10" x14ac:dyDescent="0.2">
      <c r="A1101" s="59" t="str">
        <f ca="1">IFERROR(__xludf.DUMMYFUNCTION("TEXTJOIN(""|"",TRUE,UNIQUE(FILTER(SPLIT(B1101,"" ""),LEN(SPLIT(B1101,"" ""))&gt;2)))"),"одуль|стеллажный|открытыми|полками|для|хранения|материалов|одуль|открытыми|полками|для|хранения|игрушек|абариты|изделия|900|340|700|атериал|корпуса|кромкой")</f>
        <v>одуль|стеллажный|открытыми|полками|для|хранения|материалов|одуль|открытыми|полками|для|хранения|игрушек|абариты|изделия|900|340|700|атериал|корпуса|кромкой</v>
      </c>
      <c r="B1101" s="59" t="str">
        <f ca="1">IFERROR(__xludf.DUMMYFUNCTION("LOWER(REGEXREPLACE(D1101&amp;"" ""&amp;E1101,""[^а-яa-z0-9 ]"","" ""))"),"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f>
        <v xml:space="preserve">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v>
      </c>
      <c r="C1101" s="61" t="s">
        <v>15358</v>
      </c>
      <c r="D1101" s="56" t="s">
        <v>15359</v>
      </c>
      <c r="E1101" s="56" t="s">
        <v>15360</v>
      </c>
      <c r="F1101" s="57">
        <v>231000</v>
      </c>
      <c r="G1101" s="58">
        <v>3</v>
      </c>
      <c r="I1101" s="5"/>
      <c r="J1101" s="5"/>
    </row>
    <row r="1102" spans="1:10" x14ac:dyDescent="0.2">
      <c r="A1102" s="59" t="str">
        <f ca="1">IFERROR(__xludf.DUMMYFUNCTION("TEXTJOIN(""|"",TRUE,UNIQUE(FILTER(SPLIT(B1102,"" ""),LEN(SPLIT(B1102,"" ""))&gt;2)))"),"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f>
        <v>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v>
      </c>
      <c r="B1102" s="59" t="str">
        <f ca="1">IFERROR(__xludf.DUMMYFUNCTION("LOWER(REGEXREPLACE(D1102&amp;"" ""&amp;E1102,""[^а-яa-z0-9 ]"","" ""))"),"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f>
        <v xml:space="preserve">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v>
      </c>
      <c r="C1102" s="61" t="s">
        <v>15361</v>
      </c>
      <c r="D1102" s="56" t="s">
        <v>15362</v>
      </c>
      <c r="E1102" s="56" t="s">
        <v>15363</v>
      </c>
      <c r="F1102" s="57">
        <v>121800</v>
      </c>
      <c r="G1102" s="58">
        <v>7</v>
      </c>
      <c r="I1102" s="5"/>
      <c r="J1102" s="5"/>
    </row>
    <row r="1103" spans="1:10" x14ac:dyDescent="0.2">
      <c r="A1103" s="59" t="str">
        <f ca="1">IFERROR(__xludf.DUMMYFUNCTION("TEXTJOIN(""|"",TRUE,UNIQUE(FILTER(SPLIT(B1103,"" ""),LEN(SPLIT(B1103,"" ""))&gt;2)))"),"астенная|полка|для|хранения|дидактических|материалов|психолога|репится|стене|азмеры|1000х200х630")</f>
        <v>астенная|полка|для|хранения|дидактических|материалов|психолога|репится|стене|азмеры|1000х200х630</v>
      </c>
      <c r="B1103" s="59" t="str">
        <f ca="1">IFERROR(__xludf.DUMMYFUNCTION("LOWER(REGEXREPLACE(D1103&amp;"" ""&amp;E1103,""[^а-яa-z0-9 ]"","" ""))")," астенная полка для хранения дидактических материалов психолога  репится к стене   азмеры 1000х200х630")</f>
        <v xml:space="preserve"> астенная полка для хранения дидактических материалов психолога  репится к стене   азмеры 1000х200х630</v>
      </c>
      <c r="C1103" s="61" t="s">
        <v>15364</v>
      </c>
      <c r="D1103" s="56" t="s">
        <v>15365</v>
      </c>
      <c r="E1103" s="56" t="s">
        <v>15366</v>
      </c>
      <c r="F1103" s="57">
        <v>52500</v>
      </c>
      <c r="G1103" s="58">
        <v>5</v>
      </c>
      <c r="I1103" s="5"/>
      <c r="J1103" s="5"/>
    </row>
    <row r="1104" spans="1:10" x14ac:dyDescent="0.2">
      <c r="A1104" s="59" t="str">
        <f ca="1">IFERROR(__xludf.DUMMYFUNCTION("TEXTJOIN(""|"",TRUE,UNIQUE(FILTER(SPLIT(B1104,"" ""),LEN(SPLIT(B1104,"" ""))&gt;2)))"),"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amp;"ующую|требованиям|детских|учреждений")</f>
        <v>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ующую|требованиям|детских|учреждений</v>
      </c>
      <c r="B1104" s="59" t="str">
        <f ca="1">IFERROR(__xludf.DUMMYFUNCTION("LOWER(REGEXREPLACE(D1104&amp;"" ""&amp;E1104,""[^а-яa-z0-9 ]"","" ""))"),"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безопасную"&amp;" конструкцию  соответствующую требованиям детских учреждений ")</f>
        <v xml:space="preserve">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 конструкцию  соответствующую требованиям детских учреждений </v>
      </c>
      <c r="C1104" s="61" t="s">
        <v>15367</v>
      </c>
      <c r="D1104" s="56" t="s">
        <v>15368</v>
      </c>
      <c r="E1104" s="56" t="s">
        <v>15369</v>
      </c>
      <c r="F1104" s="57">
        <v>117000</v>
      </c>
      <c r="G1104" s="58">
        <v>1</v>
      </c>
      <c r="I1104" s="5"/>
      <c r="J1104" s="5"/>
    </row>
    <row r="1105" spans="1:10" x14ac:dyDescent="0.2">
      <c r="A1105" s="59" t="str">
        <f ca="1">IFERROR(__xludf.DUMMYFUNCTION("TEXTJOIN(""|"",TRUE,UNIQUE(FILTER(SPLIT(B1105,"" ""),LEN(SPLIT(B1105,"" ""))&gt;2)))"),"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f>
        <v>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v>
      </c>
      <c r="B1105" s="59" t="str">
        <f ca="1">IFERROR(__xludf.DUMMYFUNCTION("LOWER(REGEXREPLACE(D1105&amp;"" ""&amp;E1105,""[^а-яa-z0-9 ]"","" ""))"),"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о"&amp;"борудованию ")</f>
        <v xml:space="preserve">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оборудованию </v>
      </c>
      <c r="C1105" s="61" t="s">
        <v>15370</v>
      </c>
      <c r="D1105" s="56" t="s">
        <v>15371</v>
      </c>
      <c r="E1105" s="56" t="s">
        <v>15372</v>
      </c>
      <c r="F1105" s="57">
        <v>62500</v>
      </c>
      <c r="G1105" s="58">
        <v>1</v>
      </c>
      <c r="I1105" s="5"/>
      <c r="J1105" s="5"/>
    </row>
    <row r="1106" spans="1:10" x14ac:dyDescent="0.2">
      <c r="A1106" s="59" t="str">
        <f ca="1">IFERROR(__xludf.DUMMYFUNCTION("TEXTJOIN(""|"",TRUE,UNIQUE(FILTER(SPLIT(B1106,"" ""),LEN(SPLIT(B1106,"" ""))&gt;2)))"),"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f>
        <v>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v>
      </c>
      <c r="B1106" s="59" t="str">
        <f ca="1">IFERROR(__xludf.DUMMYFUNCTION("LOWER(REGEXREPLACE(D1106&amp;"" ""&amp;E1106,""[^а-яa-z0-9 ]"","" ""))"),"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f>
        <v xml:space="preserve">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v>
      </c>
      <c r="C1106" s="61" t="s">
        <v>15373</v>
      </c>
      <c r="D1106" s="56" t="s">
        <v>15374</v>
      </c>
      <c r="E1106" s="56" t="s">
        <v>15375</v>
      </c>
      <c r="F1106" s="57">
        <v>110700</v>
      </c>
      <c r="G1106" s="58">
        <v>2</v>
      </c>
      <c r="I1106" s="5"/>
      <c r="J1106" s="5"/>
    </row>
    <row r="1107" spans="1:10" x14ac:dyDescent="0.2">
      <c r="A1107" s="59" t="str">
        <f ca="1">IFERROR(__xludf.DUMMYFUNCTION("TEXTJOIN(""|"",TRUE,UNIQUE(FILTER(SPLIT(B1107,"" ""),LEN(SPLIT(B1107,"" ""))&gt;2)))"),"атяжной|потолок|подсветкой|отолочная|конструкция|встроенной|светодиодной|подсветкой|беспечивает|равномерное|освещение|декоративный|эффект|помещении")</f>
        <v>атяжной|потолок|подсветкой|отолочная|конструкция|встроенной|светодиодной|подсветкой|беспечивает|равномерное|освещение|декоративный|эффект|помещении</v>
      </c>
      <c r="B1107" s="59" t="str">
        <f ca="1">IFERROR(__xludf.DUMMYFUNCTION("LOWER(REGEXREPLACE(D1107&amp;"" ""&amp;E1107,""[^а-яa-z0-9 ]"","" ""))"),"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f>
        <v xml:space="preserve">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v>
      </c>
      <c r="C1107" s="61" t="s">
        <v>15376</v>
      </c>
      <c r="D1107" s="56" t="s">
        <v>15377</v>
      </c>
      <c r="E1107" s="56" t="s">
        <v>15378</v>
      </c>
      <c r="F1107" s="57">
        <v>14400</v>
      </c>
      <c r="G1107" s="58">
        <v>31</v>
      </c>
      <c r="I1107" s="5"/>
      <c r="J1107" s="5"/>
    </row>
    <row r="1108" spans="1:10" x14ac:dyDescent="0.2">
      <c r="A1108" s="59" t="str">
        <f ca="1">IFERROR(__xludf.DUMMYFUNCTION("TEXTJOIN(""|"",TRUE,UNIQUE(FILTER(SPLIT(B1108,"" ""),LEN(SPLIT(B1108,"" ""))&gt;2)))"),"ткрытая|полка|теллаж|секций|азмеры|720x390x1820")</f>
        <v>ткрытая|полка|теллаж|секций|азмеры|720x390x1820</v>
      </c>
      <c r="B1108" s="59" t="str">
        <f ca="1">IFERROR(__xludf.DUMMYFUNCTION("LOWER(REGEXREPLACE(D1108&amp;"" ""&amp;E1108,""[^а-яa-z0-9 ]"","" ""))")," ткрытая полка  теллаж 8 секций  азмеры 720x390x1820 мм")</f>
        <v xml:space="preserve"> ткрытая полка  теллаж 8 секций  азмеры 720x390x1820 мм</v>
      </c>
      <c r="C1108" s="61" t="s">
        <v>15379</v>
      </c>
      <c r="D1108" s="56" t="s">
        <v>15380</v>
      </c>
      <c r="E1108" s="56" t="s">
        <v>15381</v>
      </c>
      <c r="F1108" s="57">
        <v>94500</v>
      </c>
      <c r="G1108" s="58">
        <v>1</v>
      </c>
      <c r="I1108" s="5"/>
      <c r="J1108" s="5"/>
    </row>
    <row r="1109" spans="1:10" x14ac:dyDescent="0.2">
      <c r="A1109" s="59" t="str">
        <f ca="1">IFERROR(__xludf.DUMMYFUNCTION("TEXTJOIN(""|"",TRUE,UNIQUE(FILTER(SPLIT(B1109,"" ""),LEN(SPLIT(B1109,"" ""))&gt;2)))"),"ткрытые|стеллажи|контейнерами|ткрытые|стеллажи|контейнерами|азмеры|1800х430х620мм")</f>
        <v>ткрытые|стеллажи|контейнерами|ткрытые|стеллажи|контейнерами|азмеры|1800х430х620мм</v>
      </c>
      <c r="B1109" s="59" t="str">
        <f ca="1">IFERROR(__xludf.DUMMYFUNCTION("LOWER(REGEXREPLACE(D1109&amp;"" ""&amp;E1109,""[^а-яa-z0-9 ]"","" ""))")," ткрытые стеллажи с контейнерами  ткрытые стеллажи с контейнерами   азмеры 1800х430х620мм")</f>
        <v xml:space="preserve"> ткрытые стеллажи с контейнерами  ткрытые стеллажи с контейнерами   азмеры 1800х430х620мм</v>
      </c>
      <c r="C1109" s="61" t="s">
        <v>15382</v>
      </c>
      <c r="D1109" s="56" t="s">
        <v>15383</v>
      </c>
      <c r="E1109" s="56" t="s">
        <v>15384</v>
      </c>
      <c r="F1109" s="57">
        <v>178500</v>
      </c>
      <c r="G1109" s="58">
        <v>11</v>
      </c>
      <c r="I1109" s="5"/>
      <c r="J1109" s="5"/>
    </row>
    <row r="1110" spans="1:10" x14ac:dyDescent="0.2">
      <c r="A1110" s="59" t="str">
        <f ca="1">IFERROR(__xludf.DUMMYFUNCTION("TEXTJOIN(""|"",TRUE,UNIQUE(FILTER(SPLIT(B1110,"" ""),LEN(SPLIT(B1110,"" ""))&gt;2)))"),"ткрытый|стеллаж|каф|стеллаж|открытый|2000х300х1000мм|орпус|полки|16мм|ячеек|задняя|стенка|5мм")</f>
        <v>ткрытый|стеллаж|каф|стеллаж|открытый|2000х300х1000мм|орпус|полки|16мм|ячеек|задняя|стенка|5мм</v>
      </c>
      <c r="B1110" s="59" t="str">
        <f ca="1">IFERROR(__xludf.DUMMYFUNCTION("LOWER(REGEXREPLACE(D1110&amp;"" ""&amp;E1110,""[^а-яa-z0-9 ]"","" ""))")," ткрытый стеллаж   каф стеллаж открытый 2000х300х1000мм   орпус  полки из      16мм  20 ячеек  задняя стенка из     5мм")</f>
        <v xml:space="preserve"> ткрытый стеллаж   каф стеллаж открытый 2000х300х1000мм   орпус  полки из      16мм  20 ячеек  задняя стенка из     5мм</v>
      </c>
      <c r="C1110" s="61" t="s">
        <v>15385</v>
      </c>
      <c r="D1110" s="56" t="s">
        <v>15386</v>
      </c>
      <c r="E1110" s="63" t="s">
        <v>8976</v>
      </c>
      <c r="F1110" s="57">
        <v>92317</v>
      </c>
      <c r="G1110" s="58">
        <v>134</v>
      </c>
      <c r="I1110" s="5"/>
      <c r="J1110" s="5"/>
    </row>
    <row r="1111" spans="1:10" x14ac:dyDescent="0.2">
      <c r="A1111" s="59" t="str">
        <f ca="1">IFERROR(__xludf.DUMMYFUNCTION("TEXTJOIN(""|"",TRUE,UNIQUE(FILTER(SPLIT(B1111,"" ""),LEN(SPLIT(B1111,"" ""))&gt;2)))"),"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amp;"1180|ширина|580|тол|устойчивый|безопасными|округлыми|кромками|рассчитан|ежедневное|использование|детских|учреждениях")</f>
        <v>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1180|ширина|580|тол|устойчивый|безопасными|округлыми|кромками|рассчитан|ежедневное|использование|детских|учреждениях</v>
      </c>
      <c r="B1111" s="59" t="str">
        <f ca="1">IFERROR(__xludf.DUMMYFUNCTION("LOWER(REGEXREPLACE(D1111&amp;"" ""&amp;E1111,""[^а-яa-z0-9 ]"","" ""))"),"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аз"&amp;"меры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f>
        <v xml:space="preserve">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v>
      </c>
      <c r="C1111" s="61" t="s">
        <v>15387</v>
      </c>
      <c r="D1111" s="56" t="s">
        <v>15388</v>
      </c>
      <c r="E1111" s="56" t="s">
        <v>15389</v>
      </c>
      <c r="F1111" s="57">
        <v>94500</v>
      </c>
      <c r="G1111" s="58">
        <v>5</v>
      </c>
      <c r="I1111" s="5"/>
      <c r="J1111" s="5"/>
    </row>
    <row r="1112" spans="1:10" x14ac:dyDescent="0.2">
      <c r="A1112" s="59" t="str">
        <f ca="1">IFERROR(__xludf.DUMMYFUNCTION("TEXTJOIN(""|"",TRUE,UNIQUE(FILTER(SPLIT(B1112,"" ""),LEN(SPLIT(B1112,"" ""))&gt;2)))"),"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amp;"о|хранения|инвентаря")</f>
        <v>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о|хранения|инвентаря</v>
      </c>
      <c r="B1112" s="59" t="str">
        <f ca="1">IFERROR(__xludf.DUMMYFUNCTION("LOWER(REGEXREPLACE(D1112&amp;"" ""&amp;E1112,""[^а-яa-z0-9 ]"","" ""))"),"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удобног"&amp;"о доступа и безопасного хранения инвентаря ")</f>
        <v xml:space="preserve">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удобного доступа и безопасного хранения инвентаря </v>
      </c>
      <c r="C1112" s="61" t="s">
        <v>15390</v>
      </c>
      <c r="D1112" s="56" t="s">
        <v>15391</v>
      </c>
      <c r="E1112" s="56" t="s">
        <v>15392</v>
      </c>
      <c r="F1112" s="57">
        <v>315000</v>
      </c>
      <c r="G1112" s="58">
        <v>0</v>
      </c>
      <c r="I1112" s="5"/>
      <c r="J1112" s="5"/>
    </row>
    <row r="1113" spans="1:10" x14ac:dyDescent="0.2">
      <c r="A1113" s="59" t="str">
        <f ca="1">IFERROR(__xludf.DUMMYFUNCTION("TEXTJOIN(""|"",TRUE,UNIQUE(FILTER(SPLIT(B1113,"" ""),LEN(SPLIT(B1113,"" ""))&gt;2)))"),"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amp;"стах|соприкосновения|инструментом")</f>
        <v>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стах|соприкосновения|инструментом</v>
      </c>
      <c r="B1113" s="59" t="str">
        <f ca="1">IFERROR(__xludf.DUMMYFUNCTION("LOWER(REGEXREPLACE(D1113&amp;"" ""&amp;E1113,""[^а-яa-z0-9 ]"","" ""))"),"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защи"&amp;"тными элементами в местах соприкосновения с инструментом ")</f>
        <v xml:space="preserve">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защитными элементами в местах соприкосновения с инструментом </v>
      </c>
      <c r="C1113" s="61" t="s">
        <v>15393</v>
      </c>
      <c r="D1113" s="56" t="s">
        <v>15394</v>
      </c>
      <c r="E1113" s="56" t="s">
        <v>15395</v>
      </c>
      <c r="F1113" s="57">
        <v>17600</v>
      </c>
      <c r="G1113" s="58">
        <v>0</v>
      </c>
      <c r="I1113" s="5"/>
      <c r="J1113" s="5"/>
    </row>
    <row r="1114" spans="1:10" x14ac:dyDescent="0.2">
      <c r="A1114" s="59" t="str">
        <f ca="1">IFERROR(__xludf.DUMMYFUNCTION("TEXTJOIN(""|"",TRUE,UNIQUE(FILTER(SPLIT(B1114,"" ""),LEN(SPLIT(B1114,"" ""))&gt;2)))"),"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f>
        <v>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v>
      </c>
      <c r="B1114" s="59" t="str">
        <f ca="1">IFERROR(__xludf.DUMMYFUNCTION("LOWER(REGEXREPLACE(D1114&amp;"" ""&amp;E1114,""[^а-яa-z0-9 ]"","" ""))"),"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f>
        <v xml:space="preserve">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v>
      </c>
      <c r="C1114" s="61" t="s">
        <v>15396</v>
      </c>
      <c r="D1114" s="56" t="s">
        <v>15397</v>
      </c>
      <c r="E1114" s="56" t="s">
        <v>15398</v>
      </c>
      <c r="F1114" s="57">
        <v>136500</v>
      </c>
      <c r="G1114" s="58">
        <v>5</v>
      </c>
      <c r="I1114" s="5"/>
      <c r="J1114" s="5"/>
    </row>
    <row r="1115" spans="1:10" x14ac:dyDescent="0.2">
      <c r="A1115" s="59" t="str">
        <f ca="1">IFERROR(__xludf.DUMMYFUNCTION("TEXTJOIN(""|"",TRUE,UNIQUE(FILTER(SPLIT(B1115,"" ""),LEN(SPLIT(B1115,"" ""))&gt;2)))"),"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f>
        <v>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v>
      </c>
      <c r="B1115" s="59" t="str">
        <f ca="1">IFERROR(__xludf.DUMMYFUNCTION("LOWER(REGEXREPLACE(D1115&amp;"" ""&amp;E1115,""[^а-яa-z0-9 ]"","" ""))"),"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f>
        <v xml:space="preserve">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v>
      </c>
      <c r="C1115" s="61" t="s">
        <v>15399</v>
      </c>
      <c r="D1115" s="56" t="s">
        <v>15400</v>
      </c>
      <c r="E1115" s="56" t="s">
        <v>15401</v>
      </c>
      <c r="F1115" s="57">
        <v>31500</v>
      </c>
      <c r="G1115" s="58">
        <v>20</v>
      </c>
      <c r="I1115" s="5"/>
      <c r="J1115" s="5"/>
    </row>
    <row r="1116" spans="1:10" x14ac:dyDescent="0.2">
      <c r="A1116" s="59" t="str">
        <f ca="1">IFERROR(__xludf.DUMMYFUNCTION("TEXTJOIN(""|"",TRUE,UNIQUE(FILTER(SPLIT(B1116,"" ""),LEN(SPLIT(B1116,"" ""))&gt;2)))"),"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amp;"ивая|безопасная|для|использования|помещениях")</f>
        <v>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ивая|безопасная|для|использования|помещениях</v>
      </c>
      <c r="B1116" s="59" t="str">
        <f ca="1">IFERROR(__xludf.DUMMYFUNCTION("LOWER(REGEXREPLACE(D1116&amp;"" ""&amp;E1116,""[^а-яa-z0-9 ]"","" ""))"),"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"&amp;" онструкция устойчивая и безопасная для использования в помещениях     ")</f>
        <v xml:space="preserve">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онструкция устойчивая и безопасная для использования в помещениях     </v>
      </c>
      <c r="C1116" s="61" t="s">
        <v>15402</v>
      </c>
      <c r="D1116" s="56" t="s">
        <v>15403</v>
      </c>
      <c r="E1116" s="56" t="s">
        <v>15404</v>
      </c>
      <c r="F1116" s="57">
        <v>25200</v>
      </c>
      <c r="G1116" s="58">
        <v>3</v>
      </c>
      <c r="I1116" s="5"/>
      <c r="J1116" s="5"/>
    </row>
    <row r="1117" spans="1:10" x14ac:dyDescent="0.2">
      <c r="A1117" s="59" t="str">
        <f ca="1">IFERROR(__xludf.DUMMYFUNCTION("TEXTJOIN(""|"",TRUE,UNIQUE(FILTER(SPLIT(B1117,"" ""),LEN(SPLIT(B1117,"" ""))&gt;2)))"),"одставка|vpn7|азмеры|800x574x550")</f>
        <v>одставка|vpn7|азмеры|800x574x550</v>
      </c>
      <c r="B1117" s="59" t="str">
        <f ca="1">IFERROR(__xludf.DUMMYFUNCTION("LOWER(REGEXREPLACE(D1117&amp;"" ""&amp;E1117,""[^а-яa-z0-9 ]"","" ""))")," одставка vpn7 4  азмеры  800x574x550 мм")</f>
        <v xml:space="preserve"> одставка vpn7 4  азмеры  800x574x550 мм</v>
      </c>
      <c r="C1117" s="61" t="s">
        <v>15405</v>
      </c>
      <c r="D1117" s="56" t="s">
        <v>15406</v>
      </c>
      <c r="E1117" s="56" t="s">
        <v>15407</v>
      </c>
      <c r="F1117" s="57">
        <v>219200</v>
      </c>
      <c r="G1117" s="58">
        <v>2</v>
      </c>
      <c r="I1117" s="5"/>
      <c r="J1117" s="5"/>
    </row>
    <row r="1118" spans="1:10" x14ac:dyDescent="0.2">
      <c r="A1118" s="59" t="str">
        <f ca="1">IFERROR(__xludf.DUMMYFUNCTION("TEXTJOIN(""|"",TRUE,UNIQUE(FILTER(SPLIT(B1118,"" ""),LEN(SPLIT(B1118,"" ""))&gt;2)))"),"одставка|vpn7|азмеры|1200x574x550")</f>
        <v>одставка|vpn7|азмеры|1200x574x550</v>
      </c>
      <c r="B1118" s="59" t="str">
        <f ca="1">IFERROR(__xludf.DUMMYFUNCTION("LOWER(REGEXREPLACE(D1118&amp;"" ""&amp;E1118,""[^а-яa-z0-9 ]"","" ""))")," одставка vpn7 5  азмеры  1200x574x550 мм")</f>
        <v xml:space="preserve"> одставка vpn7 5  азмеры  1200x574x550 мм</v>
      </c>
      <c r="C1118" s="61" t="s">
        <v>15408</v>
      </c>
      <c r="D1118" s="56" t="s">
        <v>15409</v>
      </c>
      <c r="E1118" s="56" t="s">
        <v>15410</v>
      </c>
      <c r="F1118" s="57">
        <v>290300</v>
      </c>
      <c r="G1118" s="58">
        <v>2</v>
      </c>
      <c r="I1118" s="5"/>
      <c r="J1118" s="5"/>
    </row>
    <row r="1119" spans="1:10" x14ac:dyDescent="0.2">
      <c r="A1119" s="59" t="str">
        <f ca="1">IFERROR(__xludf.DUMMYFUNCTION("TEXTJOIN(""|"",TRUE,UNIQUE(FILTER(SPLIT(B1119,"" ""),LEN(SPLIT(B1119,"" ""))&gt;2)))"),"одтоварник|st50120|ержавеющая|сталь|430|перфорированной|полкой|араметры|1200x500x300")</f>
        <v>одтоварник|st50120|ержавеющая|сталь|430|перфорированной|полкой|араметры|1200x500x300</v>
      </c>
      <c r="B1119" s="59" t="str">
        <f ca="1">IFERROR(__xludf.DUMMYFUNCTION("LOWER(REGEXREPLACE(D1119&amp;"" ""&amp;E1119,""[^а-яa-z0-9 ]"","" ""))")," одтоварник ce st50120  ержавеющая сталь 430    перфорированной полкой   араметры  1200x500x300 mm")</f>
        <v xml:space="preserve"> одтоварник ce st50120  ержавеющая сталь 430    перфорированной полкой   араметры  1200x500x300 mm</v>
      </c>
      <c r="C1119" s="61" t="s">
        <v>15411</v>
      </c>
      <c r="D1119" s="56" t="s">
        <v>15412</v>
      </c>
      <c r="E1119" s="56" t="s">
        <v>15413</v>
      </c>
      <c r="F1119" s="57">
        <v>156800</v>
      </c>
      <c r="G1119" s="58">
        <v>3</v>
      </c>
      <c r="I1119" s="5"/>
      <c r="J1119" s="5"/>
    </row>
    <row r="1120" spans="1:10" x14ac:dyDescent="0.2">
      <c r="A1120" s="59" t="str">
        <f ca="1">IFERROR(__xludf.DUMMYFUNCTION("TEXTJOIN(""|"",TRUE,UNIQUE(FILTER(SPLIT(B1120,"" ""),LEN(SPLIT(B1120,"" ""))&gt;2)))"),"олка|для|вытяжки|dofr320x40|ержавеющая|сталь|430|араметры|3200x400x500")</f>
        <v>олка|для|вытяжки|dofr320x40|ержавеющая|сталь|430|араметры|3200x400x500</v>
      </c>
      <c r="B1120" s="59" t="str">
        <f ca="1">IFERROR(__xludf.DUMMYFUNCTION("LOWER(REGEXREPLACE(D1120&amp;"" ""&amp;E1120,""[^а-яa-z0-9 ]"","" ""))")," олка для вытяжки ce dofr320x40  ержавеющая сталь 430   араметры  3200x400x500 мм")</f>
        <v xml:space="preserve"> олка для вытяжки ce dofr320x40  ержавеющая сталь 430   араметры  3200x400x500 мм</v>
      </c>
      <c r="C1120" s="61" t="s">
        <v>15414</v>
      </c>
      <c r="D1120" s="56" t="s">
        <v>15415</v>
      </c>
      <c r="E1120" s="56" t="s">
        <v>15416</v>
      </c>
      <c r="F1120" s="57">
        <v>388200</v>
      </c>
      <c r="G1120" s="58">
        <v>1</v>
      </c>
      <c r="I1120" s="5"/>
      <c r="J1120" s="5"/>
    </row>
    <row r="1121" spans="1:10" x14ac:dyDescent="0.2">
      <c r="A1121" s="59" t="str">
        <f ca="1">IFERROR(__xludf.DUMMYFUNCTION("TEXTJOIN(""|"",TRUE,UNIQUE(FILTER(SPLIT(B1121,"" ""),LEN(SPLIT(B1121,"" ""))&gt;2)))"),"олка|для|книг|олка|предназначена|для|хранения|детской|методической|литературы|азмеры|ирина|540|лубина360|ысота|460")</f>
        <v>олка|для|книг|олка|предназначена|для|хранения|детской|методической|литературы|азмеры|ирина|540|лубина360|ысота|460</v>
      </c>
      <c r="B1121" s="59" t="str">
        <f ca="1">IFERROR(__xludf.DUMMYFUNCTION("LOWER(REGEXREPLACE(D1121&amp;"" ""&amp;E1121,""[^а-яa-z0-9 ]"","" ""))")," олка для книг  олка предназначена для хранения детской и методической литературы   азмеры   ирина 540 мм  лубина360 мм  ысота 460 мм")</f>
        <v xml:space="preserve"> олка для книг  олка предназначена для хранения детской и методической литературы   азмеры   ирина 540 мм  лубина360 мм  ысота 460 мм</v>
      </c>
      <c r="C1121" s="61" t="s">
        <v>15417</v>
      </c>
      <c r="D1121" s="56" t="s">
        <v>26</v>
      </c>
      <c r="E1121" s="56" t="s">
        <v>15418</v>
      </c>
      <c r="F1121" s="57">
        <v>252000</v>
      </c>
      <c r="G1121" s="58">
        <v>2</v>
      </c>
      <c r="I1121" s="5"/>
      <c r="J1121" s="5"/>
    </row>
    <row r="1122" spans="1:10" x14ac:dyDescent="0.2">
      <c r="A1122" s="59" t="str">
        <f ca="1">IFERROR(__xludf.DUMMYFUNCTION("TEXTJOIN(""|"",TRUE,UNIQUE(FILTER(SPLIT(B1122,"" ""),LEN(SPLIT(B1122,"" ""))&gt;2)))"),"олка|книжная|настенная|астенная|книжная|полка|азмеры|ирина|530|лубина120|ысота|800")</f>
        <v>олка|книжная|настенная|астенная|книжная|полка|азмеры|ирина|530|лубина120|ысота|800</v>
      </c>
      <c r="B1122" s="59" t="str">
        <f ca="1">IFERROR(__xludf.DUMMYFUNCTION("LOWER(REGEXREPLACE(D1122&amp;"" ""&amp;E1122,""[^а-яa-z0-9 ]"","" ""))")," олка книжная настенная  астенная книжная полка   азмеры   ирина 530 мм   лубина120 мм   ысота 800 мм")</f>
        <v xml:space="preserve"> олка книжная настенная  астенная книжная полка   азмеры   ирина 530 мм   лубина120 мм   ысота 800 мм</v>
      </c>
      <c r="C1122" s="61" t="s">
        <v>15419</v>
      </c>
      <c r="D1122" s="56" t="s">
        <v>15420</v>
      </c>
      <c r="E1122" s="56" t="s">
        <v>15421</v>
      </c>
      <c r="F1122" s="57">
        <v>126000</v>
      </c>
      <c r="G1122" s="58">
        <v>1</v>
      </c>
      <c r="I1122" s="5"/>
      <c r="J1122" s="5"/>
    </row>
    <row r="1123" spans="1:10" x14ac:dyDescent="0.2">
      <c r="A1123" s="59" t="str">
        <f ca="1">IFERROR(__xludf.DUMMYFUNCTION("TEXTJOIN(""|"",TRUE,UNIQUE(FILTER(SPLIT(B1123,"" ""),LEN(SPLIT(B1123,"" ""))&gt;2)))"),"олка|настенная|dr140x30|ержавеющая|сталь|430|динарная|араметры|1400x300x40")</f>
        <v>олка|настенная|dr140x30|ержавеющая|сталь|430|динарная|араметры|1400x300x40</v>
      </c>
      <c r="B1123" s="59" t="str">
        <f ca="1">IFERROR(__xludf.DUMMYFUNCTION("LOWER(REGEXREPLACE(D1123&amp;"" ""&amp;E1123,""[^а-яa-z0-9 ]"","" ""))")," олка настенная ce dr140x30  ержавеющая сталь 430   динарная   араметры  1400x300x40 мм")</f>
        <v xml:space="preserve"> олка настенная ce dr140x30  ержавеющая сталь 430   динарная   араметры  1400x300x40 мм</v>
      </c>
      <c r="C1123" s="61" t="s">
        <v>15422</v>
      </c>
      <c r="D1123" s="56" t="s">
        <v>15423</v>
      </c>
      <c r="E1123" s="56" t="s">
        <v>15424</v>
      </c>
      <c r="F1123" s="57">
        <v>72300</v>
      </c>
      <c r="G1123" s="58">
        <v>1</v>
      </c>
      <c r="I1123" s="5"/>
      <c r="J1123" s="5"/>
    </row>
    <row r="1124" spans="1:10" x14ac:dyDescent="0.2">
      <c r="A1124" s="59" t="str">
        <f ca="1">IFERROR(__xludf.DUMMYFUNCTION("TEXTJOIN(""|"",TRUE,UNIQUE(FILTER(SPLIT(B1124,"" ""),LEN(SPLIT(B1124,"" ""))&gt;2)))"),"олка|настенная|dr150x30|ержавеющая|сталь|430|азмеры|1500х300х40")</f>
        <v>олка|настенная|dr150x30|ержавеющая|сталь|430|азмеры|1500х300х40</v>
      </c>
      <c r="B1124" s="59" t="str">
        <f ca="1">IFERROR(__xludf.DUMMYFUNCTION("LOWER(REGEXREPLACE(D1124&amp;"" ""&amp;E1124,""[^а-яa-z0-9 ]"","" ""))")," олка настенная ce dr150x30  ержавеющая сталь 430   азмеры 1500х300х40 мм")</f>
        <v xml:space="preserve"> олка настенная ce dr150x30  ержавеющая сталь 430   азмеры 1500х300х40 мм</v>
      </c>
      <c r="C1124" s="61" t="s">
        <v>15425</v>
      </c>
      <c r="D1124" s="56" t="s">
        <v>15426</v>
      </c>
      <c r="E1124" s="56" t="s">
        <v>15427</v>
      </c>
      <c r="F1124" s="57">
        <v>74700</v>
      </c>
      <c r="G1124" s="58">
        <v>3</v>
      </c>
      <c r="I1124" s="5"/>
      <c r="J1124" s="5"/>
    </row>
    <row r="1125" spans="1:10" x14ac:dyDescent="0.2">
      <c r="A1125" s="59" t="str">
        <f ca="1">IFERROR(__xludf.DUMMYFUNCTION("TEXTJOIN(""|"",TRUE,UNIQUE(FILTER(SPLIT(B1125,"" ""),LEN(SPLIT(B1125,"" ""))&gt;2)))"),"олка|настенная|dr180x30|ержавеющая|сталь|430|динарная|араметры|1800x300x40")</f>
        <v>олка|настенная|dr180x30|ержавеющая|сталь|430|динарная|араметры|1800x300x40</v>
      </c>
      <c r="B1125" s="59" t="str">
        <f ca="1">IFERROR(__xludf.DUMMYFUNCTION("LOWER(REGEXREPLACE(D1125&amp;"" ""&amp;E1125,""[^а-яa-z0-9 ]"","" ""))")," олка настенная ce dr180x30  ержавеющая сталь 430   динарная   араметры  1800x300x40 мм ")</f>
        <v xml:space="preserve"> олка настенная ce dr180x30  ержавеющая сталь 430   динарная   араметры  1800x300x40 мм </v>
      </c>
      <c r="C1125" s="61" t="s">
        <v>15428</v>
      </c>
      <c r="D1125" s="56" t="s">
        <v>15429</v>
      </c>
      <c r="E1125" s="56" t="s">
        <v>15430</v>
      </c>
      <c r="F1125" s="57">
        <v>83300</v>
      </c>
      <c r="G1125" s="58">
        <v>3</v>
      </c>
      <c r="I1125" s="5"/>
      <c r="J1125" s="5"/>
    </row>
    <row r="1126" spans="1:10" x14ac:dyDescent="0.2">
      <c r="A1126" s="59" t="str">
        <f ca="1">IFERROR(__xludf.DUMMYFUNCTION("TEXTJOIN(""|"",TRUE,UNIQUE(FILTER(SPLIT(B1126,"" ""),LEN(SPLIT(B1126,"" ""))&gt;2)))"),"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amp;"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amp;"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f>
        <v>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v>
      </c>
      <c r="B1126" s="59" t="str">
        <f ca="1">IFERROR(__xludf.DUMMYFUNCTION("LOWER(REGEXREPLACE(D1126&amp;"" ""&amp;E1126,""[^а-яa-z0-9 ]"","" ""))"),"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не"&amp;"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ис"&amp;"тиранию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индивид"&amp;"уальной работы и релаксации ")</f>
        <v xml:space="preserve">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индивидуальной работы и релаксации </v>
      </c>
      <c r="C1126" s="61" t="s">
        <v>15431</v>
      </c>
      <c r="D1126" s="56" t="s">
        <v>15432</v>
      </c>
      <c r="E1126" s="56" t="s">
        <v>15433</v>
      </c>
      <c r="F1126" s="57">
        <v>73500</v>
      </c>
      <c r="G1126" s="58">
        <v>5</v>
      </c>
      <c r="I1126" s="5"/>
      <c r="J1126" s="5"/>
    </row>
    <row r="1127" spans="1:10" x14ac:dyDescent="0.2">
      <c r="A1127" s="59" t="str">
        <f ca="1">IFERROR(__xludf.DUMMYFUNCTION("TEXTJOIN(""|"",TRUE,UNIQUE(FILTER(SPLIT(B1127,"" ""),LEN(SPLIT(B1127,"" ""))&gt;2)))"),"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f>
        <v>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v>
      </c>
      <c r="B1127" s="59" t="str">
        <f ca="1">IFERROR(__xludf.DUMMYFUNCTION("LOWER(REGEXREPLACE(D1127&amp;"" ""&amp;E1127,""[^а-яa-z0-9 ]"","" ""))"),"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ткань"&amp;"  ксфорд  чехол съ мный   вет   ж лтый ")</f>
        <v xml:space="preserve">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  ксфорд  чехол съ мный   вет   ж лтый </v>
      </c>
      <c r="C1127" s="61" t="s">
        <v>15434</v>
      </c>
      <c r="D1127" s="56" t="s">
        <v>15435</v>
      </c>
      <c r="E1127" s="56" t="s">
        <v>15436</v>
      </c>
      <c r="F1127" s="57">
        <v>84000</v>
      </c>
      <c r="G1127" s="58">
        <v>2</v>
      </c>
      <c r="I1127" s="5"/>
      <c r="J1127" s="5"/>
    </row>
    <row r="1128" spans="1:10" x14ac:dyDescent="0.2">
      <c r="A1128" s="59" t="str">
        <f ca="1">IFERROR(__xludf.DUMMYFUNCTION("TEXTJOIN(""|"",TRUE,UNIQUE(FILTER(SPLIT(B1128,"" ""),LEN(SPLIT(B1128,"" ""))&gt;2)))"),"ервисная|полка|двухуровневая|sr2180x40|ержавеющая|сталь|430|уровневая|азмеры|1800x400x700")</f>
        <v>ервисная|полка|двухуровневая|sr2180x40|ержавеющая|сталь|430|уровневая|азмеры|1800x400x700</v>
      </c>
      <c r="B1128" s="59" t="str">
        <f ca="1">IFERROR(__xludf.DUMMYFUNCTION("LOWER(REGEXREPLACE(D1128&amp;"" ""&amp;E1128,""[^а-яa-z0-9 ]"","" ""))")," ервисная полка двухуровневая ce sr2180x40  ержавеющая сталь 430  2 х уровневая  азмеры  1800x400x700 мм")</f>
        <v xml:space="preserve"> ервисная полка двухуровневая ce sr2180x40  ержавеющая сталь 430  2 х уровневая  азмеры  1800x400x700 мм</v>
      </c>
      <c r="C1128" s="61" t="s">
        <v>15437</v>
      </c>
      <c r="D1128" s="56" t="s">
        <v>15438</v>
      </c>
      <c r="E1128" s="56" t="s">
        <v>15439</v>
      </c>
      <c r="F1128" s="57">
        <v>224100</v>
      </c>
      <c r="G1128" s="58">
        <v>1</v>
      </c>
      <c r="I1128" s="5"/>
      <c r="J1128" s="5"/>
    </row>
    <row r="1129" spans="1:10" x14ac:dyDescent="0.2">
      <c r="A1129" s="59" t="str">
        <f ca="1">IFERROR(__xludf.DUMMYFUNCTION("TEXTJOIN(""|"",TRUE,UNIQUE(FILTER(SPLIT(B1129,"" ""),LEN(SPLIT(B1129,"" ""))&gt;2)))"),"теллаж|открытый|теллаж|азмеры|900|340|700")</f>
        <v>теллаж|открытый|теллаж|азмеры|900|340|700</v>
      </c>
      <c r="B1129" s="59" t="str">
        <f ca="1">IFERROR(__xludf.DUMMYFUNCTION("LOWER(REGEXREPLACE(D1129&amp;"" ""&amp;E1129,""[^а-яa-z0-9 ]"","" ""))")," теллаж  открытый   теллаж   азмеры 900 340 700 мм")</f>
        <v xml:space="preserve"> теллаж  открытый   теллаж   азмеры 900 340 700 мм</v>
      </c>
      <c r="C1129" s="61" t="s">
        <v>15440</v>
      </c>
      <c r="D1129" s="56" t="s">
        <v>15441</v>
      </c>
      <c r="E1129" s="56" t="s">
        <v>15442</v>
      </c>
      <c r="F1129" s="57">
        <v>168000</v>
      </c>
      <c r="G1129" s="58">
        <v>4</v>
      </c>
      <c r="I1129" s="5"/>
      <c r="J1129" s="5"/>
    </row>
    <row r="1130" spans="1:10" x14ac:dyDescent="0.2">
      <c r="A1130" s="59" t="str">
        <f ca="1">IFERROR(__xludf.DUMMYFUNCTION("TEXTJOIN(""|"",TRUE,UNIQUE(FILTER(SPLIT(B1130,"" ""),LEN(SPLIT(B1130,"" ""))&gt;2)))"),"теллаж|детский|игровой|выкатными|ящиками|акрытый|стеллаж|сть|секции|закрывающимися|дверцами|выдвижных|ящика|азмер|730х434х1148")</f>
        <v>теллаж|детский|игровой|выкатными|ящиками|акрытый|стеллаж|сть|секции|закрывающимися|дверцами|выдвижных|ящика|азмер|730х434х1148</v>
      </c>
      <c r="B1130" s="59" t="str">
        <f ca="1">IFERROR(__xludf.DUMMYFUNCTION("LOWER(REGEXREPLACE(D1130&amp;"" ""&amp;E1130,""[^а-яa-z0-9 ]"","" ""))")," теллаж детский игровой с выкатными ящиками  акрытый стеллаж   сть 4 секции с закрывающимися дверцами и 2 выдвижных ящика   азмер  730х434х1148 мм    х х   ")</f>
        <v xml:space="preserve"> теллаж детский игровой с выкатными ящиками  акрытый стеллаж   сть 4 секции с закрывающимися дверцами и 2 выдвижных ящика   азмер  730х434х1148 мм    х х   </v>
      </c>
      <c r="C1130" s="61" t="s">
        <v>15443</v>
      </c>
      <c r="D1130" s="56" t="s">
        <v>15444</v>
      </c>
      <c r="E1130" s="56" t="s">
        <v>15445</v>
      </c>
      <c r="F1130" s="57">
        <v>483000</v>
      </c>
      <c r="G1130" s="58">
        <v>2</v>
      </c>
      <c r="I1130" s="5"/>
      <c r="J1130" s="5"/>
    </row>
    <row r="1131" spans="1:10" x14ac:dyDescent="0.2">
      <c r="A1131" s="59" t="str">
        <f ca="1">IFERROR(__xludf.DUMMYFUNCTION("TEXTJOIN(""|"",TRUE,UNIQUE(FILTER(SPLIT(B1131,"" ""),LEN(SPLIT(B1131,"" ""))&gt;2)))"),"теллаж|для|дидактических|материалов|азмеры|ирина|1000|глубина|300|высота|1280")</f>
        <v>теллаж|для|дидактических|материалов|азмеры|ирина|1000|глубина|300|высота|1280</v>
      </c>
      <c r="B1131" s="59" t="str">
        <f ca="1">IFERROR(__xludf.DUMMYFUNCTION("LOWER(REGEXREPLACE(D1131&amp;"" ""&amp;E1131,""[^а-яa-z0-9 ]"","" ""))")," теллаж для дидактических материалов  азмеры   ирина 1000 мм  глубина 300 мм  высота 1280 мм")</f>
        <v xml:space="preserve"> теллаж для дидактических материалов  азмеры   ирина 1000 мм  глубина 300 мм  высота 1280 мм</v>
      </c>
      <c r="C1131" s="61" t="s">
        <v>15446</v>
      </c>
      <c r="D1131" s="56" t="s">
        <v>15447</v>
      </c>
      <c r="E1131" s="56" t="s">
        <v>15448</v>
      </c>
      <c r="F1131" s="57">
        <v>163800</v>
      </c>
      <c r="G1131" s="58">
        <v>1</v>
      </c>
      <c r="I1131" s="5"/>
      <c r="J1131" s="5"/>
    </row>
    <row r="1132" spans="1:10" x14ac:dyDescent="0.2">
      <c r="A1132" s="59" t="str">
        <f ca="1">IFERROR(__xludf.DUMMYFUNCTION("TEXTJOIN(""|"",TRUE,UNIQUE(FILTER(SPLIT(B1132,"" ""),LEN(SPLIT(B1132,"" ""))&gt;2)))"),"теллаж|металлический|еталлический|стеллаж|предназначен|для|хранения|инвентаря|материалов|тличается|прочностью|устойчивостью|долговечностью|азмеры|2500х1000х600")</f>
        <v>теллаж|металлический|еталлический|стеллаж|предназначен|для|хранения|инвентаря|материалов|тличается|прочностью|устойчивостью|долговечностью|азмеры|2500х1000х600</v>
      </c>
      <c r="B1132" s="59" t="str">
        <f ca="1">IFERROR(__xludf.DUMMYFUNCTION("LOWER(REGEXREPLACE(D1132&amp;"" ""&amp;E1132,""[^а-яa-z0-9 ]"","" ""))"),"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f>
        <v xml:space="preserve">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v>
      </c>
      <c r="C1132" s="61" t="s">
        <v>15449</v>
      </c>
      <c r="D1132" s="56" t="s">
        <v>1325</v>
      </c>
      <c r="E1132" s="56" t="s">
        <v>15450</v>
      </c>
      <c r="F1132" s="57">
        <v>73500</v>
      </c>
      <c r="G1132" s="58">
        <v>8</v>
      </c>
      <c r="I1132" s="5"/>
      <c r="J1132" s="5"/>
    </row>
    <row r="1133" spans="1:10" x14ac:dyDescent="0.2">
      <c r="A1133" s="59" t="str">
        <f ca="1">IFERROR(__xludf.DUMMYFUNCTION("TEXTJOIN(""|"",TRUE,UNIQUE(FILTER(SPLIT(B1133,"" ""),LEN(SPLIT(B1133,"" ""))&gt;2)))"),"теллаж|ir120x40x180|ержавеющая|сталь|430|сплошными|полками|азмеры|1200x400x1800")</f>
        <v>теллаж|ir120x40x180|ержавеющая|сталь|430|сплошными|полками|азмеры|1200x400x1800</v>
      </c>
      <c r="B1133" s="59" t="str">
        <f ca="1">IFERROR(__xludf.DUMMYFUNCTION("LOWER(REGEXREPLACE(D1133&amp;"" ""&amp;E1133,""[^а-яa-z0-9 ]"","" ""))")," теллаж ce ir120x40x180  ержавеющая сталь 430    4 сплошными полками   азмеры  1200x400x1800 мм")</f>
        <v xml:space="preserve"> теллаж ce ir120x40x180  ержавеющая сталь 430    4 сплошными полками   азмеры  1200x400x1800 мм</v>
      </c>
      <c r="C1133" s="61" t="s">
        <v>15451</v>
      </c>
      <c r="D1133" s="56" t="s">
        <v>15452</v>
      </c>
      <c r="E1133" s="56" t="s">
        <v>15453</v>
      </c>
      <c r="F1133" s="57">
        <v>328200</v>
      </c>
      <c r="G1133" s="58">
        <v>1</v>
      </c>
      <c r="I1133" s="5"/>
      <c r="J1133" s="5"/>
    </row>
    <row r="1134" spans="1:10" x14ac:dyDescent="0.2">
      <c r="A1134" s="59" t="str">
        <f ca="1">IFERROR(__xludf.DUMMYFUNCTION("TEXTJOIN(""|"",TRUE,UNIQUE(FILTER(SPLIT(B1134,"" ""),LEN(SPLIT(B1134,"" ""))&gt;2)))"),"теллаж|ir120x50x180|ержавеющая|сталь|430|сплошными|полками|азмеры|1200x500x1800")</f>
        <v>теллаж|ir120x50x180|ержавеющая|сталь|430|сплошными|полками|азмеры|1200x500x1800</v>
      </c>
      <c r="B1134" s="59" t="str">
        <f ca="1">IFERROR(__xludf.DUMMYFUNCTION("LOWER(REGEXREPLACE(D1134&amp;"" ""&amp;E1134,""[^а-яa-z0-9 ]"","" ""))")," теллаж ce ir120x50x180  ержавеющая сталь 430    4 сплошными полками   азмеры  1200x500x1800 мм")</f>
        <v xml:space="preserve"> теллаж ce ir120x50x180  ержавеющая сталь 430    4 сплошными полками   азмеры  1200x500x1800 мм</v>
      </c>
      <c r="C1134" s="61" t="s">
        <v>15454</v>
      </c>
      <c r="D1134" s="56" t="s">
        <v>15455</v>
      </c>
      <c r="E1134" s="56" t="s">
        <v>15456</v>
      </c>
      <c r="F1134" s="57">
        <v>354000</v>
      </c>
      <c r="G1134" s="58">
        <v>1</v>
      </c>
      <c r="I1134" s="5"/>
      <c r="J1134" s="5"/>
    </row>
    <row r="1135" spans="1:10" x14ac:dyDescent="0.2">
      <c r="A1135" s="59" t="str">
        <f ca="1">IFERROR(__xludf.DUMMYFUNCTION("TEXTJOIN(""|"",TRUE,UNIQUE(FILTER(SPLIT(B1135,"" ""),LEN(SPLIT(B1135,"" ""))&gt;2)))"),"теллаж|ir130x40x180|ержавеющая|сталь|430|сплошными|полками|азмеры|1300x400x1800")</f>
        <v>теллаж|ir130x40x180|ержавеющая|сталь|430|сплошными|полками|азмеры|1300x400x1800</v>
      </c>
      <c r="B1135" s="59" t="str">
        <f ca="1">IFERROR(__xludf.DUMMYFUNCTION("LOWER(REGEXREPLACE(D1135&amp;"" ""&amp;E1135,""[^а-яa-z0-9 ]"","" ""))")," теллаж ce ir130x40x180  ержавеющая сталь 430    4 сплошными полками   азмеры  1300x400x1800 мм")</f>
        <v xml:space="preserve"> теллаж ce ir130x40x180  ержавеющая сталь 430    4 сплошными полками   азмеры  1300x400x1800 мм</v>
      </c>
      <c r="C1135" s="61" t="s">
        <v>15457</v>
      </c>
      <c r="D1135" s="56" t="s">
        <v>15458</v>
      </c>
      <c r="E1135" s="56" t="s">
        <v>15459</v>
      </c>
      <c r="F1135" s="57">
        <v>344200</v>
      </c>
      <c r="G1135" s="58">
        <v>1</v>
      </c>
      <c r="I1135" s="5"/>
      <c r="J1135" s="5"/>
    </row>
    <row r="1136" spans="1:10" x14ac:dyDescent="0.2">
      <c r="A1136" s="59" t="str">
        <f ca="1">IFERROR(__xludf.DUMMYFUNCTION("TEXTJOIN(""|"",TRUE,UNIQUE(FILTER(SPLIT(B1136,"" ""),LEN(SPLIT(B1136,"" ""))&gt;2)))"),"теллаж|ir140x50x180|ержавеющая|сталь|430|сплошными|полками|азмеры|1400x500x1800")</f>
        <v>теллаж|ir140x50x180|ержавеющая|сталь|430|сплошными|полками|азмеры|1400x500x1800</v>
      </c>
      <c r="B1136" s="59" t="str">
        <f ca="1">IFERROR(__xludf.DUMMYFUNCTION("LOWER(REGEXREPLACE(D1136&amp;"" ""&amp;E1136,""[^а-яa-z0-9 ]"","" ""))")," теллаж ce ir140x50x180  ержавеющая сталь 430    4 сплошными полками   азмеры  1400x500x1800 мм")</f>
        <v xml:space="preserve"> теллаж ce ir140x50x180  ержавеющая сталь 430    4 сплошными полками   азмеры  1400x500x1800 мм</v>
      </c>
      <c r="C1136" s="61" t="s">
        <v>15460</v>
      </c>
      <c r="D1136" s="56" t="s">
        <v>15461</v>
      </c>
      <c r="E1136" s="56" t="s">
        <v>15462</v>
      </c>
      <c r="F1136" s="57">
        <v>380900</v>
      </c>
      <c r="G1136" s="58">
        <v>11</v>
      </c>
      <c r="I1136" s="5"/>
      <c r="J1136" s="5"/>
    </row>
    <row r="1137" spans="1:10" x14ac:dyDescent="0.2">
      <c r="A1137" s="59" t="str">
        <f ca="1">IFERROR(__xludf.DUMMYFUNCTION("TEXTJOIN(""|"",TRUE,UNIQUE(FILTER(SPLIT(B1137,"" ""),LEN(SPLIT(B1137,"" ""))&gt;2)))"),"теллаж|ir170x50x180|ержавеющая|сталь|430|сплошными|полками|азмеры|1700x500x1800")</f>
        <v>теллаж|ir170x50x180|ержавеющая|сталь|430|сплошными|полками|азмеры|1700x500x1800</v>
      </c>
      <c r="B1137" s="59" t="str">
        <f ca="1">IFERROR(__xludf.DUMMYFUNCTION("LOWER(REGEXREPLACE(D1137&amp;"" ""&amp;E1137,""[^а-яa-z0-9 ]"","" ""))")," теллаж ce ir170x50x180  ержавеющая сталь 430    4 сплошными полками   азмеры  1700x500x1800 мм")</f>
        <v xml:space="preserve"> теллаж ce ir170x50x180  ержавеющая сталь 430    4 сплошными полками   азмеры  1700x500x1800 мм</v>
      </c>
      <c r="C1137" s="61" t="s">
        <v>15463</v>
      </c>
      <c r="D1137" s="56" t="s">
        <v>15464</v>
      </c>
      <c r="E1137" s="56" t="s">
        <v>15465</v>
      </c>
      <c r="F1137" s="57">
        <v>416400</v>
      </c>
      <c r="G1137" s="58">
        <v>2</v>
      </c>
      <c r="I1137" s="5"/>
      <c r="J1137" s="5"/>
    </row>
    <row r="1138" spans="1:10" x14ac:dyDescent="0.2">
      <c r="A1138" s="59" t="str">
        <f ca="1">IFERROR(__xludf.DUMMYFUNCTION("TEXTJOIN(""|"",TRUE,UNIQUE(FILTER(SPLIT(B1138,"" ""),LEN(SPLIT(B1138,"" ""))&gt;2)))"),"теллаж|ir180x50x180|ержавеющая|сталь|430|сплошными|полками|азмеры|1800x500x1800")</f>
        <v>теллаж|ir180x50x180|ержавеющая|сталь|430|сплошными|полками|азмеры|1800x500x1800</v>
      </c>
      <c r="B1138" s="59" t="str">
        <f ca="1">IFERROR(__xludf.DUMMYFUNCTION("LOWER(REGEXREPLACE(D1138&amp;"" ""&amp;E1138,""[^а-яa-z0-9 ]"","" ""))")," теллаж ce ir180x50x180  ержавеющая сталь 430    4 сплошными полками   азмеры  1800x500x1800 мм")</f>
        <v xml:space="preserve"> теллаж ce ir180x50x180  ержавеющая сталь 430    4 сплошными полками   азмеры  1800x500x1800 мм</v>
      </c>
      <c r="C1138" s="61" t="s">
        <v>15466</v>
      </c>
      <c r="D1138" s="56" t="s">
        <v>15467</v>
      </c>
      <c r="E1138" s="56" t="s">
        <v>15468</v>
      </c>
      <c r="F1138" s="57">
        <v>428700</v>
      </c>
      <c r="G1138" s="58">
        <v>4</v>
      </c>
      <c r="I1138" s="5"/>
      <c r="J1138" s="5"/>
    </row>
    <row r="1139" spans="1:10" x14ac:dyDescent="0.2">
      <c r="A1139" s="59" t="str">
        <f ca="1">IFERROR(__xludf.DUMMYFUNCTION("TEXTJOIN(""|"",TRUE,UNIQUE(FILTER(SPLIT(B1139,"" ""),LEN(SPLIT(B1139,"" ""))&gt;2)))"),"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f>
        <v>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v>
      </c>
      <c r="B1139" s="59" t="str">
        <f ca="1">IFERROR(__xludf.DUMMYFUNCTION("LOWER(REGEXREPLACE(D1139&amp;"" ""&amp;E1139,""[^а-яa-z0-9 ]"","" ""))"),"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f>
        <v xml:space="preserve">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v>
      </c>
      <c r="C1139" s="61" t="s">
        <v>15469</v>
      </c>
      <c r="D1139" s="56" t="s">
        <v>15470</v>
      </c>
      <c r="E1139" s="56" t="s">
        <v>15471</v>
      </c>
      <c r="F1139" s="57">
        <v>115500</v>
      </c>
      <c r="G1139" s="58">
        <v>5</v>
      </c>
      <c r="I1139" s="5"/>
      <c r="J1139" s="5"/>
    </row>
    <row r="1140" spans="1:10" x14ac:dyDescent="0.2">
      <c r="A1140" s="59" t="str">
        <f ca="1">IFERROR(__xludf.DUMMYFUNCTION("TEXTJOIN(""|"",TRUE,UNIQUE(FILTER(SPLIT(B1140,"" ""),LEN(SPLIT(B1140,"" ""))&gt;2)))"),"тенд|для|поделок|тенд|предназначен|для|демонстрации|детских|поделок|творческих|работ|азмер|1550|740|используется|групповых|помещениях|коридорах")</f>
        <v>тенд|для|поделок|тенд|предназначен|для|демонстрации|детских|поделок|творческих|работ|азмер|1550|740|используется|групповых|помещениях|коридорах</v>
      </c>
      <c r="B1140" s="59" t="str">
        <f ca="1">IFERROR(__xludf.DUMMYFUNCTION("LOWER(REGEXREPLACE(D1140&amp;"" ""&amp;E1140,""[^а-яa-z0-9 ]"","" ""))")," тенд для поделок  тенд предназначен для демонстрации детских поделок и творческих работ   азмер 1550 740 мм  используется в групповых помещениях и коридорах     ")</f>
        <v xml:space="preserve"> тенд для поделок  тенд предназначен для демонстрации детских поделок и творческих работ   азмер 1550 740 мм  используется в групповых помещениях и коридорах     </v>
      </c>
      <c r="C1140" s="61" t="s">
        <v>15472</v>
      </c>
      <c r="D1140" s="56" t="s">
        <v>15473</v>
      </c>
      <c r="E1140" s="56" t="s">
        <v>15474</v>
      </c>
      <c r="F1140" s="57">
        <v>21000</v>
      </c>
      <c r="G1140" s="58">
        <v>1</v>
      </c>
      <c r="I1140" s="5"/>
      <c r="J1140" s="5"/>
    </row>
    <row r="1141" spans="1:10" x14ac:dyDescent="0.2">
      <c r="A1141" s="59" t="str">
        <f ca="1">IFERROR(__xludf.DUMMYFUNCTION("TEXTJOIN(""|"",TRUE,UNIQUE(FILTER(SPLIT(B1141,"" ""),LEN(SPLIT(B1141,"" ""))&gt;2)))"),"тойка|для|цветов|одставка|для|размещения|комнатных|растений|редназначена|для|организации|зел|ных|зон|помещении|устойчивая|безопасная|использовании")</f>
        <v>тойка|для|цветов|одставка|для|размещения|комнатных|растений|редназначена|для|организации|зел|ных|зон|помещении|устойчивая|безопасная|использовании</v>
      </c>
      <c r="B1141" s="59" t="str">
        <f ca="1">IFERROR(__xludf.DUMMYFUNCTION("LOWER(REGEXREPLACE(D1141&amp;"" ""&amp;E1141,""[^а-яa-z0-9 ]"","" ""))"),"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f>
        <v xml:space="preserve">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v>
      </c>
      <c r="C1141" s="61" t="s">
        <v>15475</v>
      </c>
      <c r="D1141" s="56" t="s">
        <v>15476</v>
      </c>
      <c r="E1141" s="56" t="s">
        <v>15477</v>
      </c>
      <c r="F1141" s="57">
        <v>49100</v>
      </c>
      <c r="G1141" s="58">
        <v>10</v>
      </c>
      <c r="I1141" s="5"/>
      <c r="J1141" s="5"/>
    </row>
    <row r="1142" spans="1:10" x14ac:dyDescent="0.2">
      <c r="A1142" s="59" t="str">
        <f ca="1">IFERROR(__xludf.DUMMYFUNCTION("TEXTJOIN(""|"",TRUE,UNIQUE(FILTER(SPLIT(B1142,"" ""),LEN(SPLIT(B1142,"" ""))&gt;2)))"),"тол|ростой|стол|без|полок|предназначен|для|раскладывания|размещения|предметов|материалов|принадлежностей|образовательной|среде|1200x750x750")</f>
        <v>тол|ростой|стол|без|полок|предназначен|для|раскладывания|размещения|предметов|материалов|принадлежностей|образовательной|среде|1200x750x750</v>
      </c>
      <c r="B1142" s="59" t="str">
        <f ca="1">IFERROR(__xludf.DUMMYFUNCTION("LOWER(REGEXREPLACE(D1142&amp;"" ""&amp;E1142,""[^а-яa-z0-9 ]"","" ""))")," тол  ростой стол без полок  предназначен для раскладывания и размещения предметов  материалов и принадлежностей в образовательной среде  1200x750x750   х х   ")</f>
        <v xml:space="preserve"> тол  ростой стол без полок  предназначен для раскладывания и размещения предметов  материалов и принадлежностей в образовательной среде  1200x750x750   х х   </v>
      </c>
      <c r="C1142" s="61" t="s">
        <v>15478</v>
      </c>
      <c r="D1142" s="56" t="s">
        <v>15479</v>
      </c>
      <c r="E1142" s="56" t="s">
        <v>15480</v>
      </c>
      <c r="F1142" s="57">
        <v>283500</v>
      </c>
      <c r="G1142" s="58">
        <v>3</v>
      </c>
      <c r="I1142" s="5"/>
      <c r="J1142" s="5"/>
    </row>
    <row r="1143" spans="1:10" x14ac:dyDescent="0.2">
      <c r="A1143" s="59" t="str">
        <f ca="1">IFERROR(__xludf.DUMMYFUNCTION("TEXTJOIN(""|"",TRUE,UNIQUE(FILTER(SPLIT(B1143,"" ""),LEN(SPLIT(B1143,"" ""))&gt;2)))"),"тол|полка|tc1100x70|ержавеющая|сталь|430|одной|полкой|бортиком|араметры|1000x700x850")</f>
        <v>тол|полка|tc1100x70|ержавеющая|сталь|430|одной|полкой|бортиком|араметры|1000x700x850</v>
      </c>
      <c r="B1143" s="59" t="str">
        <f ca="1">IFERROR(__xludf.DUMMYFUNCTION("LOWER(REGEXREPLACE(D1143&amp;"" ""&amp;E1143,""[^а-яa-z0-9 ]"","" ""))")," тол 1 полка ce tc1100x70  ержавеющая сталь 430    одной полкой и  бортиком   араметры  1000x700x850 мм")</f>
        <v xml:space="preserve"> тол 1 полка ce tc1100x70  ержавеющая сталь 430    одной полкой и  бортиком   араметры  1000x700x850 мм</v>
      </c>
      <c r="C1143" s="61" t="s">
        <v>15481</v>
      </c>
      <c r="D1143" s="56" t="s">
        <v>15482</v>
      </c>
      <c r="E1143" s="56" t="s">
        <v>15483</v>
      </c>
      <c r="F1143" s="57">
        <v>262100</v>
      </c>
      <c r="G1143" s="58">
        <v>2</v>
      </c>
      <c r="I1143" s="5"/>
      <c r="J1143" s="5"/>
    </row>
    <row r="1144" spans="1:10" x14ac:dyDescent="0.2">
      <c r="A1144" s="59" t="str">
        <f ca="1">IFERROR(__xludf.DUMMYFUNCTION("TEXTJOIN(""|"",TRUE,UNIQUE(FILTER(SPLIT(B1144,"" ""),LEN(SPLIT(B1144,"" ""))&gt;2)))"),"тол|полка|tc1110x70|ержавеющая|сталь|430|одной|полкой|бортиком|араметры|1100x700x850")</f>
        <v>тол|полка|tc1110x70|ержавеющая|сталь|430|одной|полкой|бортиком|араметры|1100x700x850</v>
      </c>
      <c r="B1144" s="59" t="str">
        <f ca="1">IFERROR(__xludf.DUMMYFUNCTION("LOWER(REGEXREPLACE(D1144&amp;"" ""&amp;E1144,""[^а-яa-z0-9 ]"","" ""))")," тол 1 полка ce tc1110x70  ержавеющая сталь 430    одной полкой и бортиком   араметры  1100x700x850 мм")</f>
        <v xml:space="preserve"> тол 1 полка ce tc1110x70  ержавеющая сталь 430    одной полкой и бортиком   араметры  1100x700x850 мм</v>
      </c>
      <c r="C1144" s="61" t="s">
        <v>15484</v>
      </c>
      <c r="D1144" s="56" t="s">
        <v>15485</v>
      </c>
      <c r="E1144" s="56" t="s">
        <v>15486</v>
      </c>
      <c r="F1144" s="57">
        <v>269400</v>
      </c>
      <c r="G1144" s="58">
        <v>1</v>
      </c>
      <c r="I1144" s="5"/>
      <c r="J1144" s="5"/>
    </row>
    <row r="1145" spans="1:10" x14ac:dyDescent="0.2">
      <c r="A1145" s="59" t="str">
        <f ca="1">IFERROR(__xludf.DUMMYFUNCTION("TEXTJOIN(""|"",TRUE,UNIQUE(FILTER(SPLIT(B1145,"" ""),LEN(SPLIT(B1145,"" ""))&gt;2)))"),"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f>
        <v>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v>
      </c>
      <c r="B1145" s="59" t="str">
        <f ca="1">IFERROR(__xludf.DUMMYFUNCTION("LOWER(REGEXREPLACE(D1145&amp;"" ""&amp;E1145,""[^а-яa-z0-9 ]"","" ""))"),"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помещения"&amp;"х ")</f>
        <v xml:space="preserve">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помещениях </v>
      </c>
      <c r="C1145" s="61" t="s">
        <v>15487</v>
      </c>
      <c r="D1145" s="56" t="s">
        <v>15488</v>
      </c>
      <c r="E1145" s="56" t="s">
        <v>15489</v>
      </c>
      <c r="F1145" s="57">
        <v>378000</v>
      </c>
      <c r="G1145" s="58">
        <v>1</v>
      </c>
      <c r="I1145" s="5"/>
      <c r="J1145" s="5"/>
    </row>
    <row r="1146" spans="1:10" x14ac:dyDescent="0.2">
      <c r="A1146" s="59" t="str">
        <f ca="1">IFERROR(__xludf.DUMMYFUNCTION("TEXTJOIN(""|"",TRUE,UNIQUE(FILTER(SPLIT(B1146,"" ""),LEN(SPLIT(B1146,"" ""))&gt;2)))"),"тол|полка|tc1120x70|ержавеющая|сталь|430|одной|полкой|бортиком|араметры|1200x700x850")</f>
        <v>тол|полка|tc1120x70|ержавеющая|сталь|430|одной|полкой|бортиком|араметры|1200x700x850</v>
      </c>
      <c r="B1146" s="59" t="str">
        <f ca="1">IFERROR(__xludf.DUMMYFUNCTION("LOWER(REGEXREPLACE(D1146&amp;"" ""&amp;E1146,""[^а-яa-z0-9 ]"","" ""))")," тол 1 полка ce tc1120x70  ержавеющая сталь      430    одной полкой и бортиком   араметры  1200x700x850 мм")</f>
        <v xml:space="preserve"> тол 1 полка ce tc1120x70  ержавеющая сталь      430    одной полкой и бортиком   араметры  1200x700x850 мм</v>
      </c>
      <c r="C1146" s="61" t="s">
        <v>15490</v>
      </c>
      <c r="D1146" s="56" t="s">
        <v>15491</v>
      </c>
      <c r="E1146" s="56" t="s">
        <v>15492</v>
      </c>
      <c r="F1146" s="57">
        <v>276800</v>
      </c>
      <c r="G1146" s="58">
        <v>1</v>
      </c>
      <c r="I1146" s="5"/>
      <c r="J1146" s="5"/>
    </row>
    <row r="1147" spans="1:10" x14ac:dyDescent="0.2">
      <c r="A1147" s="59" t="str">
        <f ca="1">IFERROR(__xludf.DUMMYFUNCTION("TEXTJOIN(""|"",TRUE,UNIQUE(FILTER(SPLIT(B1147,"" ""),LEN(SPLIT(B1147,"" ""))&gt;2)))"),"тол|полка|tc1130x70|ержавеющая|сталь|430|одной|полкой|бортиком|араметры|1300x700x850")</f>
        <v>тол|полка|tc1130x70|ержавеющая|сталь|430|одной|полкой|бортиком|араметры|1300x700x850</v>
      </c>
      <c r="B1147" s="59" t="str">
        <f ca="1">IFERROR(__xludf.DUMMYFUNCTION("LOWER(REGEXREPLACE(D1147&amp;"" ""&amp;E1147,""[^а-яa-z0-9 ]"","" ""))")," тол 1 полка ce tc1130x70  ержавеющая сталь 430    одной полкой и бортиком   араметры  1300x700x850 мм")</f>
        <v xml:space="preserve"> тол 1 полка ce tc1130x70  ержавеющая сталь 430    одной полкой и бортиком   араметры  1300x700x850 мм</v>
      </c>
      <c r="C1147" s="61" t="s">
        <v>15493</v>
      </c>
      <c r="D1147" s="56" t="s">
        <v>15494</v>
      </c>
      <c r="E1147" s="56" t="s">
        <v>15495</v>
      </c>
      <c r="F1147" s="57">
        <v>289000</v>
      </c>
      <c r="G1147" s="58">
        <v>1</v>
      </c>
      <c r="I1147" s="5"/>
      <c r="J1147" s="5"/>
    </row>
    <row r="1148" spans="1:10" x14ac:dyDescent="0.2">
      <c r="A1148" s="59" t="str">
        <f ca="1">IFERROR(__xludf.DUMMYFUNCTION("TEXTJOIN(""|"",TRUE,UNIQUE(FILTER(SPLIT(B1148,"" ""),LEN(SPLIT(B1148,"" ""))&gt;2)))"),"тол|полка|tc1140x70|ержавеющая|сталь|430|одной|полкой|бортиком|араметры|1400x700x850")</f>
        <v>тол|полка|tc1140x70|ержавеющая|сталь|430|одной|полкой|бортиком|араметры|1400x700x850</v>
      </c>
      <c r="B1148" s="59" t="str">
        <f ca="1">IFERROR(__xludf.DUMMYFUNCTION("LOWER(REGEXREPLACE(D1148&amp;"" ""&amp;E1148,""[^а-яa-z0-9 ]"","" ""))")," тол 1 полка ce tc1140x70  ержавеющая сталь      430    одной полкой и бортиком   араметры  1400x700x850 мм")</f>
        <v xml:space="preserve"> тол 1 полка ce tc1140x70  ержавеющая сталь      430    одной полкой и бортиком   араметры  1400x700x850 мм</v>
      </c>
      <c r="C1148" s="61" t="s">
        <v>15496</v>
      </c>
      <c r="D1148" s="56" t="s">
        <v>15497</v>
      </c>
      <c r="E1148" s="56" t="s">
        <v>15498</v>
      </c>
      <c r="F1148" s="57">
        <v>297600</v>
      </c>
      <c r="G1148" s="58">
        <v>1</v>
      </c>
      <c r="I1148" s="5"/>
      <c r="J1148" s="5"/>
    </row>
    <row r="1149" spans="1:10" x14ac:dyDescent="0.2">
      <c r="A1149" s="59" t="str">
        <f ca="1">IFERROR(__xludf.DUMMYFUNCTION("TEXTJOIN(""|"",TRUE,UNIQUE(FILTER(SPLIT(B1149,"" ""),LEN(SPLIT(B1149,"" ""))&gt;2)))"),"тол|полка|tc1150x70|ержавеющая|сталь|430|одной|полкой|бортиком|араметры|1500x700x850")</f>
        <v>тол|полка|tc1150x70|ержавеющая|сталь|430|одной|полкой|бортиком|араметры|1500x700x850</v>
      </c>
      <c r="B1149" s="59" t="str">
        <f ca="1">IFERROR(__xludf.DUMMYFUNCTION("LOWER(REGEXREPLACE(D1149&amp;"" ""&amp;E1149,""[^а-яa-z0-9 ]"","" ""))")," тол 1 полка ce tc1150x70  ержавеющая сталь      430    одной полкой и бортиком   араметры  1500x700x850 мм")</f>
        <v xml:space="preserve"> тол 1 полка ce tc1150x70  ержавеющая сталь      430    одной полкой и бортиком   араметры  1500x700x850 мм</v>
      </c>
      <c r="C1149" s="61" t="s">
        <v>15499</v>
      </c>
      <c r="D1149" s="56" t="s">
        <v>15500</v>
      </c>
      <c r="E1149" s="56" t="s">
        <v>15501</v>
      </c>
      <c r="F1149" s="57">
        <v>307400</v>
      </c>
      <c r="G1149" s="58">
        <v>1</v>
      </c>
      <c r="I1149" s="5"/>
      <c r="J1149" s="5"/>
    </row>
    <row r="1150" spans="1:10" x14ac:dyDescent="0.2">
      <c r="A1150" s="59" t="str">
        <f ca="1">IFERROR(__xludf.DUMMYFUNCTION("TEXTJOIN(""|"",TRUE,UNIQUE(FILTER(SPLIT(B1150,"" ""),LEN(SPLIT(B1150,"" ""))&gt;2)))"),"тол|полка|tc1180x70|ержавеющая|сталь|430|одной|полкой|бортиком|араметры|1800x700x850")</f>
        <v>тол|полка|tc1180x70|ержавеющая|сталь|430|одной|полкой|бортиком|араметры|1800x700x850</v>
      </c>
      <c r="B1150" s="59" t="str">
        <f ca="1">IFERROR(__xludf.DUMMYFUNCTION("LOWER(REGEXREPLACE(D1150&amp;"" ""&amp;E1150,""[^а-яa-z0-9 ]"","" ""))")," тол 1 полка ce tc1180x70  ержавеющая сталь      430    одной полкой и бортиком   араметры  1800x700x850 мм")</f>
        <v xml:space="preserve"> тол 1 полка ce tc1180x70  ержавеющая сталь      430    одной полкой и бортиком   араметры  1800x700x850 мм</v>
      </c>
      <c r="C1150" s="61" t="s">
        <v>15502</v>
      </c>
      <c r="D1150" s="56" t="s">
        <v>15503</v>
      </c>
      <c r="E1150" s="56" t="s">
        <v>15504</v>
      </c>
      <c r="F1150" s="57">
        <v>338000</v>
      </c>
      <c r="G1150" s="58">
        <v>1</v>
      </c>
      <c r="I1150" s="5"/>
      <c r="J1150" s="5"/>
    </row>
    <row r="1151" spans="1:10" x14ac:dyDescent="0.2">
      <c r="A1151" s="59" t="str">
        <f ca="1">IFERROR(__xludf.DUMMYFUNCTION("TEXTJOIN(""|"",TRUE,UNIQUE(FILTER(SPLIT(B1151,"" ""),LEN(SPLIT(B1151,"" ""))&gt;2)))"),"тол|верх|tcp180x70|ержавеющая|сталь|430|олщина|полиэтилена|полки|бортиком|араметры|1800x700x850")</f>
        <v>тол|верх|tcp180x70|ержавеющая|сталь|430|олщина|полиэтилена|полки|бортиком|араметры|1800x700x850</v>
      </c>
      <c r="B1151" s="59" t="str">
        <f ca="1">IFERROR(__xludf.DUMMYFUNCTION("LOWER(REGEXREPLACE(D1151&amp;"" ""&amp;E1151,""[^а-яa-z0-9 ]"","" ""))")," тол верх пэ ce tcp180x70  ержавеющая сталь 430   олщина полиэтилена  4 см   ез полки  с бортиком   араметры  1800x700x850 мм")</f>
        <v xml:space="preserve"> тол верх пэ ce tcp180x70  ержавеющая сталь 430   олщина полиэтилена  4 см   ез полки  с бортиком   араметры  1800x700x850 мм</v>
      </c>
      <c r="C1151" s="61" t="s">
        <v>15505</v>
      </c>
      <c r="D1151" s="56" t="s">
        <v>15506</v>
      </c>
      <c r="E1151" s="56" t="s">
        <v>15507</v>
      </c>
      <c r="F1151" s="57">
        <v>641800</v>
      </c>
      <c r="G1151" s="58">
        <v>1</v>
      </c>
      <c r="I1151" s="5"/>
      <c r="J1151" s="5"/>
    </row>
    <row r="1152" spans="1:10" x14ac:dyDescent="0.2">
      <c r="A1152" s="59" t="str">
        <f ca="1">IFERROR(__xludf.DUMMYFUNCTION("TEXTJOIN(""|"",TRUE,UNIQUE(FILTER(SPLIT(B1152,"" ""),LEN(SPLIT(B1152,"" ""))&gt;2)))"),"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f>
        <v>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v>
      </c>
      <c r="B1152" s="59" t="str">
        <f ca="1">IFERROR(__xludf.DUMMYFUNCTION("LOWER(REGEXREPLACE(D1152&amp;"" ""&amp;E1152,""[^а-яa-z0-9 ]"","" ""))"),"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ле"&amp;"гко очищается ")</f>
        <v xml:space="preserve">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легко очищается </v>
      </c>
      <c r="C1152" s="61" t="s">
        <v>15508</v>
      </c>
      <c r="D1152" s="56" t="s">
        <v>8134</v>
      </c>
      <c r="E1152" s="56" t="s">
        <v>15509</v>
      </c>
      <c r="F1152" s="57">
        <v>31500</v>
      </c>
      <c r="G1152" s="58">
        <v>13</v>
      </c>
      <c r="I1152" s="5"/>
      <c r="J1152" s="5"/>
    </row>
    <row r="1153" spans="1:10" x14ac:dyDescent="0.2">
      <c r="A1153" s="59" t="str">
        <f ca="1">IFERROR(__xludf.DUMMYFUNCTION("TEXTJOIN(""|"",TRUE,UNIQUE(FILTER(SPLIT(B1153,"" ""),LEN(SPLIT(B1153,"" ""))&gt;2)))"),"тол|для|грязной|посуды|tbs100x75|ержавеющая|сталь|430|воронкой|для|отходов|без|полки|араметры|1000x700x850")</f>
        <v>тол|для|грязной|посуды|tbs100x75|ержавеющая|сталь|430|воронкой|для|отходов|без|полки|араметры|1000x700x850</v>
      </c>
      <c r="B1153" s="59" t="str">
        <f ca="1">IFERROR(__xludf.DUMMYFUNCTION("LOWER(REGEXREPLACE(D1153&amp;"" ""&amp;E1153,""[^а-яa-z0-9 ]"","" ""))")," тол для грязной посуды ce tbs100x75  ержавеющая сталь      430    воронкой для отходов  без полки   араметры  1000x700x850 мм")</f>
        <v xml:space="preserve"> тол для грязной посуды ce tbs100x75  ержавеющая сталь      430    воронкой для отходов  без полки   араметры  1000x700x850 мм</v>
      </c>
      <c r="C1153" s="61" t="s">
        <v>15510</v>
      </c>
      <c r="D1153" s="56" t="s">
        <v>15511</v>
      </c>
      <c r="E1153" s="56" t="s">
        <v>15512</v>
      </c>
      <c r="F1153" s="57">
        <v>303700</v>
      </c>
      <c r="G1153" s="58">
        <v>1</v>
      </c>
      <c r="I1153" s="5"/>
      <c r="J1153" s="5"/>
    </row>
    <row r="1154" spans="1:10" x14ac:dyDescent="0.2">
      <c r="A1154" s="59" t="str">
        <f ca="1">IFERROR(__xludf.DUMMYFUNCTION("TEXTJOIN(""|"",TRUE,UNIQUE(FILTER(SPLIT(B1154,"" ""),LEN(SPLIT(B1154,"" ""))&gt;2)))"),"тол|для|кабинета|азмеры|1500|600|750|умба|предназначена|для|хранения|бумаги|документации|методических|материалов|снащена|выдвижными|ящиками")</f>
        <v>тол|для|кабинета|азмеры|1500|600|750|умба|предназначена|для|хранения|бумаги|документации|методических|материалов|снащена|выдвижными|ящиками</v>
      </c>
      <c r="B1154" s="59" t="str">
        <f ca="1">IFERROR(__xludf.DUMMYFUNCTION("LOWER(REGEXREPLACE(D1154&amp;"" ""&amp;E1154,""[^а-яa-z0-9 ]"","" ""))")," тол для кабинета  азмеры  1500 600 750 мм  умба предназначена для хранения бумаги  документации и методических материалов   снащена выдвижными ящиками")</f>
        <v xml:space="preserve"> тол для кабинета  азмеры  1500 600 750 мм  умба предназначена для хранения бумаги  документации и методических материалов   снащена выдвижными ящиками</v>
      </c>
      <c r="C1154" s="61" t="s">
        <v>15513</v>
      </c>
      <c r="D1154" s="56" t="s">
        <v>7884</v>
      </c>
      <c r="E1154" s="56" t="s">
        <v>15514</v>
      </c>
      <c r="F1154" s="57">
        <v>283500</v>
      </c>
      <c r="G1154" s="58">
        <v>10</v>
      </c>
      <c r="I1154" s="5"/>
      <c r="J1154" s="5"/>
    </row>
    <row r="1155" spans="1:10" x14ac:dyDescent="0.2">
      <c r="A1155" s="59" t="str">
        <f ca="1">IFERROR(__xludf.DUMMYFUNCTION("TEXTJOIN(""|"",TRUE,UNIQUE(FILTER(SPLIT(B1155,"" ""),LEN(SPLIT(B1155,"" ""))&gt;2)))"),"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amp;"850")</f>
        <v>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850</v>
      </c>
      <c r="B1155" s="59" t="str">
        <f ca="1">IFERROR(__xludf.DUMMYFUNCTION("LOWER(REGEXREPLACE(D1155&amp;"" ""&amp;E1155,""[^а-яa-z0-9 ]"","" ""))"),"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отс"&amp;"ерстием для отходов  габариты  1200х80х850 мм")</f>
        <v xml:space="preserve">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отсерстием для отходов  габариты  1200х80х850 мм</v>
      </c>
      <c r="C1155" s="61" t="s">
        <v>15515</v>
      </c>
      <c r="D1155" s="56" t="s">
        <v>15516</v>
      </c>
      <c r="E1155" s="56" t="s">
        <v>15517</v>
      </c>
      <c r="F1155" s="57">
        <v>586700</v>
      </c>
      <c r="G1155" s="58">
        <v>1</v>
      </c>
      <c r="I1155" s="5"/>
      <c r="J1155" s="5"/>
    </row>
    <row r="1156" spans="1:10" x14ac:dyDescent="0.2">
      <c r="A1156" s="59" t="str">
        <f ca="1">IFERROR(__xludf.DUMMYFUNCTION("TEXTJOIN(""|"",TRUE,UNIQUE(FILTER(SPLIT(B1156,"" ""),LEN(SPLIT(B1156,"" ""))&gt;2)))"),"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f>
        <v>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v>
      </c>
      <c r="B1156" s="59" t="str">
        <f ca="1">IFERROR(__xludf.DUMMYFUNCTION("LOWER(REGEXREPLACE(D1156&amp;"" ""&amp;E1156,""[^а-яa-z0-9 ]"","" ""))"),"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f>
        <v xml:space="preserve">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v>
      </c>
      <c r="C1156" s="61" t="s">
        <v>15518</v>
      </c>
      <c r="D1156" s="56" t="s">
        <v>15519</v>
      </c>
      <c r="E1156" s="56" t="s">
        <v>15520</v>
      </c>
      <c r="F1156" s="57">
        <v>105000</v>
      </c>
      <c r="G1156" s="58">
        <v>1</v>
      </c>
      <c r="I1156" s="5"/>
      <c r="J1156" s="5"/>
    </row>
    <row r="1157" spans="1:10" x14ac:dyDescent="0.2">
      <c r="A1157" s="59" t="str">
        <f ca="1">IFERROR(__xludf.DUMMYFUNCTION("TEXTJOIN(""|"",TRUE,UNIQUE(FILTER(SPLIT(B1157,"" ""),LEN(SPLIT(B1157,"" ""))&gt;2)))"),"тол|для|мытья|овощей|tsy120x70|ержавеющая|сталь|430|аковина|для|мытья|сушки|араметры|1200x700x850")</f>
        <v>тол|для|мытья|овощей|tsy120x70|ержавеющая|сталь|430|аковина|для|мытья|сушки|араметры|1200x700x850</v>
      </c>
      <c r="B1157" s="59" t="str">
        <f ca="1">IFERROR(__xludf.DUMMYFUNCTION("LOWER(REGEXREPLACE(D1157&amp;"" ""&amp;E1157,""[^а-яa-z0-9 ]"","" ""))")," тол для мытья овощей ce tsy120x70  ержавеющая сталь      430   аковина для мытья и сушки   араметры  1200x700x850 мм")</f>
        <v xml:space="preserve"> тол для мытья овощей ce tsy120x70  ержавеющая сталь      430   аковина для мытья и сушки   араметры  1200x700x850 мм</v>
      </c>
      <c r="C1157" s="61" t="s">
        <v>15521</v>
      </c>
      <c r="D1157" s="56" t="s">
        <v>15522</v>
      </c>
      <c r="E1157" s="56" t="s">
        <v>15523</v>
      </c>
      <c r="F1157" s="57">
        <v>434800</v>
      </c>
      <c r="G1157" s="58">
        <v>2</v>
      </c>
      <c r="I1157" s="5"/>
      <c r="J1157" s="5"/>
    </row>
    <row r="1158" spans="1:10" x14ac:dyDescent="0.2">
      <c r="A1158" s="59" t="str">
        <f ca="1">IFERROR(__xludf.DUMMYFUNCTION("TEXTJOIN(""|"",TRUE,UNIQUE(FILTER(SPLIT(B1158,"" ""),LEN(SPLIT(B1158,"" ""))&gt;2)))"),"тол|для|обработки|рыбы|tbh120x70|ержавеющая|сталь|430|аковина|для|мытья|сушки|полиэтиленовой|доской|для|резки|араметры|1200x700x850")</f>
        <v>тол|для|обработки|рыбы|tbh120x70|ержавеющая|сталь|430|аковина|для|мытья|сушки|полиэтиленовой|доской|для|резки|араметры|1200x700x850</v>
      </c>
      <c r="B1158" s="59" t="str">
        <f ca="1">IFERROR(__xludf.DUMMYFUNCTION("LOWER(REGEXREPLACE(D1158&amp;"" ""&amp;E1158,""[^а-яa-z0-9 ]"","" ""))")," тол для обработки рыбы ce tbh120x70  ержавеющая сталь      430   аковина для мытья и сушки  c полиэтиленовой доской для резки   араметры  1200x700x850 мм")</f>
        <v xml:space="preserve"> тол для обработки рыбы ce tbh120x70  ержавеющая сталь      430   аковина для мытья и сушки  c полиэтиленовой доской для резки   араметры  1200x700x850 мм</v>
      </c>
      <c r="C1158" s="61" t="s">
        <v>15524</v>
      </c>
      <c r="D1158" s="56" t="s">
        <v>15525</v>
      </c>
      <c r="E1158" s="56" t="s">
        <v>15526</v>
      </c>
      <c r="F1158" s="57">
        <v>514400</v>
      </c>
      <c r="G1158" s="58">
        <v>1</v>
      </c>
      <c r="I1158" s="5"/>
      <c r="J1158" s="5"/>
    </row>
    <row r="1159" spans="1:10" x14ac:dyDescent="0.2">
      <c r="A1159" s="59" t="str">
        <f ca="1">IFERROR(__xludf.DUMMYFUNCTION("TEXTJOIN(""|"",TRUE,UNIQUE(FILTER(SPLIT(B1159,"" ""),LEN(SPLIT(B1159,"" ""))&gt;2)))"),"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amp;"тром|атериал|углы|скруглены")</f>
        <v>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тром|атериал|углы|скруглены</v>
      </c>
      <c r="B1159" s="59" t="str">
        <f ca="1">IFERROR(__xludf.DUMMYFUNCTION("LOWER(REGEXREPLACE(D1159&amp;"" ""&amp;E1159,""[^а-яa-z0-9 ]"","" ""))"),"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становл"&amp;"ен на кол сных опорах диаметром 50 мм   атериал        16 мм   се углы скруглены ")</f>
        <v xml:space="preserve">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становлен на кол сных опорах диаметром 50 мм   атериал        16 мм   се углы скруглены </v>
      </c>
      <c r="C1159" s="61" t="s">
        <v>15527</v>
      </c>
      <c r="D1159" s="56" t="s">
        <v>15528</v>
      </c>
      <c r="E1159" s="56" t="s">
        <v>15529</v>
      </c>
      <c r="F1159" s="57">
        <v>252000</v>
      </c>
      <c r="G1159" s="58">
        <v>1</v>
      </c>
      <c r="I1159" s="5"/>
      <c r="J1159" s="5"/>
    </row>
    <row r="1160" spans="1:10" x14ac:dyDescent="0.2">
      <c r="A1160" s="59" t="str">
        <f ca="1">IFERROR(__xludf.DUMMYFUNCTION("TEXTJOIN(""|"",TRUE,UNIQUE(FILTER(SPLIT(B1160,"" ""),LEN(SPLIT(B1160,"" ""))&gt;2)))"),"тол|инструментальный|тол|используется|для|размещения|медицинских|инструментов|расходных|материалов|600х400х860")</f>
        <v>тол|инструментальный|тол|используется|для|размещения|медицинских|инструментов|расходных|материалов|600х400х860</v>
      </c>
      <c r="B1160" s="59" t="str">
        <f ca="1">IFERROR(__xludf.DUMMYFUNCTION("LOWER(REGEXREPLACE(D1160&amp;"" ""&amp;E1160,""[^а-яa-z0-9 ]"","" ""))")," тол инструментальный  тол используется для размещения медицинских инструментов и расходных материалов   600х400х860 мм ")</f>
        <v xml:space="preserve"> тол инструментальный  тол используется для размещения медицинских инструментов и расходных материалов   600х400х860 мм </v>
      </c>
      <c r="C1160" s="61" t="s">
        <v>15530</v>
      </c>
      <c r="D1160" s="56" t="s">
        <v>15531</v>
      </c>
      <c r="E1160" s="56" t="s">
        <v>15532</v>
      </c>
      <c r="F1160" s="57">
        <v>113300</v>
      </c>
      <c r="G1160" s="58">
        <v>3</v>
      </c>
      <c r="I1160" s="5"/>
      <c r="J1160" s="5"/>
    </row>
    <row r="1161" spans="1:10" x14ac:dyDescent="0.2">
      <c r="A1161" s="59" t="str">
        <f ca="1">IFERROR(__xludf.DUMMYFUNCTION("TEXTJOIN(""|"",TRUE,UNIQUE(FILTER(SPLIT(B1161,"" ""),LEN(SPLIT(B1161,"" ""))&gt;2)))"),"тол|роликах|tch120x60|ержавеющая|сталь|430|полкой|колесами|араметры|1200x600x850|ммй")</f>
        <v>тол|роликах|tch120x60|ержавеющая|сталь|430|полкой|колесами|араметры|1200x600x850|ммй</v>
      </c>
      <c r="B1161" s="59" t="str">
        <f ca="1">IFERROR(__xludf.DUMMYFUNCTION("LOWER(REGEXREPLACE(D1161&amp;"" ""&amp;E1161,""[^а-яa-z0-9 ]"","" ""))")," тол на роликах ce tch120x60  ержавеющая сталь      430    полкой и 4 колесами   араметры  1200x600x850 ммй")</f>
        <v xml:space="preserve"> тол на роликах ce tch120x60  ержавеющая сталь      430    полкой и 4 колесами   араметры  1200x600x850 ммй</v>
      </c>
      <c r="C1161" s="61" t="s">
        <v>15533</v>
      </c>
      <c r="D1161" s="56" t="s">
        <v>15534</v>
      </c>
      <c r="E1161" s="56" t="s">
        <v>15535</v>
      </c>
      <c r="F1161" s="57">
        <v>402900</v>
      </c>
      <c r="G1161" s="58">
        <v>1</v>
      </c>
      <c r="I1161" s="5"/>
      <c r="J1161" s="5"/>
    </row>
    <row r="1162" spans="1:10" x14ac:dyDescent="0.2">
      <c r="A1162" s="59" t="str">
        <f ca="1">IFERROR(__xludf.DUMMYFUNCTION("TEXTJOIN(""|"",TRUE,UNIQUE(FILTER(SPLIT(B1162,"" ""),LEN(SPLIT(B1162,"" ""))&gt;2)))"),"тол|роликах|tch180x70|ержавеющая|сталь|430|полкой|колесами|араметры|1800x700x850")</f>
        <v>тол|роликах|tch180x70|ержавеющая|сталь|430|полкой|колесами|араметры|1800x700x850</v>
      </c>
      <c r="B1162" s="59" t="str">
        <f ca="1">IFERROR(__xludf.DUMMYFUNCTION("LOWER(REGEXREPLACE(D1162&amp;"" ""&amp;E1162,""[^а-яa-z0-9 ]"","" ""))")," тол на роликах ce tch180x70  ержавеющая сталь      430    полкой и 4 колесами   араметры  1800x700x850 мм")</f>
        <v xml:space="preserve"> тол на роликах ce tch180x70  ержавеющая сталь      430    полкой и 4 колесами   араметры  1800x700x850 мм</v>
      </c>
      <c r="C1162" s="61" t="s">
        <v>15536</v>
      </c>
      <c r="D1162" s="56" t="s">
        <v>15537</v>
      </c>
      <c r="E1162" s="56" t="s">
        <v>15538</v>
      </c>
      <c r="F1162" s="57">
        <v>503400</v>
      </c>
      <c r="G1162" s="58">
        <v>1</v>
      </c>
      <c r="I1162" s="5"/>
      <c r="J1162" s="5"/>
    </row>
    <row r="1163" spans="1:10" x14ac:dyDescent="0.2">
      <c r="A1163" s="59" t="str">
        <f ca="1">IFERROR(__xludf.DUMMYFUNCTION("TEXTJOIN(""|"",TRUE,UNIQUE(FILTER(SPLIT(B1163,"" ""),LEN(SPLIT(B1163,"" ""))&gt;2)))"),"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f>
        <v>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v>
      </c>
      <c r="B1163" s="59" t="str">
        <f ca="1">IFERROR(__xludf.DUMMYFUNCTION("LOWER(REGEXREPLACE(D1163&amp;"" ""&amp;E1163,""[^а-яa-z0-9 ]"","" ""))"),"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f>
        <v xml:space="preserve">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v>
      </c>
      <c r="C1163" s="61" t="s">
        <v>15539</v>
      </c>
      <c r="D1163" s="56" t="s">
        <v>15540</v>
      </c>
      <c r="E1163" s="56" t="s">
        <v>15541</v>
      </c>
      <c r="F1163" s="57">
        <v>252000</v>
      </c>
      <c r="G1163" s="58">
        <v>1</v>
      </c>
      <c r="I1163" s="5"/>
      <c r="J1163" s="5"/>
    </row>
    <row r="1164" spans="1:10" x14ac:dyDescent="0.2">
      <c r="A1164" s="59" t="str">
        <f ca="1">IFERROR(__xludf.DUMMYFUNCTION("TEXTJOIN(""|"",TRUE,UNIQUE(FILTER(SPLIT(B1164,"" ""),LEN(SPLIT(B1164,"" ""))&gt;2)))"),"тол|подачи|посудомойки|tbg100x75|ержавеющая|сталь|430|одной|раковиной|без|полки|ойка|50x40x25|араметры|1000x750x850")</f>
        <v>тол|подачи|посудомойки|tbg100x75|ержавеющая|сталь|430|одной|раковиной|без|полки|ойка|50x40x25|араметры|1000x750x850</v>
      </c>
      <c r="B1164" s="59" t="str">
        <f ca="1">IFERROR(__xludf.DUMMYFUNCTION("LOWER(REGEXREPLACE(D1164&amp;"" ""&amp;E1164,""[^а-яa-z0-9 ]"","" ""))")," тол подачи посудомойки ce tbg100x75  ержавеющая сталь      430    одной  раковиной без полки   ойка  50x40x25 см   араметры  1000x750x850 мм")</f>
        <v xml:space="preserve"> тол подачи посудомойки ce tbg100x75  ержавеющая сталь      430    одной  раковиной без полки   ойка  50x40x25 см   араметры  1000x750x850 мм</v>
      </c>
      <c r="C1164" s="61" t="s">
        <v>15542</v>
      </c>
      <c r="D1164" s="56" t="s">
        <v>15543</v>
      </c>
      <c r="E1164" s="56" t="s">
        <v>15544</v>
      </c>
      <c r="F1164" s="57">
        <v>471500</v>
      </c>
      <c r="G1164" s="58">
        <v>1</v>
      </c>
      <c r="I1164" s="5"/>
      <c r="J1164" s="5"/>
    </row>
    <row r="1165" spans="1:10" x14ac:dyDescent="0.2">
      <c r="A1165" s="59" t="str">
        <f ca="1">IFERROR(__xludf.DUMMYFUNCTION("TEXTJOIN(""|"",TRUE,UNIQUE(FILTER(SPLIT(B1165,"" ""),LEN(SPLIT(B1165,"" ""))&gt;2)))"),"кустическая|система|icrolab|106|выход|вход|ini|ack")</f>
        <v>кустическая|система|icrolab|106|выход|вход|ini|ack</v>
      </c>
      <c r="B1165" s="59" t="str">
        <f ca="1">IFERROR(__xludf.DUMMYFUNCTION("LOWER(REGEXREPLACE(D1165&amp;"" ""&amp;E1165,""[^а-яa-z0-9 ]"","" ""))")," кустическая система  icrolab   106  10 т  2 5 т 2 5 т   выход 2     вход 3 5  ini ack")</f>
        <v xml:space="preserve"> кустическая система  icrolab   106  10 т  2 5 т 2 5 т   выход 2     вход 3 5  ini ack</v>
      </c>
      <c r="C1165" s="61" t="s">
        <v>15545</v>
      </c>
      <c r="D1165" s="56" t="s">
        <v>5042</v>
      </c>
      <c r="E1165" s="56" t="s">
        <v>15546</v>
      </c>
      <c r="F1165" s="57">
        <v>12817</v>
      </c>
      <c r="G1165" s="58">
        <v>21</v>
      </c>
      <c r="I1165" s="5"/>
      <c r="J1165" s="5"/>
    </row>
    <row r="1166" spans="1:10" x14ac:dyDescent="0.2">
      <c r="A1166" s="59" t="str">
        <f ca="1">IFERROR(__xludf.DUMMYFUNCTION("TEXTJOIN(""|"",TRUE,UNIQUE(FILTER(SPLIT(B1166,"" ""),LEN(SPLIT(B1166,"" ""))&gt;2)))"),"арнитура|арнитура|ech")</f>
        <v>арнитура|арнитура|ech</v>
      </c>
      <c r="B1166" s="59" t="str">
        <f ca="1">IFERROR(__xludf.DUMMYFUNCTION("LOWER(REGEXREPLACE(D1166&amp;"" ""&amp;E1166,""[^а-яa-z0-9 ]"","" ""))")," арнитура  арнитура  4 ech    35")</f>
        <v xml:space="preserve"> арнитура  арнитура  4 ech    35</v>
      </c>
      <c r="C1166" s="61" t="s">
        <v>15547</v>
      </c>
      <c r="D1166" s="56" t="s">
        <v>15548</v>
      </c>
      <c r="E1166" s="56" t="s">
        <v>15549</v>
      </c>
      <c r="F1166" s="57">
        <v>11900</v>
      </c>
      <c r="G1166" s="58">
        <v>35</v>
      </c>
      <c r="I1166" s="5"/>
      <c r="J1166" s="5"/>
    </row>
    <row r="1167" spans="1:10" x14ac:dyDescent="0.2">
      <c r="A1167" s="59" t="str">
        <f ca="1">IFERROR(__xludf.DUMMYFUNCTION("TEXTJOIN(""|"",TRUE,UNIQUE(FILTER(SPLIT(B1167,"" ""),LEN(SPLIT(B1167,"" ""))&gt;2)))"),"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f>
        <v>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v>
      </c>
      <c r="B1167" s="59" t="str">
        <f ca="1">IFERROR(__xludf.DUMMYFUNCTION("LOWER(REGEXREPLACE(D1167&amp;"" ""&amp;E1167,""[^а-яa-z0-9 ]"","" ""))"),"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f>
        <v xml:space="preserve">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v>
      </c>
      <c r="C1167" s="61" t="s">
        <v>15550</v>
      </c>
      <c r="D1167" s="56" t="s">
        <v>15551</v>
      </c>
      <c r="E1167" s="56" t="s">
        <v>15552</v>
      </c>
      <c r="F1167" s="57">
        <v>615700</v>
      </c>
      <c r="G1167" s="58">
        <v>1</v>
      </c>
      <c r="I1167" s="5"/>
      <c r="J1167" s="5"/>
    </row>
    <row r="1168" spans="1:10" x14ac:dyDescent="0.2">
      <c r="A1168" s="59" t="str">
        <f ca="1">IFERROR(__xludf.DUMMYFUNCTION("TEXTJOIN(""|"",TRUE,UNIQUE(FILTER(SPLIT(B1168,"" ""),LEN(SPLIT(B1168,"" ""))&gt;2)))"),"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amp;"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amp;"|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f>
        <v>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v>
      </c>
      <c r="B1168" s="59" t="str">
        <f ca="1">IFERROR(__xludf.DUMMYFUNCTION("LOWER(REGEXREPLACE(D1168&amp;"" ""&amp;E1168,""[^а-яa-z0-9 ]"","" ""))"),"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"&amp;"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демонстр"&amp;"ационных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распоз"&amp;"нает жесты для вращения 3  объектов  увеличения 3  объектов   ")</f>
        <v xml:space="preserve">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распознает жесты для вращения 3  объектов  увеличения 3  объектов   </v>
      </c>
      <c r="C1168" s="61" t="s">
        <v>15553</v>
      </c>
      <c r="D1168" s="61" t="s">
        <v>15554</v>
      </c>
      <c r="E1168" s="56" t="s">
        <v>15555</v>
      </c>
      <c r="F1168" s="57">
        <v>1800000</v>
      </c>
      <c r="G1168" s="58">
        <v>7</v>
      </c>
      <c r="I1168" s="5"/>
      <c r="J1168" s="5"/>
    </row>
    <row r="1169" spans="1:10" x14ac:dyDescent="0.2">
      <c r="A1169" s="59" t="str">
        <f ca="1">IFERROR(__xludf.DUMMYFUNCTION("TEXTJOIN(""|"",TRUE,UNIQUE(FILTER(SPLIT(B1169,"" ""),LEN(SPLIT(B1169,"" ""))&gt;2)))"),"артофелечистка|pat|650t|местимость|ластиковый|редуктор|380|ощность|азмеры|48x76x102")</f>
        <v>артофелечистка|pat|650t|местимость|ластиковый|редуктор|380|ощность|азмеры|48x76x102</v>
      </c>
      <c r="B1169" s="59" t="str">
        <f ca="1">IFERROR(__xludf.DUMMYFUNCTION("LOWER(REGEXREPLACE(D1169&amp;"" ""&amp;E1169,""[^а-яa-z0-9 ]"","" ""))")," артофелечистка pat 650t  местимость  5 10 кг   ластиковый редуктор  380     ощность  0 55 к т   азмеры  48x76x102 см")</f>
        <v xml:space="preserve"> артофелечистка pat 650t  местимость  5 10 кг   ластиковый редуктор  380     ощность  0 55 к т   азмеры  48x76x102 см</v>
      </c>
      <c r="C1169" s="61" t="s">
        <v>15556</v>
      </c>
      <c r="D1169" s="56" t="s">
        <v>15557</v>
      </c>
      <c r="E1169" s="56" t="s">
        <v>15558</v>
      </c>
      <c r="F1169" s="57">
        <v>1735100</v>
      </c>
      <c r="G1169" s="58">
        <v>1</v>
      </c>
      <c r="I1169" s="5"/>
      <c r="J1169" s="5"/>
    </row>
    <row r="1170" spans="1:10" x14ac:dyDescent="0.2">
      <c r="A1170" s="59" t="str">
        <f ca="1">IFERROR(__xludf.DUMMYFUNCTION("TEXTJOIN(""|"",TRUE,UNIQUE(FILTER(SPLIT(B1170,"" ""),LEN(SPLIT(B1170,"" ""))&gt;2)))"),"отел|варочный|электрический|vpe7|бъем|400|азмеры|700|800|850")</f>
        <v>отел|варочный|электрический|vpe7|бъем|400|азмеры|700|800|850</v>
      </c>
      <c r="B1170" s="59" t="str">
        <f ca="1">IFERROR(__xludf.DUMMYFUNCTION("LOWER(REGEXREPLACE(D1170&amp;"" ""&amp;E1170,""[^а-яa-z0-9 ]"","" ""))")," отел варочный электрический vpe7 23  бъем  80 л  0 55 м3 15 к т 400     азмеры  700 800 850 мм")</f>
        <v xml:space="preserve"> отел варочный электрический vpe7 23  бъем  80 л  0 55 м3 15 к т 400     азмеры  700 800 850 мм</v>
      </c>
      <c r="C1170" s="61" t="s">
        <v>15559</v>
      </c>
      <c r="D1170" s="56" t="s">
        <v>15560</v>
      </c>
      <c r="E1170" s="56" t="s">
        <v>15561</v>
      </c>
      <c r="F1170" s="57">
        <v>3988700</v>
      </c>
      <c r="G1170" s="58">
        <v>1</v>
      </c>
      <c r="I1170" s="5"/>
      <c r="J1170" s="5"/>
    </row>
    <row r="1171" spans="1:10" x14ac:dyDescent="0.2">
      <c r="A1171" s="59" t="str">
        <f ca="1">IFERROR(__xludf.DUMMYFUNCTION("TEXTJOIN(""|"",TRUE,UNIQUE(FILTER(SPLIT(B1171,"" ""),LEN(SPLIT(B1171,"" ""))&gt;2)))"),"улер|улер|для|воды|qua")</f>
        <v>улер|улер|для|воды|qua</v>
      </c>
      <c r="B1171" s="59" t="str">
        <f ca="1">IFERROR(__xludf.DUMMYFUNCTION("LOWER(REGEXREPLACE(D1171&amp;"" ""&amp;E1171,""[^а-яa-z0-9 ]"","" ""))")," улер  улер для воды      qua 1")</f>
        <v xml:space="preserve"> улер  улер для воды      qua 1</v>
      </c>
      <c r="C1171" s="61" t="s">
        <v>15562</v>
      </c>
      <c r="D1171" s="56" t="s">
        <v>15563</v>
      </c>
      <c r="E1171" s="56" t="s">
        <v>15564</v>
      </c>
      <c r="F1171" s="57">
        <v>51000</v>
      </c>
      <c r="G1171" s="58">
        <v>13</v>
      </c>
      <c r="I1171" s="5"/>
      <c r="J1171" s="5"/>
    </row>
    <row r="1172" spans="1:10" x14ac:dyDescent="0.2">
      <c r="A1172" s="59" t="str">
        <f ca="1">IFERROR(__xludf.DUMMYFUNCTION("TEXTJOIN(""|"",TRUE,UNIQUE(FILTER(SPLIT(B1172,"" ""),LEN(SPLIT(B1172,"" ""))&gt;2)))"),"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f>
        <v>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v>
      </c>
      <c r="B1172" s="59" t="str">
        <f ca="1">IFERROR(__xludf.DUMMYFUNCTION("LOWER(REGEXREPLACE(D1172&amp;"" ""&amp;E1172,""[^а-яa-z0-9 ]"","" ""))"),"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ср"&amp;"еде ")</f>
        <v xml:space="preserve">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среде </v>
      </c>
      <c r="C1172" s="61" t="s">
        <v>15565</v>
      </c>
      <c r="D1172" s="56" t="s">
        <v>775</v>
      </c>
      <c r="E1172" s="56" t="s">
        <v>15566</v>
      </c>
      <c r="F1172" s="57">
        <v>62900</v>
      </c>
      <c r="G1172" s="58">
        <v>1</v>
      </c>
      <c r="I1172" s="5"/>
      <c r="J1172" s="5"/>
    </row>
    <row r="1173" spans="1:10" x14ac:dyDescent="0.2">
      <c r="A1173" s="59" t="str">
        <f ca="1">IFERROR(__xludf.DUMMYFUNCTION("TEXTJOIN(""|"",TRUE,UNIQUE(FILTER(SPLIT(B1173,"" ""),LEN(SPLIT(B1173,"" ""))&gt;2)))"),"обильная|стойка|обильная|стойка|для|интерактивной|панели|кол|сах|иагональ|экрана|дюймов")</f>
        <v>обильная|стойка|обильная|стойка|для|интерактивной|панели|кол|сах|иагональ|экрана|дюймов</v>
      </c>
      <c r="B1173" s="59" t="str">
        <f ca="1">IFERROR(__xludf.DUMMYFUNCTION("LOWER(REGEXREPLACE(D1173&amp;"" ""&amp;E1173,""[^а-яa-z0-9 ]"","" ""))")," обильная стойка  обильная стойка для интерактивной панели на кол сах   иагональ экрана 75 дюймов  ")</f>
        <v xml:space="preserve"> обильная стойка  обильная стойка для интерактивной панели на кол сах   иагональ экрана 75 дюймов  </v>
      </c>
      <c r="C1173" s="61" t="s">
        <v>15567</v>
      </c>
      <c r="D1173" s="61" t="s">
        <v>15568</v>
      </c>
      <c r="E1173" s="56" t="s">
        <v>15569</v>
      </c>
      <c r="F1173" s="57">
        <v>176800</v>
      </c>
      <c r="G1173" s="58">
        <v>1</v>
      </c>
      <c r="I1173" s="5"/>
      <c r="J1173" s="5"/>
    </row>
    <row r="1174" spans="1:10" x14ac:dyDescent="0.2">
      <c r="A1174" s="59" t="str">
        <f ca="1">IFERROR(__xludf.DUMMYFUNCTION("TEXTJOIN(""|"",TRUE,UNIQUE(FILTER(SPLIT(B1174,"" ""),LEN(SPLIT(B1174,"" ""))&gt;2)))"),"ашина|для|резки|овощей|seb|210m|местимость|300|час|астольный|ножей|220|ощность|азмеры|27x88x108")</f>
        <v>ашина|для|резки|овощей|seb|210m|местимость|300|час|астольный|ножей|220|ощность|азмеры|27x88x108</v>
      </c>
      <c r="B1174" s="59" t="str">
        <f ca="1">IFERROR(__xludf.DUMMYFUNCTION("LOWER(REGEXREPLACE(D1174&amp;"" ""&amp;E1174,""[^а-яa-z0-9 ]"","" ""))")," ашина для резки овощей seb 210m  местимость  300 кг час   астольный  5 ножей  220     ощность  0 37 к т   азмеры  27x88x108 см")</f>
        <v xml:space="preserve"> ашина для резки овощей seb 210m  местимость  300 кг час   астольный  5 ножей  220     ощность  0 37 к т   азмеры  27x88x108 см</v>
      </c>
      <c r="C1174" s="61" t="s">
        <v>15570</v>
      </c>
      <c r="D1174" s="56" t="s">
        <v>15571</v>
      </c>
      <c r="E1174" s="56" t="s">
        <v>15572</v>
      </c>
      <c r="F1174" s="57">
        <v>1363300</v>
      </c>
      <c r="G1174" s="58">
        <v>1</v>
      </c>
      <c r="I1174" s="5"/>
      <c r="J1174" s="5"/>
    </row>
    <row r="1175" spans="1:10" x14ac:dyDescent="0.2">
      <c r="A1175" s="59" t="str">
        <f ca="1">IFERROR(__xludf.DUMMYFUNCTION("TEXTJOIN(""|"",TRUE,UNIQUE(FILTER(SPLIT(B1175,"" ""),LEN(SPLIT(B1175,"" ""))&gt;2)))"),"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amp;"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amp;"мопроизвольное|открывание|стройство|устанавливается|устойчивую|поверхность|подключается|сети|220|используется|взрослыми|сотрудниками")</f>
        <v>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мопроизвольное|открывание|стройство|устанавливается|устойчивую|поверхность|подключается|сети|220|используется|взрослыми|сотрудниками</v>
      </c>
      <c r="B1175" s="59" t="str">
        <f ca="1">IFERROR(__xludf.DUMMYFUNCTION("LOWER(REGEXREPLACE(D1175&amp;"" ""&amp;E1175,""[^а-яa-z0-9 ]"","" ""))"),"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по"&amp;"рций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"&amp;"оснащена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f>
        <v xml:space="preserve">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v>
      </c>
      <c r="C1175" s="61" t="s">
        <v>15573</v>
      </c>
      <c r="D1175" s="56" t="s">
        <v>3533</v>
      </c>
      <c r="E1175" s="56" t="s">
        <v>15574</v>
      </c>
      <c r="F1175" s="57">
        <v>62900</v>
      </c>
      <c r="G1175" s="58">
        <v>1</v>
      </c>
      <c r="I1175" s="5"/>
      <c r="J1175" s="5"/>
    </row>
    <row r="1176" spans="1:10" x14ac:dyDescent="0.2">
      <c r="A1176" s="59" t="str">
        <f ca="1">IFERROR(__xludf.DUMMYFUNCTION("TEXTJOIN(""|"",TRUE,UNIQUE(FILTER(SPLIT(B1176,"" ""),LEN(SPLIT(B1176,"" ""))&gt;2)))"),"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amp;"я|громкости|соответствии|требованиями|орпус|выполнен|без|острых|углов|рассчитан|стационарное|использование")</f>
        <v>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я|громкости|соответствии|требованиями|орпус|выполнен|без|острых|углов|рассчитан|стационарное|использование</v>
      </c>
      <c r="B1176" s="59" t="str">
        <f ca="1">IFERROR(__xludf.DUMMYFUNCTION("LOWER(REGEXREPLACE(D1176&amp;"" ""&amp;E1176,""[^а-яa-z0-9 ]"","" ""))"),"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з"&amp;"вука и ограничение уровня громкости в соответствии с требованиями   орпус выполнен без острых углов и рассчитан на стационарное использование ")</f>
        <v xml:space="preserve">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звука и ограничение уровня громкости в соответствии с требованиями   орпус выполнен без острых углов и рассчитан на стационарное использование </v>
      </c>
      <c r="C1176" s="61" t="s">
        <v>15575</v>
      </c>
      <c r="D1176" s="56" t="s">
        <v>15576</v>
      </c>
      <c r="E1176" s="56" t="s">
        <v>15577</v>
      </c>
      <c r="F1176" s="57">
        <v>510100</v>
      </c>
      <c r="G1176" s="58">
        <v>2</v>
      </c>
      <c r="I1176" s="5"/>
      <c r="J1176" s="5"/>
    </row>
    <row r="1177" spans="1:10" x14ac:dyDescent="0.2">
      <c r="A1177" s="59" t="str">
        <f ca="1">IFERROR(__xludf.DUMMYFUNCTION("TEXTJOIN(""|"",TRUE,UNIQUE(FILTER(SPLIT(B1177,"" ""),LEN(SPLIT(B1177,"" ""))&gt;2)))"),"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amp;"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amp;"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amp;"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f>
        <v>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v>
      </c>
      <c r="B1177" s="59" t="str">
        <f ca="1">IFERROR(__xludf.DUMMYFUNCTION("LOWER(REGEXREPLACE(D1177&amp;"" ""&amp;E1177,""[^а-яa-z0-9 ]"","" ""))"),"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отд"&amp;"ельной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з"&amp;"ащиты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"&amp;"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f>
        <v xml:space="preserve">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v>
      </c>
      <c r="C1177" s="61" t="s">
        <v>15578</v>
      </c>
      <c r="D1177" s="56" t="s">
        <v>15579</v>
      </c>
      <c r="E1177" s="56" t="s">
        <v>15580</v>
      </c>
      <c r="F1177" s="57">
        <v>255000</v>
      </c>
      <c r="G1177" s="58">
        <v>1</v>
      </c>
      <c r="I1177" s="5"/>
      <c r="J1177" s="5"/>
    </row>
    <row r="1178" spans="1:10" x14ac:dyDescent="0.2">
      <c r="A1178" s="59" t="str">
        <f ca="1">IFERROR(__xludf.DUMMYFUNCTION("TEXTJOIN(""|"",TRUE,UNIQUE(FILTER(SPLIT(B1178,"" ""),LEN(SPLIT(B1178,"" ""))&gt;2)))"),"pson|2110|ppm|1440|720|dpi|tray|150")</f>
        <v>pson|2110|ppm|1440|720|dpi|tray|150</v>
      </c>
      <c r="B1178" s="59" t="str">
        <f ca="1">IFERROR(__xludf.DUMMYFUNCTION("LOWER(REGEXREPLACE(D1178&amp;"" ""&amp;E1178,""[^а-яa-z0-9 ]"","" ""))"),"         pson  2110   4  15 ppm 1440 x 720 dpi            tray 150")</f>
        <v xml:space="preserve">         pson  2110   4  15 ppm 1440 x 720 dpi            tray 150</v>
      </c>
      <c r="C1178" s="61" t="s">
        <v>15581</v>
      </c>
      <c r="D1178" s="56" t="s">
        <v>612</v>
      </c>
      <c r="E1178" s="56" t="s">
        <v>15582</v>
      </c>
      <c r="F1178" s="57">
        <v>149259</v>
      </c>
      <c r="G1178" s="58">
        <v>1</v>
      </c>
      <c r="I1178" s="5"/>
      <c r="J1178" s="5"/>
    </row>
    <row r="1179" spans="1:10" x14ac:dyDescent="0.2">
      <c r="A1179" s="59" t="str">
        <f ca="1">IFERROR(__xludf.DUMMYFUNCTION("TEXTJOIN(""|"",TRUE,UNIQUE(FILTER(SPLIT(B1179,"" ""),LEN(SPLIT(B1179,"" ""))&gt;2)))"),"pson|2110|ppm|1440|720|dpi|tray|151")</f>
        <v>pson|2110|ppm|1440|720|dpi|tray|151</v>
      </c>
      <c r="B1179" s="59" t="str">
        <f ca="1">IFERROR(__xludf.DUMMYFUNCTION("LOWER(REGEXREPLACE(D1179&amp;"" ""&amp;E1179,""[^а-яa-z0-9 ]"","" ""))"),"      pson  2110   4  15 ppm 1440 x 720 dpi            tray 151")</f>
        <v xml:space="preserve">      pson  2110   4  15 ppm 1440 x 720 dpi            tray 151</v>
      </c>
      <c r="C1179" s="56"/>
      <c r="D1179" s="56"/>
      <c r="E1179" s="56" t="s">
        <v>15583</v>
      </c>
      <c r="F1179" s="57">
        <v>149259</v>
      </c>
      <c r="G1179" s="58">
        <v>1</v>
      </c>
      <c r="I1179" s="5"/>
      <c r="J1179" s="5"/>
    </row>
    <row r="1180" spans="1:10" x14ac:dyDescent="0.2">
      <c r="A1180" s="59" t="str">
        <f ca="1">IFERROR(__xludf.DUMMYFUNCTION("TEXTJOIN(""|"",TRUE,UNIQUE(FILTER(SPLIT(B1180,"" ""),LEN(SPLIT(B1180,"" ""))&gt;2)))"),"pson|2110|ppm|1440|720|dpi|tray|152")</f>
        <v>pson|2110|ppm|1440|720|dpi|tray|152</v>
      </c>
      <c r="B1180" s="59" t="str">
        <f ca="1">IFERROR(__xludf.DUMMYFUNCTION("LOWER(REGEXREPLACE(D1180&amp;"" ""&amp;E1180,""[^а-яa-z0-9 ]"","" ""))"),"      pson  2110   4  15 ppm 1440 x 720 dpi            tray 152")</f>
        <v xml:space="preserve">      pson  2110   4  15 ppm 1440 x 720 dpi            tray 152</v>
      </c>
      <c r="C1180" s="56"/>
      <c r="D1180" s="56"/>
      <c r="E1180" s="56" t="s">
        <v>15584</v>
      </c>
      <c r="F1180" s="57">
        <v>149259</v>
      </c>
      <c r="G1180" s="58">
        <v>1</v>
      </c>
      <c r="I1180" s="5"/>
      <c r="J1180" s="5"/>
    </row>
    <row r="1181" spans="1:10" x14ac:dyDescent="0.2">
      <c r="A1181" s="59" t="str">
        <f ca="1">IFERROR(__xludf.DUMMYFUNCTION("TEXTJOIN(""|"",TRUE,UNIQUE(FILTER(SPLIT(B1181,"" ""),LEN(SPLIT(B1181,"" ""))&gt;2)))"),"pson|2110|ppm|1440|720|dpi|tray|153")</f>
        <v>pson|2110|ppm|1440|720|dpi|tray|153</v>
      </c>
      <c r="B1181" s="59" t="str">
        <f ca="1">IFERROR(__xludf.DUMMYFUNCTION("LOWER(REGEXREPLACE(D1181&amp;"" ""&amp;E1181,""[^а-яa-z0-9 ]"","" ""))"),"      pson  2110   4  15 ppm 1440 x 720 dpi            tray 153")</f>
        <v xml:space="preserve">      pson  2110   4  15 ppm 1440 x 720 dpi            tray 153</v>
      </c>
      <c r="C1181" s="56"/>
      <c r="D1181" s="56"/>
      <c r="E1181" s="56" t="s">
        <v>15585</v>
      </c>
      <c r="F1181" s="57">
        <v>149259</v>
      </c>
      <c r="G1181" s="58">
        <v>1</v>
      </c>
      <c r="I1181" s="5"/>
      <c r="J1181" s="5"/>
    </row>
    <row r="1182" spans="1:10" x14ac:dyDescent="0.2">
      <c r="A1182" s="59" t="str">
        <f ca="1">IFERROR(__xludf.DUMMYFUNCTION("TEXTJOIN(""|"",TRUE,UNIQUE(FILTER(SPLIT(B1182,"" ""),LEN(SPLIT(B1182,"" ""))&gt;2)))"),"pson|2110|ppm|1440|720|dpi|tray|154")</f>
        <v>pson|2110|ppm|1440|720|dpi|tray|154</v>
      </c>
      <c r="B1182" s="59" t="str">
        <f ca="1">IFERROR(__xludf.DUMMYFUNCTION("LOWER(REGEXREPLACE(D1182&amp;"" ""&amp;E1182,""[^а-яa-z0-9 ]"","" ""))"),"      pson  2110   4  15 ppm 1440 x 720 dpi            tray 154")</f>
        <v xml:space="preserve">      pson  2110   4  15 ppm 1440 x 720 dpi            tray 154</v>
      </c>
      <c r="C1182" s="56"/>
      <c r="D1182" s="56"/>
      <c r="E1182" s="56" t="s">
        <v>15586</v>
      </c>
      <c r="F1182" s="57">
        <v>149259</v>
      </c>
      <c r="G1182" s="58">
        <v>1</v>
      </c>
      <c r="I1182" s="5"/>
      <c r="J1182" s="5"/>
    </row>
    <row r="1183" spans="1:10" x14ac:dyDescent="0.2">
      <c r="A1183" s="59" t="str">
        <f ca="1">IFERROR(__xludf.DUMMYFUNCTION("TEXTJOIN(""|"",TRUE,UNIQUE(FILTER(SPLIT(B1183,"" ""),LEN(SPLIT(B1183,"" ""))&gt;2)))"),"оноблок|оноблок|vtech|ntel|ore|10100|частота|ядра|потоков|ntel|raphics|630|256|indows")</f>
        <v>оноблок|оноблок|vtech|ntel|ore|10100|частота|ядра|потоков|ntel|raphics|630|256|indows</v>
      </c>
      <c r="B1183" s="59" t="str">
        <f ca="1">IFERROR(__xludf.DUMMYFUNCTION("LOWER(REGEXREPLACE(D1183&amp;"" ""&amp;E1183,""[^а-яa-z0-9 ]"","" ""))")," оноблок   оноблок  vtech  40   ntel   ore  i3 10100 частота 3 60 4 30   z 4 ядра 8 потоков   ntel     raphics 630         4 8           256    indows 10 11")</f>
        <v xml:space="preserve"> оноблок   оноблок  vtech  40   ntel   ore  i3 10100 частота 3 60 4 30   z 4 ядра 8 потоков   ntel     raphics 630         4 8           256    indows 10 11</v>
      </c>
      <c r="C1183" s="61" t="s">
        <v>15587</v>
      </c>
      <c r="D1183" s="56" t="s">
        <v>15588</v>
      </c>
      <c r="E1183" s="56" t="s">
        <v>15589</v>
      </c>
      <c r="F1183" s="57">
        <v>477540</v>
      </c>
      <c r="G1183" s="58">
        <v>8</v>
      </c>
      <c r="I1183" s="5"/>
      <c r="J1183" s="5"/>
    </row>
    <row r="1184" spans="1:10" x14ac:dyDescent="0.2">
      <c r="A1184" s="59" t="str">
        <f ca="1">IFERROR(__xludf.DUMMYFUNCTION("TEXTJOIN(""|"",TRUE,UNIQUE(FILTER(SPLIT(B1184,"" ""),LEN(SPLIT(B1184,"" ""))&gt;2)))"),"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amp;"в|подвижных|игр|мероприятий|онструкция|обеспечивает|мобильность|устойчивость|удобство|перемещения|ксплуатируется|взрослыми|сотрудниками")</f>
        <v>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в|подвижных|игр|мероприятий|онструкция|обеспечивает|мобильность|устойчивость|удобство|перемещения|ксплуатируется|взрослыми|сотрудниками</v>
      </c>
      <c r="B1184" s="59" t="str">
        <f ca="1">IFERROR(__xludf.DUMMYFUNCTION("LOWER(REGEXREPLACE(D1184&amp;"" ""&amp;E1184,""[^а-яa-z0-9 ]"","" ""))"),"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музыкальн"&amp;"ых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f>
        <v xml:space="preserve">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v>
      </c>
      <c r="C1184" s="61" t="s">
        <v>15590</v>
      </c>
      <c r="D1184" s="61" t="s">
        <v>15591</v>
      </c>
      <c r="E1184" s="56" t="s">
        <v>15592</v>
      </c>
      <c r="F1184" s="57">
        <v>255000</v>
      </c>
      <c r="G1184" s="58">
        <v>2</v>
      </c>
      <c r="I1184" s="5"/>
      <c r="J1184" s="5"/>
    </row>
    <row r="1185" spans="1:10" x14ac:dyDescent="0.2">
      <c r="A1185" s="59" t="str">
        <f ca="1">IFERROR(__xludf.DUMMYFUNCTION("TEXTJOIN(""|"",TRUE,UNIQUE(FILTER(SPLIT(B1185,"" ""),LEN(SPLIT(B1185,"" ""))&gt;2)))"),"ясорубка|epa|22t|ромированный|местимость|400кг|380|ощность|азмеры|36x78x52")</f>
        <v>ясорубка|epa|22t|ромированный|местимость|400кг|380|ощность|азмеры|36x78x52</v>
      </c>
      <c r="B1185" s="59" t="str">
        <f ca="1">IFERROR(__xludf.DUMMYFUNCTION("LOWER(REGEXREPLACE(D1185&amp;"" ""&amp;E1185,""[^а-яa-z0-9 ]"","" ""))")," ясорубка epa 22t  ромированный   o 22   местимость  400кг  380     ощность  1 1 k    азмеры 36x78x52 см")</f>
        <v xml:space="preserve"> ясорубка epa 22t  ромированный   o 22   местимость  400кг  380     ощность  1 1 k    азмеры 36x78x52 см</v>
      </c>
      <c r="C1185" s="61" t="s">
        <v>15593</v>
      </c>
      <c r="D1185" s="56" t="s">
        <v>15594</v>
      </c>
      <c r="E1185" s="56" t="s">
        <v>15595</v>
      </c>
      <c r="F1185" s="57">
        <v>1487200</v>
      </c>
      <c r="G1185" s="58">
        <v>1</v>
      </c>
      <c r="I1185" s="5"/>
      <c r="J1185" s="5"/>
    </row>
    <row r="1186" spans="1:10" x14ac:dyDescent="0.2">
      <c r="A1186" s="59" t="str">
        <f ca="1">IFERROR(__xludf.DUMMYFUNCTION("TEXTJOIN(""|"",TRUE,UNIQUE(FILTER(SPLIT(B1186,"" ""),LEN(SPLIT(B1186,"" ""))&gt;2)))"),"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amp;"сприятие|звука")</f>
        <v>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сприятие|звука</v>
      </c>
      <c r="B1186" s="59" t="str">
        <f ca="1">IFERROR(__xludf.DUMMYFUNCTION("LOWER(REGEXREPLACE(D1186&amp;"" ""&amp;E1186,""[^а-яa-z0-9 ]"","" ""))"),"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и"&amp;" безопасное восприятие звука ")</f>
        <v xml:space="preserve">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 безопасное восприятие звука </v>
      </c>
      <c r="C1186" s="61" t="s">
        <v>15596</v>
      </c>
      <c r="D1186" s="56" t="s">
        <v>15597</v>
      </c>
      <c r="E1186" s="56" t="s">
        <v>15598</v>
      </c>
      <c r="F1186" s="57">
        <v>5100</v>
      </c>
      <c r="G1186" s="58">
        <v>5</v>
      </c>
      <c r="I1186" s="5"/>
      <c r="J1186" s="5"/>
    </row>
    <row r="1187" spans="1:10" x14ac:dyDescent="0.2">
      <c r="A1187" s="59" t="str">
        <f ca="1">IFERROR(__xludf.DUMMYFUNCTION("TEXTJOIN(""|"",TRUE,UNIQUE(FILTER(SPLIT(B1187,"" ""),LEN(SPLIT(B1187,"" ""))&gt;2)))"),"оутбук|оутбук|1502|ore|1355|256|ntel")</f>
        <v>оутбук|оутбук|1502|ore|1355|256|ntel</v>
      </c>
      <c r="B1187" s="59" t="str">
        <f ca="1">IFERROR(__xludf.DUMMYFUNCTION("LOWER(REGEXREPLACE(D1187&amp;"" ""&amp;E1187,""[^а-яa-z0-9 ]"","" ""))")," оутбук  оутбук       1502      ore i7 1355  15 6     8   256        ntel            am  11 ro")</f>
        <v xml:space="preserve"> оутбук  оутбук       1502      ore i7 1355  15 6     8   256        ntel            am  11 ro</v>
      </c>
      <c r="C1187" s="61" t="s">
        <v>15599</v>
      </c>
      <c r="D1187" s="56" t="s">
        <v>284</v>
      </c>
      <c r="E1187" s="56" t="s">
        <v>15600</v>
      </c>
      <c r="F1187" s="57">
        <v>732186</v>
      </c>
      <c r="G1187" s="58">
        <v>20</v>
      </c>
      <c r="I1187" s="5"/>
      <c r="J1187" s="5"/>
    </row>
    <row r="1188" spans="1:10" x14ac:dyDescent="0.2">
      <c r="A1188" s="59" t="str">
        <f ca="1">IFERROR(__xludf.DUMMYFUNCTION("TEXTJOIN(""|"",TRUE,UNIQUE(FILTER(SPLIT(B1188,"" ""),LEN(SPLIT(B1188,"" ""))&gt;2)))"),"свещение|для|вытяжки|dla90|ержавеющая|сталь|430|араметры|880x30x40")</f>
        <v>свещение|для|вытяжки|dla90|ержавеющая|сталь|430|араметры|880x30x40</v>
      </c>
      <c r="B1188" s="59" t="str">
        <f ca="1">IFERROR(__xludf.DUMMYFUNCTION("LOWER(REGEXREPLACE(D1188&amp;"" ""&amp;E1188,""[^а-яa-z0-9 ]"","" ""))")," свещение для вытяжки ce dla90  ержавеющая сталь 430  0 03 к т    араметры  880x30x40 mm")</f>
        <v xml:space="preserve"> свещение для вытяжки ce dla90  ержавеющая сталь 430  0 03 к т    араметры  880x30x40 mm</v>
      </c>
      <c r="C1188" s="61" t="s">
        <v>15601</v>
      </c>
      <c r="D1188" s="56" t="s">
        <v>15602</v>
      </c>
      <c r="E1188" s="56" t="s">
        <v>15603</v>
      </c>
      <c r="F1188" s="57">
        <v>25800</v>
      </c>
      <c r="G1188" s="58">
        <v>4</v>
      </c>
      <c r="I1188" s="5"/>
      <c r="J1188" s="5"/>
    </row>
    <row r="1189" spans="1:10" x14ac:dyDescent="0.2">
      <c r="A1189" s="59" t="str">
        <f ca="1">IFERROR(__xludf.DUMMYFUNCTION("TEXTJOIN(""|"",TRUE,UNIQUE(FILTER(SPLIT(B1189,"" ""),LEN(SPLIT(B1189,"" ""))&gt;2)))"),"чиститель|воздуха|чиститель|воздуха|martmi|urifier")</f>
        <v>чиститель|воздуха|чиститель|воздуха|martmi|urifier</v>
      </c>
      <c r="B1189" s="59" t="str">
        <f ca="1">IFERROR(__xludf.DUMMYFUNCTION("LOWER(REGEXREPLACE(D1189&amp;"" ""&amp;E1189,""[^а-яa-z0-9 ]"","" ""))")," чиститель воздуха  чиститель воздуха  martmi  ir  urifier  2 ")</f>
        <v xml:space="preserve"> чиститель воздуха  чиститель воздуха  martmi  ir  urifier  2 </v>
      </c>
      <c r="C1189" s="61" t="s">
        <v>15604</v>
      </c>
      <c r="D1189" s="56" t="s">
        <v>15605</v>
      </c>
      <c r="E1189" s="56" t="s">
        <v>15606</v>
      </c>
      <c r="F1189" s="57">
        <v>161900</v>
      </c>
      <c r="G1189" s="58">
        <v>26</v>
      </c>
      <c r="I1189" s="5"/>
      <c r="J1189" s="5"/>
    </row>
    <row r="1190" spans="1:10" x14ac:dyDescent="0.2">
      <c r="A1190" s="59" t="str">
        <f ca="1">IFERROR(__xludf.DUMMYFUNCTION("TEXTJOIN(""|"",TRUE,UNIQUE(FILTER(SPLIT(B1190,"" ""),LEN(SPLIT(B1190,"" ""))&gt;2)))"),"арогенератор|утюгом|baby|учная|подача|воды|бъем|230|азмеры|400x230x320")</f>
        <v>арогенератор|утюгом|baby|учная|подача|воды|бъем|230|азмеры|400x230x320</v>
      </c>
      <c r="B1190" s="59" t="str">
        <f ca="1">IFERROR(__xludf.DUMMYFUNCTION("LOWER(REGEXREPLACE(D1190&amp;"" ""&amp;E1190,""[^а-яa-z0-9 ]"","" ""))")," арогенератор с утюгом baby 1 8  учная подача воды   бъем  1 8 л  230 1 50  ц   азмеры  400x230x320 мм")</f>
        <v xml:space="preserve"> арогенератор с утюгом baby 1 8  учная подача воды   бъем  1 8 л  230 1 50  ц   азмеры  400x230x320 мм</v>
      </c>
      <c r="C1190" s="61" t="s">
        <v>15607</v>
      </c>
      <c r="D1190" s="56" t="s">
        <v>15608</v>
      </c>
      <c r="E1190" s="56" t="s">
        <v>15609</v>
      </c>
      <c r="F1190" s="57">
        <v>542300</v>
      </c>
      <c r="G1190" s="58">
        <v>1</v>
      </c>
      <c r="I1190" s="5"/>
      <c r="J1190" s="5"/>
    </row>
    <row r="1191" spans="1:10" x14ac:dyDescent="0.2">
      <c r="A1191" s="59" t="str">
        <f ca="1">IFERROR(__xludf.DUMMYFUNCTION("TEXTJOIN(""|"",TRUE,UNIQUE(FILTER(SPLIT(B1191,"" ""),LEN(SPLIT(B1191,"" ""))&gt;2)))"),"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f>
        <v>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v>
      </c>
      <c r="B1191" s="59" t="str">
        <f ca="1">IFERROR(__xludf.DUMMYFUNCTION("LOWER(REGEXREPLACE(D1191&amp;"" ""&amp;E1191,""[^а-яa-z0-9 ]"","" ""))"),"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f>
        <v xml:space="preserve">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v>
      </c>
      <c r="C1191" s="61" t="s">
        <v>15610</v>
      </c>
      <c r="D1191" s="56" t="s">
        <v>15611</v>
      </c>
      <c r="E1191" s="56" t="s">
        <v>15612</v>
      </c>
      <c r="F1191" s="57">
        <v>12790000</v>
      </c>
      <c r="G1191" s="58">
        <v>1</v>
      </c>
      <c r="I1191" s="5"/>
      <c r="J1191" s="5"/>
    </row>
    <row r="1192" spans="1:10" x14ac:dyDescent="0.2">
      <c r="A1192" s="59" t="str">
        <f ca="1">IFERROR(__xludf.DUMMYFUNCTION("TEXTJOIN(""|"",TRUE,UNIQUE(FILTER(SPLIT(B1192,"" ""),LEN(SPLIT(B1192,"" ""))&gt;2)))"),"лита|электрическая|vpe7|конфорок|ощность|400|абариты|1200х700х300")</f>
        <v>лита|электрическая|vpe7|конфорок|ощность|400|абариты|1200х700х300</v>
      </c>
      <c r="B1192" s="59" t="str">
        <f ca="1">IFERROR(__xludf.DUMMYFUNCTION("LOWER(REGEXREPLACE(D1192&amp;"" ""&amp;E1192,""[^а-яa-z0-9 ]"","" ""))")," лита электрическая vpe7 07 6 конфорок  0 84 м3   ощность  15 6 к т 400     абариты  1200х700х300 мм")</f>
        <v xml:space="preserve"> лита электрическая vpe7 07 6 конфорок  0 84 м3   ощность  15 6 к т 400     абариты  1200х700х300 мм</v>
      </c>
      <c r="C1192" s="61" t="s">
        <v>15613</v>
      </c>
      <c r="D1192" s="56" t="s">
        <v>15614</v>
      </c>
      <c r="E1192" s="56" t="s">
        <v>15615</v>
      </c>
      <c r="F1192" s="57">
        <v>2021600</v>
      </c>
      <c r="G1192" s="58">
        <v>2</v>
      </c>
      <c r="I1192" s="5"/>
      <c r="J1192" s="5"/>
    </row>
    <row r="1193" spans="1:10" x14ac:dyDescent="0.2">
      <c r="A1193" s="59" t="str">
        <f ca="1">IFERROR(__xludf.DUMMYFUNCTION("TEXTJOIN(""|"",TRUE,UNIQUE(FILTER(SPLIT(B1193,"" ""),LEN(SPLIT(B1193,"" ""))&gt;2)))"),"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amp;"ь|1000|тарелок|час|корзин|час")</f>
        <v>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ь|1000|тарелок|час|корзин|час</v>
      </c>
      <c r="B1193" s="59" t="str">
        <f ca="1">IFERROR(__xludf.DUMMYFUNCTION("LOWER(REGEXREPLACE(D1193&amp;"" ""&amp;E1193,""[^а-яa-z0-9 ]"","" ""))"),"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родо"&amp;"лжительность программ  1  1 5 и 2 мин    роизводительность  1000 тарелок час  40 корзин час")</f>
        <v xml:space="preserve">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родолжительность программ  1  1 5 и 2 мин    роизводительность  1000 тарелок час  40 корзин час</v>
      </c>
      <c r="C1193" s="61" t="s">
        <v>15616</v>
      </c>
      <c r="D1193" s="56" t="s">
        <v>15617</v>
      </c>
      <c r="E1193" s="56" t="s">
        <v>15618</v>
      </c>
      <c r="F1193" s="57">
        <v>2129700</v>
      </c>
      <c r="G1193" s="58">
        <v>1</v>
      </c>
      <c r="I1193" s="5"/>
      <c r="J1193" s="5"/>
    </row>
    <row r="1194" spans="1:10" x14ac:dyDescent="0.2">
      <c r="A1194" s="59" t="str">
        <f ca="1">IFERROR(__xludf.DUMMYFUNCTION("TEXTJOIN(""|"",TRUE,UNIQUE(FILTER(SPLIT(B1194,"" ""),LEN(SPLIT(B1194,"" ""))&gt;2)))"),"ылесос|ылесос|индустриальный")</f>
        <v>ылесос|ылесос|индустриальный</v>
      </c>
      <c r="B1194" s="59" t="str">
        <f ca="1">IFERROR(__xludf.DUMMYFUNCTION("LOWER(REGEXREPLACE(D1194&amp;"" ""&amp;E1194,""[^а-яa-z0-9 ]"","" ""))")," ылесос  ылесос индустриальный")</f>
        <v xml:space="preserve"> ылесос  ылесос индустриальный</v>
      </c>
      <c r="C1194" s="61" t="s">
        <v>15619</v>
      </c>
      <c r="D1194" s="56" t="s">
        <v>15620</v>
      </c>
      <c r="E1194" s="63" t="s">
        <v>3380</v>
      </c>
      <c r="F1194" s="57">
        <v>153106</v>
      </c>
      <c r="G1194" s="58">
        <v>13</v>
      </c>
      <c r="I1194" s="5"/>
      <c r="J1194" s="5"/>
    </row>
    <row r="1195" spans="1:10" x14ac:dyDescent="0.2">
      <c r="A1195" s="59" t="str">
        <f ca="1">IFERROR(__xludf.DUMMYFUNCTION("TEXTJOIN(""|"",TRUE,UNIQUE(FILTER(SPLIT(B1195,"" ""),LEN(SPLIT(B1195,"" ""))&gt;2)))"),"ециркулятор|2х15|825х155х130мм|без|подставки|асса|без|упаковки")</f>
        <v>ециркулятор|2х15|825х155х130мм|без|подставки|асса|без|упаковки</v>
      </c>
      <c r="B1195" s="59" t="str">
        <f ca="1">IFERROR(__xludf.DUMMYFUNCTION("LOWER(REGEXREPLACE(D1195&amp;"" ""&amp;E1195,""[^а-яa-z0-9 ]"","" ""))")," ециркулятор                                         2х15     825х155х130мм  без подставки   асса без упаковки  кг  7")</f>
        <v xml:space="preserve"> ециркулятор                                         2х15     825х155х130мм  без подставки   асса без упаковки  кг  7</v>
      </c>
      <c r="C1195" s="61" t="s">
        <v>15621</v>
      </c>
      <c r="D1195" s="56" t="s">
        <v>15622</v>
      </c>
      <c r="E1195" s="56" t="s">
        <v>15623</v>
      </c>
      <c r="F1195" s="57">
        <v>88400</v>
      </c>
      <c r="G1195" s="58">
        <v>45</v>
      </c>
      <c r="I1195" s="5"/>
      <c r="J1195" s="5"/>
    </row>
    <row r="1196" spans="1:10" x14ac:dyDescent="0.2">
      <c r="A1196" s="59" t="str">
        <f ca="1">IFERROR(__xludf.DUMMYFUNCTION("TEXTJOIN(""|"",TRUE,UNIQUE(FILTER(SPLIT(B1196,"" ""),LEN(SPLIT(B1196,"" ""))&gt;2)))"),"етевой|фильтр|етевой|фильтр|rip|ite|uper|розеток")</f>
        <v>етевой|фильтр|етевой|фильтр|rip|ite|uper|розеток</v>
      </c>
      <c r="B1196" s="59" t="str">
        <f ca="1">IFERROR(__xludf.DUMMYFUNCTION("LOWER(REGEXREPLACE(D1196&amp;"" ""&amp;E1196,""[^а-яa-z0-9 ]"","" ""))")," етевой фильтр 5 м   етевой фильтр  rip  ite  uper 6      6 розеток  5м")</f>
        <v xml:space="preserve"> етевой фильтр 5 м   етевой фильтр  rip  ite  uper 6      6 розеток  5м</v>
      </c>
      <c r="C1196" s="61" t="s">
        <v>15624</v>
      </c>
      <c r="D1196" s="56" t="s">
        <v>15625</v>
      </c>
      <c r="E1196" s="56" t="s">
        <v>5213</v>
      </c>
      <c r="F1196" s="57">
        <v>5415</v>
      </c>
      <c r="G1196" s="58">
        <v>60</v>
      </c>
      <c r="I1196" s="5"/>
      <c r="J1196" s="5"/>
    </row>
    <row r="1197" spans="1:10" x14ac:dyDescent="0.2">
      <c r="A1197" s="59" t="str">
        <f ca="1">IFERROR(__xludf.DUMMYFUNCTION("TEXTJOIN(""|"",TRUE,UNIQUE(FILTER(SPLIT(B1197,"" ""),LEN(SPLIT(B1197,"" ""))&gt;2)))"),"коворода|опрокидываемая|электрическая|vpe7|емпература|230|бъем|ощность|апряжение|400|абариты|700x800x850")</f>
        <v>коворода|опрокидываемая|электрическая|vpe7|емпература|230|бъем|ощность|апряжение|400|абариты|700x800x850</v>
      </c>
      <c r="B1197" s="59" t="str">
        <f ca="1">IFERROR(__xludf.DUMMYFUNCTION("LOWER(REGEXREPLACE(D1197&amp;"" ""&amp;E1197,""[^а-яa-z0-9 ]"","" ""))")," коворода опрокидываемая электрическая vpe7 22  емпература  50 230     бъем  50 л    ощность  7 2 к т   апряжение  400     абариты  700x800x850 мм")</f>
        <v xml:space="preserve"> коворода опрокидываемая электрическая vpe7 22  емпература  50 230     бъем  50 л    ощность  7 2 к т   апряжение  400     абариты  700x800x850 мм</v>
      </c>
      <c r="C1197" s="61" t="s">
        <v>15626</v>
      </c>
      <c r="D1197" s="56" t="s">
        <v>15627</v>
      </c>
      <c r="E1197" s="56" t="s">
        <v>15628</v>
      </c>
      <c r="F1197" s="57">
        <v>3143000</v>
      </c>
      <c r="G1197" s="58">
        <v>1</v>
      </c>
      <c r="I1197" s="5"/>
      <c r="J1197" s="5"/>
    </row>
    <row r="1198" spans="1:10" x14ac:dyDescent="0.2">
      <c r="A1198" s="59" t="str">
        <f ca="1">IFERROR(__xludf.DUMMYFUNCTION("TEXTJOIN(""|"",TRUE,UNIQUE(FILTER(SPLIT(B1198,"" ""),LEN(SPLIT(B1198,"" ""))&gt;2)))"),"лайсер|250|орпус|нержавеющей|стали|зготовлен|анодированного|алюминия|иаметр|лезвия|250|лектрическое|подключение|220|ощность|азмеры|535x475x490")</f>
        <v>лайсер|250|орпус|нержавеющей|стали|зготовлен|анодированного|алюминия|иаметр|лезвия|250|лектрическое|подключение|220|ощность|азмеры|535x475x490</v>
      </c>
      <c r="B1198" s="59" t="str">
        <f ca="1">IFERROR(__xludf.DUMMYFUNCTION("LOWER(REGEXREPLACE(D1198&amp;"" ""&amp;E1198,""[^а-яa-z0-9 ]"","" ""))"),"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f>
        <v xml:space="preserve">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v>
      </c>
      <c r="C1198" s="61" t="s">
        <v>15629</v>
      </c>
      <c r="D1198" s="56" t="s">
        <v>15630</v>
      </c>
      <c r="E1198" s="56" t="s">
        <v>15631</v>
      </c>
      <c r="F1198" s="57">
        <v>919100</v>
      </c>
      <c r="G1198" s="58">
        <v>1</v>
      </c>
      <c r="I1198" s="5"/>
      <c r="J1198" s="5"/>
    </row>
    <row r="1199" spans="1:10" x14ac:dyDescent="0.2">
      <c r="A1199" s="59" t="str">
        <f ca="1">IFERROR(__xludf.DUMMYFUNCTION("TEXTJOIN(""|"",TRUE,UNIQUE(FILTER(SPLIT(B1199,"" ""),LEN(SPLIT(B1199,"" ""))&gt;2)))"),"терилизатор|ножей|vbs|местимость|ножей|230|льтрафиолет|аймер|мин|азмеры|500x117x600мм")</f>
        <v>терилизатор|ножей|vbs|местимость|ножей|230|льтрафиолет|аймер|мин|азмеры|500x117x600мм</v>
      </c>
      <c r="B1199" s="59" t="str">
        <f ca="1">IFERROR(__xludf.DUMMYFUNCTION("LOWER(REGEXREPLACE(D1199&amp;"" ""&amp;E1199,""[^а-яa-z0-9 ]"","" ""))")," терилизатор ножей vbs 10  местимость  10 ножей  0 02 к т   230     льтрафиолет   аймер 0 90 мин   азмеры  500x117x600мм")</f>
        <v xml:space="preserve"> терилизатор ножей vbs 10  местимость  10 ножей  0 02 к т   230     льтрафиолет   аймер 0 90 мин   азмеры  500x117x600мм</v>
      </c>
      <c r="C1199" s="61" t="s">
        <v>15632</v>
      </c>
      <c r="D1199" s="56" t="s">
        <v>15633</v>
      </c>
      <c r="E1199" s="56" t="s">
        <v>15634</v>
      </c>
      <c r="F1199" s="57">
        <v>231000</v>
      </c>
      <c r="G1199" s="58">
        <v>3</v>
      </c>
      <c r="I1199" s="5"/>
      <c r="J1199" s="5"/>
    </row>
    <row r="1200" spans="1:10" x14ac:dyDescent="0.2">
      <c r="A1200" s="59" t="str">
        <f ca="1">IFERROR(__xludf.DUMMYFUNCTION("TEXTJOIN(""|"",TRUE,UNIQUE(FILTER(SPLIT(B1200,"" ""),LEN(SPLIT(B1200,"" ""))&gt;2)))"),"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amp;"а|складная|конструкция|ассчитана|пользователей|массой|тела")</f>
        <v>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а|складная|конструкция|ассчитана|пользователей|массой|тела</v>
      </c>
      <c r="B1200" s="59" t="str">
        <f ca="1">IFERROR(__xludf.DUMMYFUNCTION("LOWER(REGEXREPLACE(D1200&amp;"" ""&amp;E1200,""[^а-яa-z0-9 ]"","" ""))"),"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менее"&amp;" 94 38 см   редусмотрена регулировка угла наклона и складная конструкция   ассчитана на пользователей с массой тела до 90 кг ")</f>
        <v xml:space="preserve">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 94 38 см   редусмотрена регулировка угла наклона и складная конструкция   ассчитана на пользователей с массой тела до 90 кг </v>
      </c>
      <c r="C1200" s="61" t="s">
        <v>15635</v>
      </c>
      <c r="D1200" s="56" t="s">
        <v>15636</v>
      </c>
      <c r="E1200" s="56" t="s">
        <v>15637</v>
      </c>
      <c r="F1200" s="57">
        <v>676600</v>
      </c>
      <c r="G1200" s="58">
        <v>1</v>
      </c>
      <c r="I1200" s="5"/>
      <c r="J1200" s="5"/>
    </row>
    <row r="1201" spans="1:10" x14ac:dyDescent="0.2">
      <c r="A1201" s="59" t="str">
        <f ca="1">IFERROR(__xludf.DUMMYFUNCTION("TEXTJOIN(""|"",TRUE,UNIQUE(FILTER(SPLIT(B1201,"" ""),LEN(SPLIT(B1201,"" ""))&gt;2)))"),"тиральная|машина|сушильная|машина|qps10")</f>
        <v>тиральная|машина|сушильная|машина|qps10</v>
      </c>
      <c r="B1201" s="59" t="str">
        <f ca="1">IFERROR(__xludf.DUMMYFUNCTION("LOWER(REGEXREPLACE(D1201&amp;"" ""&amp;E1201,""[^а-яa-z0-9 ]"","" ""))")," тиральная машина   сушильная машина qps10 ")</f>
        <v xml:space="preserve"> тиральная машина   сушильная машина qps10 </v>
      </c>
      <c r="C1201" s="61" t="s">
        <v>15638</v>
      </c>
      <c r="D1201" s="56" t="s">
        <v>15639</v>
      </c>
      <c r="E1201" s="56"/>
      <c r="F1201" s="57">
        <v>7357700</v>
      </c>
      <c r="G1201" s="58">
        <v>1</v>
      </c>
      <c r="I1201" s="5"/>
      <c r="J1201" s="5"/>
    </row>
    <row r="1202" spans="1:10" x14ac:dyDescent="0.2">
      <c r="A1202" s="59" t="str">
        <f ca="1">IFERROR(__xludf.DUMMYFUNCTION("TEXTJOIN(""|"",TRUE,UNIQUE(FILTER(SPLIT(B1202,"" ""),LEN(SPLIT(B1202,"" ""))&gt;2)))"),"тиральная|машина|240|местимость|бъем|барабана|240|актор|400|иаметр|барабана|750|бороты|стирки|rpm|бороты|отжима|980|rpm|100|горячая|вода|нагрев|лектрический|нагрев|380|415")</f>
        <v>тиральная|машина|240|местимость|бъем|барабана|240|актор|400|иаметр|барабана|750|бороты|стирки|rpm|бороты|отжима|980|rpm|100|горячая|вода|нагрев|лектрический|нагрев|380|415</v>
      </c>
      <c r="B1202" s="59" t="str">
        <f ca="1">IFERROR(__xludf.DUMMYFUNCTION("LOWER(REGEXREPLACE(D1202&amp;"" ""&amp;E1202,""[^а-яa-z0-9 ]"","" ""))"),"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"&amp;"z 3 h  ")</f>
        <v xml:space="preserve">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z 3 h  </v>
      </c>
      <c r="C1202" s="61" t="s">
        <v>15640</v>
      </c>
      <c r="D1202" s="56" t="s">
        <v>15641</v>
      </c>
      <c r="E1202" s="56" t="s">
        <v>15642</v>
      </c>
      <c r="F1202" s="57">
        <v>18428500</v>
      </c>
      <c r="G1202" s="58">
        <v>1</v>
      </c>
      <c r="I1202" s="5"/>
      <c r="J1202" s="5"/>
    </row>
    <row r="1203" spans="1:10" x14ac:dyDescent="0.2">
      <c r="A1203" s="59" t="str">
        <f ca="1">IFERROR(__xludf.DUMMYFUNCTION("TEXTJOIN(""|"",TRUE,UNIQUE(FILTER(SPLIT(B1203,"" ""),LEN(SPLIT(B1203,"" ""))&gt;2)))"),"ушильная|машина|местимость|бъем|барабана|530|иаметр|барабана|930|редняя|скорость|сушки|384|мин|лектрическая|мощность|380|415|фазы|азмеры|1975x965x1270")</f>
        <v>ушильная|машина|местимость|бъем|барабана|530|иаметр|барабана|930|редняя|скорость|сушки|384|мин|лектрическая|мощность|380|415|фазы|азмеры|1975x965x1270</v>
      </c>
      <c r="B1203" s="59" t="str">
        <f ca="1">IFERROR(__xludf.DUMMYFUNCTION("LOWER(REGEXREPLACE(D1203&amp;"" ""&amp;E1203,""[^а-яa-z0-9 ]"","" ""))"),"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f>
        <v xml:space="preserve">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v>
      </c>
      <c r="C1203" s="61" t="s">
        <v>15643</v>
      </c>
      <c r="D1203" s="56" t="s">
        <v>15644</v>
      </c>
      <c r="E1203" s="56" t="s">
        <v>15645</v>
      </c>
      <c r="F1203" s="57">
        <v>6783700</v>
      </c>
      <c r="G1203" s="58">
        <v>1</v>
      </c>
      <c r="I1203" s="5"/>
      <c r="J1203" s="5"/>
    </row>
    <row r="1204" spans="1:10" x14ac:dyDescent="0.2">
      <c r="A1204" s="59" t="str">
        <f ca="1">IFERROR(__xludf.DUMMYFUNCTION("TEXTJOIN(""|"",TRUE,UNIQUE(FILTER(SPLIT(B1204,"" ""),LEN(SPLIT(B1204,"" ""))&gt;2)))"),"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f>
        <v>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v>
      </c>
      <c r="B1204" s="59" t="str">
        <f ca="1">IFERROR(__xludf.DUMMYFUNCTION("LOWER(REGEXREPLACE(D1204&amp;"" ""&amp;E1204,""[^а-яa-z0-9 ]"","" ""))"),"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кг"&amp;" ч")</f>
        <v xml:space="preserve">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 ч</v>
      </c>
      <c r="C1204" s="61" t="s">
        <v>15646</v>
      </c>
      <c r="D1204" s="56" t="s">
        <v>15647</v>
      </c>
      <c r="E1204" s="56" t="s">
        <v>15648</v>
      </c>
      <c r="F1204" s="57">
        <v>15624600</v>
      </c>
      <c r="G1204" s="58">
        <v>1</v>
      </c>
      <c r="I1204" s="5"/>
      <c r="J1204" s="5"/>
    </row>
    <row r="1205" spans="1:10" x14ac:dyDescent="0.2">
      <c r="A1205" s="59" t="str">
        <f ca="1">IFERROR(__xludf.DUMMYFUNCTION("TEXTJOIN(""|"",TRUE,UNIQUE(FILTER(SPLIT(B1205,"" ""),LEN(SPLIT(B1205,"" ""))&gt;2)))"),"естомес|hym|600t|местимость|мука|вода|отел|o600x290|азмеры|70x100x104|380|рехфазный|ощность")</f>
        <v>естомес|hym|600t|местимость|мука|вода|отел|o600x290|азмеры|70x100x104|380|рехфазный|ощность</v>
      </c>
      <c r="B1205" s="59" t="str">
        <f ca="1">IFERROR(__xludf.DUMMYFUNCTION("LOWER(REGEXREPLACE(D1205&amp;"" ""&amp;E1205,""[^а-яa-z0-9 ]"","" ""))")," естомес hym 600t  местимость  мука вода   25 кг   20 л   отел  o600x290 мм   азмеры  70x100x104 см  380     рехфазный    ощность  1 1 к т")</f>
        <v xml:space="preserve"> естомес hym 600t  местимость  мука вода   25 кг   20 л   отел  o600x290 мм   азмеры  70x100x104 см  380     рехфазный    ощность  1 1 к т</v>
      </c>
      <c r="C1205" s="61" t="s">
        <v>15649</v>
      </c>
      <c r="D1205" s="56" t="s">
        <v>15650</v>
      </c>
      <c r="E1205" s="56" t="s">
        <v>15651</v>
      </c>
      <c r="F1205" s="57">
        <v>1487200</v>
      </c>
      <c r="G1205" s="58">
        <v>1</v>
      </c>
      <c r="I1205" s="5"/>
      <c r="J1205" s="5"/>
    </row>
    <row r="1206" spans="1:10" x14ac:dyDescent="0.2">
      <c r="A1206" s="59" t="str">
        <f ca="1">IFERROR(__xludf.DUMMYFUNCTION("TEXTJOIN(""|"",TRUE,UNIQUE(FILTER(SPLIT(B1206,"" ""),LEN(SPLIT(B1206,"" ""))&gt;2)))"),"влажнитель|воздуха|влажнитель|воздуха|edmond|3316")</f>
        <v>влажнитель|воздуха|влажнитель|воздуха|edmond|3316</v>
      </c>
      <c r="B1206" s="59" t="str">
        <f ca="1">IFERROR(__xludf.DUMMYFUNCTION("LOWER(REGEXREPLACE(D1206&amp;"" ""&amp;E1206,""[^а-яa-z0-9 ]"","" ""))")," влажнитель воздуха  влажнитель воздуха  edmond     3316")</f>
        <v xml:space="preserve"> влажнитель воздуха  влажнитель воздуха  edmond     3316</v>
      </c>
      <c r="C1206" s="61" t="s">
        <v>15652</v>
      </c>
      <c r="D1206" s="56" t="s">
        <v>15653</v>
      </c>
      <c r="E1206" s="56" t="s">
        <v>15654</v>
      </c>
      <c r="F1206" s="57">
        <v>136000</v>
      </c>
      <c r="G1206" s="58">
        <v>26</v>
      </c>
      <c r="I1206" s="5"/>
      <c r="J1206" s="5"/>
    </row>
    <row r="1207" spans="1:10" x14ac:dyDescent="0.2">
      <c r="A1207" s="59" t="str">
        <f ca="1">IFERROR(__xludf.DUMMYFUNCTION("TEXTJOIN(""|"",TRUE,UNIQUE(FILTER(SPLIT(B1207,"" ""),LEN(SPLIT(B1207,"" ""))&gt;2)))"),"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amp;"егулярного|офисного|использования|онструкция|безопасна|эксплуатации|проста|обслуживании|размещается|рабочей|зоне|персонала")</f>
        <v>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егулярного|офисного|использования|онструкция|безопасна|эксплуатации|проста|обслуживании|размещается|рабочей|зоне|персонала</v>
      </c>
      <c r="B1207" s="59" t="str">
        <f ca="1">IFERROR(__xludf.DUMMYFUNCTION("LOWER(REGEXREPLACE(D1207&amp;"" ""&amp;E1207,""[^а-яa-z0-9 ]"","" ""))"),"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п"&amp;"одходит для регулярного офисного использования   онструкция безопасна в эксплуатации  проста в обслуживании  размещается в рабочей зоне персонала ")</f>
        <v xml:space="preserve">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подходит для регулярного офисного использования   онструкция безопасна в эксплуатации  проста в обслуживании  размещается в рабочей зоне персонала </v>
      </c>
      <c r="C1207" s="61" t="s">
        <v>15655</v>
      </c>
      <c r="D1207" s="56" t="s">
        <v>15656</v>
      </c>
      <c r="E1207" s="56" t="s">
        <v>15657</v>
      </c>
      <c r="F1207" s="57">
        <v>153000</v>
      </c>
      <c r="G1207" s="58">
        <v>1</v>
      </c>
      <c r="I1207" s="5"/>
      <c r="J1207" s="5"/>
    </row>
    <row r="1208" spans="1:10" x14ac:dyDescent="0.2">
      <c r="A1208" s="59" t="str">
        <f ca="1">IFERROR(__xludf.DUMMYFUNCTION("TEXTJOIN(""|"",TRUE,UNIQUE(FILTER(SPLIT(B1208,"" ""),LEN(SPLIT(B1208,"" ""))&gt;2)))"),"ничтожитель|насекомых|ешетчатая|система|220|короткими|лампами|отребляет|электроэнергии|лощадь|воздействия|азмеры|700|215|390")</f>
        <v>ничтожитель|насекомых|ешетчатая|система|220|короткими|лампами|отребляет|электроэнергии|лощадь|воздействия|азмеры|700|215|390</v>
      </c>
      <c r="B1208" s="59" t="str">
        <f ca="1">IFERROR(__xludf.DUMMYFUNCTION("LOWER(REGEXREPLACE(D1208&amp;"" ""&amp;E1208,""[^а-яa-z0-9 ]"","" ""))"),"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f>
        <v xml:space="preserve">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v>
      </c>
      <c r="C1208" s="61" t="s">
        <v>15658</v>
      </c>
      <c r="D1208" s="56" t="s">
        <v>15659</v>
      </c>
      <c r="E1208" s="56" t="s">
        <v>15660</v>
      </c>
      <c r="F1208" s="57">
        <v>290500</v>
      </c>
      <c r="G1208" s="58">
        <v>2</v>
      </c>
      <c r="I1208" s="5"/>
      <c r="J1208" s="5"/>
    </row>
    <row r="1209" spans="1:10" x14ac:dyDescent="0.2">
      <c r="A1209" s="59" t="str">
        <f ca="1">IFERROR(__xludf.DUMMYFUNCTION("TEXTJOIN(""|"",TRUE,UNIQUE(FILTER(SPLIT(B1209,"" ""),LEN(SPLIT(B1209,"" ""))&gt;2)))"),"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amp;"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amp;"юдения|комфортной|громкости|для|детей|итание|батарей|аккумуляторов|временем|непрерывной|работы|менее|часов")</f>
        <v>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юдения|комфортной|громкости|для|детей|итание|батарей|аккумуляторов|временем|непрерывной|работы|менее|часов</v>
      </c>
      <c r="B1209" s="59" t="str">
        <f ca="1">IFERROR(__xludf.DUMMYFUNCTION("LOWER(REGEXREPLACE(D1209&amp;"" ""&amp;E1209,""[^а-яa-z0-9 ]"","" ""))"),"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м"&amp;"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звук"&amp;"овых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f>
        <v xml:space="preserve">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v>
      </c>
      <c r="C1209" s="61" t="s">
        <v>15661</v>
      </c>
      <c r="D1209" s="56" t="s">
        <v>15662</v>
      </c>
      <c r="E1209" s="56" t="s">
        <v>15663</v>
      </c>
      <c r="F1209" s="57">
        <v>136000</v>
      </c>
      <c r="G1209" s="58">
        <v>2</v>
      </c>
      <c r="I1209" s="5"/>
      <c r="J1209" s="5"/>
    </row>
    <row r="1210" spans="1:10" x14ac:dyDescent="0.2">
      <c r="A1210" s="59" t="str">
        <f ca="1">IFERROR(__xludf.DUMMYFUNCTION("TEXTJOIN(""|"",TRUE,UNIQUE(FILTER(SPLIT(B1210,"" ""),LEN(SPLIT(B1210,"" ""))&gt;2)))"),"олодильная|камера|4190x3000x2400|олодильная|камера|4190x3000x2400")</f>
        <v>олодильная|камера|4190x3000x2400|олодильная|камера|4190x3000x2400</v>
      </c>
      <c r="B1210" s="59" t="str">
        <f ca="1">IFERROR(__xludf.DUMMYFUNCTION("LOWER(REGEXREPLACE(D1210&amp;"" ""&amp;E1210,""[^а-яa-z0-9 ]"","" ""))")," олодильная камера 4190x3000x2400  олодильная камера 4190x3000x2400")</f>
        <v xml:space="preserve"> олодильная камера 4190x3000x2400  олодильная камера 4190x3000x2400</v>
      </c>
      <c r="C1210" s="61" t="s">
        <v>15664</v>
      </c>
      <c r="D1210" s="56" t="s">
        <v>15665</v>
      </c>
      <c r="E1210" s="56" t="s">
        <v>15665</v>
      </c>
      <c r="F1210" s="57">
        <v>9255300</v>
      </c>
      <c r="G1210" s="58">
        <v>1</v>
      </c>
      <c r="I1210" s="5"/>
      <c r="J1210" s="5"/>
    </row>
    <row r="1211" spans="1:10" x14ac:dyDescent="0.2">
      <c r="A1211" s="59" t="str">
        <f ca="1">IFERROR(__xludf.DUMMYFUNCTION("TEXTJOIN(""|"",TRUE,UNIQUE(FILTER(SPLIT(B1211,"" ""),LEN(SPLIT(B1211,"" ""))&gt;2)))"),"епловая|завеса|омпактная|тепловая|завеса")</f>
        <v>епловая|завеса|омпактная|тепловая|завеса</v>
      </c>
      <c r="B1211" s="59" t="str">
        <f ca="1">IFERROR(__xludf.DUMMYFUNCTION("LOWER(REGEXREPLACE(D1211&amp;"" ""&amp;E1211,""[^а-яa-z0-9 ]"","" ""))")," епловая завеса  омпактная тепловая завеса")</f>
        <v xml:space="preserve"> епловая завеса  омпактная тепловая завеса</v>
      </c>
      <c r="C1211" s="61" t="s">
        <v>15666</v>
      </c>
      <c r="D1211" s="56" t="s">
        <v>15667</v>
      </c>
      <c r="E1211" s="56" t="s">
        <v>15668</v>
      </c>
      <c r="F1211" s="57">
        <v>144400</v>
      </c>
      <c r="G1211" s="58">
        <v>1</v>
      </c>
      <c r="I1211" s="5"/>
      <c r="J1211" s="5"/>
    </row>
    <row r="1212" spans="1:10" x14ac:dyDescent="0.2">
      <c r="A1212" s="59" t="str">
        <f ca="1">IFERROR(__xludf.DUMMYFUNCTION("TEXTJOIN(""|"",TRUE,UNIQUE(FILTER(SPLIT(B1212,"" ""),LEN(SPLIT(B1212,"" ""))&gt;2)))"),"олодильный|стол|vsy|емпература|230|абариты|1340х700х850")</f>
        <v>олодильный|стол|vsy|емпература|230|абариты|1340х700х850</v>
      </c>
      <c r="B1212" s="59" t="str">
        <f ca="1">IFERROR(__xludf.DUMMYFUNCTION("LOWER(REGEXREPLACE(D1212&amp;"" ""&amp;E1212,""[^а-яa-z0-9 ]"","" ""))")," олодильный стол vsy 2  емпература   2  8  0 3 к т 230   1    50 60  ц   абариты  1340х700х850 мм")</f>
        <v xml:space="preserve"> олодильный стол vsy 2  емпература   2  8  0 3 к т 230   1    50 60  ц   абариты  1340х700х850 мм</v>
      </c>
      <c r="C1212" s="61" t="s">
        <v>15669</v>
      </c>
      <c r="D1212" s="56" t="s">
        <v>15670</v>
      </c>
      <c r="E1212" s="56" t="s">
        <v>15671</v>
      </c>
      <c r="F1212" s="57">
        <v>1531800</v>
      </c>
      <c r="G1212" s="58">
        <v>3</v>
      </c>
      <c r="I1212" s="5"/>
      <c r="J1212" s="5"/>
    </row>
    <row r="1213" spans="1:10" x14ac:dyDescent="0.2">
      <c r="A1213" s="59" t="str">
        <f ca="1">IFERROR(__xludf.DUMMYFUNCTION("TEXTJOIN(""|"",TRUE,UNIQUE(FILTER(SPLIT(B1213,"" ""),LEN(SPLIT(B1213,"" ""))&gt;2)))"),"олодильный|стол|vsy|емпература|ощность|230|абариты|1820x700x850")</f>
        <v>олодильный|стол|vsy|емпература|ощность|230|абариты|1820x700x850</v>
      </c>
      <c r="B1213" s="59" t="str">
        <f ca="1">IFERROR(__xludf.DUMMYFUNCTION("LOWER(REGEXREPLACE(D1213&amp;"" ""&amp;E1213,""[^а-яa-z0-9 ]"","" ""))")," олодильный стол vsy 3  емпература   2  8     ощность  0 39 к т  230  1   50 60 ц   абариты  1820x700x850 мм")</f>
        <v xml:space="preserve"> олодильный стол vsy 3  емпература   2  8     ощность  0 39 к т  230  1   50 60 ц   абариты  1820x700x850 мм</v>
      </c>
      <c r="C1213" s="61" t="s">
        <v>15672</v>
      </c>
      <c r="D1213" s="56" t="s">
        <v>15673</v>
      </c>
      <c r="E1213" s="56" t="s">
        <v>15674</v>
      </c>
      <c r="F1213" s="57">
        <v>1827300</v>
      </c>
      <c r="G1213" s="58">
        <v>1</v>
      </c>
      <c r="I1213" s="5"/>
      <c r="J1213" s="5"/>
    </row>
    <row r="1214" spans="1:10" x14ac:dyDescent="0.2">
      <c r="A1214" s="59" t="str">
        <f ca="1">IFERROR(__xludf.DUMMYFUNCTION("TEXTJOIN(""|"",TRUE,UNIQUE(FILTER(SPLIT(B1214,"" ""),LEN(SPLIT(B1214,"" ""))&gt;2)))"),"олодильный|шкаф|дверь|vsp|емпература|ощность|230|абариты|656x811x2050")</f>
        <v>олодильный|шкаф|дверь|vsp|емпература|ощность|230|абариты|656x811x2050</v>
      </c>
      <c r="B1214" s="59" t="str">
        <f ca="1">IFERROR(__xludf.DUMMYFUNCTION("LOWER(REGEXREPLACE(D1214&amp;"" ""&amp;E1214,""[^а-яa-z0-9 ]"","" ""))")," олодильный шкаф 1 дверь vsp 1  емпература   2  8     ощность  0 3 к т  230  1   50 60 ц   абариты  656x811x2050 мм")</f>
        <v xml:space="preserve"> олодильный шкаф 1 дверь vsp 1  емпература   2  8     ощность  0 3 к т  230  1   50 60 ц   абариты  656x811x2050 мм</v>
      </c>
      <c r="C1214" s="61" t="s">
        <v>15675</v>
      </c>
      <c r="D1214" s="56" t="s">
        <v>15676</v>
      </c>
      <c r="E1214" s="56" t="s">
        <v>15677</v>
      </c>
      <c r="F1214" s="57">
        <v>1791600</v>
      </c>
      <c r="G1214" s="58">
        <v>1</v>
      </c>
      <c r="I1214" s="5"/>
      <c r="J1214" s="5"/>
    </row>
    <row r="1215" spans="1:10" x14ac:dyDescent="0.2">
      <c r="A1215" s="59" t="str">
        <f ca="1">IFERROR(__xludf.DUMMYFUNCTION("TEXTJOIN(""|"",TRUE,UNIQUE(FILTER(SPLIT(B1215,"" ""),LEN(SPLIT(B1215,"" ""))&gt;2)))"),"вейная|машинка|anome|автомат|электромеханическая|количество|швейных|операций|контроль|натяжения|нитей|тип|челнока|вертикальный")</f>
        <v>вейная|машинка|anome|автомат|электромеханическая|количество|швейных|операций|контроль|натяжения|нитей|тип|челнока|вертикальный</v>
      </c>
      <c r="B1215" s="59" t="str">
        <f ca="1">IFERROR(__xludf.DUMMYFUNCTION("LOWER(REGEXREPLACE(D1215&amp;"" ""&amp;E1215,""[^а-яa-z0-9 ]"","" ""))")," вейная машинка  anome  автомат  электромеханическая  количество швейных операций 22  контроль натяжения нитей  тип челнока вертикальный")</f>
        <v xml:space="preserve"> вейная машинка  anome  автомат  электромеханическая  количество швейных операций 22  контроль натяжения нитей  тип челнока вертикальный</v>
      </c>
      <c r="C1215" s="61" t="s">
        <v>15678</v>
      </c>
      <c r="D1215" s="56" t="s">
        <v>15679</v>
      </c>
      <c r="E1215" s="56" t="s">
        <v>15680</v>
      </c>
      <c r="F1215" s="57">
        <v>237200</v>
      </c>
      <c r="G1215" s="58">
        <v>1</v>
      </c>
      <c r="I1215" s="5"/>
      <c r="J1215" s="5"/>
    </row>
    <row r="1216" spans="1:10" x14ac:dyDescent="0.2">
      <c r="A1216" s="59" t="str">
        <f ca="1">IFERROR(__xludf.DUMMYFUNCTION("TEXTJOIN(""|"",TRUE,UNIQUE(FILTER(SPLIT(B1216,"" ""),LEN(SPLIT(B1216,"" ""))&gt;2)))"),"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f>
        <v>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v>
      </c>
      <c r="B1216" s="59" t="str">
        <f ca="1">IFERROR(__xludf.DUMMYFUNCTION("LOWER(REGEXREPLACE(D1216&amp;"" ""&amp;E1216,""[^а-яa-z0-9 ]"","" ""))"),"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f>
        <v xml:space="preserve">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v>
      </c>
      <c r="C1216" s="61" t="s">
        <v>15681</v>
      </c>
      <c r="D1216" s="56" t="s">
        <v>5642</v>
      </c>
      <c r="E1216" s="56" t="s">
        <v>15682</v>
      </c>
      <c r="F1216" s="57">
        <v>2408900</v>
      </c>
      <c r="G1216" s="58">
        <v>1</v>
      </c>
      <c r="I1216" s="5"/>
      <c r="J1216" s="5"/>
    </row>
    <row r="1217" spans="1:10" x14ac:dyDescent="0.2">
      <c r="A1217" s="59" t="str">
        <f ca="1">IFERROR(__xludf.DUMMYFUNCTION("TEXTJOIN(""|"",TRUE,UNIQUE(FILTER(SPLIT(B1217,"" ""),LEN(SPLIT(B1217,"" ""))&gt;2)))"),"ентиляция|вытяжная|истема|принудительной|вытяжной|вентиляции|для|обеспечения|воздухообмена|поддержания|комфортного|микроклимата|помещении")</f>
        <v>ентиляция|вытяжная|истема|принудительной|вытяжной|вентиляции|для|обеспечения|воздухообмена|поддержания|комфортного|микроклимата|помещении</v>
      </c>
      <c r="B1217" s="59" t="str">
        <f ca="1">IFERROR(__xludf.DUMMYFUNCTION("LOWER(REGEXREPLACE(D1217&amp;"" ""&amp;E1217,""[^а-яa-z0-9 ]"","" ""))")," ентиляция вытяжная  истема принудительной вытяжной вентиляции для обеспечения воздухообмена и поддержания комфортного микроклимата в помещении ")</f>
        <v xml:space="preserve"> ентиляция вытяжная  истема принудительной вытяжной вентиляции для обеспечения воздухообмена и поддержания комфортного микроклимата в помещении </v>
      </c>
      <c r="C1217" s="61" t="s">
        <v>15683</v>
      </c>
      <c r="D1217" s="56" t="s">
        <v>15684</v>
      </c>
      <c r="E1217" s="56" t="s">
        <v>15685</v>
      </c>
      <c r="F1217" s="57">
        <v>42500</v>
      </c>
      <c r="G1217" s="58">
        <v>2</v>
      </c>
      <c r="I1217" s="5"/>
      <c r="J1217" s="5"/>
    </row>
    <row r="1218" spans="1:10" x14ac:dyDescent="0.2">
      <c r="A1218" s="59" t="str">
        <f ca="1">IFERROR(__xludf.DUMMYFUNCTION("TEXTJOIN(""|"",TRUE,UNIQUE(FILTER(SPLIT(B1218,"" ""),LEN(SPLIT(B1218,"" ""))&gt;2)))"),"сточник|бесперебойного|питания|сточник|бесперебойного|питания|2000|2000|1200|2x12v|175|275|розет|ехника|119|119|339")</f>
        <v>сточник|бесперебойного|питания|сточник|бесперебойного|питания|2000|2000|1200|2x12v|175|275|розет|ехника|119|119|339</v>
      </c>
      <c r="B1218" s="59" t="str">
        <f ca="1">IFERROR(__xludf.DUMMYFUNCTION("LOWER(REGEXREPLACE(D1218&amp;"" ""&amp;E1218,""[^а-яa-z0-9 ]"","" ""))")," сточник бесперебойного питания  сточник бесперебойного питания          2000    2000    1200   2x12v 9  h      175 275   2 розет   ехника шт  1 119 000 00 119 000 00   71 339")</f>
        <v xml:space="preserve"> сточник бесперебойного питания  сточник бесперебойного питания          2000    2000    1200   2x12v 9  h      175 275   2 розет   ехника шт  1 119 000 00 119 000 00   71 339</v>
      </c>
      <c r="C1218" s="61" t="s">
        <v>15686</v>
      </c>
      <c r="D1218" s="61" t="s">
        <v>5189</v>
      </c>
      <c r="E1218" s="56" t="s">
        <v>15687</v>
      </c>
      <c r="F1218" s="57">
        <v>71339</v>
      </c>
      <c r="G1218" s="58">
        <v>1</v>
      </c>
      <c r="I1218" s="5"/>
      <c r="J1218" s="5"/>
    </row>
    <row r="1219" spans="1:10" x14ac:dyDescent="0.2">
      <c r="A1219" s="59" t="str">
        <f ca="1">IFERROR(__xludf.DUMMYFUNCTION("TEXTJOIN(""|"",TRUE,UNIQUE(FILTER(SPLIT(B1219,"" ""),LEN(SPLIT(B1219,"" ""))&gt;2)))"),"сточник|бесперебойного|питания|2000|2000|1200|2x12v|175|275|розет|ехника|119|119|340")</f>
        <v>сточник|бесперебойного|питания|2000|2000|1200|2x12v|175|275|розет|ехника|119|119|340</v>
      </c>
      <c r="B1219" s="59" t="str">
        <f ca="1">IFERROR(__xludf.DUMMYFUNCTION("LOWER(REGEXREPLACE(D1219&amp;"" ""&amp;E1219,""[^а-яa-z0-9 ]"","" ""))"),"  сточник бесперебойного питания          2000    2000    1200   2x12v 9  h      175 275   2 розет   ехника шт  1 119 000 00 119 000 00   71 340")</f>
        <v xml:space="preserve">  сточник бесперебойного питания          2000    2000    1200   2x12v 9  h      175 275   2 розет   ехника шт  1 119 000 00 119 000 00   71 340</v>
      </c>
      <c r="C1219" s="56"/>
      <c r="D1219" s="56"/>
      <c r="E1219" s="56" t="s">
        <v>15688</v>
      </c>
      <c r="F1219" s="57">
        <v>71339</v>
      </c>
      <c r="G1219" s="58">
        <v>1</v>
      </c>
      <c r="I1219" s="5"/>
      <c r="J1219" s="5"/>
    </row>
    <row r="1220" spans="1:10" x14ac:dyDescent="0.2">
      <c r="A1220" s="59" t="str">
        <f ca="1">IFERROR(__xludf.DUMMYFUNCTION("TEXTJOIN(""|"",TRUE,UNIQUE(FILTER(SPLIT(B1220,"" ""),LEN(SPLIT(B1220,"" ""))&gt;2)))"),"сточник|бесперебойного|питания|2000|2000|1200|2x12v|175|275|розет|ехника|119|119|341")</f>
        <v>сточник|бесперебойного|питания|2000|2000|1200|2x12v|175|275|розет|ехника|119|119|341</v>
      </c>
      <c r="B1220" s="59" t="str">
        <f ca="1">IFERROR(__xludf.DUMMYFUNCTION("LOWER(REGEXREPLACE(D1220&amp;"" ""&amp;E1220,""[^а-яa-z0-9 ]"","" ""))"),"  сточник бесперебойного питания          2000    2000    1200   2x12v 9  h      175 275   2 розет   ехника шт  1 119 000 00 119 000 00   71 341")</f>
        <v xml:space="preserve">  сточник бесперебойного питания          2000    2000    1200   2x12v 9  h      175 275   2 розет   ехника шт  1 119 000 00 119 000 00   71 341</v>
      </c>
      <c r="C1220" s="56"/>
      <c r="D1220" s="56"/>
      <c r="E1220" s="56" t="s">
        <v>15689</v>
      </c>
      <c r="F1220" s="57">
        <v>71339</v>
      </c>
      <c r="G1220" s="58">
        <v>1</v>
      </c>
      <c r="I1220" s="5"/>
      <c r="J1220" s="5"/>
    </row>
    <row r="1221" spans="1:10" x14ac:dyDescent="0.2">
      <c r="A1221" s="59" t="str">
        <f ca="1">IFERROR(__xludf.DUMMYFUNCTION("TEXTJOIN(""|"",TRUE,UNIQUE(FILTER(SPLIT(B1221,"" ""),LEN(SPLIT(B1221,"" ""))&gt;2)))"),"сточник|бесперебойного|питания|2000|2000|1200|2x12v|175|275|розет|ехника|119|119|342")</f>
        <v>сточник|бесперебойного|питания|2000|2000|1200|2x12v|175|275|розет|ехника|119|119|342</v>
      </c>
      <c r="B1221" s="59" t="str">
        <f ca="1">IFERROR(__xludf.DUMMYFUNCTION("LOWER(REGEXREPLACE(D1221&amp;"" ""&amp;E1221,""[^а-яa-z0-9 ]"","" ""))"),"  сточник бесперебойного питания          2000    2000    1200   2x12v 9  h      175 275   2 розет   ехника шт  1 119 000 00 119 000 00   71 342")</f>
        <v xml:space="preserve">  сточник бесперебойного питания          2000    2000    1200   2x12v 9  h      175 275   2 розет   ехника шт  1 119 000 00 119 000 00   71 342</v>
      </c>
      <c r="C1221" s="56"/>
      <c r="D1221" s="56"/>
      <c r="E1221" s="56" t="s">
        <v>15690</v>
      </c>
      <c r="F1221" s="57">
        <v>71339</v>
      </c>
      <c r="G1221" s="58">
        <v>1</v>
      </c>
      <c r="I1221" s="5"/>
      <c r="J1221" s="5"/>
    </row>
    <row r="1222" spans="1:10" x14ac:dyDescent="0.2">
      <c r="A1222" s="59" t="str">
        <f ca="1">IFERROR(__xludf.DUMMYFUNCTION("TEXTJOIN(""|"",TRUE,UNIQUE(FILTER(SPLIT(B1222,"" ""),LEN(SPLIT(B1222,"" ""))&gt;2)))"),"сточник|бесперебойного|питания|2000|2000|1200|2x12v|175|275|розет|ехника|119|119|343")</f>
        <v>сточник|бесперебойного|питания|2000|2000|1200|2x12v|175|275|розет|ехника|119|119|343</v>
      </c>
      <c r="B1222" s="59" t="str">
        <f ca="1">IFERROR(__xludf.DUMMYFUNCTION("LOWER(REGEXREPLACE(D1222&amp;"" ""&amp;E1222,""[^а-яa-z0-9 ]"","" ""))"),"  сточник бесперебойного питания          2000    2000    1200   2x12v 9  h      175 275   2 розет   ехника шт  1 119 000 00 119 000 00   71 343")</f>
        <v xml:space="preserve">  сточник бесперебойного питания          2000    2000    1200   2x12v 9  h      175 275   2 розет   ехника шт  1 119 000 00 119 000 00   71 343</v>
      </c>
      <c r="C1222" s="56"/>
      <c r="D1222" s="56"/>
      <c r="E1222" s="56" t="s">
        <v>15691</v>
      </c>
      <c r="F1222" s="57">
        <v>71339</v>
      </c>
      <c r="G1222" s="58">
        <v>1</v>
      </c>
      <c r="I1222" s="5"/>
      <c r="J1222" s="5"/>
    </row>
    <row r="1223" spans="1:10" x14ac:dyDescent="0.2">
      <c r="A1223" s="59" t="str">
        <f ca="1">IFERROR(__xludf.DUMMYFUNCTION("TEXTJOIN(""|"",TRUE,UNIQUE(FILTER(SPLIT(B1223,"" ""),LEN(SPLIT(B1223,"" ""))&gt;2)))"),"сточник|бесперебойного|питания|2000|2000|1200|2x12v|175|275|розет|ехника|119|119|344")</f>
        <v>сточник|бесперебойного|питания|2000|2000|1200|2x12v|175|275|розет|ехника|119|119|344</v>
      </c>
      <c r="B1223" s="59" t="str">
        <f ca="1">IFERROR(__xludf.DUMMYFUNCTION("LOWER(REGEXREPLACE(D1223&amp;"" ""&amp;E1223,""[^а-яa-z0-9 ]"","" ""))"),"  сточник бесперебойного питания          2000    2000    1200   2x12v 9  h      175 275   2 розет   ехника шт  1 119 000 00 119 000 00   71 344")</f>
        <v xml:space="preserve">  сточник бесперебойного питания          2000    2000    1200   2x12v 9  h      175 275   2 розет   ехника шт  1 119 000 00 119 000 00   71 344</v>
      </c>
      <c r="C1223" s="56"/>
      <c r="D1223" s="56"/>
      <c r="E1223" s="56" t="s">
        <v>15692</v>
      </c>
      <c r="F1223" s="57">
        <v>71339</v>
      </c>
      <c r="G1223" s="58">
        <v>1</v>
      </c>
      <c r="I1223" s="5"/>
      <c r="J1223" s="5"/>
    </row>
    <row r="1224" spans="1:10" x14ac:dyDescent="0.2">
      <c r="A1224" s="59" t="str">
        <f ca="1">IFERROR(__xludf.DUMMYFUNCTION("TEXTJOIN(""|"",TRUE,UNIQUE(FILTER(SPLIT(B1224,"" ""),LEN(SPLIT(B1224,"" ""))&gt;2)))"),"сточник|бесперебойного|питания|2000|2000|1200|2x12v|175|275|розет|ехника|119|119|345")</f>
        <v>сточник|бесперебойного|питания|2000|2000|1200|2x12v|175|275|розет|ехника|119|119|345</v>
      </c>
      <c r="B1224" s="59" t="str">
        <f ca="1">IFERROR(__xludf.DUMMYFUNCTION("LOWER(REGEXREPLACE(D1224&amp;"" ""&amp;E1224,""[^а-яa-z0-9 ]"","" ""))"),"  сточник бесперебойного питания          2000    2000    1200   2x12v 9  h      175 275   2 розет   ехника шт  1 119 000 00 119 000 00   71 345")</f>
        <v xml:space="preserve">  сточник бесперебойного питания          2000    2000    1200   2x12v 9  h      175 275   2 розет   ехника шт  1 119 000 00 119 000 00   71 345</v>
      </c>
      <c r="C1224" s="56"/>
      <c r="D1224" s="56"/>
      <c r="E1224" s="56" t="s">
        <v>15693</v>
      </c>
      <c r="F1224" s="57">
        <v>71339</v>
      </c>
      <c r="G1224" s="58">
        <v>1</v>
      </c>
      <c r="I1224" s="5"/>
      <c r="J1224" s="5"/>
    </row>
    <row r="1225" spans="1:10" x14ac:dyDescent="0.2">
      <c r="A1225" s="59" t="str">
        <f ca="1">IFERROR(__xludf.DUMMYFUNCTION("TEXTJOIN(""|"",TRUE,UNIQUE(FILTER(SPLIT(B1225,"" ""),LEN(SPLIT(B1225,"" ""))&gt;2)))"),"сточник|бесперебойного|питания|2000|2000|1200|2x12v|175|275|розет|ехника|119|119|346")</f>
        <v>сточник|бесперебойного|питания|2000|2000|1200|2x12v|175|275|розет|ехника|119|119|346</v>
      </c>
      <c r="B1225" s="59" t="str">
        <f ca="1">IFERROR(__xludf.DUMMYFUNCTION("LOWER(REGEXREPLACE(D1225&amp;"" ""&amp;E1225,""[^а-яa-z0-9 ]"","" ""))"),"  сточник бесперебойного питания          2000    2000    1200   2x12v 9  h      175 275   2 розет   ехника шт  1 119 000 00 119 000 00   71 346")</f>
        <v xml:space="preserve">  сточник бесперебойного питания          2000    2000    1200   2x12v 9  h      175 275   2 розет   ехника шт  1 119 000 00 119 000 00   71 346</v>
      </c>
      <c r="C1225" s="56"/>
      <c r="D1225" s="56"/>
      <c r="E1225" s="56" t="s">
        <v>15694</v>
      </c>
      <c r="F1225" s="57">
        <v>71339</v>
      </c>
      <c r="G1225" s="58">
        <v>1</v>
      </c>
      <c r="I1225" s="5"/>
      <c r="J1225" s="5"/>
    </row>
    <row r="1226" spans="1:10" x14ac:dyDescent="0.2">
      <c r="A1226" s="59" t="str">
        <f ca="1">IFERROR(__xludf.DUMMYFUNCTION("TEXTJOIN(""|"",TRUE,UNIQUE(FILTER(SPLIT(B1226,"" ""),LEN(SPLIT(B1226,"" ""))&gt;2)))"),"абель|абель|лина")</f>
        <v>абель|абель|лина</v>
      </c>
      <c r="B1226" s="59" t="str">
        <f ca="1">IFERROR(__xludf.DUMMYFUNCTION("LOWER(REGEXREPLACE(D1226&amp;"" ""&amp;E1226,""[^а-яa-z0-9 ]"","" ""))")," абель            абель             лина  5м ")</f>
        <v xml:space="preserve"> абель            абель             лина  5м </v>
      </c>
      <c r="C1226" s="61" t="s">
        <v>15695</v>
      </c>
      <c r="D1226" s="61" t="s">
        <v>15696</v>
      </c>
      <c r="E1226" s="56" t="s">
        <v>15697</v>
      </c>
      <c r="F1226" s="57">
        <v>10200</v>
      </c>
      <c r="G1226" s="58">
        <v>14</v>
      </c>
      <c r="I1226" s="5"/>
      <c r="J1226" s="5"/>
    </row>
    <row r="1227" spans="1:10" x14ac:dyDescent="0.2">
      <c r="A1227" s="59" t="str">
        <f ca="1">IFERROR(__xludf.DUMMYFUNCTION("TEXTJOIN(""|"",TRUE,UNIQUE(FILTER(SPLIT(B1227,"" ""),LEN(SPLIT(B1227,"" ""))&gt;2)))"),"абель|абель|ype|лина")</f>
        <v>абель|абель|ype|лина</v>
      </c>
      <c r="B1227" s="59" t="str">
        <f ca="1">IFERROR(__xludf.DUMMYFUNCTION("LOWER(REGEXREPLACE(D1227&amp;"" ""&amp;E1227,""[^а-яa-z0-9 ]"","" ""))")," абель      абель     2 0  ype   лина  3 м ")</f>
        <v xml:space="preserve"> абель      абель     2 0  ype   лина  3 м </v>
      </c>
      <c r="C1227" s="61" t="s">
        <v>15698</v>
      </c>
      <c r="D1227" s="61" t="s">
        <v>15699</v>
      </c>
      <c r="E1227" s="56" t="s">
        <v>15700</v>
      </c>
      <c r="F1227" s="57">
        <v>6100</v>
      </c>
      <c r="G1227" s="58">
        <v>24</v>
      </c>
      <c r="I1227" s="5"/>
      <c r="J1227" s="5"/>
    </row>
    <row r="1228" spans="1:10" x14ac:dyDescent="0.2">
      <c r="A1228" s="59" t="str">
        <f ca="1">IFERROR(__xludf.DUMMYFUNCTION("TEXTJOIN(""|"",TRUE,UNIQUE(FILTER(SPLIT(B1228,"" ""),LEN(SPLIT(B1228,"" ""))&gt;2)))"),"елевизор|оммерческий|телевизор|640|дюймов|типа")</f>
        <v>елевизор|оммерческий|телевизор|640|дюймов|типа</v>
      </c>
      <c r="B1228" s="59" t="str">
        <f ca="1">IFERROR(__xludf.DUMMYFUNCTION("LOWER(REGEXREPLACE(D1228&amp;"" ""&amp;E1228,""[^а-яa-z0-9 ]"","" ""))")," елевизор 65   оммерческий телевизор   65  640   65 дюймов типа   ")</f>
        <v xml:space="preserve"> елевизор 65   оммерческий телевизор   65  640   65 дюймов типа   </v>
      </c>
      <c r="C1228" s="61" t="s">
        <v>15701</v>
      </c>
      <c r="D1228" s="61" t="s">
        <v>15702</v>
      </c>
      <c r="E1228" s="56" t="s">
        <v>15703</v>
      </c>
      <c r="F1228" s="57">
        <v>670369</v>
      </c>
      <c r="G1228" s="58">
        <v>9</v>
      </c>
      <c r="I1228" s="5"/>
      <c r="J1228" s="5"/>
    </row>
    <row r="1229" spans="1:10" x14ac:dyDescent="0.2">
      <c r="A1229" s="59" t="str">
        <f ca="1">IFERROR(__xludf.DUMMYFUNCTION("TEXTJOIN(""|"",TRUE,UNIQUE(FILTER(SPLIT(B1229,"" ""),LEN(SPLIT(B1229,"" ""))&gt;2)))"),"елевизор|функцией|mart|диагональ|дюймов|азрешение|3840|2160|ltra")</f>
        <v>елевизор|функцией|mart|диагональ|дюймов|азрешение|3840|2160|ltra</v>
      </c>
      <c r="B1229" s="59" t="str">
        <f ca="1">IFERROR(__xludf.DUMMYFUNCTION("LOWER(REGEXREPLACE(D1229&amp;"" ""&amp;E1229,""[^а-яa-z0-9 ]"","" ""))"),"  елевизор      с функцией  mart     диагональ 65 дюймов   азрешение 3840 x 2160   ltra    ")</f>
        <v xml:space="preserve">  елевизор      с функцией  mart     диагональ 65 дюймов   азрешение 3840 x 2160   ltra    </v>
      </c>
      <c r="C1229" s="56"/>
      <c r="D1229" s="56"/>
      <c r="E1229" s="56" t="s">
        <v>15704</v>
      </c>
      <c r="F1229" s="57">
        <v>850000</v>
      </c>
      <c r="G1229" s="58">
        <v>0</v>
      </c>
      <c r="I1229" s="5"/>
      <c r="J1229" s="5"/>
    </row>
    <row r="1230" spans="1:10" x14ac:dyDescent="0.2">
      <c r="A1230" s="59" t="str">
        <f ca="1">IFERROR(__xludf.DUMMYFUNCTION("TEXTJOIN(""|"",TRUE,UNIQUE(FILTER(SPLIT(B1230,"" ""),LEN(SPLIT(B1230,"" ""))&gt;2)))"),"омпьютерная|мышь|ышь|125|ired|ouse")</f>
        <v>омпьютерная|мышь|ышь|125|ired|ouse</v>
      </c>
      <c r="B1230" s="59" t="str">
        <f ca="1">IFERROR(__xludf.DUMMYFUNCTION("LOWER(REGEXREPLACE(D1230&amp;"" ""&amp;E1230,""[^а-яa-z0-9 ]"","" ""))")," омпьютерная мышь  ышь    125  ired  ouse")</f>
        <v xml:space="preserve"> омпьютерная мышь  ышь    125  ired  ouse</v>
      </c>
      <c r="C1230" s="61" t="s">
        <v>15705</v>
      </c>
      <c r="D1230" s="61" t="s">
        <v>15706</v>
      </c>
      <c r="E1230" s="56" t="s">
        <v>219</v>
      </c>
      <c r="F1230" s="57">
        <v>2555</v>
      </c>
      <c r="G1230" s="58">
        <v>14</v>
      </c>
      <c r="I1230" s="5"/>
      <c r="J1230" s="5"/>
    </row>
    <row r="1231" spans="1:10" x14ac:dyDescent="0.2">
      <c r="A1231" s="59" t="str">
        <f ca="1">IFERROR(__xludf.DUMMYFUNCTION("TEXTJOIN(""|"",TRUE,UNIQUE(FILTER(SPLIT(B1231,"" ""),LEN(SPLIT(B1231,"" ""))&gt;2)))"),"цветной|olor|aser|178nw|print|600x600dpi|18ppm|scan|600x600dpi")</f>
        <v>цветной|olor|aser|178nw|print|600x600dpi|18ppm|scan|600x600dpi</v>
      </c>
      <c r="B1231" s="59" t="str">
        <f ca="1">IFERROR(__xludf.DUMMYFUNCTION("LOWER(REGEXREPLACE(D1231&amp;"" ""&amp;E1231,""[^а-яa-z0-9 ]"","" ""))"),"    цветной         olor  aser 178nw   4  print 600x600dpi  18ppm  scan 600x600dpi                  i  i")</f>
        <v xml:space="preserve">    цветной         olor  aser 178nw   4  print 600x600dpi  18ppm  scan 600x600dpi                  i  i</v>
      </c>
      <c r="C1231" s="61" t="s">
        <v>15707</v>
      </c>
      <c r="D1231" s="61" t="s">
        <v>15708</v>
      </c>
      <c r="E1231" s="56" t="s">
        <v>5070</v>
      </c>
      <c r="F1231" s="57">
        <v>153593</v>
      </c>
      <c r="G1231" s="58">
        <v>19</v>
      </c>
      <c r="I1231" s="5"/>
      <c r="J1231" s="5"/>
    </row>
    <row r="1232" spans="1:10" x14ac:dyDescent="0.2">
      <c r="A1232" s="59" t="str">
        <f ca="1">IFERROR(__xludf.DUMMYFUNCTION("TEXTJOIN(""|"",TRUE,UNIQUE(FILTER(SPLIT(B1232,"" ""),LEN(SPLIT(B1232,"" ""))&gt;2)))"),"онт|вытяжной|вентиляционный|онт|вытяжной|вентиляционный|размерами|1200х700мм|устройством|для|сбора|жировых|отложений")</f>
        <v>онт|вытяжной|вентиляционный|онт|вытяжной|вентиляционный|размерами|1200х700мм|устройством|для|сбора|жировых|отложений</v>
      </c>
      <c r="B1232" s="59" t="str">
        <f ca="1">IFERROR(__xludf.DUMMYFUNCTION("LOWER(REGEXREPLACE(D1232&amp;"" ""&amp;E1232,""[^а-яa-z0-9 ]"","" ""))")," онт вытяжной вентиляционный  онт вытяжной вентиляционный размерами 1200х700мм с устройством для сбора жировых отложений")</f>
        <v xml:space="preserve"> онт вытяжной вентиляционный  онт вытяжной вентиляционный размерами 1200х700мм с устройством для сбора жировых отложений</v>
      </c>
      <c r="C1232" s="61" t="s">
        <v>15709</v>
      </c>
      <c r="D1232" s="56" t="s">
        <v>12300</v>
      </c>
      <c r="E1232" s="56" t="s">
        <v>15710</v>
      </c>
      <c r="F1232" s="57">
        <v>674900</v>
      </c>
      <c r="G1232" s="58">
        <v>1</v>
      </c>
      <c r="I1232" s="5"/>
      <c r="J1232" s="5"/>
    </row>
    <row r="1233" spans="1:10" x14ac:dyDescent="0.2">
      <c r="A1233" s="59" t="str">
        <f ca="1">IFERROR(__xludf.DUMMYFUNCTION("TEXTJOIN(""|"",TRUE,UNIQUE(FILTER(SPLIT(B1233,"" ""),LEN(SPLIT(B1233,"" ""))&gt;2)))"),"онт|вытяжной|вентиляционный|онт|вытяжной|вентиляционный|размерами|1200х1200мм|устройством|для|сбора|жировых|отложений")</f>
        <v>онт|вытяжной|вентиляционный|онт|вытяжной|вентиляционный|размерами|1200х1200мм|устройством|для|сбора|жировых|отложений</v>
      </c>
      <c r="B1233" s="59" t="str">
        <f ca="1">IFERROR(__xludf.DUMMYFUNCTION("LOWER(REGEXREPLACE(D1233&amp;"" ""&amp;E1233,""[^а-яa-z0-9 ]"","" ""))")," онт вытяжной вентиляционный   онт вытяжной вентиляционный размерами 1200х1200мм с устройством для сбора  жировых отложений")</f>
        <v xml:space="preserve"> онт вытяжной вентиляционный   онт вытяжной вентиляционный размерами 1200х1200мм с устройством для сбора  жировых отложений</v>
      </c>
      <c r="C1233" s="61" t="s">
        <v>15711</v>
      </c>
      <c r="D1233" s="56" t="s">
        <v>15712</v>
      </c>
      <c r="E1233" s="56" t="s">
        <v>15713</v>
      </c>
      <c r="F1233" s="57">
        <v>381700</v>
      </c>
      <c r="G1233" s="58">
        <v>1</v>
      </c>
      <c r="I1233" s="5"/>
      <c r="J1233" s="5"/>
    </row>
    <row r="1234" spans="1:10" x14ac:dyDescent="0.2">
      <c r="A1234" s="59" t="str">
        <f ca="1">IFERROR(__xludf.DUMMYFUNCTION("TEXTJOIN(""|"",TRUE,UNIQUE(FILTER(SPLIT(B1234,"" ""),LEN(SPLIT(B1234,"" ""))&gt;2)))"),"онт|вытяжной|вентиляционный|онт|вытяжной|вентиляционный|размерами|3200х2200мм|устройством|для|сбора|жировых|отложений")</f>
        <v>онт|вытяжной|вентиляционный|онт|вытяжной|вентиляционный|размерами|3200х2200мм|устройством|для|сбора|жировых|отложений</v>
      </c>
      <c r="B1234" s="59" t="str">
        <f ca="1">IFERROR(__xludf.DUMMYFUNCTION("LOWER(REGEXREPLACE(D1234&amp;"" ""&amp;E1234,""[^а-яa-z0-9 ]"","" ""))")," онт вытяжной вентиляционный   онт вытяжной вентиляционный размерами 3200х2200мм с устройством для сбора  жировых отложений")</f>
        <v xml:space="preserve"> онт вытяжной вентиляционный   онт вытяжной вентиляционный размерами 3200х2200мм с устройством для сбора  жировых отложений</v>
      </c>
      <c r="C1234" s="61" t="s">
        <v>15714</v>
      </c>
      <c r="D1234" s="56" t="s">
        <v>15712</v>
      </c>
      <c r="E1234" s="56" t="s">
        <v>15715</v>
      </c>
      <c r="F1234" s="57">
        <v>1784700</v>
      </c>
      <c r="G1234" s="58">
        <v>1</v>
      </c>
      <c r="I1234" s="5"/>
      <c r="J1234" s="5"/>
    </row>
    <row r="1235" spans="1:10" x14ac:dyDescent="0.2">
      <c r="A1235" s="55"/>
      <c r="B1235" s="55"/>
      <c r="C1235" s="65"/>
      <c r="D1235" s="65"/>
      <c r="E1235" s="65"/>
      <c r="F1235" s="65"/>
      <c r="G1235" s="65"/>
      <c r="I1235" s="5"/>
      <c r="J1235" s="5"/>
    </row>
    <row r="1236" spans="1:10" x14ac:dyDescent="0.2">
      <c r="A1236" s="55"/>
      <c r="B1236" s="55"/>
      <c r="C1236" s="65"/>
      <c r="D1236" s="65"/>
      <c r="E1236" s="65"/>
      <c r="F1236" s="65"/>
      <c r="G1236" s="65"/>
      <c r="I1236" s="5"/>
      <c r="J1236" s="5"/>
    </row>
    <row r="1237" spans="1:10" x14ac:dyDescent="0.2">
      <c r="A1237" s="55"/>
      <c r="B1237" s="55"/>
      <c r="C1237" s="65"/>
      <c r="D1237" s="65"/>
      <c r="E1237" s="65"/>
      <c r="F1237" s="65"/>
      <c r="G1237" s="65"/>
      <c r="I1237" s="5"/>
      <c r="J1237" s="5"/>
    </row>
    <row r="1238" spans="1:10" x14ac:dyDescent="0.2">
      <c r="A1238" s="55"/>
      <c r="B1238" s="55"/>
      <c r="C1238" s="65"/>
      <c r="D1238" s="65"/>
      <c r="E1238" s="65"/>
      <c r="F1238" s="65"/>
      <c r="G1238" s="65"/>
      <c r="I1238" s="5"/>
      <c r="J1238" s="5"/>
    </row>
    <row r="1239" spans="1:10" x14ac:dyDescent="0.2">
      <c r="A1239" s="55"/>
      <c r="B1239" s="55"/>
      <c r="C1239" s="65"/>
      <c r="D1239" s="65"/>
      <c r="E1239" s="65"/>
      <c r="F1239" s="65"/>
      <c r="G1239" s="65"/>
      <c r="I1239" s="5"/>
      <c r="J1239" s="5"/>
    </row>
    <row r="1240" spans="1:10" x14ac:dyDescent="0.2">
      <c r="A1240" s="55"/>
      <c r="B1240" s="55"/>
      <c r="C1240" s="65"/>
      <c r="D1240" s="65"/>
      <c r="E1240" s="65"/>
      <c r="F1240" s="65"/>
      <c r="G1240" s="65"/>
      <c r="I1240" s="5"/>
      <c r="J1240" s="5"/>
    </row>
    <row r="1241" spans="1:10" x14ac:dyDescent="0.2">
      <c r="A1241" s="55"/>
      <c r="B1241" s="55"/>
      <c r="C1241" s="65"/>
      <c r="D1241" s="65"/>
      <c r="E1241" s="65"/>
      <c r="F1241" s="65"/>
      <c r="G1241" s="65"/>
      <c r="I1241" s="5"/>
      <c r="J1241" s="5"/>
    </row>
    <row r="1242" spans="1:10" x14ac:dyDescent="0.2">
      <c r="A1242" s="55"/>
      <c r="B1242" s="55"/>
      <c r="C1242" s="65"/>
      <c r="D1242" s="65"/>
      <c r="E1242" s="65"/>
      <c r="F1242" s="65"/>
      <c r="G1242" s="65"/>
      <c r="I1242" s="5"/>
      <c r="J1242" s="5"/>
    </row>
    <row r="1243" spans="1:10" x14ac:dyDescent="0.2">
      <c r="A1243" s="55"/>
      <c r="B1243" s="55"/>
      <c r="C1243" s="65"/>
      <c r="D1243" s="65"/>
      <c r="E1243" s="65"/>
      <c r="F1243" s="65"/>
      <c r="G1243" s="65"/>
      <c r="I1243" s="5"/>
      <c r="J1243" s="5"/>
    </row>
    <row r="1244" spans="1:10" x14ac:dyDescent="0.2">
      <c r="A1244" s="55"/>
      <c r="B1244" s="55"/>
      <c r="C1244" s="65"/>
      <c r="D1244" s="65"/>
      <c r="E1244" s="65"/>
      <c r="F1244" s="65"/>
      <c r="G1244" s="65"/>
      <c r="I1244" s="5"/>
      <c r="J1244" s="5"/>
    </row>
    <row r="1245" spans="1:10" x14ac:dyDescent="0.2">
      <c r="A1245" s="55"/>
      <c r="B1245" s="55"/>
      <c r="C1245" s="65"/>
      <c r="D1245" s="65"/>
      <c r="E1245" s="65"/>
      <c r="F1245" s="65"/>
      <c r="G1245" s="65"/>
      <c r="I1245" s="5"/>
      <c r="J1245" s="5"/>
    </row>
    <row r="1246" spans="1:10" x14ac:dyDescent="0.2">
      <c r="A1246" s="55"/>
      <c r="B1246" s="55"/>
      <c r="C1246" s="65"/>
      <c r="D1246" s="65"/>
      <c r="E1246" s="65"/>
      <c r="F1246" s="65"/>
      <c r="G1246" s="65"/>
      <c r="I1246" s="5"/>
      <c r="J1246" s="5"/>
    </row>
    <row r="1247" spans="1:10" x14ac:dyDescent="0.2">
      <c r="A1247" s="55"/>
      <c r="B1247" s="55"/>
      <c r="C1247" s="65"/>
      <c r="D1247" s="65"/>
      <c r="E1247" s="65"/>
      <c r="F1247" s="65"/>
      <c r="G1247" s="65"/>
      <c r="I1247" s="5"/>
      <c r="J1247" s="5"/>
    </row>
    <row r="1248" spans="1:10" x14ac:dyDescent="0.2">
      <c r="A1248" s="55"/>
      <c r="B1248" s="55"/>
      <c r="C1248" s="65"/>
      <c r="D1248" s="65"/>
      <c r="E1248" s="65"/>
      <c r="F1248" s="65"/>
      <c r="G1248" s="65"/>
      <c r="I1248" s="5"/>
      <c r="J1248" s="5"/>
    </row>
    <row r="1249" spans="1:10" x14ac:dyDescent="0.2">
      <c r="A1249" s="55"/>
      <c r="B1249" s="55"/>
      <c r="C1249" s="65"/>
      <c r="D1249" s="65"/>
      <c r="E1249" s="65"/>
      <c r="F1249" s="65"/>
      <c r="G1249" s="65"/>
      <c r="I1249" s="5"/>
      <c r="J1249" s="5"/>
    </row>
    <row r="1250" spans="1:10" x14ac:dyDescent="0.2">
      <c r="A1250" s="55"/>
      <c r="B1250" s="55"/>
      <c r="C1250" s="65"/>
      <c r="D1250" s="65"/>
      <c r="E1250" s="65"/>
      <c r="F1250" s="65"/>
      <c r="G1250" s="65"/>
      <c r="I1250" s="5"/>
      <c r="J1250" s="5"/>
    </row>
    <row r="1251" spans="1:10" x14ac:dyDescent="0.2">
      <c r="A1251" s="55"/>
      <c r="B1251" s="55"/>
      <c r="C1251" s="65"/>
      <c r="D1251" s="65"/>
      <c r="E1251" s="65"/>
      <c r="F1251" s="65"/>
      <c r="G1251" s="65"/>
      <c r="I1251" s="5"/>
      <c r="J1251" s="5"/>
    </row>
    <row r="1252" spans="1:10" x14ac:dyDescent="0.2">
      <c r="A1252" s="55"/>
      <c r="B1252" s="55"/>
      <c r="C1252" s="65"/>
      <c r="D1252" s="65"/>
      <c r="E1252" s="65"/>
      <c r="F1252" s="65"/>
      <c r="G1252" s="65"/>
      <c r="I1252" s="5"/>
      <c r="J1252" s="5"/>
    </row>
    <row r="1253" spans="1:10" x14ac:dyDescent="0.2">
      <c r="A1253" s="55"/>
      <c r="B1253" s="55"/>
      <c r="C1253" s="65"/>
      <c r="D1253" s="65"/>
      <c r="E1253" s="65"/>
      <c r="F1253" s="65"/>
      <c r="G1253" s="65"/>
      <c r="I1253" s="5"/>
      <c r="J1253" s="5"/>
    </row>
    <row r="1254" spans="1:10" x14ac:dyDescent="0.2">
      <c r="A1254" s="55"/>
      <c r="B1254" s="55"/>
      <c r="C1254" s="65"/>
      <c r="D1254" s="65"/>
      <c r="E1254" s="65"/>
      <c r="F1254" s="65"/>
      <c r="G1254" s="65"/>
      <c r="I1254" s="5"/>
      <c r="J1254" s="5"/>
    </row>
    <row r="1255" spans="1:10" x14ac:dyDescent="0.2">
      <c r="A1255" s="55"/>
      <c r="B1255" s="55"/>
      <c r="C1255" s="65"/>
      <c r="D1255" s="65"/>
      <c r="E1255" s="65"/>
      <c r="F1255" s="65"/>
      <c r="G1255" s="65"/>
      <c r="I1255" s="5"/>
      <c r="J1255" s="5"/>
    </row>
    <row r="1256" spans="1:10" x14ac:dyDescent="0.2">
      <c r="A1256" s="55"/>
      <c r="B1256" s="55"/>
      <c r="C1256" s="65"/>
      <c r="D1256" s="65"/>
      <c r="E1256" s="65"/>
      <c r="F1256" s="65"/>
      <c r="G1256" s="65"/>
      <c r="I1256" s="5"/>
      <c r="J1256" s="5"/>
    </row>
    <row r="1257" spans="1:10" x14ac:dyDescent="0.2">
      <c r="A1257" s="55"/>
      <c r="B1257" s="55"/>
      <c r="C1257" s="65"/>
      <c r="D1257" s="65"/>
      <c r="E1257" s="65"/>
      <c r="F1257" s="65"/>
      <c r="G1257" s="65"/>
      <c r="I1257" s="5"/>
      <c r="J1257" s="5"/>
    </row>
    <row r="1258" spans="1:10" x14ac:dyDescent="0.2">
      <c r="A1258" s="55"/>
      <c r="B1258" s="55"/>
      <c r="C1258" s="65"/>
      <c r="D1258" s="65"/>
      <c r="E1258" s="65"/>
      <c r="F1258" s="65"/>
      <c r="G1258" s="65"/>
      <c r="I1258" s="5"/>
      <c r="J1258" s="5"/>
    </row>
    <row r="1259" spans="1:10" x14ac:dyDescent="0.2">
      <c r="A1259" s="55"/>
      <c r="B1259" s="55"/>
      <c r="C1259" s="65"/>
      <c r="D1259" s="65"/>
      <c r="E1259" s="65"/>
      <c r="F1259" s="65"/>
      <c r="G1259" s="65"/>
      <c r="I1259" s="5"/>
      <c r="J1259" s="5"/>
    </row>
    <row r="1260" spans="1:10" x14ac:dyDescent="0.2">
      <c r="A1260" s="55"/>
      <c r="B1260" s="55"/>
      <c r="C1260" s="65"/>
      <c r="D1260" s="65"/>
      <c r="E1260" s="65"/>
      <c r="F1260" s="65"/>
      <c r="G1260" s="65"/>
      <c r="I1260" s="5"/>
      <c r="J1260" s="5"/>
    </row>
    <row r="1261" spans="1:10" x14ac:dyDescent="0.2">
      <c r="A1261" s="55"/>
      <c r="B1261" s="55"/>
      <c r="C1261" s="65"/>
      <c r="D1261" s="65"/>
      <c r="E1261" s="65"/>
      <c r="F1261" s="65"/>
      <c r="G1261" s="65"/>
      <c r="I1261" s="5"/>
      <c r="J1261" s="5"/>
    </row>
    <row r="1262" spans="1:10" x14ac:dyDescent="0.2">
      <c r="A1262" s="55"/>
      <c r="B1262" s="55"/>
      <c r="C1262" s="65"/>
      <c r="D1262" s="65"/>
      <c r="E1262" s="65"/>
      <c r="F1262" s="65"/>
      <c r="G1262" s="65"/>
      <c r="I1262" s="5"/>
      <c r="J1262" s="5"/>
    </row>
    <row r="1263" spans="1:10" x14ac:dyDescent="0.2">
      <c r="A1263" s="55"/>
      <c r="B1263" s="55"/>
      <c r="C1263" s="65"/>
      <c r="D1263" s="65"/>
      <c r="E1263" s="65"/>
      <c r="F1263" s="65"/>
      <c r="G1263" s="65"/>
      <c r="I1263" s="5"/>
      <c r="J1263" s="5"/>
    </row>
    <row r="1264" spans="1:10" x14ac:dyDescent="0.2">
      <c r="A1264" s="55"/>
      <c r="B1264" s="55"/>
      <c r="C1264" s="65"/>
      <c r="D1264" s="65"/>
      <c r="E1264" s="65"/>
      <c r="F1264" s="65"/>
      <c r="G1264" s="65"/>
      <c r="I1264" s="5"/>
      <c r="J1264" s="5"/>
    </row>
    <row r="1265" spans="1:10" x14ac:dyDescent="0.2">
      <c r="A1265" s="55"/>
      <c r="B1265" s="55"/>
      <c r="C1265" s="65"/>
      <c r="D1265" s="65"/>
      <c r="E1265" s="65"/>
      <c r="F1265" s="65"/>
      <c r="G1265" s="65"/>
      <c r="I1265" s="5"/>
      <c r="J1265" s="5"/>
    </row>
    <row r="1266" spans="1:10" x14ac:dyDescent="0.2">
      <c r="A1266" s="55"/>
      <c r="B1266" s="55"/>
      <c r="C1266" s="65"/>
      <c r="D1266" s="65"/>
      <c r="E1266" s="65"/>
      <c r="F1266" s="65"/>
      <c r="G1266" s="65"/>
      <c r="I1266" s="5"/>
      <c r="J1266" s="5"/>
    </row>
    <row r="1267" spans="1:10" x14ac:dyDescent="0.2">
      <c r="A1267" s="55"/>
      <c r="B1267" s="55"/>
      <c r="C1267" s="65"/>
      <c r="D1267" s="65"/>
      <c r="E1267" s="65"/>
      <c r="F1267" s="65"/>
      <c r="G1267" s="65"/>
      <c r="I1267" s="5"/>
      <c r="J1267" s="5"/>
    </row>
    <row r="1268" spans="1:10" x14ac:dyDescent="0.2">
      <c r="A1268" s="55"/>
      <c r="B1268" s="55"/>
      <c r="C1268" s="65"/>
      <c r="D1268" s="65"/>
      <c r="E1268" s="65"/>
      <c r="F1268" s="65"/>
      <c r="G1268" s="65"/>
      <c r="I1268" s="5"/>
      <c r="J1268" s="5"/>
    </row>
    <row r="1269" spans="1:10" x14ac:dyDescent="0.2">
      <c r="A1269" s="55"/>
      <c r="B1269" s="55"/>
      <c r="C1269" s="65"/>
      <c r="D1269" s="65"/>
      <c r="E1269" s="65"/>
      <c r="F1269" s="65"/>
      <c r="G1269" s="65"/>
      <c r="I1269" s="5"/>
      <c r="J1269" s="5"/>
    </row>
    <row r="1270" spans="1:10" x14ac:dyDescent="0.2">
      <c r="A1270" s="55"/>
      <c r="B1270" s="55"/>
      <c r="C1270" s="65"/>
      <c r="D1270" s="65"/>
      <c r="E1270" s="65"/>
      <c r="F1270" s="65"/>
      <c r="G1270" s="65"/>
      <c r="I1270" s="5"/>
      <c r="J1270" s="5"/>
    </row>
    <row r="1271" spans="1:10" x14ac:dyDescent="0.2">
      <c r="A1271" s="55"/>
      <c r="B1271" s="55"/>
      <c r="C1271" s="65"/>
      <c r="D1271" s="65"/>
      <c r="E1271" s="65"/>
      <c r="F1271" s="65"/>
      <c r="G1271" s="65"/>
      <c r="I1271" s="5"/>
      <c r="J1271" s="5"/>
    </row>
    <row r="1272" spans="1:10" x14ac:dyDescent="0.2">
      <c r="A1272" s="55"/>
      <c r="B1272" s="55"/>
      <c r="C1272" s="65"/>
      <c r="D1272" s="65"/>
      <c r="E1272" s="65"/>
      <c r="F1272" s="65"/>
      <c r="G1272" s="65"/>
      <c r="I1272" s="5"/>
      <c r="J1272" s="5"/>
    </row>
    <row r="1273" spans="1:10" x14ac:dyDescent="0.2">
      <c r="A1273" s="55"/>
      <c r="B1273" s="55"/>
      <c r="C1273" s="65"/>
      <c r="D1273" s="65"/>
      <c r="E1273" s="65"/>
      <c r="F1273" s="65"/>
      <c r="G1273" s="65"/>
      <c r="I1273" s="5"/>
      <c r="J1273" s="5"/>
    </row>
    <row r="1274" spans="1:10" x14ac:dyDescent="0.2">
      <c r="A1274" s="55"/>
      <c r="B1274" s="55"/>
      <c r="C1274" s="65"/>
      <c r="D1274" s="65"/>
      <c r="E1274" s="65"/>
      <c r="F1274" s="65"/>
      <c r="G1274" s="65"/>
      <c r="I1274" s="5"/>
      <c r="J1274" s="5"/>
    </row>
    <row r="1275" spans="1:10" x14ac:dyDescent="0.2">
      <c r="A1275" s="55"/>
      <c r="B1275" s="55"/>
      <c r="C1275" s="65"/>
      <c r="D1275" s="65"/>
      <c r="E1275" s="65"/>
      <c r="F1275" s="65"/>
      <c r="G1275" s="65"/>
      <c r="I1275" s="5"/>
      <c r="J1275" s="5"/>
    </row>
    <row r="1276" spans="1:10" x14ac:dyDescent="0.2">
      <c r="A1276" s="55"/>
      <c r="B1276" s="55"/>
      <c r="C1276" s="65"/>
      <c r="D1276" s="65"/>
      <c r="E1276" s="65"/>
      <c r="F1276" s="65"/>
      <c r="G1276" s="65"/>
      <c r="I1276" s="5"/>
      <c r="J1276" s="5"/>
    </row>
    <row r="1277" spans="1:10" x14ac:dyDescent="0.2">
      <c r="A1277" s="55"/>
      <c r="B1277" s="55"/>
      <c r="C1277" s="65"/>
      <c r="D1277" s="65"/>
      <c r="E1277" s="65"/>
      <c r="F1277" s="65"/>
      <c r="G1277" s="65"/>
      <c r="I1277" s="5"/>
      <c r="J1277" s="5"/>
    </row>
    <row r="1278" spans="1:10" x14ac:dyDescent="0.2">
      <c r="A1278" s="55"/>
      <c r="B1278" s="55"/>
      <c r="C1278" s="65"/>
      <c r="D1278" s="65"/>
      <c r="E1278" s="65"/>
      <c r="F1278" s="65"/>
      <c r="G1278" s="65"/>
      <c r="I1278" s="5"/>
      <c r="J1278" s="5"/>
    </row>
    <row r="1279" spans="1:10" x14ac:dyDescent="0.2">
      <c r="A1279" s="55"/>
      <c r="B1279" s="55"/>
      <c r="C1279" s="65"/>
      <c r="D1279" s="65"/>
      <c r="E1279" s="65"/>
      <c r="F1279" s="65"/>
      <c r="G1279" s="65"/>
      <c r="I1279" s="5"/>
      <c r="J1279" s="5"/>
    </row>
    <row r="1280" spans="1:10" x14ac:dyDescent="0.2">
      <c r="A1280" s="55"/>
      <c r="B1280" s="55"/>
      <c r="C1280" s="65"/>
      <c r="D1280" s="65"/>
      <c r="E1280" s="65"/>
      <c r="F1280" s="65"/>
      <c r="G1280" s="65"/>
      <c r="I1280" s="5"/>
      <c r="J1280" s="5"/>
    </row>
    <row r="1281" spans="1:10" x14ac:dyDescent="0.2">
      <c r="A1281" s="55"/>
      <c r="B1281" s="55"/>
      <c r="C1281" s="65"/>
      <c r="D1281" s="65"/>
      <c r="E1281" s="65"/>
      <c r="F1281" s="65"/>
      <c r="G1281" s="65"/>
      <c r="I1281" s="5"/>
      <c r="J1281" s="5"/>
    </row>
    <row r="1282" spans="1:10" x14ac:dyDescent="0.2">
      <c r="A1282" s="55"/>
      <c r="B1282" s="55"/>
      <c r="C1282" s="65"/>
      <c r="D1282" s="65"/>
      <c r="E1282" s="65"/>
      <c r="F1282" s="65"/>
      <c r="G1282" s="65"/>
      <c r="I1282" s="5"/>
      <c r="J1282" s="5"/>
    </row>
    <row r="1283" spans="1:10" x14ac:dyDescent="0.2">
      <c r="A1283" s="55"/>
      <c r="B1283" s="55"/>
      <c r="C1283" s="65"/>
      <c r="D1283" s="65"/>
      <c r="E1283" s="65"/>
      <c r="F1283" s="65"/>
      <c r="G1283" s="65"/>
      <c r="I1283" s="5"/>
      <c r="J1283" s="5"/>
    </row>
    <row r="1284" spans="1:10" x14ac:dyDescent="0.2">
      <c r="A1284" s="55"/>
      <c r="B1284" s="55"/>
      <c r="C1284" s="65"/>
      <c r="D1284" s="65"/>
      <c r="E1284" s="65"/>
      <c r="F1284" s="65"/>
      <c r="G1284" s="65"/>
      <c r="I1284" s="5"/>
      <c r="J1284" s="5"/>
    </row>
    <row r="1285" spans="1:10" x14ac:dyDescent="0.2">
      <c r="A1285" s="55"/>
      <c r="B1285" s="55"/>
      <c r="C1285" s="65"/>
      <c r="D1285" s="65"/>
      <c r="E1285" s="65"/>
      <c r="F1285" s="65"/>
      <c r="G1285" s="65"/>
      <c r="I1285" s="5"/>
      <c r="J1285" s="5"/>
    </row>
    <row r="1286" spans="1:10" x14ac:dyDescent="0.2">
      <c r="A1286" s="55"/>
      <c r="B1286" s="55"/>
      <c r="C1286" s="65"/>
      <c r="D1286" s="65"/>
      <c r="E1286" s="65"/>
      <c r="F1286" s="65"/>
      <c r="G1286" s="65"/>
      <c r="I1286" s="5"/>
      <c r="J1286" s="5"/>
    </row>
    <row r="1287" spans="1:10" x14ac:dyDescent="0.2">
      <c r="A1287" s="55"/>
      <c r="B1287" s="55"/>
      <c r="C1287" s="65"/>
      <c r="D1287" s="65"/>
      <c r="E1287" s="65"/>
      <c r="F1287" s="65"/>
      <c r="G1287" s="65"/>
      <c r="I1287" s="5"/>
      <c r="J1287" s="5"/>
    </row>
    <row r="1288" spans="1:10" x14ac:dyDescent="0.2">
      <c r="A1288" s="55"/>
      <c r="B1288" s="55"/>
      <c r="C1288" s="65"/>
      <c r="D1288" s="65"/>
      <c r="E1288" s="65"/>
      <c r="F1288" s="65"/>
      <c r="G1288" s="65"/>
      <c r="I1288" s="5"/>
      <c r="J1288" s="5"/>
    </row>
    <row r="1289" spans="1:10" x14ac:dyDescent="0.2">
      <c r="A1289" s="55"/>
      <c r="B1289" s="55"/>
      <c r="C1289" s="65"/>
      <c r="D1289" s="65"/>
      <c r="E1289" s="65"/>
      <c r="F1289" s="65"/>
      <c r="G1289" s="65"/>
      <c r="I1289" s="5"/>
      <c r="J1289" s="5"/>
    </row>
    <row r="1290" spans="1:10" x14ac:dyDescent="0.2">
      <c r="A1290" s="55"/>
      <c r="B1290" s="55"/>
      <c r="C1290" s="65"/>
      <c r="D1290" s="65"/>
      <c r="E1290" s="65"/>
      <c r="F1290" s="65"/>
      <c r="G1290" s="65"/>
      <c r="I1290" s="5"/>
      <c r="J1290" s="5"/>
    </row>
    <row r="1291" spans="1:10" x14ac:dyDescent="0.2">
      <c r="A1291" s="55"/>
      <c r="B1291" s="55"/>
      <c r="C1291" s="65"/>
      <c r="D1291" s="65"/>
      <c r="E1291" s="65"/>
      <c r="F1291" s="65"/>
      <c r="G1291" s="65"/>
      <c r="I1291" s="5"/>
      <c r="J1291" s="5"/>
    </row>
    <row r="1292" spans="1:10" x14ac:dyDescent="0.2">
      <c r="A1292" s="55"/>
      <c r="B1292" s="55"/>
      <c r="C1292" s="65"/>
      <c r="D1292" s="65"/>
      <c r="E1292" s="65"/>
      <c r="F1292" s="65"/>
      <c r="G1292" s="65"/>
      <c r="I1292" s="5"/>
      <c r="J1292" s="5"/>
    </row>
    <row r="1293" spans="1:10" x14ac:dyDescent="0.2">
      <c r="A1293" s="55"/>
      <c r="B1293" s="55"/>
      <c r="C1293" s="65"/>
      <c r="D1293" s="65"/>
      <c r="E1293" s="65"/>
      <c r="F1293" s="65"/>
      <c r="G1293" s="65"/>
      <c r="I1293" s="5"/>
      <c r="J1293" s="5"/>
    </row>
    <row r="1294" spans="1:10" x14ac:dyDescent="0.2">
      <c r="A1294" s="55"/>
      <c r="B1294" s="55"/>
      <c r="C1294" s="65"/>
      <c r="D1294" s="65"/>
      <c r="E1294" s="65"/>
      <c r="F1294" s="65"/>
      <c r="G1294" s="65"/>
      <c r="I1294" s="5"/>
      <c r="J1294" s="5"/>
    </row>
    <row r="1295" spans="1:10" x14ac:dyDescent="0.2">
      <c r="A1295" s="55"/>
      <c r="B1295" s="55"/>
      <c r="C1295" s="65"/>
      <c r="D1295" s="65"/>
      <c r="E1295" s="65"/>
      <c r="F1295" s="65"/>
      <c r="G1295" s="65"/>
      <c r="I1295" s="5"/>
      <c r="J1295" s="5"/>
    </row>
    <row r="1296" spans="1:10" x14ac:dyDescent="0.2">
      <c r="A1296" s="55"/>
      <c r="B1296" s="55"/>
      <c r="C1296" s="65"/>
      <c r="D1296" s="65"/>
      <c r="E1296" s="65"/>
      <c r="F1296" s="65"/>
      <c r="G1296" s="65"/>
      <c r="I1296" s="5"/>
      <c r="J1296" s="5"/>
    </row>
    <row r="1297" spans="1:10" x14ac:dyDescent="0.2">
      <c r="A1297" s="55"/>
      <c r="B1297" s="55"/>
      <c r="C1297" s="65"/>
      <c r="D1297" s="65"/>
      <c r="E1297" s="65"/>
      <c r="F1297" s="65"/>
      <c r="G1297" s="65"/>
      <c r="I1297" s="5"/>
      <c r="J1297" s="5"/>
    </row>
    <row r="1298" spans="1:10" x14ac:dyDescent="0.2">
      <c r="A1298" s="55"/>
      <c r="B1298" s="55"/>
      <c r="C1298" s="65"/>
      <c r="D1298" s="65"/>
      <c r="E1298" s="65"/>
      <c r="F1298" s="65"/>
      <c r="G1298" s="65"/>
      <c r="I1298" s="5"/>
      <c r="J1298" s="5"/>
    </row>
    <row r="1299" spans="1:10" x14ac:dyDescent="0.2">
      <c r="A1299" s="55"/>
      <c r="B1299" s="55"/>
      <c r="C1299" s="65"/>
      <c r="D1299" s="65"/>
      <c r="E1299" s="65"/>
      <c r="F1299" s="65"/>
      <c r="G1299" s="65"/>
      <c r="I1299" s="5"/>
      <c r="J1299" s="5"/>
    </row>
    <row r="1300" spans="1:10" x14ac:dyDescent="0.2">
      <c r="A1300" s="55"/>
      <c r="B1300" s="55"/>
      <c r="C1300" s="65"/>
      <c r="D1300" s="65"/>
      <c r="E1300" s="65"/>
      <c r="F1300" s="65"/>
      <c r="G1300" s="65"/>
      <c r="I1300" s="5"/>
      <c r="J1300" s="5"/>
    </row>
    <row r="1301" spans="1:10" x14ac:dyDescent="0.2">
      <c r="A1301" s="55"/>
      <c r="B1301" s="55"/>
      <c r="C1301" s="65"/>
      <c r="D1301" s="65"/>
      <c r="E1301" s="65"/>
      <c r="F1301" s="65"/>
      <c r="G1301" s="65"/>
      <c r="I1301" s="5"/>
      <c r="J1301" s="5"/>
    </row>
    <row r="1302" spans="1:10" x14ac:dyDescent="0.2">
      <c r="A1302" s="55"/>
      <c r="B1302" s="55"/>
      <c r="C1302" s="65"/>
      <c r="D1302" s="65"/>
      <c r="E1302" s="65"/>
      <c r="F1302" s="65"/>
      <c r="G1302" s="65"/>
      <c r="I1302" s="5"/>
      <c r="J1302" s="5"/>
    </row>
    <row r="1303" spans="1:10" x14ac:dyDescent="0.2">
      <c r="A1303" s="55"/>
      <c r="B1303" s="55"/>
      <c r="C1303" s="65"/>
      <c r="D1303" s="65"/>
      <c r="E1303" s="65"/>
      <c r="F1303" s="65"/>
      <c r="G1303" s="65"/>
      <c r="I1303" s="5"/>
      <c r="J1303" s="5"/>
    </row>
    <row r="1304" spans="1:10" x14ac:dyDescent="0.2">
      <c r="A1304" s="55"/>
      <c r="B1304" s="55"/>
      <c r="C1304" s="65"/>
      <c r="D1304" s="65"/>
      <c r="E1304" s="65"/>
      <c r="F1304" s="65"/>
      <c r="G1304" s="65"/>
      <c r="I1304" s="5"/>
      <c r="J1304" s="5"/>
    </row>
    <row r="1305" spans="1:10" x14ac:dyDescent="0.2">
      <c r="A1305" s="55"/>
      <c r="B1305" s="55"/>
      <c r="C1305" s="65"/>
      <c r="D1305" s="65"/>
      <c r="E1305" s="65"/>
      <c r="F1305" s="65"/>
      <c r="G1305" s="65"/>
      <c r="I1305" s="5"/>
      <c r="J1305" s="5"/>
    </row>
    <row r="1306" spans="1:10" x14ac:dyDescent="0.2">
      <c r="A1306" s="55"/>
      <c r="B1306" s="55"/>
      <c r="C1306" s="65"/>
      <c r="D1306" s="65"/>
      <c r="E1306" s="65"/>
      <c r="F1306" s="65"/>
      <c r="G1306" s="65"/>
      <c r="I1306" s="5"/>
      <c r="J1306" s="5"/>
    </row>
    <row r="1307" spans="1:10" x14ac:dyDescent="0.2">
      <c r="A1307" s="55"/>
      <c r="B1307" s="55"/>
      <c r="C1307" s="65"/>
      <c r="D1307" s="65"/>
      <c r="E1307" s="65"/>
      <c r="F1307" s="65"/>
      <c r="G1307" s="65"/>
      <c r="I1307" s="5"/>
      <c r="J1307" s="5"/>
    </row>
    <row r="1308" spans="1:10" x14ac:dyDescent="0.2">
      <c r="A1308" s="55"/>
      <c r="B1308" s="55"/>
      <c r="C1308" s="65"/>
      <c r="D1308" s="65"/>
      <c r="E1308" s="65"/>
      <c r="F1308" s="65"/>
      <c r="G1308" s="65"/>
      <c r="I1308" s="5"/>
      <c r="J1308" s="5"/>
    </row>
    <row r="1309" spans="1:10" x14ac:dyDescent="0.2">
      <c r="A1309" s="55"/>
      <c r="B1309" s="55"/>
      <c r="C1309" s="65"/>
      <c r="D1309" s="65"/>
      <c r="E1309" s="65"/>
      <c r="F1309" s="65"/>
      <c r="G1309" s="65"/>
      <c r="I1309" s="5"/>
      <c r="J1309" s="5"/>
    </row>
    <row r="1310" spans="1:10" x14ac:dyDescent="0.2">
      <c r="A1310" s="55"/>
      <c r="B1310" s="55"/>
      <c r="C1310" s="65"/>
      <c r="D1310" s="65"/>
      <c r="E1310" s="65"/>
      <c r="F1310" s="65"/>
      <c r="G1310" s="65"/>
      <c r="I1310" s="5"/>
      <c r="J1310" s="5"/>
    </row>
    <row r="1311" spans="1:10" x14ac:dyDescent="0.2">
      <c r="A1311" s="55"/>
      <c r="B1311" s="55"/>
      <c r="C1311" s="65"/>
      <c r="D1311" s="65"/>
      <c r="E1311" s="65"/>
      <c r="F1311" s="65"/>
      <c r="G1311" s="65"/>
      <c r="I1311" s="5"/>
      <c r="J1311" s="5"/>
    </row>
    <row r="1312" spans="1:10" x14ac:dyDescent="0.2">
      <c r="A1312" s="55"/>
      <c r="B1312" s="55"/>
      <c r="C1312" s="65"/>
      <c r="D1312" s="65"/>
      <c r="E1312" s="65"/>
      <c r="F1312" s="65"/>
      <c r="G1312" s="65"/>
      <c r="I1312" s="5"/>
      <c r="J1312" s="5"/>
    </row>
    <row r="1313" spans="1:10" x14ac:dyDescent="0.2">
      <c r="A1313" s="55"/>
      <c r="B1313" s="55"/>
      <c r="C1313" s="65"/>
      <c r="D1313" s="65"/>
      <c r="E1313" s="65"/>
      <c r="F1313" s="65"/>
      <c r="G1313" s="65"/>
      <c r="I1313" s="5"/>
      <c r="J1313" s="5"/>
    </row>
    <row r="1314" spans="1:10" x14ac:dyDescent="0.2">
      <c r="A1314" s="55"/>
      <c r="B1314" s="55"/>
      <c r="C1314" s="65"/>
      <c r="D1314" s="65"/>
      <c r="E1314" s="65"/>
      <c r="F1314" s="65"/>
      <c r="G1314" s="65"/>
      <c r="I1314" s="5"/>
      <c r="J1314" s="5"/>
    </row>
    <row r="1315" spans="1:10" x14ac:dyDescent="0.2">
      <c r="A1315" s="55"/>
      <c r="B1315" s="55"/>
      <c r="C1315" s="65"/>
      <c r="D1315" s="65"/>
      <c r="E1315" s="65"/>
      <c r="F1315" s="65"/>
      <c r="G1315" s="65"/>
      <c r="I1315" s="5"/>
      <c r="J1315" s="5"/>
    </row>
    <row r="1316" spans="1:10" x14ac:dyDescent="0.2">
      <c r="A1316" s="55"/>
      <c r="B1316" s="55"/>
      <c r="C1316" s="65"/>
      <c r="D1316" s="65"/>
      <c r="E1316" s="65"/>
      <c r="F1316" s="65"/>
      <c r="G1316" s="65"/>
      <c r="I1316" s="5"/>
      <c r="J1316" s="5"/>
    </row>
    <row r="1317" spans="1:10" x14ac:dyDescent="0.2">
      <c r="A1317" s="55"/>
      <c r="B1317" s="55"/>
      <c r="C1317" s="65"/>
      <c r="D1317" s="65"/>
      <c r="E1317" s="65"/>
      <c r="F1317" s="65"/>
      <c r="G1317" s="65"/>
      <c r="I1317" s="5"/>
      <c r="J1317" s="5"/>
    </row>
    <row r="1318" spans="1:10" x14ac:dyDescent="0.2">
      <c r="A1318" s="55"/>
      <c r="B1318" s="55"/>
      <c r="C1318" s="65"/>
      <c r="D1318" s="65"/>
      <c r="E1318" s="65"/>
      <c r="F1318" s="65"/>
      <c r="G1318" s="65"/>
      <c r="I1318" s="5"/>
      <c r="J1318" s="5"/>
    </row>
    <row r="1319" spans="1:10" x14ac:dyDescent="0.2">
      <c r="A1319" s="55"/>
      <c r="B1319" s="55"/>
      <c r="C1319" s="65"/>
      <c r="D1319" s="65"/>
      <c r="E1319" s="65"/>
      <c r="F1319" s="65"/>
      <c r="G1319" s="65"/>
      <c r="I1319" s="5"/>
      <c r="J1319" s="5"/>
    </row>
    <row r="1320" spans="1:10" x14ac:dyDescent="0.2">
      <c r="A1320" s="55"/>
      <c r="B1320" s="55"/>
      <c r="C1320" s="65"/>
      <c r="D1320" s="65"/>
      <c r="E1320" s="65"/>
      <c r="F1320" s="65"/>
      <c r="G1320" s="65"/>
      <c r="I1320" s="5"/>
      <c r="J1320" s="5"/>
    </row>
    <row r="1321" spans="1:10" x14ac:dyDescent="0.2">
      <c r="A1321" s="55"/>
      <c r="B1321" s="55"/>
      <c r="C1321" s="65"/>
      <c r="D1321" s="65"/>
      <c r="E1321" s="65"/>
      <c r="F1321" s="65"/>
      <c r="G1321" s="65"/>
      <c r="I1321" s="5"/>
      <c r="J1321" s="5"/>
    </row>
    <row r="1322" spans="1:10" x14ac:dyDescent="0.2">
      <c r="A1322" s="55"/>
      <c r="B1322" s="55"/>
      <c r="C1322" s="65"/>
      <c r="D1322" s="65"/>
      <c r="E1322" s="65"/>
      <c r="F1322" s="65"/>
      <c r="G1322" s="65"/>
      <c r="I1322" s="5"/>
      <c r="J1322" s="5"/>
    </row>
    <row r="1323" spans="1:10" x14ac:dyDescent="0.2">
      <c r="A1323" s="55"/>
      <c r="B1323" s="55"/>
      <c r="C1323" s="65"/>
      <c r="D1323" s="65"/>
      <c r="E1323" s="65"/>
      <c r="F1323" s="65"/>
      <c r="G1323" s="65"/>
      <c r="I1323" s="5"/>
      <c r="J1323" s="5"/>
    </row>
    <row r="1324" spans="1:10" x14ac:dyDescent="0.2">
      <c r="A1324" s="55"/>
      <c r="B1324" s="55"/>
      <c r="C1324" s="65"/>
      <c r="D1324" s="65"/>
      <c r="E1324" s="65"/>
      <c r="F1324" s="65"/>
      <c r="G1324" s="65"/>
      <c r="I1324" s="5"/>
      <c r="J1324" s="5"/>
    </row>
    <row r="1325" spans="1:10" x14ac:dyDescent="0.2">
      <c r="A1325" s="55"/>
      <c r="B1325" s="55"/>
      <c r="C1325" s="65"/>
      <c r="D1325" s="65"/>
      <c r="E1325" s="65"/>
      <c r="F1325" s="65"/>
      <c r="G1325" s="65"/>
      <c r="I1325" s="5"/>
      <c r="J1325" s="5"/>
    </row>
    <row r="1326" spans="1:10" x14ac:dyDescent="0.2">
      <c r="A1326" s="55"/>
      <c r="B1326" s="55"/>
      <c r="C1326" s="65"/>
      <c r="D1326" s="65"/>
      <c r="E1326" s="65"/>
      <c r="F1326" s="65"/>
      <c r="G1326" s="65"/>
      <c r="I1326" s="5"/>
      <c r="J1326" s="5"/>
    </row>
    <row r="1327" spans="1:10" x14ac:dyDescent="0.2">
      <c r="A1327" s="55"/>
      <c r="B1327" s="55"/>
      <c r="C1327" s="65"/>
      <c r="D1327" s="65"/>
      <c r="E1327" s="65"/>
      <c r="F1327" s="65"/>
      <c r="G1327" s="65"/>
      <c r="I1327" s="5"/>
      <c r="J1327" s="5"/>
    </row>
    <row r="1328" spans="1:10" x14ac:dyDescent="0.2">
      <c r="A1328" s="55"/>
      <c r="B1328" s="55"/>
      <c r="C1328" s="65"/>
      <c r="D1328" s="65"/>
      <c r="E1328" s="65"/>
      <c r="F1328" s="65"/>
      <c r="G1328" s="65"/>
      <c r="I1328" s="5"/>
      <c r="J1328" s="5"/>
    </row>
    <row r="1329" spans="1:10" x14ac:dyDescent="0.2">
      <c r="A1329" s="55"/>
      <c r="B1329" s="55"/>
      <c r="C1329" s="65"/>
      <c r="D1329" s="65"/>
      <c r="E1329" s="65"/>
      <c r="F1329" s="65"/>
      <c r="G1329" s="65"/>
      <c r="I1329" s="5"/>
      <c r="J1329" s="5"/>
    </row>
    <row r="1330" spans="1:10" x14ac:dyDescent="0.2">
      <c r="A1330" s="55"/>
      <c r="B1330" s="55"/>
      <c r="C1330" s="65"/>
      <c r="D1330" s="65"/>
      <c r="E1330" s="65"/>
      <c r="F1330" s="65"/>
      <c r="G1330" s="65"/>
      <c r="I1330" s="5"/>
      <c r="J1330" s="5"/>
    </row>
    <row r="1331" spans="1:10" x14ac:dyDescent="0.2">
      <c r="A1331" s="55"/>
      <c r="B1331" s="55"/>
      <c r="C1331" s="65"/>
      <c r="D1331" s="65"/>
      <c r="E1331" s="65"/>
      <c r="F1331" s="65"/>
      <c r="G1331" s="65"/>
      <c r="I1331" s="5"/>
      <c r="J1331" s="5"/>
    </row>
    <row r="1332" spans="1:10" x14ac:dyDescent="0.2">
      <c r="A1332" s="55"/>
      <c r="B1332" s="55"/>
      <c r="C1332" s="65"/>
      <c r="D1332" s="65"/>
      <c r="E1332" s="65"/>
      <c r="F1332" s="65"/>
      <c r="G1332" s="65"/>
      <c r="I1332" s="5"/>
      <c r="J1332" s="5"/>
    </row>
    <row r="1333" spans="1:10" x14ac:dyDescent="0.2">
      <c r="A1333" s="55"/>
      <c r="B1333" s="55"/>
      <c r="C1333" s="65"/>
      <c r="D1333" s="65"/>
      <c r="E1333" s="65"/>
      <c r="F1333" s="65"/>
      <c r="G1333" s="65"/>
      <c r="I1333" s="5"/>
      <c r="J1333" s="5"/>
    </row>
    <row r="1334" spans="1:10" x14ac:dyDescent="0.2">
      <c r="A1334" s="55"/>
      <c r="B1334" s="55"/>
      <c r="C1334" s="65"/>
      <c r="D1334" s="65"/>
      <c r="E1334" s="65"/>
      <c r="F1334" s="65"/>
      <c r="G1334" s="65"/>
      <c r="I1334" s="5"/>
      <c r="J1334" s="5"/>
    </row>
    <row r="1335" spans="1:10" x14ac:dyDescent="0.2">
      <c r="A1335" s="55"/>
      <c r="B1335" s="55"/>
      <c r="C1335" s="65"/>
      <c r="D1335" s="65"/>
      <c r="E1335" s="65"/>
      <c r="F1335" s="65"/>
      <c r="G1335" s="65"/>
      <c r="I1335" s="5"/>
      <c r="J1335" s="5"/>
    </row>
    <row r="1336" spans="1:10" x14ac:dyDescent="0.2">
      <c r="A1336" s="55"/>
      <c r="B1336" s="55"/>
      <c r="C1336" s="65"/>
      <c r="D1336" s="65"/>
      <c r="E1336" s="65"/>
      <c r="F1336" s="65"/>
      <c r="G1336" s="65"/>
      <c r="I1336" s="5"/>
      <c r="J1336" s="5"/>
    </row>
    <row r="1337" spans="1:10" x14ac:dyDescent="0.2">
      <c r="A1337" s="55"/>
      <c r="B1337" s="55"/>
      <c r="C1337" s="65"/>
      <c r="D1337" s="65"/>
      <c r="E1337" s="65"/>
      <c r="F1337" s="65"/>
      <c r="G1337" s="65"/>
      <c r="I1337" s="5"/>
      <c r="J1337" s="5"/>
    </row>
    <row r="1338" spans="1:10" x14ac:dyDescent="0.2">
      <c r="A1338" s="55"/>
      <c r="B1338" s="55"/>
      <c r="C1338" s="65"/>
      <c r="D1338" s="65"/>
      <c r="E1338" s="65"/>
      <c r="F1338" s="65"/>
      <c r="G1338" s="65"/>
      <c r="I1338" s="5"/>
      <c r="J1338" s="5"/>
    </row>
    <row r="1339" spans="1:10" x14ac:dyDescent="0.2">
      <c r="A1339" s="55"/>
      <c r="B1339" s="55"/>
      <c r="C1339" s="65"/>
      <c r="D1339" s="65"/>
      <c r="E1339" s="65"/>
      <c r="F1339" s="65"/>
      <c r="G1339" s="65"/>
      <c r="I1339" s="5"/>
      <c r="J1339" s="5"/>
    </row>
    <row r="1340" spans="1:10" x14ac:dyDescent="0.2">
      <c r="A1340" s="55"/>
      <c r="B1340" s="55"/>
      <c r="C1340" s="65"/>
      <c r="D1340" s="65"/>
      <c r="E1340" s="65"/>
      <c r="F1340" s="65"/>
      <c r="G1340" s="65"/>
      <c r="I1340" s="5"/>
      <c r="J1340" s="5"/>
    </row>
    <row r="1341" spans="1:10" x14ac:dyDescent="0.2">
      <c r="A1341" s="55"/>
      <c r="B1341" s="55"/>
      <c r="C1341" s="65"/>
      <c r="D1341" s="65"/>
      <c r="E1341" s="65"/>
      <c r="F1341" s="65"/>
      <c r="G1341" s="65"/>
      <c r="I1341" s="5"/>
      <c r="J1341" s="5"/>
    </row>
    <row r="1342" spans="1:10" x14ac:dyDescent="0.2">
      <c r="A1342" s="55"/>
      <c r="B1342" s="55"/>
      <c r="C1342" s="65"/>
      <c r="D1342" s="65"/>
      <c r="E1342" s="65"/>
      <c r="F1342" s="65"/>
      <c r="G1342" s="65"/>
      <c r="I1342" s="5"/>
      <c r="J1342" s="5"/>
    </row>
    <row r="1343" spans="1:10" x14ac:dyDescent="0.2">
      <c r="A1343" s="55"/>
      <c r="B1343" s="55"/>
      <c r="C1343" s="65"/>
      <c r="D1343" s="65"/>
      <c r="E1343" s="65"/>
      <c r="F1343" s="65"/>
      <c r="G1343" s="65"/>
      <c r="I1343" s="5"/>
      <c r="J1343" s="5"/>
    </row>
    <row r="1344" spans="1:10" x14ac:dyDescent="0.2">
      <c r="A1344" s="55"/>
      <c r="B1344" s="55"/>
      <c r="C1344" s="65"/>
      <c r="D1344" s="65"/>
      <c r="E1344" s="65"/>
      <c r="F1344" s="65"/>
      <c r="G1344" s="65"/>
      <c r="I1344" s="5"/>
      <c r="J1344" s="5"/>
    </row>
    <row r="1345" spans="1:10" x14ac:dyDescent="0.2">
      <c r="A1345" s="55"/>
      <c r="B1345" s="55"/>
      <c r="C1345" s="65"/>
      <c r="D1345" s="65"/>
      <c r="E1345" s="65"/>
      <c r="F1345" s="65"/>
      <c r="G1345" s="65"/>
      <c r="I1345" s="5"/>
      <c r="J1345" s="5"/>
    </row>
    <row r="1346" spans="1:10" x14ac:dyDescent="0.2">
      <c r="A1346" s="55"/>
      <c r="B1346" s="55"/>
      <c r="C1346" s="65"/>
      <c r="D1346" s="65"/>
      <c r="E1346" s="65"/>
      <c r="F1346" s="65"/>
      <c r="G1346" s="65"/>
      <c r="I1346" s="5"/>
      <c r="J1346" s="5"/>
    </row>
    <row r="1347" spans="1:10" x14ac:dyDescent="0.2">
      <c r="A1347" s="55"/>
      <c r="B1347" s="55"/>
      <c r="C1347" s="65"/>
      <c r="D1347" s="65"/>
      <c r="E1347" s="65"/>
      <c r="F1347" s="65"/>
      <c r="G1347" s="65"/>
      <c r="I1347" s="5"/>
      <c r="J1347" s="5"/>
    </row>
    <row r="1348" spans="1:10" x14ac:dyDescent="0.2">
      <c r="A1348" s="55"/>
      <c r="B1348" s="55"/>
      <c r="C1348" s="65"/>
      <c r="D1348" s="65"/>
      <c r="E1348" s="65"/>
      <c r="F1348" s="65"/>
      <c r="G1348" s="65"/>
      <c r="I1348" s="5"/>
      <c r="J1348" s="5"/>
    </row>
    <row r="1349" spans="1:10" x14ac:dyDescent="0.2">
      <c r="A1349" s="55"/>
      <c r="B1349" s="55"/>
      <c r="C1349" s="65"/>
      <c r="D1349" s="65"/>
      <c r="E1349" s="65"/>
      <c r="F1349" s="65"/>
      <c r="G1349" s="65"/>
      <c r="I1349" s="5"/>
      <c r="J1349" s="5"/>
    </row>
    <row r="1350" spans="1:10" x14ac:dyDescent="0.2">
      <c r="A1350" s="55"/>
      <c r="B1350" s="55"/>
      <c r="C1350" s="65"/>
      <c r="D1350" s="65"/>
      <c r="E1350" s="65"/>
      <c r="F1350" s="65"/>
      <c r="G1350" s="65"/>
      <c r="I1350" s="5"/>
      <c r="J1350" s="5"/>
    </row>
    <row r="1351" spans="1:10" x14ac:dyDescent="0.2">
      <c r="A1351" s="55"/>
      <c r="B1351" s="55"/>
      <c r="C1351" s="65"/>
      <c r="D1351" s="65"/>
      <c r="E1351" s="65"/>
      <c r="F1351" s="65"/>
      <c r="G1351" s="65"/>
      <c r="I1351" s="5"/>
      <c r="J1351" s="5"/>
    </row>
    <row r="1352" spans="1:10" x14ac:dyDescent="0.2">
      <c r="A1352" s="55"/>
      <c r="B1352" s="55"/>
      <c r="C1352" s="65"/>
      <c r="D1352" s="65"/>
      <c r="E1352" s="65"/>
      <c r="F1352" s="65"/>
      <c r="G1352" s="65"/>
      <c r="I1352" s="5"/>
      <c r="J1352" s="5"/>
    </row>
    <row r="1353" spans="1:10" x14ac:dyDescent="0.2">
      <c r="A1353" s="55"/>
      <c r="B1353" s="55"/>
      <c r="C1353" s="65"/>
      <c r="D1353" s="65"/>
      <c r="E1353" s="65"/>
      <c r="F1353" s="65"/>
      <c r="G1353" s="65"/>
      <c r="I1353" s="5"/>
      <c r="J1353" s="5"/>
    </row>
    <row r="1354" spans="1:10" x14ac:dyDescent="0.2">
      <c r="A1354" s="55"/>
      <c r="B1354" s="55"/>
      <c r="C1354" s="65"/>
      <c r="D1354" s="65"/>
      <c r="E1354" s="65"/>
      <c r="F1354" s="65"/>
      <c r="G1354" s="65"/>
      <c r="I1354" s="5"/>
      <c r="J1354" s="5"/>
    </row>
    <row r="1355" spans="1:10" x14ac:dyDescent="0.2">
      <c r="A1355" s="55"/>
      <c r="B1355" s="55"/>
      <c r="C1355" s="65"/>
      <c r="D1355" s="65"/>
      <c r="E1355" s="65"/>
      <c r="F1355" s="65"/>
      <c r="G1355" s="65"/>
      <c r="I1355" s="5"/>
      <c r="J1355" s="5"/>
    </row>
    <row r="1356" spans="1:10" x14ac:dyDescent="0.2">
      <c r="A1356" s="55"/>
      <c r="B1356" s="55"/>
      <c r="C1356" s="65"/>
      <c r="D1356" s="65"/>
      <c r="E1356" s="65"/>
      <c r="F1356" s="65"/>
      <c r="G1356" s="65"/>
      <c r="I1356" s="5"/>
      <c r="J1356" s="5"/>
    </row>
    <row r="1357" spans="1:10" x14ac:dyDescent="0.2">
      <c r="A1357" s="55"/>
      <c r="B1357" s="55"/>
      <c r="C1357" s="65"/>
      <c r="D1357" s="65"/>
      <c r="E1357" s="65"/>
      <c r="F1357" s="65"/>
      <c r="G1357" s="65"/>
      <c r="I1357" s="5"/>
      <c r="J1357" s="5"/>
    </row>
    <row r="1358" spans="1:10" x14ac:dyDescent="0.2">
      <c r="A1358" s="55"/>
      <c r="B1358" s="55"/>
      <c r="C1358" s="65"/>
      <c r="D1358" s="65"/>
      <c r="E1358" s="65"/>
      <c r="F1358" s="65"/>
      <c r="G1358" s="65"/>
      <c r="I1358" s="5"/>
      <c r="J1358" s="5"/>
    </row>
    <row r="1359" spans="1:10" x14ac:dyDescent="0.2">
      <c r="A1359" s="55"/>
      <c r="B1359" s="55"/>
      <c r="C1359" s="65"/>
      <c r="D1359" s="65"/>
      <c r="E1359" s="65"/>
      <c r="F1359" s="65"/>
      <c r="G1359" s="65"/>
      <c r="I1359" s="5"/>
      <c r="J1359" s="5"/>
    </row>
    <row r="1360" spans="1:10" x14ac:dyDescent="0.2">
      <c r="A1360" s="55"/>
      <c r="B1360" s="55"/>
      <c r="C1360" s="65"/>
      <c r="D1360" s="65"/>
      <c r="E1360" s="65"/>
      <c r="F1360" s="65"/>
      <c r="G1360" s="65"/>
      <c r="I1360" s="5"/>
      <c r="J1360" s="5"/>
    </row>
    <row r="1361" spans="1:10" x14ac:dyDescent="0.2">
      <c r="A1361" s="55"/>
      <c r="B1361" s="55"/>
      <c r="C1361" s="65"/>
      <c r="D1361" s="65"/>
      <c r="E1361" s="65"/>
      <c r="F1361" s="65"/>
      <c r="G1361" s="65"/>
      <c r="I1361" s="5"/>
      <c r="J1361" s="5"/>
    </row>
    <row r="1362" spans="1:10" x14ac:dyDescent="0.2">
      <c r="A1362" s="55"/>
      <c r="B1362" s="55"/>
      <c r="C1362" s="65"/>
      <c r="D1362" s="65"/>
      <c r="E1362" s="65"/>
      <c r="F1362" s="65"/>
      <c r="G1362" s="65"/>
      <c r="I1362" s="5"/>
      <c r="J1362" s="5"/>
    </row>
    <row r="1363" spans="1:10" x14ac:dyDescent="0.2">
      <c r="A1363" s="55"/>
      <c r="B1363" s="55"/>
      <c r="C1363" s="65"/>
      <c r="D1363" s="65"/>
      <c r="E1363" s="65"/>
      <c r="F1363" s="65"/>
      <c r="G1363" s="65"/>
      <c r="I1363" s="5"/>
      <c r="J1363" s="5"/>
    </row>
    <row r="1364" spans="1:10" x14ac:dyDescent="0.2">
      <c r="A1364" s="55"/>
      <c r="B1364" s="55"/>
      <c r="C1364" s="65"/>
      <c r="D1364" s="65"/>
      <c r="E1364" s="65"/>
      <c r="F1364" s="65"/>
      <c r="G1364" s="65"/>
      <c r="I1364" s="5"/>
      <c r="J1364" s="5"/>
    </row>
    <row r="1365" spans="1:10" x14ac:dyDescent="0.2">
      <c r="A1365" s="55"/>
      <c r="B1365" s="55"/>
      <c r="C1365" s="65"/>
      <c r="D1365" s="65"/>
      <c r="E1365" s="65"/>
      <c r="F1365" s="65"/>
      <c r="G1365" s="65"/>
      <c r="I1365" s="5"/>
      <c r="J1365" s="5"/>
    </row>
    <row r="1366" spans="1:10" x14ac:dyDescent="0.2">
      <c r="A1366" s="55"/>
      <c r="B1366" s="55"/>
      <c r="C1366" s="65"/>
      <c r="D1366" s="65"/>
      <c r="E1366" s="65"/>
      <c r="F1366" s="65"/>
      <c r="G1366" s="65"/>
      <c r="I1366" s="5"/>
      <c r="J1366" s="5"/>
    </row>
    <row r="1367" spans="1:10" x14ac:dyDescent="0.2">
      <c r="A1367" s="55"/>
      <c r="B1367" s="55"/>
      <c r="C1367" s="65"/>
      <c r="D1367" s="65"/>
      <c r="E1367" s="65"/>
      <c r="F1367" s="65"/>
      <c r="G1367" s="65"/>
      <c r="I1367" s="5"/>
      <c r="J1367" s="5"/>
    </row>
    <row r="1368" spans="1:10" x14ac:dyDescent="0.2">
      <c r="A1368" s="55"/>
      <c r="B1368" s="55"/>
      <c r="C1368" s="65"/>
      <c r="D1368" s="65"/>
      <c r="E1368" s="65"/>
      <c r="F1368" s="65"/>
      <c r="G1368" s="65"/>
      <c r="I1368" s="5"/>
      <c r="J1368" s="5"/>
    </row>
    <row r="1369" spans="1:10" x14ac:dyDescent="0.2">
      <c r="A1369" s="55"/>
      <c r="B1369" s="55"/>
      <c r="C1369" s="65"/>
      <c r="D1369" s="65"/>
      <c r="E1369" s="65"/>
      <c r="F1369" s="65"/>
      <c r="G1369" s="65"/>
      <c r="I1369" s="5"/>
      <c r="J1369" s="5"/>
    </row>
    <row r="1370" spans="1:10" x14ac:dyDescent="0.2">
      <c r="A1370" s="55"/>
      <c r="B1370" s="55"/>
      <c r="C1370" s="65"/>
      <c r="D1370" s="65"/>
      <c r="E1370" s="65"/>
      <c r="F1370" s="65"/>
      <c r="G1370" s="65"/>
      <c r="I1370" s="5"/>
      <c r="J1370" s="5"/>
    </row>
    <row r="1371" spans="1:10" x14ac:dyDescent="0.2">
      <c r="A1371" s="55"/>
      <c r="B1371" s="55"/>
      <c r="C1371" s="65"/>
      <c r="D1371" s="65"/>
      <c r="E1371" s="65"/>
      <c r="F1371" s="65"/>
      <c r="G1371" s="65"/>
      <c r="I1371" s="5"/>
      <c r="J1371" s="5"/>
    </row>
    <row r="1372" spans="1:10" x14ac:dyDescent="0.2">
      <c r="A1372" s="55"/>
      <c r="B1372" s="55"/>
      <c r="C1372" s="65"/>
      <c r="D1372" s="65"/>
      <c r="E1372" s="65"/>
      <c r="F1372" s="65"/>
      <c r="G1372" s="65"/>
      <c r="I1372" s="5"/>
      <c r="J1372" s="5"/>
    </row>
    <row r="1373" spans="1:10" x14ac:dyDescent="0.2">
      <c r="A1373" s="55"/>
      <c r="B1373" s="55"/>
      <c r="C1373" s="65"/>
      <c r="D1373" s="65"/>
      <c r="E1373" s="65"/>
      <c r="F1373" s="65"/>
      <c r="G1373" s="65"/>
      <c r="I1373" s="5"/>
      <c r="J1373" s="5"/>
    </row>
    <row r="1374" spans="1:10" x14ac:dyDescent="0.2">
      <c r="A1374" s="55"/>
      <c r="B1374" s="55"/>
      <c r="C1374" s="65"/>
      <c r="D1374" s="65"/>
      <c r="E1374" s="65"/>
      <c r="F1374" s="65"/>
      <c r="G1374" s="65"/>
      <c r="I1374" s="5"/>
      <c r="J1374" s="5"/>
    </row>
    <row r="1375" spans="1:10" x14ac:dyDescent="0.2">
      <c r="A1375" s="55"/>
      <c r="B1375" s="55"/>
      <c r="C1375" s="65"/>
      <c r="D1375" s="65"/>
      <c r="E1375" s="65"/>
      <c r="F1375" s="65"/>
      <c r="G1375" s="65"/>
      <c r="I1375" s="5"/>
      <c r="J1375" s="5"/>
    </row>
    <row r="1376" spans="1:10" x14ac:dyDescent="0.2">
      <c r="A1376" s="55"/>
      <c r="B1376" s="55"/>
      <c r="C1376" s="65"/>
      <c r="D1376" s="65"/>
      <c r="E1376" s="65"/>
      <c r="F1376" s="65"/>
      <c r="G1376" s="65"/>
      <c r="I1376" s="5"/>
      <c r="J1376" s="5"/>
    </row>
    <row r="1377" spans="1:10" x14ac:dyDescent="0.2">
      <c r="A1377" s="55"/>
      <c r="B1377" s="55"/>
      <c r="C1377" s="65"/>
      <c r="D1377" s="65"/>
      <c r="E1377" s="65"/>
      <c r="F1377" s="65"/>
      <c r="G1377" s="65"/>
      <c r="I1377" s="5"/>
      <c r="J1377" s="5"/>
    </row>
    <row r="1378" spans="1:10" x14ac:dyDescent="0.2">
      <c r="A1378" s="55"/>
      <c r="B1378" s="55"/>
      <c r="C1378" s="65"/>
      <c r="D1378" s="65"/>
      <c r="E1378" s="65"/>
      <c r="F1378" s="65"/>
      <c r="G1378" s="65"/>
      <c r="I1378" s="5"/>
      <c r="J1378" s="5"/>
    </row>
    <row r="1379" spans="1:10" x14ac:dyDescent="0.2">
      <c r="A1379" s="55"/>
      <c r="B1379" s="55"/>
      <c r="C1379" s="65"/>
      <c r="D1379" s="65"/>
      <c r="E1379" s="65"/>
      <c r="F1379" s="65"/>
      <c r="G1379" s="65"/>
      <c r="I1379" s="5"/>
      <c r="J1379" s="5"/>
    </row>
    <row r="1380" spans="1:10" x14ac:dyDescent="0.2">
      <c r="A1380" s="55"/>
      <c r="B1380" s="55"/>
      <c r="C1380" s="65"/>
      <c r="D1380" s="65"/>
      <c r="E1380" s="65"/>
      <c r="F1380" s="65"/>
      <c r="G1380" s="65"/>
      <c r="I1380" s="5"/>
      <c r="J1380" s="5"/>
    </row>
    <row r="1381" spans="1:10" x14ac:dyDescent="0.2">
      <c r="A1381" s="55"/>
      <c r="B1381" s="55"/>
      <c r="C1381" s="65"/>
      <c r="D1381" s="65"/>
      <c r="E1381" s="65"/>
      <c r="F1381" s="65"/>
      <c r="G1381" s="65"/>
      <c r="I1381" s="5"/>
      <c r="J1381" s="5"/>
    </row>
    <row r="1382" spans="1:10" x14ac:dyDescent="0.2">
      <c r="A1382" s="55"/>
      <c r="B1382" s="55"/>
      <c r="C1382" s="65"/>
      <c r="D1382" s="65"/>
      <c r="E1382" s="65"/>
      <c r="F1382" s="65"/>
      <c r="G1382" s="65"/>
      <c r="I1382" s="5"/>
      <c r="J1382" s="5"/>
    </row>
    <row r="1383" spans="1:10" x14ac:dyDescent="0.2">
      <c r="A1383" s="55"/>
      <c r="B1383" s="55"/>
      <c r="C1383" s="65"/>
      <c r="D1383" s="65"/>
      <c r="E1383" s="65"/>
      <c r="F1383" s="65"/>
      <c r="G1383" s="65"/>
      <c r="I1383" s="5"/>
      <c r="J1383" s="5"/>
    </row>
    <row r="1384" spans="1:10" x14ac:dyDescent="0.2">
      <c r="A1384" s="55"/>
      <c r="B1384" s="55"/>
      <c r="C1384" s="65"/>
      <c r="D1384" s="65"/>
      <c r="E1384" s="65"/>
      <c r="F1384" s="65"/>
      <c r="G1384" s="65"/>
      <c r="I1384" s="5"/>
      <c r="J1384" s="5"/>
    </row>
    <row r="1385" spans="1:10" x14ac:dyDescent="0.2">
      <c r="A1385" s="55"/>
      <c r="B1385" s="55"/>
      <c r="C1385" s="65"/>
      <c r="D1385" s="65"/>
      <c r="E1385" s="65"/>
      <c r="F1385" s="65"/>
      <c r="G1385" s="65"/>
      <c r="I1385" s="5"/>
      <c r="J1385" s="5"/>
    </row>
    <row r="1386" spans="1:10" x14ac:dyDescent="0.2">
      <c r="A1386" s="55"/>
      <c r="B1386" s="55"/>
      <c r="C1386" s="65"/>
      <c r="D1386" s="65"/>
      <c r="E1386" s="65"/>
      <c r="F1386" s="65"/>
      <c r="G1386" s="65"/>
      <c r="I1386" s="5"/>
      <c r="J1386" s="5"/>
    </row>
    <row r="1387" spans="1:10" x14ac:dyDescent="0.2">
      <c r="A1387" s="55"/>
      <c r="B1387" s="55"/>
      <c r="C1387" s="65"/>
      <c r="D1387" s="65"/>
      <c r="E1387" s="65"/>
      <c r="F1387" s="65"/>
      <c r="G1387" s="65"/>
      <c r="I1387" s="5"/>
      <c r="J1387" s="5"/>
    </row>
    <row r="1388" spans="1:10" x14ac:dyDescent="0.2">
      <c r="A1388" s="55"/>
      <c r="B1388" s="55"/>
      <c r="C1388" s="65"/>
      <c r="D1388" s="65"/>
      <c r="E1388" s="65"/>
      <c r="F1388" s="65"/>
      <c r="G1388" s="65"/>
      <c r="I1388" s="5"/>
      <c r="J1388" s="5"/>
    </row>
    <row r="1389" spans="1:10" x14ac:dyDescent="0.2">
      <c r="A1389" s="55"/>
      <c r="B1389" s="55"/>
      <c r="C1389" s="65"/>
      <c r="D1389" s="65"/>
      <c r="E1389" s="65"/>
      <c r="F1389" s="65"/>
      <c r="G1389" s="65"/>
      <c r="I1389" s="5"/>
      <c r="J1389" s="5"/>
    </row>
    <row r="1390" spans="1:10" x14ac:dyDescent="0.2">
      <c r="A1390" s="55"/>
      <c r="B1390" s="55"/>
      <c r="C1390" s="65"/>
      <c r="D1390" s="65"/>
      <c r="E1390" s="65"/>
      <c r="F1390" s="65"/>
      <c r="G1390" s="65"/>
      <c r="I1390" s="5"/>
      <c r="J1390" s="5"/>
    </row>
    <row r="1391" spans="1:10" x14ac:dyDescent="0.2">
      <c r="A1391" s="55"/>
      <c r="B1391" s="55"/>
      <c r="C1391" s="65"/>
      <c r="D1391" s="65"/>
      <c r="E1391" s="65"/>
      <c r="F1391" s="65"/>
      <c r="G1391" s="65"/>
      <c r="I1391" s="5"/>
      <c r="J1391" s="5"/>
    </row>
    <row r="1392" spans="1:10" x14ac:dyDescent="0.2">
      <c r="A1392" s="55"/>
      <c r="B1392" s="55"/>
      <c r="C1392" s="65"/>
      <c r="D1392" s="65"/>
      <c r="E1392" s="65"/>
      <c r="F1392" s="65"/>
      <c r="G1392" s="65"/>
      <c r="I1392" s="5"/>
      <c r="J1392" s="5"/>
    </row>
    <row r="1393" spans="1:10" x14ac:dyDescent="0.2">
      <c r="A1393" s="55"/>
      <c r="B1393" s="55"/>
      <c r="C1393" s="65"/>
      <c r="D1393" s="65"/>
      <c r="E1393" s="65"/>
      <c r="F1393" s="65"/>
      <c r="G1393" s="65"/>
      <c r="I1393" s="5"/>
      <c r="J1393" s="5"/>
    </row>
    <row r="1394" spans="1:10" x14ac:dyDescent="0.2">
      <c r="A1394" s="55"/>
      <c r="B1394" s="55"/>
      <c r="C1394" s="65"/>
      <c r="D1394" s="65"/>
      <c r="E1394" s="65"/>
      <c r="F1394" s="65"/>
      <c r="G1394" s="65"/>
      <c r="I1394" s="5"/>
      <c r="J1394" s="5"/>
    </row>
    <row r="1395" spans="1:10" x14ac:dyDescent="0.2">
      <c r="A1395" s="55"/>
      <c r="B1395" s="55"/>
      <c r="C1395" s="65"/>
      <c r="D1395" s="65"/>
      <c r="E1395" s="65"/>
      <c r="F1395" s="65"/>
      <c r="G1395" s="65"/>
      <c r="I1395" s="5"/>
      <c r="J1395" s="5"/>
    </row>
    <row r="1396" spans="1:10" x14ac:dyDescent="0.2">
      <c r="A1396" s="55"/>
      <c r="B1396" s="55"/>
      <c r="C1396" s="65"/>
      <c r="D1396" s="65"/>
      <c r="E1396" s="65"/>
      <c r="F1396" s="65"/>
      <c r="G1396" s="65"/>
      <c r="I1396" s="5"/>
      <c r="J1396" s="5"/>
    </row>
    <row r="1397" spans="1:10" x14ac:dyDescent="0.2">
      <c r="A1397" s="55"/>
      <c r="B1397" s="55"/>
      <c r="C1397" s="65"/>
      <c r="D1397" s="65"/>
      <c r="E1397" s="65"/>
      <c r="F1397" s="65"/>
      <c r="G1397" s="65"/>
      <c r="I1397" s="5"/>
      <c r="J1397" s="5"/>
    </row>
    <row r="1398" spans="1:10" x14ac:dyDescent="0.2">
      <c r="A1398" s="55"/>
      <c r="B1398" s="55"/>
      <c r="C1398" s="65"/>
      <c r="D1398" s="65"/>
      <c r="E1398" s="65"/>
      <c r="F1398" s="65"/>
      <c r="G1398" s="65"/>
      <c r="I1398" s="5"/>
      <c r="J1398" s="5"/>
    </row>
    <row r="1399" spans="1:10" x14ac:dyDescent="0.2">
      <c r="A1399" s="55"/>
      <c r="B1399" s="55"/>
      <c r="C1399" s="65"/>
      <c r="D1399" s="65"/>
      <c r="E1399" s="65"/>
      <c r="F1399" s="65"/>
      <c r="G1399" s="65"/>
      <c r="I1399" s="5"/>
      <c r="J1399" s="5"/>
    </row>
    <row r="1400" spans="1:10" x14ac:dyDescent="0.2">
      <c r="A1400" s="55"/>
      <c r="B1400" s="55"/>
      <c r="C1400" s="65"/>
      <c r="D1400" s="65"/>
      <c r="E1400" s="65"/>
      <c r="F1400" s="65"/>
      <c r="G1400" s="65"/>
      <c r="I1400" s="5"/>
      <c r="J1400" s="5"/>
    </row>
    <row r="1401" spans="1:10" x14ac:dyDescent="0.2">
      <c r="A1401" s="55"/>
      <c r="B1401" s="55"/>
      <c r="C1401" s="65"/>
      <c r="D1401" s="65"/>
      <c r="E1401" s="65"/>
      <c r="F1401" s="65"/>
      <c r="G1401" s="65"/>
      <c r="I1401" s="5"/>
      <c r="J1401" s="5"/>
    </row>
    <row r="1402" spans="1:10" x14ac:dyDescent="0.2">
      <c r="A1402" s="55"/>
      <c r="B1402" s="55"/>
      <c r="C1402" s="65"/>
      <c r="D1402" s="65"/>
      <c r="E1402" s="65"/>
      <c r="F1402" s="65"/>
      <c r="G1402" s="65"/>
      <c r="I1402" s="5"/>
      <c r="J1402" s="5"/>
    </row>
    <row r="1403" spans="1:10" x14ac:dyDescent="0.2">
      <c r="A1403" s="55"/>
      <c r="B1403" s="55"/>
      <c r="C1403" s="65"/>
      <c r="D1403" s="65"/>
      <c r="E1403" s="65"/>
      <c r="F1403" s="65"/>
      <c r="G1403" s="65"/>
      <c r="I1403" s="5"/>
      <c r="J1403" s="5"/>
    </row>
    <row r="1404" spans="1:10" x14ac:dyDescent="0.2">
      <c r="A1404" s="55"/>
      <c r="B1404" s="55"/>
      <c r="C1404" s="65"/>
      <c r="D1404" s="65"/>
      <c r="E1404" s="65"/>
      <c r="F1404" s="65"/>
      <c r="G1404" s="65"/>
      <c r="I1404" s="5"/>
      <c r="J1404" s="5"/>
    </row>
    <row r="1405" spans="1:10" x14ac:dyDescent="0.2">
      <c r="A1405" s="55"/>
      <c r="B1405" s="55"/>
      <c r="C1405" s="65"/>
      <c r="D1405" s="65"/>
      <c r="E1405" s="65"/>
      <c r="F1405" s="65"/>
      <c r="G1405" s="65"/>
      <c r="I1405" s="5"/>
      <c r="J1405" s="5"/>
    </row>
    <row r="1406" spans="1:10" x14ac:dyDescent="0.2">
      <c r="A1406" s="55"/>
      <c r="B1406" s="55"/>
      <c r="C1406" s="65"/>
      <c r="D1406" s="65"/>
      <c r="E1406" s="65"/>
      <c r="F1406" s="65"/>
      <c r="G1406" s="65"/>
      <c r="I1406" s="5"/>
      <c r="J1406" s="5"/>
    </row>
    <row r="1407" spans="1:10" x14ac:dyDescent="0.2">
      <c r="A1407" s="55"/>
      <c r="B1407" s="55"/>
      <c r="C1407" s="65"/>
      <c r="D1407" s="65"/>
      <c r="E1407" s="65"/>
      <c r="F1407" s="65"/>
      <c r="G1407" s="65"/>
      <c r="I1407" s="5"/>
      <c r="J1407" s="5"/>
    </row>
    <row r="1408" spans="1:10" x14ac:dyDescent="0.2">
      <c r="A1408" s="55"/>
      <c r="B1408" s="55"/>
      <c r="C1408" s="65"/>
      <c r="D1408" s="65"/>
      <c r="E1408" s="65"/>
      <c r="F1408" s="65"/>
      <c r="G1408" s="65"/>
      <c r="I1408" s="5"/>
      <c r="J1408" s="5"/>
    </row>
    <row r="1409" spans="1:10" x14ac:dyDescent="0.2">
      <c r="A1409" s="55"/>
      <c r="B1409" s="55"/>
      <c r="C1409" s="65"/>
      <c r="D1409" s="65"/>
      <c r="E1409" s="65"/>
      <c r="F1409" s="65"/>
      <c r="G1409" s="65"/>
      <c r="I1409" s="5"/>
      <c r="J1409" s="5"/>
    </row>
    <row r="1410" spans="1:10" x14ac:dyDescent="0.2">
      <c r="A1410" s="55"/>
      <c r="B1410" s="55"/>
      <c r="C1410" s="65"/>
      <c r="D1410" s="65"/>
      <c r="E1410" s="65"/>
      <c r="F1410" s="65"/>
      <c r="G1410" s="65"/>
      <c r="I1410" s="5"/>
      <c r="J1410" s="5"/>
    </row>
    <row r="1411" spans="1:10" x14ac:dyDescent="0.2">
      <c r="A1411" s="55"/>
      <c r="B1411" s="55"/>
      <c r="C1411" s="65"/>
      <c r="D1411" s="65"/>
      <c r="E1411" s="65"/>
      <c r="F1411" s="65"/>
      <c r="G1411" s="65"/>
      <c r="I1411" s="5"/>
      <c r="J1411" s="5"/>
    </row>
    <row r="1412" spans="1:10" x14ac:dyDescent="0.2">
      <c r="A1412" s="55"/>
      <c r="B1412" s="55"/>
      <c r="C1412" s="65"/>
      <c r="D1412" s="65"/>
      <c r="E1412" s="65"/>
      <c r="F1412" s="65"/>
      <c r="G1412" s="65"/>
      <c r="I1412" s="5"/>
      <c r="J1412" s="5"/>
    </row>
    <row r="1413" spans="1:10" x14ac:dyDescent="0.2">
      <c r="A1413" s="55"/>
      <c r="B1413" s="55"/>
      <c r="C1413" s="65"/>
      <c r="D1413" s="65"/>
      <c r="E1413" s="65"/>
      <c r="F1413" s="65"/>
      <c r="G1413" s="65"/>
      <c r="I1413" s="5"/>
      <c r="J1413" s="5"/>
    </row>
    <row r="1414" spans="1:10" x14ac:dyDescent="0.2">
      <c r="A1414" s="55"/>
      <c r="B1414" s="55"/>
      <c r="C1414" s="65"/>
      <c r="D1414" s="65"/>
      <c r="E1414" s="65"/>
      <c r="F1414" s="65"/>
      <c r="G1414" s="65"/>
      <c r="I1414" s="5"/>
      <c r="J1414" s="5"/>
    </row>
    <row r="1415" spans="1:10" x14ac:dyDescent="0.2">
      <c r="A1415" s="55"/>
      <c r="B1415" s="55"/>
      <c r="C1415" s="65"/>
      <c r="D1415" s="65"/>
      <c r="E1415" s="65"/>
      <c r="F1415" s="65"/>
      <c r="G1415" s="65"/>
      <c r="I1415" s="5"/>
      <c r="J1415" s="5"/>
    </row>
    <row r="1416" spans="1:10" x14ac:dyDescent="0.2">
      <c r="A1416" s="55"/>
      <c r="B1416" s="55"/>
      <c r="C1416" s="65"/>
      <c r="D1416" s="65"/>
      <c r="E1416" s="65"/>
      <c r="F1416" s="65"/>
      <c r="G1416" s="65"/>
      <c r="I1416" s="5"/>
      <c r="J1416" s="5"/>
    </row>
    <row r="1417" spans="1:10" x14ac:dyDescent="0.2">
      <c r="A1417" s="55"/>
      <c r="B1417" s="55"/>
      <c r="C1417" s="65"/>
      <c r="D1417" s="65"/>
      <c r="E1417" s="65"/>
      <c r="F1417" s="65"/>
      <c r="G1417" s="65"/>
      <c r="I1417" s="5"/>
      <c r="J1417" s="5"/>
    </row>
    <row r="1418" spans="1:10" x14ac:dyDescent="0.2">
      <c r="A1418" s="55"/>
      <c r="B1418" s="55"/>
      <c r="C1418" s="65"/>
      <c r="D1418" s="65"/>
      <c r="E1418" s="65"/>
      <c r="F1418" s="65"/>
      <c r="G1418" s="65"/>
      <c r="I1418" s="5"/>
      <c r="J1418" s="5"/>
    </row>
    <row r="1419" spans="1:10" x14ac:dyDescent="0.2">
      <c r="A1419" s="55"/>
      <c r="B1419" s="55"/>
      <c r="C1419" s="65"/>
      <c r="D1419" s="65"/>
      <c r="E1419" s="65"/>
      <c r="F1419" s="65"/>
      <c r="G1419" s="65"/>
      <c r="I1419" s="5"/>
      <c r="J1419" s="5"/>
    </row>
    <row r="1420" spans="1:10" x14ac:dyDescent="0.2">
      <c r="A1420" s="55"/>
      <c r="B1420" s="55"/>
      <c r="C1420" s="65"/>
      <c r="D1420" s="65"/>
      <c r="E1420" s="65"/>
      <c r="F1420" s="65"/>
      <c r="G1420" s="65"/>
      <c r="I1420" s="5"/>
      <c r="J1420" s="5"/>
    </row>
    <row r="1421" spans="1:10" x14ac:dyDescent="0.2">
      <c r="A1421" s="55"/>
      <c r="B1421" s="55"/>
      <c r="C1421" s="65"/>
      <c r="D1421" s="65"/>
      <c r="E1421" s="65"/>
      <c r="F1421" s="65"/>
      <c r="G1421" s="65"/>
      <c r="I1421" s="5"/>
      <c r="J1421" s="5"/>
    </row>
    <row r="1422" spans="1:10" x14ac:dyDescent="0.2">
      <c r="A1422" s="55"/>
      <c r="B1422" s="55"/>
      <c r="C1422" s="65"/>
      <c r="D1422" s="65"/>
      <c r="E1422" s="65"/>
      <c r="F1422" s="65"/>
      <c r="G1422" s="65"/>
      <c r="I1422" s="5"/>
      <c r="J1422" s="5"/>
    </row>
    <row r="1423" spans="1:10" x14ac:dyDescent="0.2">
      <c r="A1423" s="55"/>
      <c r="B1423" s="55"/>
      <c r="C1423" s="65"/>
      <c r="D1423" s="65"/>
      <c r="E1423" s="65"/>
      <c r="F1423" s="65"/>
      <c r="G1423" s="65"/>
      <c r="I1423" s="5"/>
      <c r="J1423" s="5"/>
    </row>
    <row r="1424" spans="1:10" x14ac:dyDescent="0.2">
      <c r="A1424" s="55"/>
      <c r="B1424" s="55"/>
      <c r="C1424" s="65"/>
      <c r="D1424" s="65"/>
      <c r="E1424" s="65"/>
      <c r="F1424" s="65"/>
      <c r="G1424" s="65"/>
      <c r="I1424" s="5"/>
      <c r="J1424" s="5"/>
    </row>
    <row r="1425" spans="1:10" x14ac:dyDescent="0.2">
      <c r="A1425" s="55"/>
      <c r="B1425" s="55"/>
      <c r="C1425" s="65"/>
      <c r="D1425" s="65"/>
      <c r="E1425" s="65"/>
      <c r="F1425" s="65"/>
      <c r="G1425" s="65"/>
      <c r="I1425" s="5"/>
      <c r="J1425" s="5"/>
    </row>
    <row r="1426" spans="1:10" x14ac:dyDescent="0.2">
      <c r="A1426" s="55"/>
      <c r="B1426" s="55"/>
      <c r="C1426" s="65"/>
      <c r="D1426" s="65"/>
      <c r="E1426" s="65"/>
      <c r="F1426" s="65"/>
      <c r="G1426" s="65"/>
      <c r="I1426" s="5"/>
      <c r="J1426" s="5"/>
    </row>
    <row r="1427" spans="1:10" x14ac:dyDescent="0.2">
      <c r="A1427" s="55"/>
      <c r="B1427" s="55"/>
      <c r="C1427" s="65"/>
      <c r="D1427" s="65"/>
      <c r="E1427" s="65"/>
      <c r="F1427" s="65"/>
      <c r="G1427" s="65"/>
      <c r="I1427" s="5"/>
      <c r="J1427" s="5"/>
    </row>
    <row r="1428" spans="1:10" x14ac:dyDescent="0.2">
      <c r="A1428" s="55"/>
      <c r="B1428" s="55"/>
      <c r="C1428" s="65"/>
      <c r="D1428" s="65"/>
      <c r="E1428" s="65"/>
      <c r="F1428" s="65"/>
      <c r="G1428" s="65"/>
      <c r="I1428" s="5"/>
      <c r="J1428" s="5"/>
    </row>
    <row r="1429" spans="1:10" x14ac:dyDescent="0.2">
      <c r="A1429" s="55"/>
      <c r="B1429" s="55"/>
      <c r="C1429" s="65"/>
      <c r="D1429" s="65"/>
      <c r="E1429" s="65"/>
      <c r="F1429" s="65"/>
      <c r="G1429" s="65"/>
      <c r="I1429" s="5"/>
      <c r="J1429" s="5"/>
    </row>
    <row r="1430" spans="1:10" x14ac:dyDescent="0.2">
      <c r="A1430" s="55"/>
      <c r="B1430" s="55"/>
      <c r="C1430" s="65"/>
      <c r="D1430" s="65"/>
      <c r="E1430" s="65"/>
      <c r="F1430" s="65"/>
      <c r="G1430" s="65"/>
      <c r="I1430" s="5"/>
      <c r="J1430" s="5"/>
    </row>
    <row r="1431" spans="1:10" x14ac:dyDescent="0.2">
      <c r="A1431" s="55"/>
      <c r="B1431" s="55"/>
      <c r="C1431" s="65"/>
      <c r="D1431" s="65"/>
      <c r="E1431" s="65"/>
      <c r="F1431" s="65"/>
      <c r="G1431" s="65"/>
      <c r="I1431" s="5"/>
      <c r="J1431" s="5"/>
    </row>
    <row r="1432" spans="1:10" x14ac:dyDescent="0.2">
      <c r="A1432" s="55"/>
      <c r="B1432" s="55"/>
      <c r="C1432" s="65"/>
      <c r="D1432" s="65"/>
      <c r="E1432" s="65"/>
      <c r="F1432" s="65"/>
      <c r="G1432" s="65"/>
      <c r="I1432" s="5"/>
      <c r="J1432" s="5"/>
    </row>
    <row r="1433" spans="1:10" x14ac:dyDescent="0.2">
      <c r="A1433" s="55"/>
      <c r="B1433" s="55"/>
      <c r="C1433" s="65"/>
      <c r="D1433" s="65"/>
      <c r="E1433" s="65"/>
      <c r="F1433" s="65"/>
      <c r="G1433" s="65"/>
      <c r="I1433" s="5"/>
      <c r="J1433" s="5"/>
    </row>
    <row r="1434" spans="1:10" x14ac:dyDescent="0.2">
      <c r="A1434" s="55"/>
      <c r="B1434" s="55"/>
      <c r="C1434" s="65"/>
      <c r="D1434" s="65"/>
      <c r="E1434" s="65"/>
      <c r="F1434" s="65"/>
      <c r="G1434" s="65"/>
      <c r="I1434" s="5"/>
      <c r="J1434" s="5"/>
    </row>
    <row r="1435" spans="1:10" x14ac:dyDescent="0.2">
      <c r="A1435" s="55"/>
      <c r="B1435" s="55"/>
      <c r="C1435" s="65"/>
      <c r="D1435" s="65"/>
      <c r="E1435" s="65"/>
      <c r="F1435" s="65"/>
      <c r="G1435" s="65"/>
      <c r="I1435" s="5"/>
      <c r="J1435" s="5"/>
    </row>
    <row r="1436" spans="1:10" x14ac:dyDescent="0.2">
      <c r="A1436" s="55"/>
      <c r="B1436" s="55"/>
      <c r="C1436" s="65"/>
      <c r="D1436" s="65"/>
      <c r="E1436" s="65"/>
      <c r="F1436" s="65"/>
      <c r="G1436" s="65"/>
      <c r="I1436" s="5"/>
      <c r="J1436" s="5"/>
    </row>
    <row r="1437" spans="1:10" x14ac:dyDescent="0.2">
      <c r="A1437" s="55"/>
      <c r="B1437" s="55"/>
      <c r="C1437" s="65"/>
      <c r="D1437" s="65"/>
      <c r="E1437" s="65"/>
      <c r="F1437" s="65"/>
      <c r="G1437" s="65"/>
      <c r="I1437" s="5"/>
      <c r="J1437" s="5"/>
    </row>
    <row r="1438" spans="1:10" x14ac:dyDescent="0.2">
      <c r="A1438" s="55"/>
      <c r="B1438" s="55"/>
      <c r="C1438" s="65"/>
      <c r="D1438" s="65"/>
      <c r="E1438" s="65"/>
      <c r="F1438" s="65"/>
      <c r="G1438" s="65"/>
      <c r="I1438" s="5"/>
      <c r="J1438" s="5"/>
    </row>
    <row r="1439" spans="1:10" x14ac:dyDescent="0.2">
      <c r="A1439" s="55"/>
      <c r="B1439" s="55"/>
      <c r="C1439" s="65"/>
      <c r="D1439" s="65"/>
      <c r="E1439" s="65"/>
      <c r="F1439" s="65"/>
      <c r="G1439" s="65"/>
      <c r="I1439" s="5"/>
      <c r="J1439" s="5"/>
    </row>
    <row r="1440" spans="1:10" x14ac:dyDescent="0.2">
      <c r="A1440" s="55"/>
      <c r="B1440" s="55"/>
      <c r="C1440" s="65"/>
      <c r="D1440" s="65"/>
      <c r="E1440" s="65"/>
      <c r="F1440" s="65"/>
      <c r="G1440" s="65"/>
      <c r="I1440" s="5"/>
      <c r="J1440" s="5"/>
    </row>
    <row r="1441" spans="1:10" x14ac:dyDescent="0.2">
      <c r="A1441" s="55"/>
      <c r="B1441" s="55"/>
      <c r="C1441" s="65"/>
      <c r="D1441" s="65"/>
      <c r="E1441" s="65"/>
      <c r="F1441" s="65"/>
      <c r="G1441" s="65"/>
      <c r="I1441" s="5"/>
      <c r="J1441" s="5"/>
    </row>
    <row r="1442" spans="1:10" x14ac:dyDescent="0.2">
      <c r="A1442" s="55"/>
      <c r="B1442" s="55"/>
      <c r="C1442" s="65"/>
      <c r="D1442" s="65"/>
      <c r="E1442" s="65"/>
      <c r="F1442" s="65"/>
      <c r="G1442" s="65"/>
      <c r="I1442" s="5"/>
      <c r="J1442" s="5"/>
    </row>
    <row r="1443" spans="1:10" x14ac:dyDescent="0.2">
      <c r="A1443" s="55"/>
      <c r="B1443" s="55"/>
      <c r="C1443" s="65"/>
      <c r="D1443" s="65"/>
      <c r="E1443" s="65"/>
      <c r="F1443" s="65"/>
      <c r="G1443" s="65"/>
      <c r="I1443" s="5"/>
      <c r="J1443" s="5"/>
    </row>
    <row r="1444" spans="1:10" x14ac:dyDescent="0.2">
      <c r="A1444" s="55"/>
      <c r="B1444" s="55"/>
      <c r="C1444" s="65"/>
      <c r="D1444" s="65"/>
      <c r="E1444" s="65"/>
      <c r="F1444" s="65"/>
      <c r="G1444" s="65"/>
      <c r="I1444" s="5"/>
      <c r="J1444" s="5"/>
    </row>
    <row r="1445" spans="1:10" x14ac:dyDescent="0.2">
      <c r="A1445" s="55"/>
      <c r="B1445" s="55"/>
      <c r="C1445" s="65"/>
      <c r="D1445" s="65"/>
      <c r="E1445" s="65"/>
      <c r="F1445" s="65"/>
      <c r="G1445" s="65"/>
      <c r="I1445" s="5"/>
      <c r="J1445" s="5"/>
    </row>
    <row r="1446" spans="1:10" x14ac:dyDescent="0.2">
      <c r="A1446" s="55"/>
      <c r="B1446" s="55"/>
      <c r="C1446" s="65"/>
      <c r="D1446" s="65"/>
      <c r="E1446" s="65"/>
      <c r="F1446" s="65"/>
      <c r="G1446" s="65"/>
      <c r="I1446" s="5"/>
      <c r="J1446" s="5"/>
    </row>
    <row r="1447" spans="1:10" x14ac:dyDescent="0.2">
      <c r="A1447" s="55"/>
      <c r="B1447" s="55"/>
      <c r="C1447" s="65"/>
      <c r="D1447" s="65"/>
      <c r="E1447" s="65"/>
      <c r="F1447" s="65"/>
      <c r="G1447" s="65"/>
      <c r="I1447" s="5"/>
      <c r="J1447" s="5"/>
    </row>
    <row r="1448" spans="1:10" x14ac:dyDescent="0.2">
      <c r="A1448" s="55"/>
      <c r="B1448" s="55"/>
      <c r="C1448" s="65"/>
      <c r="D1448" s="65"/>
      <c r="E1448" s="65"/>
      <c r="F1448" s="65"/>
      <c r="G1448" s="65"/>
      <c r="I1448" s="5"/>
      <c r="J1448" s="5"/>
    </row>
    <row r="1449" spans="1:10" x14ac:dyDescent="0.2">
      <c r="A1449" s="55"/>
      <c r="B1449" s="55"/>
      <c r="C1449" s="65"/>
      <c r="D1449" s="65"/>
      <c r="E1449" s="65"/>
      <c r="F1449" s="65"/>
      <c r="G1449" s="65"/>
      <c r="I1449" s="5"/>
      <c r="J1449" s="5"/>
    </row>
    <row r="1450" spans="1:10" x14ac:dyDescent="0.2">
      <c r="A1450" s="55"/>
      <c r="B1450" s="55"/>
      <c r="C1450" s="65"/>
      <c r="D1450" s="65"/>
      <c r="E1450" s="65"/>
      <c r="F1450" s="65"/>
      <c r="G1450" s="65"/>
      <c r="I1450" s="5"/>
      <c r="J1450" s="5"/>
    </row>
    <row r="1451" spans="1:10" x14ac:dyDescent="0.2">
      <c r="A1451" s="55"/>
      <c r="B1451" s="55"/>
      <c r="C1451" s="65"/>
      <c r="D1451" s="65"/>
      <c r="E1451" s="65"/>
      <c r="F1451" s="65"/>
      <c r="G1451" s="65"/>
      <c r="I1451" s="5"/>
      <c r="J1451" s="5"/>
    </row>
    <row r="1452" spans="1:10" x14ac:dyDescent="0.2">
      <c r="A1452" s="55"/>
      <c r="B1452" s="55"/>
      <c r="C1452" s="65"/>
      <c r="D1452" s="65"/>
      <c r="E1452" s="65"/>
      <c r="F1452" s="65"/>
      <c r="G1452" s="65"/>
      <c r="I1452" s="5"/>
      <c r="J1452" s="5"/>
    </row>
    <row r="1453" spans="1:10" x14ac:dyDescent="0.2">
      <c r="A1453" s="55"/>
      <c r="B1453" s="55"/>
      <c r="C1453" s="65"/>
      <c r="D1453" s="65"/>
      <c r="E1453" s="65"/>
      <c r="F1453" s="65"/>
      <c r="G1453" s="65"/>
      <c r="I1453" s="5"/>
      <c r="J1453" s="5"/>
    </row>
    <row r="1454" spans="1:10" x14ac:dyDescent="0.2">
      <c r="A1454" s="55"/>
      <c r="B1454" s="55"/>
      <c r="C1454" s="65"/>
      <c r="D1454" s="65"/>
      <c r="E1454" s="65"/>
      <c r="F1454" s="65"/>
      <c r="G1454" s="65"/>
      <c r="I1454" s="5"/>
      <c r="J1454" s="5"/>
    </row>
    <row r="1455" spans="1:10" x14ac:dyDescent="0.2">
      <c r="A1455" s="55"/>
      <c r="B1455" s="55"/>
      <c r="C1455" s="65"/>
      <c r="D1455" s="65"/>
      <c r="E1455" s="65"/>
      <c r="F1455" s="65"/>
      <c r="G1455" s="65"/>
      <c r="I1455" s="5"/>
      <c r="J1455" s="5"/>
    </row>
    <row r="1456" spans="1:10" x14ac:dyDescent="0.2">
      <c r="A1456" s="55"/>
      <c r="B1456" s="55"/>
      <c r="C1456" s="65"/>
      <c r="D1456" s="65"/>
      <c r="E1456" s="65"/>
      <c r="F1456" s="65"/>
      <c r="G1456" s="65"/>
      <c r="I1456" s="5"/>
      <c r="J1456" s="5"/>
    </row>
    <row r="1457" spans="1:10" x14ac:dyDescent="0.2">
      <c r="A1457" s="55"/>
      <c r="B1457" s="55"/>
      <c r="C1457" s="65"/>
      <c r="D1457" s="65"/>
      <c r="E1457" s="65"/>
      <c r="F1457" s="65"/>
      <c r="G1457" s="65"/>
      <c r="I1457" s="5"/>
      <c r="J1457" s="5"/>
    </row>
    <row r="1458" spans="1:10" x14ac:dyDescent="0.2">
      <c r="A1458" s="55"/>
      <c r="B1458" s="55"/>
      <c r="C1458" s="65"/>
      <c r="D1458" s="65"/>
      <c r="E1458" s="65"/>
      <c r="F1458" s="65"/>
      <c r="G1458" s="65"/>
      <c r="I1458" s="5"/>
      <c r="J1458" s="5"/>
    </row>
    <row r="1459" spans="1:10" x14ac:dyDescent="0.2">
      <c r="A1459" s="55"/>
      <c r="B1459" s="55"/>
      <c r="C1459" s="65"/>
      <c r="D1459" s="65"/>
      <c r="E1459" s="65"/>
      <c r="F1459" s="65"/>
      <c r="G1459" s="65"/>
      <c r="I1459" s="5"/>
      <c r="J1459" s="5"/>
    </row>
    <row r="1460" spans="1:10" x14ac:dyDescent="0.2">
      <c r="A1460" s="55"/>
      <c r="B1460" s="55"/>
      <c r="C1460" s="65"/>
      <c r="D1460" s="65"/>
      <c r="E1460" s="65"/>
      <c r="F1460" s="65"/>
      <c r="G1460" s="65"/>
      <c r="I1460" s="5"/>
      <c r="J1460" s="5"/>
    </row>
    <row r="1461" spans="1:10" x14ac:dyDescent="0.2">
      <c r="A1461" s="55"/>
      <c r="B1461" s="55"/>
      <c r="C1461" s="65"/>
      <c r="D1461" s="65"/>
      <c r="E1461" s="65"/>
      <c r="F1461" s="65"/>
      <c r="G1461" s="65"/>
      <c r="I1461" s="5"/>
      <c r="J1461" s="5"/>
    </row>
    <row r="1462" spans="1:10" x14ac:dyDescent="0.2">
      <c r="A1462" s="55"/>
      <c r="B1462" s="55"/>
      <c r="C1462" s="65"/>
      <c r="D1462" s="65"/>
      <c r="E1462" s="65"/>
      <c r="F1462" s="65"/>
      <c r="G1462" s="65"/>
      <c r="I1462" s="5"/>
      <c r="J1462" s="5"/>
    </row>
    <row r="1463" spans="1:10" x14ac:dyDescent="0.2">
      <c r="A1463" s="55"/>
      <c r="B1463" s="55"/>
      <c r="C1463" s="65"/>
      <c r="D1463" s="65"/>
      <c r="E1463" s="65"/>
      <c r="F1463" s="65"/>
      <c r="G1463" s="65"/>
      <c r="I1463" s="5"/>
      <c r="J1463" s="5"/>
    </row>
    <row r="1464" spans="1:10" x14ac:dyDescent="0.2">
      <c r="A1464" s="55"/>
      <c r="B1464" s="55"/>
      <c r="C1464" s="65"/>
      <c r="D1464" s="65"/>
      <c r="E1464" s="65"/>
      <c r="F1464" s="65"/>
      <c r="G1464" s="65"/>
      <c r="I1464" s="5"/>
      <c r="J1464" s="5"/>
    </row>
    <row r="1465" spans="1:10" x14ac:dyDescent="0.2">
      <c r="A1465" s="55"/>
      <c r="B1465" s="55"/>
      <c r="C1465" s="65"/>
      <c r="D1465" s="65"/>
      <c r="E1465" s="65"/>
      <c r="F1465" s="65"/>
      <c r="G1465" s="65"/>
      <c r="I1465" s="5"/>
      <c r="J1465" s="5"/>
    </row>
    <row r="1466" spans="1:10" x14ac:dyDescent="0.2">
      <c r="A1466" s="55"/>
      <c r="B1466" s="55"/>
      <c r="C1466" s="65"/>
      <c r="D1466" s="65"/>
      <c r="E1466" s="65"/>
      <c r="F1466" s="65"/>
      <c r="G1466" s="65"/>
      <c r="I1466" s="5"/>
      <c r="J1466" s="5"/>
    </row>
    <row r="1467" spans="1:10" x14ac:dyDescent="0.2">
      <c r="A1467" s="55"/>
      <c r="B1467" s="55"/>
      <c r="C1467" s="65"/>
      <c r="D1467" s="65"/>
      <c r="E1467" s="65"/>
      <c r="F1467" s="65"/>
      <c r="G1467" s="65"/>
      <c r="I1467" s="5"/>
      <c r="J1467" s="5"/>
    </row>
    <row r="1468" spans="1:10" x14ac:dyDescent="0.2">
      <c r="A1468" s="55"/>
      <c r="B1468" s="55"/>
      <c r="C1468" s="65"/>
      <c r="D1468" s="65"/>
      <c r="E1468" s="65"/>
      <c r="F1468" s="65"/>
      <c r="G1468" s="65"/>
      <c r="I1468" s="5"/>
      <c r="J1468" s="5"/>
    </row>
    <row r="1469" spans="1:10" x14ac:dyDescent="0.2">
      <c r="A1469" s="55"/>
      <c r="B1469" s="55"/>
      <c r="C1469" s="65"/>
      <c r="D1469" s="65"/>
      <c r="E1469" s="65"/>
      <c r="F1469" s="65"/>
      <c r="G1469" s="65"/>
      <c r="I1469" s="5"/>
      <c r="J1469" s="5"/>
    </row>
    <row r="1470" spans="1:10" x14ac:dyDescent="0.2">
      <c r="A1470" s="55"/>
      <c r="B1470" s="55"/>
      <c r="C1470" s="65"/>
      <c r="D1470" s="65"/>
      <c r="E1470" s="65"/>
      <c r="F1470" s="65"/>
      <c r="G1470" s="65"/>
      <c r="I1470" s="5"/>
      <c r="J1470" s="5"/>
    </row>
    <row r="1471" spans="1:10" x14ac:dyDescent="0.2">
      <c r="A1471" s="55"/>
      <c r="B1471" s="55"/>
      <c r="C1471" s="65"/>
      <c r="D1471" s="65"/>
      <c r="E1471" s="65"/>
      <c r="F1471" s="65"/>
      <c r="G1471" s="65"/>
      <c r="I1471" s="5"/>
      <c r="J1471" s="5"/>
    </row>
    <row r="1472" spans="1:10" x14ac:dyDescent="0.2">
      <c r="A1472" s="55"/>
      <c r="B1472" s="55"/>
      <c r="C1472" s="65"/>
      <c r="D1472" s="65"/>
      <c r="E1472" s="65"/>
      <c r="F1472" s="65"/>
      <c r="G1472" s="65"/>
      <c r="I1472" s="5"/>
      <c r="J1472" s="5"/>
    </row>
    <row r="1473" spans="1:10" x14ac:dyDescent="0.2">
      <c r="A1473" s="55"/>
      <c r="B1473" s="55"/>
      <c r="C1473" s="65"/>
      <c r="D1473" s="65"/>
      <c r="E1473" s="65"/>
      <c r="F1473" s="65"/>
      <c r="G1473" s="65"/>
      <c r="I1473" s="5"/>
      <c r="J1473" s="5"/>
    </row>
    <row r="1474" spans="1:10" x14ac:dyDescent="0.2">
      <c r="A1474" s="55"/>
      <c r="B1474" s="55"/>
      <c r="C1474" s="65"/>
      <c r="D1474" s="65"/>
      <c r="E1474" s="65"/>
      <c r="F1474" s="65"/>
      <c r="G1474" s="65"/>
      <c r="I1474" s="5"/>
      <c r="J1474" s="5"/>
    </row>
    <row r="1475" spans="1:10" x14ac:dyDescent="0.2">
      <c r="A1475" s="55"/>
      <c r="B1475" s="55"/>
      <c r="C1475" s="65"/>
      <c r="D1475" s="65"/>
      <c r="E1475" s="65"/>
      <c r="F1475" s="65"/>
      <c r="G1475" s="65"/>
      <c r="I1475" s="5"/>
      <c r="J1475" s="5"/>
    </row>
    <row r="1476" spans="1:10" x14ac:dyDescent="0.2">
      <c r="A1476" s="55"/>
      <c r="B1476" s="55"/>
      <c r="C1476" s="65"/>
      <c r="D1476" s="65"/>
      <c r="E1476" s="65"/>
      <c r="F1476" s="65"/>
      <c r="G1476" s="65"/>
      <c r="I1476" s="5"/>
      <c r="J1476" s="5"/>
    </row>
    <row r="1477" spans="1:10" x14ac:dyDescent="0.2">
      <c r="A1477" s="55"/>
      <c r="B1477" s="55"/>
      <c r="C1477" s="65"/>
      <c r="D1477" s="65"/>
      <c r="E1477" s="65"/>
      <c r="F1477" s="65"/>
      <c r="G1477" s="65"/>
      <c r="I1477" s="5"/>
      <c r="J1477" s="5"/>
    </row>
    <row r="1478" spans="1:10" x14ac:dyDescent="0.2">
      <c r="A1478" s="55"/>
      <c r="B1478" s="55"/>
      <c r="C1478" s="65"/>
      <c r="D1478" s="65"/>
      <c r="E1478" s="65"/>
      <c r="F1478" s="65"/>
      <c r="G1478" s="65"/>
      <c r="I1478" s="5"/>
      <c r="J1478" s="5"/>
    </row>
    <row r="1479" spans="1:10" x14ac:dyDescent="0.2">
      <c r="A1479" s="55"/>
      <c r="B1479" s="55"/>
      <c r="C1479" s="65"/>
      <c r="D1479" s="65"/>
      <c r="E1479" s="65"/>
      <c r="F1479" s="65"/>
      <c r="G1479" s="65"/>
      <c r="I1479" s="5"/>
      <c r="J1479" s="5"/>
    </row>
    <row r="1480" spans="1:10" x14ac:dyDescent="0.2">
      <c r="A1480" s="55"/>
      <c r="B1480" s="55"/>
      <c r="C1480" s="65"/>
      <c r="D1480" s="65"/>
      <c r="E1480" s="65"/>
      <c r="F1480" s="65"/>
      <c r="G1480" s="65"/>
      <c r="I1480" s="5"/>
      <c r="J1480" s="5"/>
    </row>
    <row r="1481" spans="1:10" x14ac:dyDescent="0.2">
      <c r="A1481" s="55"/>
      <c r="B1481" s="55"/>
      <c r="C1481" s="65"/>
      <c r="D1481" s="65"/>
      <c r="E1481" s="65"/>
      <c r="F1481" s="65"/>
      <c r="G1481" s="65"/>
      <c r="I1481" s="5"/>
      <c r="J1481" s="5"/>
    </row>
    <row r="1482" spans="1:10" x14ac:dyDescent="0.2">
      <c r="A1482" s="55"/>
      <c r="B1482" s="55"/>
      <c r="C1482" s="65"/>
      <c r="D1482" s="65"/>
      <c r="E1482" s="65"/>
      <c r="F1482" s="65"/>
      <c r="G1482" s="65"/>
      <c r="I1482" s="5"/>
      <c r="J1482" s="5"/>
    </row>
    <row r="1483" spans="1:10" x14ac:dyDescent="0.2">
      <c r="A1483" s="55"/>
      <c r="B1483" s="55"/>
      <c r="C1483" s="65"/>
      <c r="D1483" s="65"/>
      <c r="E1483" s="65"/>
      <c r="F1483" s="65"/>
      <c r="G1483" s="65"/>
      <c r="I1483" s="5"/>
      <c r="J1483" s="5"/>
    </row>
    <row r="1484" spans="1:10" x14ac:dyDescent="0.2">
      <c r="A1484" s="55"/>
      <c r="B1484" s="55"/>
      <c r="C1484" s="65"/>
      <c r="D1484" s="65"/>
      <c r="E1484" s="65"/>
      <c r="F1484" s="65"/>
      <c r="G1484" s="65"/>
      <c r="I1484" s="5"/>
      <c r="J1484" s="5"/>
    </row>
    <row r="1485" spans="1:10" x14ac:dyDescent="0.2">
      <c r="A1485" s="55"/>
      <c r="B1485" s="55"/>
      <c r="C1485" s="65"/>
      <c r="D1485" s="65"/>
      <c r="E1485" s="65"/>
      <c r="F1485" s="65"/>
      <c r="G1485" s="65"/>
      <c r="I1485" s="5"/>
      <c r="J1485" s="5"/>
    </row>
    <row r="1486" spans="1:10" x14ac:dyDescent="0.2">
      <c r="A1486" s="55"/>
      <c r="B1486" s="55"/>
      <c r="C1486" s="65"/>
      <c r="D1486" s="65"/>
      <c r="E1486" s="65"/>
      <c r="F1486" s="65"/>
      <c r="G1486" s="65"/>
      <c r="I1486" s="5"/>
      <c r="J1486" s="5"/>
    </row>
    <row r="1487" spans="1:10" x14ac:dyDescent="0.2">
      <c r="A1487" s="55"/>
      <c r="B1487" s="55"/>
      <c r="C1487" s="65"/>
      <c r="D1487" s="65"/>
      <c r="E1487" s="65"/>
      <c r="F1487" s="65"/>
      <c r="G1487" s="65"/>
      <c r="I1487" s="5"/>
      <c r="J1487" s="5"/>
    </row>
    <row r="1488" spans="1:10" x14ac:dyDescent="0.2">
      <c r="A1488" s="55"/>
      <c r="B1488" s="55"/>
      <c r="C1488" s="65"/>
      <c r="D1488" s="65"/>
      <c r="E1488" s="65"/>
      <c r="F1488" s="65"/>
      <c r="G1488" s="65"/>
      <c r="I1488" s="5"/>
      <c r="J1488" s="5"/>
    </row>
    <row r="1489" spans="1:10" x14ac:dyDescent="0.2">
      <c r="A1489" s="55"/>
      <c r="B1489" s="55"/>
      <c r="C1489" s="65"/>
      <c r="D1489" s="65"/>
      <c r="E1489" s="65"/>
      <c r="F1489" s="65"/>
      <c r="G1489" s="65"/>
      <c r="I1489" s="5"/>
      <c r="J1489" s="5"/>
    </row>
    <row r="1490" spans="1:10" x14ac:dyDescent="0.2">
      <c r="A1490" s="55"/>
      <c r="B1490" s="55"/>
      <c r="C1490" s="65"/>
      <c r="D1490" s="65"/>
      <c r="E1490" s="65"/>
      <c r="F1490" s="65"/>
      <c r="G1490" s="65"/>
      <c r="I1490" s="5"/>
      <c r="J1490" s="5"/>
    </row>
    <row r="1491" spans="1:10" x14ac:dyDescent="0.2">
      <c r="A1491" s="55"/>
      <c r="B1491" s="55"/>
      <c r="C1491" s="65"/>
      <c r="D1491" s="65"/>
      <c r="E1491" s="65"/>
      <c r="F1491" s="65"/>
      <c r="G1491" s="65"/>
      <c r="I1491" s="5"/>
      <c r="J1491" s="5"/>
    </row>
    <row r="1492" spans="1:10" x14ac:dyDescent="0.2">
      <c r="A1492" s="55"/>
      <c r="B1492" s="55"/>
      <c r="C1492" s="65"/>
      <c r="D1492" s="65"/>
      <c r="E1492" s="65"/>
      <c r="F1492" s="65"/>
      <c r="G1492" s="65"/>
      <c r="I1492" s="5"/>
      <c r="J1492" s="5"/>
    </row>
    <row r="1493" spans="1:10" x14ac:dyDescent="0.2">
      <c r="A1493" s="55"/>
      <c r="B1493" s="55"/>
      <c r="C1493" s="65"/>
      <c r="D1493" s="65"/>
      <c r="E1493" s="65"/>
      <c r="F1493" s="65"/>
      <c r="G1493" s="65"/>
      <c r="I1493" s="5"/>
      <c r="J1493" s="5"/>
    </row>
    <row r="1494" spans="1:10" x14ac:dyDescent="0.2">
      <c r="A1494" s="55"/>
      <c r="B1494" s="55"/>
      <c r="C1494" s="65"/>
      <c r="D1494" s="65"/>
      <c r="E1494" s="65"/>
      <c r="F1494" s="65"/>
      <c r="G1494" s="65"/>
      <c r="I1494" s="5"/>
      <c r="J1494" s="5"/>
    </row>
    <row r="1495" spans="1:10" x14ac:dyDescent="0.2">
      <c r="A1495" s="55"/>
      <c r="B1495" s="55"/>
      <c r="C1495" s="65"/>
      <c r="D1495" s="65"/>
      <c r="E1495" s="65"/>
      <c r="F1495" s="65"/>
      <c r="G1495" s="65"/>
      <c r="I1495" s="5"/>
      <c r="J1495" s="5"/>
    </row>
    <row r="1496" spans="1:10" x14ac:dyDescent="0.2">
      <c r="A1496" s="55"/>
      <c r="B1496" s="55"/>
      <c r="C1496" s="65"/>
      <c r="D1496" s="65"/>
      <c r="E1496" s="65"/>
      <c r="F1496" s="65"/>
      <c r="G1496" s="65"/>
      <c r="I1496" s="5"/>
      <c r="J1496" s="5"/>
    </row>
    <row r="1497" spans="1:10" x14ac:dyDescent="0.2">
      <c r="A1497" s="55"/>
      <c r="B1497" s="55"/>
      <c r="C1497" s="65"/>
      <c r="D1497" s="65"/>
      <c r="E1497" s="65"/>
      <c r="F1497" s="65"/>
      <c r="G1497" s="65"/>
      <c r="I1497" s="5"/>
      <c r="J1497" s="5"/>
    </row>
    <row r="1498" spans="1:10" x14ac:dyDescent="0.2">
      <c r="A1498" s="55"/>
      <c r="B1498" s="55"/>
      <c r="C1498" s="65"/>
      <c r="D1498" s="65"/>
      <c r="E1498" s="65"/>
      <c r="F1498" s="65"/>
      <c r="G1498" s="65"/>
      <c r="I1498" s="5"/>
      <c r="J1498" s="5"/>
    </row>
    <row r="1499" spans="1:10" x14ac:dyDescent="0.2">
      <c r="A1499" s="55"/>
      <c r="B1499" s="55"/>
      <c r="C1499" s="65"/>
      <c r="D1499" s="65"/>
      <c r="E1499" s="65"/>
      <c r="F1499" s="65"/>
      <c r="G1499" s="65"/>
      <c r="I1499" s="5"/>
      <c r="J1499" s="5"/>
    </row>
    <row r="1500" spans="1:10" x14ac:dyDescent="0.2">
      <c r="A1500" s="55"/>
      <c r="B1500" s="55"/>
      <c r="C1500" s="65"/>
      <c r="D1500" s="65"/>
      <c r="E1500" s="65"/>
      <c r="F1500" s="65"/>
      <c r="G1500" s="65"/>
      <c r="I1500" s="5"/>
      <c r="J1500" s="5"/>
    </row>
    <row r="1501" spans="1:10" x14ac:dyDescent="0.2">
      <c r="A1501" s="55"/>
      <c r="B1501" s="55"/>
      <c r="C1501" s="65"/>
      <c r="D1501" s="65"/>
      <c r="E1501" s="65"/>
      <c r="F1501" s="65"/>
      <c r="G1501" s="65"/>
      <c r="I1501" s="5"/>
      <c r="J1501" s="5"/>
    </row>
    <row r="1502" spans="1:10" x14ac:dyDescent="0.2">
      <c r="A1502" s="55"/>
      <c r="B1502" s="55"/>
      <c r="C1502" s="65"/>
      <c r="D1502" s="65"/>
      <c r="E1502" s="65"/>
      <c r="F1502" s="65"/>
      <c r="G1502" s="65"/>
      <c r="I1502" s="5"/>
      <c r="J1502" s="5"/>
    </row>
    <row r="1503" spans="1:10" x14ac:dyDescent="0.2">
      <c r="A1503" s="55"/>
      <c r="B1503" s="55"/>
      <c r="C1503" s="65"/>
      <c r="D1503" s="65"/>
      <c r="E1503" s="65"/>
      <c r="F1503" s="65"/>
      <c r="G1503" s="65"/>
      <c r="I1503" s="5"/>
      <c r="J1503" s="5"/>
    </row>
    <row r="1504" spans="1:10" x14ac:dyDescent="0.2">
      <c r="A1504" s="55"/>
      <c r="B1504" s="55"/>
      <c r="C1504" s="65"/>
      <c r="D1504" s="65"/>
      <c r="E1504" s="65"/>
      <c r="F1504" s="65"/>
      <c r="G1504" s="65"/>
      <c r="I1504" s="5"/>
      <c r="J1504" s="5"/>
    </row>
    <row r="1505" spans="1:10" x14ac:dyDescent="0.2">
      <c r="A1505" s="55"/>
      <c r="B1505" s="55"/>
      <c r="C1505" s="65"/>
      <c r="D1505" s="65"/>
      <c r="E1505" s="65"/>
      <c r="F1505" s="65"/>
      <c r="G1505" s="65"/>
      <c r="I1505" s="5"/>
      <c r="J1505" s="5"/>
    </row>
    <row r="1506" spans="1:10" x14ac:dyDescent="0.2">
      <c r="A1506" s="55"/>
      <c r="B1506" s="55"/>
      <c r="C1506" s="65"/>
      <c r="D1506" s="65"/>
      <c r="E1506" s="65"/>
      <c r="F1506" s="65"/>
      <c r="G1506" s="65"/>
      <c r="I1506" s="5"/>
      <c r="J1506" s="5"/>
    </row>
    <row r="1507" spans="1:10" x14ac:dyDescent="0.2">
      <c r="A1507" s="55"/>
      <c r="B1507" s="55"/>
      <c r="C1507" s="65"/>
      <c r="D1507" s="65"/>
      <c r="E1507" s="65"/>
      <c r="F1507" s="65"/>
      <c r="G1507" s="65"/>
      <c r="I1507" s="5"/>
      <c r="J1507" s="5"/>
    </row>
    <row r="1508" spans="1:10" x14ac:dyDescent="0.2">
      <c r="A1508" s="55"/>
      <c r="B1508" s="55"/>
      <c r="C1508" s="65"/>
      <c r="D1508" s="65"/>
      <c r="E1508" s="65"/>
      <c r="F1508" s="65"/>
      <c r="G1508" s="65"/>
      <c r="I1508" s="5"/>
      <c r="J1508" s="5"/>
    </row>
    <row r="1509" spans="1:10" x14ac:dyDescent="0.2">
      <c r="A1509" s="55"/>
      <c r="B1509" s="55"/>
      <c r="C1509" s="65"/>
      <c r="D1509" s="65"/>
      <c r="E1509" s="65"/>
      <c r="F1509" s="65"/>
      <c r="G1509" s="65"/>
      <c r="I1509" s="5"/>
      <c r="J1509" s="5"/>
    </row>
    <row r="1510" spans="1:10" x14ac:dyDescent="0.2">
      <c r="A1510" s="55"/>
      <c r="B1510" s="55"/>
      <c r="C1510" s="65"/>
      <c r="D1510" s="65"/>
      <c r="E1510" s="65"/>
      <c r="F1510" s="65"/>
      <c r="G1510" s="65"/>
      <c r="I1510" s="5"/>
      <c r="J1510" s="5"/>
    </row>
    <row r="1511" spans="1:10" x14ac:dyDescent="0.2">
      <c r="A1511" s="55"/>
      <c r="B1511" s="55"/>
      <c r="C1511" s="65"/>
      <c r="D1511" s="65"/>
      <c r="E1511" s="65"/>
      <c r="F1511" s="65"/>
      <c r="G1511" s="65"/>
      <c r="I1511" s="5"/>
      <c r="J1511" s="5"/>
    </row>
    <row r="1512" spans="1:10" x14ac:dyDescent="0.2">
      <c r="A1512" s="55"/>
      <c r="B1512" s="55"/>
      <c r="C1512" s="65"/>
      <c r="D1512" s="65"/>
      <c r="E1512" s="65"/>
      <c r="F1512" s="65"/>
      <c r="G1512" s="65"/>
      <c r="I1512" s="5"/>
      <c r="J1512" s="5"/>
    </row>
    <row r="1513" spans="1:10" x14ac:dyDescent="0.2">
      <c r="A1513" s="55"/>
      <c r="B1513" s="55"/>
      <c r="C1513" s="65"/>
      <c r="D1513" s="65"/>
      <c r="E1513" s="65"/>
      <c r="F1513" s="65"/>
      <c r="G1513" s="65"/>
      <c r="I1513" s="5"/>
      <c r="J1513" s="5"/>
    </row>
    <row r="1514" spans="1:10" x14ac:dyDescent="0.2">
      <c r="A1514" s="55"/>
      <c r="B1514" s="55"/>
      <c r="C1514" s="65"/>
      <c r="D1514" s="65"/>
      <c r="E1514" s="65"/>
      <c r="F1514" s="65"/>
      <c r="G1514" s="65"/>
      <c r="I1514" s="5"/>
      <c r="J1514" s="5"/>
    </row>
    <row r="1515" spans="1:10" x14ac:dyDescent="0.2">
      <c r="A1515" s="55"/>
      <c r="B1515" s="55"/>
      <c r="C1515" s="65"/>
      <c r="D1515" s="65"/>
      <c r="E1515" s="65"/>
      <c r="F1515" s="65"/>
      <c r="G1515" s="65"/>
      <c r="I1515" s="5"/>
      <c r="J1515" s="5"/>
    </row>
    <row r="1516" spans="1:10" x14ac:dyDescent="0.2">
      <c r="A1516" s="55"/>
      <c r="B1516" s="55"/>
      <c r="C1516" s="65"/>
      <c r="D1516" s="65"/>
      <c r="E1516" s="65"/>
      <c r="F1516" s="65"/>
      <c r="G1516" s="65"/>
      <c r="I1516" s="5"/>
      <c r="J1516" s="5"/>
    </row>
    <row r="1517" spans="1:10" x14ac:dyDescent="0.2">
      <c r="A1517" s="55"/>
      <c r="B1517" s="55"/>
      <c r="C1517" s="65"/>
      <c r="D1517" s="65"/>
      <c r="E1517" s="65"/>
      <c r="F1517" s="65"/>
      <c r="G1517" s="65"/>
      <c r="I1517" s="5"/>
      <c r="J1517" s="5"/>
    </row>
    <row r="1518" spans="1:10" x14ac:dyDescent="0.2">
      <c r="A1518" s="55"/>
      <c r="B1518" s="55"/>
      <c r="C1518" s="65"/>
      <c r="D1518" s="65"/>
      <c r="E1518" s="65"/>
      <c r="F1518" s="65"/>
      <c r="G1518" s="65"/>
      <c r="I1518" s="5"/>
      <c r="J1518" s="5"/>
    </row>
    <row r="1519" spans="1:10" x14ac:dyDescent="0.2">
      <c r="A1519" s="55"/>
      <c r="B1519" s="55"/>
      <c r="C1519" s="65"/>
      <c r="D1519" s="65"/>
      <c r="E1519" s="65"/>
      <c r="F1519" s="65"/>
      <c r="G1519" s="65"/>
      <c r="I1519" s="5"/>
      <c r="J1519" s="5"/>
    </row>
    <row r="1520" spans="1:10" x14ac:dyDescent="0.2">
      <c r="A1520" s="55"/>
      <c r="B1520" s="55"/>
      <c r="C1520" s="65"/>
      <c r="D1520" s="65"/>
      <c r="E1520" s="65"/>
      <c r="F1520" s="65"/>
      <c r="G1520" s="65"/>
      <c r="I1520" s="5"/>
      <c r="J1520" s="5"/>
    </row>
    <row r="1521" spans="1:10" x14ac:dyDescent="0.2">
      <c r="A1521" s="55"/>
      <c r="B1521" s="55"/>
      <c r="C1521" s="65"/>
      <c r="D1521" s="65"/>
      <c r="E1521" s="65"/>
      <c r="F1521" s="65"/>
      <c r="G1521" s="65"/>
      <c r="I1521" s="5"/>
      <c r="J1521" s="5"/>
    </row>
    <row r="1522" spans="1:10" x14ac:dyDescent="0.2">
      <c r="A1522" s="55"/>
      <c r="B1522" s="55"/>
      <c r="C1522" s="65"/>
      <c r="D1522" s="65"/>
      <c r="E1522" s="65"/>
      <c r="F1522" s="65"/>
      <c r="G1522" s="65"/>
      <c r="I1522" s="5"/>
      <c r="J1522" s="5"/>
    </row>
    <row r="1523" spans="1:10" x14ac:dyDescent="0.2">
      <c r="A1523" s="55"/>
      <c r="B1523" s="55"/>
      <c r="C1523" s="65"/>
      <c r="D1523" s="65"/>
      <c r="E1523" s="65"/>
      <c r="F1523" s="65"/>
      <c r="G1523" s="65"/>
      <c r="I1523" s="5"/>
      <c r="J1523" s="5"/>
    </row>
    <row r="1524" spans="1:10" x14ac:dyDescent="0.2">
      <c r="A1524" s="55"/>
      <c r="B1524" s="55"/>
      <c r="C1524" s="65"/>
      <c r="D1524" s="65"/>
      <c r="E1524" s="65"/>
      <c r="F1524" s="65"/>
      <c r="G1524" s="65"/>
      <c r="I1524" s="5"/>
      <c r="J1524" s="5"/>
    </row>
    <row r="1525" spans="1:10" x14ac:dyDescent="0.2">
      <c r="A1525" s="55"/>
      <c r="B1525" s="55"/>
      <c r="C1525" s="65"/>
      <c r="D1525" s="65"/>
      <c r="E1525" s="65"/>
      <c r="F1525" s="65"/>
      <c r="G1525" s="65"/>
      <c r="I1525" s="5"/>
      <c r="J1525" s="5"/>
    </row>
    <row r="1526" spans="1:10" x14ac:dyDescent="0.2">
      <c r="A1526" s="55"/>
      <c r="B1526" s="55"/>
      <c r="C1526" s="65"/>
      <c r="D1526" s="65"/>
      <c r="E1526" s="65"/>
      <c r="F1526" s="65"/>
      <c r="G1526" s="65"/>
      <c r="I1526" s="5"/>
      <c r="J1526" s="5"/>
    </row>
    <row r="1527" spans="1:10" x14ac:dyDescent="0.2">
      <c r="A1527" s="55"/>
      <c r="B1527" s="55"/>
      <c r="C1527" s="65"/>
      <c r="D1527" s="65"/>
      <c r="E1527" s="65"/>
      <c r="F1527" s="65"/>
      <c r="G1527" s="65"/>
      <c r="I1527" s="5"/>
      <c r="J1527" s="5"/>
    </row>
    <row r="1528" spans="1:10" x14ac:dyDescent="0.2">
      <c r="A1528" s="55"/>
      <c r="B1528" s="55"/>
      <c r="C1528" s="65"/>
      <c r="D1528" s="65"/>
      <c r="E1528" s="65"/>
      <c r="F1528" s="65"/>
      <c r="G1528" s="65"/>
      <c r="I1528" s="5"/>
      <c r="J1528" s="5"/>
    </row>
    <row r="1529" spans="1:10" x14ac:dyDescent="0.2">
      <c r="A1529" s="55"/>
      <c r="B1529" s="55"/>
      <c r="C1529" s="65"/>
      <c r="D1529" s="65"/>
      <c r="E1529" s="65"/>
      <c r="F1529" s="65"/>
      <c r="G1529" s="65"/>
      <c r="I1529" s="5"/>
      <c r="J1529" s="5"/>
    </row>
    <row r="1530" spans="1:10" x14ac:dyDescent="0.2">
      <c r="A1530" s="55"/>
      <c r="B1530" s="55"/>
      <c r="C1530" s="65"/>
      <c r="D1530" s="65"/>
      <c r="E1530" s="65"/>
      <c r="F1530" s="65"/>
      <c r="G1530" s="65"/>
      <c r="I1530" s="5"/>
      <c r="J1530" s="5"/>
    </row>
    <row r="1531" spans="1:10" x14ac:dyDescent="0.2">
      <c r="A1531" s="55"/>
      <c r="B1531" s="55"/>
      <c r="C1531" s="65"/>
      <c r="D1531" s="65"/>
      <c r="E1531" s="65"/>
      <c r="F1531" s="65"/>
      <c r="G1531" s="65"/>
      <c r="I1531" s="5"/>
      <c r="J1531" s="5"/>
    </row>
    <row r="1532" spans="1:10" x14ac:dyDescent="0.2">
      <c r="A1532" s="55"/>
      <c r="B1532" s="55"/>
      <c r="C1532" s="65"/>
      <c r="D1532" s="65"/>
      <c r="E1532" s="65"/>
      <c r="F1532" s="65"/>
      <c r="G1532" s="65"/>
      <c r="I1532" s="5"/>
      <c r="J1532" s="5"/>
    </row>
    <row r="1533" spans="1:10" x14ac:dyDescent="0.2">
      <c r="A1533" s="55"/>
      <c r="B1533" s="55"/>
      <c r="C1533" s="65"/>
      <c r="D1533" s="65"/>
      <c r="E1533" s="65"/>
      <c r="F1533" s="65"/>
      <c r="G1533" s="65"/>
      <c r="I1533" s="5"/>
      <c r="J1533" s="5"/>
    </row>
    <row r="1534" spans="1:10" x14ac:dyDescent="0.2">
      <c r="A1534" s="55"/>
      <c r="B1534" s="55"/>
      <c r="C1534" s="65"/>
      <c r="D1534" s="65"/>
      <c r="E1534" s="65"/>
      <c r="F1534" s="65"/>
      <c r="G1534" s="65"/>
      <c r="I1534" s="5"/>
      <c r="J1534" s="5"/>
    </row>
    <row r="1535" spans="1:10" x14ac:dyDescent="0.2">
      <c r="A1535" s="55"/>
      <c r="B1535" s="55"/>
      <c r="C1535" s="65"/>
      <c r="D1535" s="65"/>
      <c r="E1535" s="65"/>
      <c r="F1535" s="65"/>
      <c r="G1535" s="65"/>
      <c r="I1535" s="5"/>
      <c r="J1535" s="5"/>
    </row>
    <row r="1536" spans="1:10" x14ac:dyDescent="0.2">
      <c r="A1536" s="55"/>
      <c r="B1536" s="55"/>
      <c r="C1536" s="65"/>
      <c r="D1536" s="65"/>
      <c r="E1536" s="65"/>
      <c r="F1536" s="65"/>
      <c r="G1536" s="65"/>
      <c r="I1536" s="5"/>
      <c r="J1536" s="5"/>
    </row>
    <row r="1537" spans="1:10" x14ac:dyDescent="0.2">
      <c r="A1537" s="55"/>
      <c r="B1537" s="55"/>
      <c r="C1537" s="65"/>
      <c r="D1537" s="65"/>
      <c r="E1537" s="65"/>
      <c r="F1537" s="65"/>
      <c r="G1537" s="65"/>
      <c r="I1537" s="5"/>
      <c r="J1537" s="5"/>
    </row>
    <row r="1538" spans="1:10" x14ac:dyDescent="0.2">
      <c r="A1538" s="55"/>
      <c r="B1538" s="55"/>
      <c r="C1538" s="65"/>
      <c r="D1538" s="65"/>
      <c r="E1538" s="65"/>
      <c r="F1538" s="65"/>
      <c r="G1538" s="65"/>
      <c r="I1538" s="5"/>
      <c r="J1538" s="5"/>
    </row>
    <row r="1539" spans="1:10" x14ac:dyDescent="0.2">
      <c r="A1539" s="55"/>
      <c r="B1539" s="55"/>
      <c r="C1539" s="65"/>
      <c r="D1539" s="65"/>
      <c r="E1539" s="65"/>
      <c r="F1539" s="65"/>
      <c r="G1539" s="65"/>
      <c r="I1539" s="5"/>
      <c r="J1539" s="5"/>
    </row>
    <row r="1540" spans="1:10" x14ac:dyDescent="0.2">
      <c r="A1540" s="55"/>
      <c r="B1540" s="55"/>
      <c r="C1540" s="65"/>
      <c r="D1540" s="65"/>
      <c r="E1540" s="65"/>
      <c r="F1540" s="65"/>
      <c r="G1540" s="65"/>
      <c r="I1540" s="5"/>
      <c r="J1540" s="5"/>
    </row>
    <row r="1541" spans="1:10" x14ac:dyDescent="0.2">
      <c r="A1541" s="55"/>
      <c r="B1541" s="55"/>
      <c r="C1541" s="65"/>
      <c r="D1541" s="65"/>
      <c r="E1541" s="65"/>
      <c r="F1541" s="65"/>
      <c r="G1541" s="65"/>
      <c r="I1541" s="5"/>
      <c r="J1541" s="5"/>
    </row>
    <row r="1542" spans="1:10" x14ac:dyDescent="0.2">
      <c r="A1542" s="55"/>
      <c r="B1542" s="55"/>
      <c r="C1542" s="65"/>
      <c r="D1542" s="65"/>
      <c r="E1542" s="65"/>
      <c r="F1542" s="65"/>
      <c r="G1542" s="65"/>
      <c r="I1542" s="5"/>
      <c r="J1542" s="5"/>
    </row>
    <row r="1543" spans="1:10" x14ac:dyDescent="0.2">
      <c r="A1543" s="55"/>
      <c r="B1543" s="55"/>
      <c r="C1543" s="65"/>
      <c r="D1543" s="65"/>
      <c r="E1543" s="65"/>
      <c r="F1543" s="65"/>
      <c r="G1543" s="65"/>
      <c r="I1543" s="5"/>
      <c r="J1543" s="5"/>
    </row>
    <row r="1544" spans="1:10" x14ac:dyDescent="0.2">
      <c r="A1544" s="55"/>
      <c r="B1544" s="55"/>
      <c r="C1544" s="65"/>
      <c r="D1544" s="65"/>
      <c r="E1544" s="65"/>
      <c r="F1544" s="65"/>
      <c r="G1544" s="65"/>
      <c r="I1544" s="5"/>
      <c r="J1544" s="5"/>
    </row>
    <row r="1545" spans="1:10" x14ac:dyDescent="0.2">
      <c r="A1545" s="55"/>
      <c r="B1545" s="55"/>
      <c r="C1545" s="65"/>
      <c r="D1545" s="65"/>
      <c r="E1545" s="65"/>
      <c r="F1545" s="65"/>
      <c r="G1545" s="65"/>
      <c r="I1545" s="5"/>
      <c r="J1545" s="5"/>
    </row>
    <row r="1546" spans="1:10" x14ac:dyDescent="0.2">
      <c r="A1546" s="55"/>
      <c r="B1546" s="55"/>
      <c r="C1546" s="65"/>
      <c r="D1546" s="65"/>
      <c r="E1546" s="65"/>
      <c r="F1546" s="65"/>
      <c r="G1546" s="65"/>
      <c r="I1546" s="5"/>
      <c r="J1546" s="5"/>
    </row>
    <row r="1547" spans="1:10" x14ac:dyDescent="0.2">
      <c r="A1547" s="55"/>
      <c r="B1547" s="55"/>
      <c r="C1547" s="65"/>
      <c r="D1547" s="65"/>
      <c r="E1547" s="65"/>
      <c r="F1547" s="65"/>
      <c r="G1547" s="65"/>
      <c r="I1547" s="5"/>
      <c r="J1547" s="5"/>
    </row>
    <row r="1548" spans="1:10" x14ac:dyDescent="0.2">
      <c r="A1548" s="55"/>
      <c r="B1548" s="55"/>
      <c r="C1548" s="65"/>
      <c r="D1548" s="65"/>
      <c r="E1548" s="65"/>
      <c r="F1548" s="65"/>
      <c r="G1548" s="65"/>
      <c r="I1548" s="5"/>
      <c r="J1548" s="5"/>
    </row>
    <row r="1549" spans="1:10" x14ac:dyDescent="0.2">
      <c r="A1549" s="55"/>
      <c r="B1549" s="55"/>
      <c r="C1549" s="65"/>
      <c r="D1549" s="65"/>
      <c r="E1549" s="65"/>
      <c r="F1549" s="65"/>
      <c r="G1549" s="65"/>
      <c r="I1549" s="5"/>
      <c r="J1549" s="5"/>
    </row>
    <row r="1550" spans="1:10" x14ac:dyDescent="0.2">
      <c r="A1550" s="55"/>
      <c r="B1550" s="55"/>
      <c r="C1550" s="65"/>
      <c r="D1550" s="65"/>
      <c r="E1550" s="65"/>
      <c r="F1550" s="65"/>
      <c r="G1550" s="65"/>
      <c r="I1550" s="5"/>
      <c r="J1550" s="5"/>
    </row>
    <row r="1551" spans="1:10" x14ac:dyDescent="0.2">
      <c r="A1551" s="55"/>
      <c r="B1551" s="55"/>
      <c r="C1551" s="65"/>
      <c r="D1551" s="65"/>
      <c r="E1551" s="65"/>
      <c r="F1551" s="65"/>
      <c r="G1551" s="65"/>
      <c r="I1551" s="5"/>
      <c r="J1551" s="5"/>
    </row>
    <row r="1552" spans="1:10" x14ac:dyDescent="0.2">
      <c r="A1552" s="55"/>
      <c r="B1552" s="55"/>
      <c r="C1552" s="65"/>
      <c r="D1552" s="65"/>
      <c r="E1552" s="65"/>
      <c r="F1552" s="65"/>
      <c r="G1552" s="65"/>
      <c r="I1552" s="5"/>
      <c r="J1552" s="5"/>
    </row>
    <row r="1553" spans="1:10" x14ac:dyDescent="0.2">
      <c r="A1553" s="55"/>
      <c r="B1553" s="55"/>
      <c r="C1553" s="65"/>
      <c r="D1553" s="65"/>
      <c r="E1553" s="65"/>
      <c r="F1553" s="65"/>
      <c r="G1553" s="65"/>
      <c r="I1553" s="5"/>
      <c r="J1553" s="5"/>
    </row>
    <row r="1554" spans="1:10" x14ac:dyDescent="0.2">
      <c r="A1554" s="55"/>
      <c r="B1554" s="55"/>
      <c r="C1554" s="65"/>
      <c r="D1554" s="65"/>
      <c r="E1554" s="65"/>
      <c r="F1554" s="65"/>
      <c r="G1554" s="65"/>
      <c r="I1554" s="5"/>
      <c r="J1554" s="5"/>
    </row>
    <row r="1555" spans="1:10" x14ac:dyDescent="0.2">
      <c r="A1555" s="55"/>
      <c r="B1555" s="55"/>
      <c r="C1555" s="65"/>
      <c r="D1555" s="65"/>
      <c r="E1555" s="65"/>
      <c r="F1555" s="65"/>
      <c r="G1555" s="65"/>
      <c r="I1555" s="5"/>
      <c r="J1555" s="5"/>
    </row>
    <row r="1556" spans="1:10" x14ac:dyDescent="0.2">
      <c r="A1556" s="55"/>
      <c r="B1556" s="55"/>
      <c r="C1556" s="65"/>
      <c r="D1556" s="65"/>
      <c r="E1556" s="65"/>
      <c r="F1556" s="65"/>
      <c r="G1556" s="65"/>
      <c r="I1556" s="5"/>
      <c r="J1556" s="5"/>
    </row>
    <row r="1557" spans="1:10" x14ac:dyDescent="0.2">
      <c r="A1557" s="55"/>
      <c r="B1557" s="55"/>
      <c r="C1557" s="65"/>
      <c r="D1557" s="65"/>
      <c r="E1557" s="65"/>
      <c r="F1557" s="65"/>
      <c r="G1557" s="65"/>
      <c r="I1557" s="5"/>
      <c r="J1557" s="5"/>
    </row>
    <row r="1558" spans="1:10" x14ac:dyDescent="0.2">
      <c r="A1558" s="55"/>
      <c r="B1558" s="55"/>
      <c r="C1558" s="65"/>
      <c r="D1558" s="65"/>
      <c r="E1558" s="65"/>
      <c r="F1558" s="65"/>
      <c r="G1558" s="65"/>
      <c r="I1558" s="5"/>
      <c r="J1558" s="5"/>
    </row>
    <row r="1559" spans="1:10" x14ac:dyDescent="0.2">
      <c r="A1559" s="55"/>
      <c r="B1559" s="55"/>
      <c r="C1559" s="65"/>
      <c r="D1559" s="65"/>
      <c r="E1559" s="65"/>
      <c r="F1559" s="65"/>
      <c r="G1559" s="65"/>
      <c r="I1559" s="5"/>
      <c r="J1559" s="5"/>
    </row>
    <row r="1560" spans="1:10" x14ac:dyDescent="0.2">
      <c r="A1560" s="55"/>
      <c r="B1560" s="55"/>
      <c r="C1560" s="65"/>
      <c r="D1560" s="65"/>
      <c r="E1560" s="65"/>
      <c r="F1560" s="65"/>
      <c r="G1560" s="65"/>
      <c r="I1560" s="5"/>
      <c r="J1560" s="5"/>
    </row>
    <row r="1561" spans="1:10" x14ac:dyDescent="0.2">
      <c r="A1561" s="55"/>
      <c r="B1561" s="55"/>
      <c r="C1561" s="65"/>
      <c r="D1561" s="65"/>
      <c r="E1561" s="65"/>
      <c r="F1561" s="65"/>
      <c r="G1561" s="65"/>
      <c r="I1561" s="5"/>
      <c r="J1561" s="5"/>
    </row>
    <row r="1562" spans="1:10" x14ac:dyDescent="0.2">
      <c r="A1562" s="55"/>
      <c r="B1562" s="55"/>
      <c r="C1562" s="65"/>
      <c r="D1562" s="65"/>
      <c r="E1562" s="65"/>
      <c r="F1562" s="65"/>
      <c r="G1562" s="65"/>
      <c r="I1562" s="5"/>
      <c r="J1562" s="5"/>
    </row>
    <row r="1563" spans="1:10" x14ac:dyDescent="0.2">
      <c r="A1563" s="55"/>
      <c r="B1563" s="55"/>
      <c r="C1563" s="65"/>
      <c r="D1563" s="65"/>
      <c r="E1563" s="65"/>
      <c r="F1563" s="65"/>
      <c r="G1563" s="65"/>
      <c r="I1563" s="5"/>
      <c r="J1563" s="5"/>
    </row>
    <row r="1564" spans="1:10" x14ac:dyDescent="0.2">
      <c r="A1564" s="55"/>
      <c r="B1564" s="55"/>
      <c r="C1564" s="65"/>
      <c r="D1564" s="65"/>
      <c r="E1564" s="65"/>
      <c r="F1564" s="65"/>
      <c r="G1564" s="65"/>
      <c r="I1564" s="5"/>
      <c r="J1564" s="5"/>
    </row>
    <row r="1565" spans="1:10" x14ac:dyDescent="0.2">
      <c r="A1565" s="55"/>
      <c r="B1565" s="55"/>
      <c r="C1565" s="65"/>
      <c r="D1565" s="65"/>
      <c r="E1565" s="65"/>
      <c r="F1565" s="65"/>
      <c r="G1565" s="65"/>
      <c r="I1565" s="5"/>
      <c r="J1565" s="5"/>
    </row>
    <row r="1566" spans="1:10" x14ac:dyDescent="0.2">
      <c r="A1566" s="55"/>
      <c r="B1566" s="55"/>
      <c r="C1566" s="65"/>
      <c r="D1566" s="65"/>
      <c r="E1566" s="65"/>
      <c r="F1566" s="65"/>
      <c r="G1566" s="65"/>
      <c r="I1566" s="5"/>
      <c r="J1566" s="5"/>
    </row>
    <row r="1567" spans="1:10" x14ac:dyDescent="0.2">
      <c r="A1567" s="55"/>
      <c r="B1567" s="55"/>
      <c r="C1567" s="65"/>
      <c r="D1567" s="65"/>
      <c r="E1567" s="65"/>
      <c r="F1567" s="65"/>
      <c r="G1567" s="65"/>
      <c r="I1567" s="5"/>
      <c r="J1567" s="5"/>
    </row>
    <row r="1568" spans="1:10" x14ac:dyDescent="0.2">
      <c r="A1568" s="55"/>
      <c r="B1568" s="55"/>
      <c r="C1568" s="65"/>
      <c r="D1568" s="65"/>
      <c r="E1568" s="65"/>
      <c r="F1568" s="65"/>
      <c r="G1568" s="65"/>
      <c r="I1568" s="5"/>
      <c r="J1568" s="5"/>
    </row>
    <row r="1569" spans="1:10" x14ac:dyDescent="0.2">
      <c r="A1569" s="55"/>
      <c r="B1569" s="55"/>
      <c r="C1569" s="65"/>
      <c r="D1569" s="65"/>
      <c r="E1569" s="65"/>
      <c r="F1569" s="65"/>
      <c r="G1569" s="65"/>
      <c r="I1569" s="5"/>
      <c r="J1569" s="5"/>
    </row>
    <row r="1570" spans="1:10" x14ac:dyDescent="0.2">
      <c r="A1570" s="55"/>
      <c r="B1570" s="55"/>
      <c r="C1570" s="65"/>
      <c r="D1570" s="65"/>
      <c r="E1570" s="65"/>
      <c r="F1570" s="65"/>
      <c r="G1570" s="65"/>
      <c r="I1570" s="5"/>
      <c r="J1570" s="5"/>
    </row>
    <row r="1571" spans="1:10" x14ac:dyDescent="0.2">
      <c r="A1571" s="55"/>
      <c r="B1571" s="55"/>
      <c r="C1571" s="65"/>
      <c r="D1571" s="65"/>
      <c r="E1571" s="65"/>
      <c r="F1571" s="65"/>
      <c r="G1571" s="65"/>
      <c r="I1571" s="5"/>
      <c r="J1571" s="5"/>
    </row>
    <row r="1572" spans="1:10" x14ac:dyDescent="0.2">
      <c r="A1572" s="55"/>
      <c r="B1572" s="55"/>
      <c r="C1572" s="65"/>
      <c r="D1572" s="65"/>
      <c r="E1572" s="65"/>
      <c r="F1572" s="65"/>
      <c r="G1572" s="65"/>
      <c r="I1572" s="5"/>
      <c r="J1572" s="5"/>
    </row>
    <row r="1573" spans="1:10" x14ac:dyDescent="0.2">
      <c r="A1573" s="55"/>
      <c r="B1573" s="55"/>
      <c r="C1573" s="65"/>
      <c r="D1573" s="65"/>
      <c r="E1573" s="65"/>
      <c r="F1573" s="65"/>
      <c r="G1573" s="65"/>
      <c r="I1573" s="5"/>
      <c r="J1573" s="5"/>
    </row>
    <row r="1574" spans="1:10" x14ac:dyDescent="0.2">
      <c r="A1574" s="55"/>
      <c r="B1574" s="55"/>
      <c r="C1574" s="65"/>
      <c r="D1574" s="65"/>
      <c r="E1574" s="65"/>
      <c r="F1574" s="65"/>
      <c r="G1574" s="65"/>
      <c r="I1574" s="5"/>
      <c r="J1574" s="5"/>
    </row>
    <row r="1575" spans="1:10" x14ac:dyDescent="0.2">
      <c r="A1575" s="55"/>
      <c r="B1575" s="55"/>
      <c r="C1575" s="65"/>
      <c r="D1575" s="65"/>
      <c r="E1575" s="65"/>
      <c r="F1575" s="65"/>
      <c r="G1575" s="65"/>
      <c r="I1575" s="5"/>
      <c r="J1575" s="5"/>
    </row>
    <row r="1576" spans="1:10" x14ac:dyDescent="0.2">
      <c r="A1576" s="55"/>
      <c r="B1576" s="55"/>
      <c r="C1576" s="65"/>
      <c r="D1576" s="65"/>
      <c r="E1576" s="65"/>
      <c r="F1576" s="65"/>
      <c r="G1576" s="65"/>
      <c r="I1576" s="5"/>
      <c r="J1576" s="5"/>
    </row>
    <row r="1577" spans="1:10" x14ac:dyDescent="0.2">
      <c r="A1577" s="55"/>
      <c r="B1577" s="55"/>
      <c r="C1577" s="65"/>
      <c r="D1577" s="65"/>
      <c r="E1577" s="65"/>
      <c r="F1577" s="65"/>
      <c r="G1577" s="65"/>
      <c r="I1577" s="5"/>
      <c r="J1577" s="5"/>
    </row>
    <row r="1578" spans="1:10" x14ac:dyDescent="0.2">
      <c r="A1578" s="55"/>
      <c r="B1578" s="55"/>
      <c r="C1578" s="65"/>
      <c r="D1578" s="65"/>
      <c r="E1578" s="65"/>
      <c r="F1578" s="65"/>
      <c r="G1578" s="65"/>
      <c r="I1578" s="5"/>
      <c r="J1578" s="5"/>
    </row>
    <row r="1579" spans="1:10" x14ac:dyDescent="0.2">
      <c r="A1579" s="55"/>
      <c r="B1579" s="55"/>
      <c r="C1579" s="65"/>
      <c r="D1579" s="65"/>
      <c r="E1579" s="65"/>
      <c r="F1579" s="65"/>
      <c r="G1579" s="65"/>
      <c r="I1579" s="5"/>
      <c r="J1579" s="5"/>
    </row>
    <row r="1580" spans="1:10" x14ac:dyDescent="0.2">
      <c r="A1580" s="55"/>
      <c r="B1580" s="55"/>
      <c r="C1580" s="65"/>
      <c r="D1580" s="65"/>
      <c r="E1580" s="65"/>
      <c r="F1580" s="65"/>
      <c r="G1580" s="65"/>
      <c r="I1580" s="5"/>
      <c r="J1580" s="5"/>
    </row>
    <row r="1581" spans="1:10" x14ac:dyDescent="0.2">
      <c r="A1581" s="55"/>
      <c r="B1581" s="55"/>
      <c r="C1581" s="65"/>
      <c r="D1581" s="65"/>
      <c r="E1581" s="65"/>
      <c r="F1581" s="65"/>
      <c r="G1581" s="65"/>
      <c r="I1581" s="5"/>
      <c r="J1581" s="5"/>
    </row>
    <row r="1582" spans="1:10" x14ac:dyDescent="0.2">
      <c r="A1582" s="55"/>
      <c r="B1582" s="55"/>
      <c r="C1582" s="65"/>
      <c r="D1582" s="65"/>
      <c r="E1582" s="65"/>
      <c r="F1582" s="65"/>
      <c r="G1582" s="65"/>
      <c r="I1582" s="5"/>
      <c r="J1582" s="5"/>
    </row>
    <row r="1583" spans="1:10" x14ac:dyDescent="0.2">
      <c r="A1583" s="55"/>
      <c r="B1583" s="55"/>
      <c r="C1583" s="65"/>
      <c r="D1583" s="65"/>
      <c r="E1583" s="65"/>
      <c r="F1583" s="65"/>
      <c r="G1583" s="65"/>
      <c r="I1583" s="5"/>
      <c r="J1583" s="5"/>
    </row>
    <row r="1584" spans="1:10" x14ac:dyDescent="0.2">
      <c r="A1584" s="55"/>
      <c r="B1584" s="55"/>
      <c r="C1584" s="65"/>
      <c r="D1584" s="65"/>
      <c r="E1584" s="65"/>
      <c r="F1584" s="65"/>
      <c r="G1584" s="65"/>
      <c r="I1584" s="5"/>
      <c r="J1584" s="5"/>
    </row>
    <row r="1585" spans="1:10" x14ac:dyDescent="0.2">
      <c r="A1585" s="55"/>
      <c r="B1585" s="55"/>
      <c r="C1585" s="65"/>
      <c r="D1585" s="65"/>
      <c r="E1585" s="65"/>
      <c r="F1585" s="65"/>
      <c r="G1585" s="65"/>
      <c r="I1585" s="5"/>
      <c r="J1585" s="5"/>
    </row>
    <row r="1586" spans="1:10" x14ac:dyDescent="0.2">
      <c r="A1586" s="55"/>
      <c r="B1586" s="55"/>
      <c r="C1586" s="65"/>
      <c r="D1586" s="65"/>
      <c r="E1586" s="65"/>
      <c r="F1586" s="65"/>
      <c r="G1586" s="65"/>
      <c r="I1586" s="5"/>
      <c r="J1586" s="5"/>
    </row>
    <row r="1587" spans="1:10" x14ac:dyDescent="0.2">
      <c r="A1587" s="55"/>
      <c r="B1587" s="55"/>
      <c r="C1587" s="65"/>
      <c r="D1587" s="65"/>
      <c r="E1587" s="65"/>
      <c r="F1587" s="65"/>
      <c r="G1587" s="65"/>
      <c r="I1587" s="5"/>
      <c r="J1587" s="5"/>
    </row>
    <row r="1588" spans="1:10" x14ac:dyDescent="0.2">
      <c r="A1588" s="55"/>
      <c r="B1588" s="55"/>
      <c r="C1588" s="65"/>
      <c r="D1588" s="65"/>
      <c r="E1588" s="65"/>
      <c r="F1588" s="65"/>
      <c r="G1588" s="65"/>
      <c r="I1588" s="5"/>
      <c r="J1588" s="5"/>
    </row>
    <row r="1589" spans="1:10" x14ac:dyDescent="0.2">
      <c r="A1589" s="55"/>
      <c r="B1589" s="55"/>
      <c r="C1589" s="65"/>
      <c r="D1589" s="65"/>
      <c r="E1589" s="65"/>
      <c r="F1589" s="65"/>
      <c r="G1589" s="65"/>
      <c r="I1589" s="5"/>
      <c r="J1589" s="5"/>
    </row>
    <row r="1590" spans="1:10" x14ac:dyDescent="0.2">
      <c r="A1590" s="55"/>
      <c r="B1590" s="55"/>
      <c r="C1590" s="65"/>
      <c r="D1590" s="65"/>
      <c r="E1590" s="65"/>
      <c r="F1590" s="65"/>
      <c r="G1590" s="65"/>
      <c r="I1590" s="5"/>
      <c r="J1590" s="5"/>
    </row>
    <row r="1591" spans="1:10" x14ac:dyDescent="0.2">
      <c r="A1591" s="55"/>
      <c r="B1591" s="55"/>
      <c r="C1591" s="65"/>
      <c r="D1591" s="65"/>
      <c r="E1591" s="65"/>
      <c r="F1591" s="65"/>
      <c r="G1591" s="65"/>
      <c r="I1591" s="5"/>
      <c r="J1591" s="5"/>
    </row>
    <row r="1592" spans="1:10" x14ac:dyDescent="0.2">
      <c r="A1592" s="55"/>
      <c r="B1592" s="55"/>
      <c r="C1592" s="65"/>
      <c r="D1592" s="65"/>
      <c r="E1592" s="65"/>
      <c r="F1592" s="65"/>
      <c r="G1592" s="65"/>
      <c r="I1592" s="5"/>
      <c r="J1592" s="5"/>
    </row>
    <row r="1593" spans="1:10" x14ac:dyDescent="0.2">
      <c r="A1593" s="55"/>
      <c r="B1593" s="55"/>
      <c r="C1593" s="65"/>
      <c r="D1593" s="65"/>
      <c r="E1593" s="65"/>
      <c r="F1593" s="65"/>
      <c r="G1593" s="65"/>
      <c r="I1593" s="5"/>
      <c r="J1593" s="5"/>
    </row>
    <row r="1594" spans="1:10" x14ac:dyDescent="0.2">
      <c r="A1594" s="55"/>
      <c r="B1594" s="55"/>
      <c r="C1594" s="65"/>
      <c r="D1594" s="65"/>
      <c r="E1594" s="65"/>
      <c r="F1594" s="65"/>
      <c r="G1594" s="65"/>
      <c r="I1594" s="5"/>
      <c r="J1594" s="5"/>
    </row>
    <row r="1595" spans="1:10" x14ac:dyDescent="0.2">
      <c r="A1595" s="55"/>
      <c r="B1595" s="55"/>
      <c r="C1595" s="65"/>
      <c r="D1595" s="65"/>
      <c r="E1595" s="65"/>
      <c r="F1595" s="65"/>
      <c r="G1595" s="65"/>
      <c r="I1595" s="5"/>
      <c r="J1595" s="5"/>
    </row>
    <row r="1596" spans="1:10" x14ac:dyDescent="0.2">
      <c r="A1596" s="55"/>
      <c r="B1596" s="55"/>
      <c r="C1596" s="65"/>
      <c r="D1596" s="65"/>
      <c r="E1596" s="65"/>
      <c r="F1596" s="65"/>
      <c r="G1596" s="65"/>
      <c r="I1596" s="5"/>
      <c r="J1596" s="5"/>
    </row>
    <row r="1597" spans="1:10" x14ac:dyDescent="0.2">
      <c r="A1597" s="55"/>
      <c r="B1597" s="55"/>
      <c r="C1597" s="65"/>
      <c r="D1597" s="65"/>
      <c r="E1597" s="65"/>
      <c r="F1597" s="65"/>
      <c r="G1597" s="65"/>
      <c r="I1597" s="5"/>
      <c r="J1597" s="5"/>
    </row>
    <row r="1598" spans="1:10" x14ac:dyDescent="0.2">
      <c r="A1598" s="55"/>
      <c r="B1598" s="55"/>
      <c r="C1598" s="65"/>
      <c r="D1598" s="65"/>
      <c r="E1598" s="65"/>
      <c r="F1598" s="65"/>
      <c r="G1598" s="65"/>
      <c r="I1598" s="5"/>
      <c r="J1598" s="5"/>
    </row>
    <row r="1599" spans="1:10" x14ac:dyDescent="0.2">
      <c r="A1599" s="55"/>
      <c r="B1599" s="55"/>
      <c r="C1599" s="65"/>
      <c r="D1599" s="65"/>
      <c r="E1599" s="65"/>
      <c r="F1599" s="65"/>
      <c r="G1599" s="65"/>
      <c r="I1599" s="5"/>
      <c r="J1599" s="5"/>
    </row>
    <row r="1600" spans="1:10" x14ac:dyDescent="0.2">
      <c r="A1600" s="55"/>
      <c r="B1600" s="55"/>
      <c r="C1600" s="65"/>
      <c r="D1600" s="65"/>
      <c r="E1600" s="65"/>
      <c r="F1600" s="65"/>
      <c r="G1600" s="65"/>
      <c r="I1600" s="5"/>
      <c r="J1600" s="5"/>
    </row>
    <row r="1601" spans="1:10" x14ac:dyDescent="0.2">
      <c r="A1601" s="55"/>
      <c r="B1601" s="55"/>
      <c r="C1601" s="65"/>
      <c r="D1601" s="65"/>
      <c r="E1601" s="65"/>
      <c r="F1601" s="65"/>
      <c r="G1601" s="65"/>
      <c r="I1601" s="5"/>
      <c r="J1601" s="5"/>
    </row>
    <row r="1602" spans="1:10" x14ac:dyDescent="0.2">
      <c r="A1602" s="55"/>
      <c r="B1602" s="55"/>
      <c r="C1602" s="65"/>
      <c r="D1602" s="65"/>
      <c r="E1602" s="65"/>
      <c r="F1602" s="65"/>
      <c r="G1602" s="65"/>
      <c r="I1602" s="5"/>
      <c r="J1602" s="5"/>
    </row>
    <row r="1603" spans="1:10" x14ac:dyDescent="0.2">
      <c r="A1603" s="55"/>
      <c r="B1603" s="55"/>
      <c r="C1603" s="65"/>
      <c r="D1603" s="65"/>
      <c r="E1603" s="65"/>
      <c r="F1603" s="65"/>
      <c r="G1603" s="65"/>
      <c r="I1603" s="5"/>
      <c r="J1603" s="5"/>
    </row>
    <row r="1604" spans="1:10" x14ac:dyDescent="0.2">
      <c r="A1604" s="55"/>
      <c r="B1604" s="55"/>
      <c r="C1604" s="65"/>
      <c r="D1604" s="65"/>
      <c r="E1604" s="65"/>
      <c r="F1604" s="65"/>
      <c r="G1604" s="65"/>
      <c r="I1604" s="5"/>
      <c r="J1604" s="5"/>
    </row>
    <row r="1605" spans="1:10" x14ac:dyDescent="0.2">
      <c r="A1605" s="55"/>
      <c r="B1605" s="55"/>
      <c r="C1605" s="65"/>
      <c r="D1605" s="65"/>
      <c r="E1605" s="65"/>
      <c r="F1605" s="65"/>
      <c r="G1605" s="65"/>
      <c r="I1605" s="5"/>
      <c r="J1605" s="5"/>
    </row>
    <row r="1606" spans="1:10" x14ac:dyDescent="0.2">
      <c r="A1606" s="55"/>
      <c r="B1606" s="55"/>
      <c r="C1606" s="65"/>
      <c r="D1606" s="65"/>
      <c r="E1606" s="65"/>
      <c r="F1606" s="65"/>
      <c r="G1606" s="65"/>
      <c r="I1606" s="5"/>
      <c r="J1606" s="5"/>
    </row>
    <row r="1607" spans="1:10" x14ac:dyDescent="0.2">
      <c r="A1607" s="55"/>
      <c r="B1607" s="55"/>
      <c r="C1607" s="65"/>
      <c r="D1607" s="65"/>
      <c r="E1607" s="65"/>
      <c r="F1607" s="65"/>
      <c r="G1607" s="65"/>
      <c r="I1607" s="5"/>
      <c r="J1607" s="5"/>
    </row>
    <row r="1608" spans="1:10" x14ac:dyDescent="0.2">
      <c r="A1608" s="55"/>
      <c r="B1608" s="55"/>
      <c r="C1608" s="65"/>
      <c r="D1608" s="65"/>
      <c r="E1608" s="65"/>
      <c r="F1608" s="65"/>
      <c r="G1608" s="65"/>
      <c r="I1608" s="5"/>
      <c r="J1608" s="5"/>
    </row>
    <row r="1609" spans="1:10" x14ac:dyDescent="0.2">
      <c r="A1609" s="55"/>
      <c r="B1609" s="55"/>
      <c r="C1609" s="65"/>
      <c r="D1609" s="65"/>
      <c r="E1609" s="65"/>
      <c r="F1609" s="65"/>
      <c r="G1609" s="65"/>
      <c r="I1609" s="5"/>
      <c r="J1609" s="5"/>
    </row>
    <row r="1610" spans="1:10" x14ac:dyDescent="0.2">
      <c r="A1610" s="55"/>
      <c r="B1610" s="55"/>
      <c r="C1610" s="65"/>
      <c r="D1610" s="65"/>
      <c r="E1610" s="65"/>
      <c r="F1610" s="65"/>
      <c r="G1610" s="65"/>
      <c r="I1610" s="5"/>
      <c r="J1610" s="5"/>
    </row>
    <row r="1611" spans="1:10" x14ac:dyDescent="0.2">
      <c r="A1611" s="55"/>
      <c r="B1611" s="55"/>
      <c r="C1611" s="65"/>
      <c r="D1611" s="65"/>
      <c r="E1611" s="65"/>
      <c r="F1611" s="65"/>
      <c r="G1611" s="65"/>
      <c r="I1611" s="5"/>
      <c r="J1611" s="5"/>
    </row>
    <row r="1612" spans="1:10" x14ac:dyDescent="0.2">
      <c r="A1612" s="55"/>
      <c r="B1612" s="55"/>
      <c r="C1612" s="65"/>
      <c r="D1612" s="65"/>
      <c r="E1612" s="65"/>
      <c r="F1612" s="65"/>
      <c r="G1612" s="65"/>
      <c r="I1612" s="5"/>
      <c r="J1612" s="5"/>
    </row>
    <row r="1613" spans="1:10" x14ac:dyDescent="0.2">
      <c r="A1613" s="55"/>
      <c r="B1613" s="55"/>
      <c r="C1613" s="65"/>
      <c r="D1613" s="65"/>
      <c r="E1613" s="65"/>
      <c r="F1613" s="65"/>
      <c r="G1613" s="65"/>
      <c r="I1613" s="5"/>
      <c r="J1613" s="5"/>
    </row>
    <row r="1614" spans="1:10" x14ac:dyDescent="0.2">
      <c r="A1614" s="55"/>
      <c r="B1614" s="55"/>
      <c r="C1614" s="65"/>
      <c r="D1614" s="65"/>
      <c r="E1614" s="65"/>
      <c r="F1614" s="65"/>
      <c r="G1614" s="65"/>
      <c r="I1614" s="5"/>
      <c r="J1614" s="5"/>
    </row>
    <row r="1615" spans="1:10" x14ac:dyDescent="0.2">
      <c r="A1615" s="55"/>
      <c r="B1615" s="55"/>
      <c r="C1615" s="65"/>
      <c r="D1615" s="65"/>
      <c r="E1615" s="65"/>
      <c r="F1615" s="65"/>
      <c r="G1615" s="65"/>
      <c r="I1615" s="5"/>
      <c r="J1615" s="5"/>
    </row>
    <row r="1616" spans="1:10" x14ac:dyDescent="0.2">
      <c r="A1616" s="55"/>
      <c r="B1616" s="55"/>
      <c r="C1616" s="65"/>
      <c r="D1616" s="65"/>
      <c r="E1616" s="65"/>
      <c r="F1616" s="65"/>
      <c r="G1616" s="65"/>
      <c r="I1616" s="5"/>
      <c r="J1616" s="5"/>
    </row>
    <row r="1617" spans="1:10" x14ac:dyDescent="0.2">
      <c r="A1617" s="55"/>
      <c r="B1617" s="55"/>
      <c r="C1617" s="65"/>
      <c r="D1617" s="65"/>
      <c r="E1617" s="65"/>
      <c r="F1617" s="65"/>
      <c r="G1617" s="65"/>
      <c r="I1617" s="5"/>
      <c r="J1617" s="5"/>
    </row>
    <row r="1618" spans="1:10" x14ac:dyDescent="0.2">
      <c r="A1618" s="55"/>
      <c r="B1618" s="55"/>
      <c r="C1618" s="65"/>
      <c r="D1618" s="65"/>
      <c r="E1618" s="65"/>
      <c r="F1618" s="65"/>
      <c r="G1618" s="65"/>
      <c r="I1618" s="5"/>
      <c r="J1618" s="5"/>
    </row>
    <row r="1619" spans="1:10" x14ac:dyDescent="0.2">
      <c r="A1619" s="55"/>
      <c r="B1619" s="55"/>
      <c r="C1619" s="65"/>
      <c r="D1619" s="65"/>
      <c r="E1619" s="65"/>
      <c r="F1619" s="65"/>
      <c r="G1619" s="65"/>
      <c r="I1619" s="5"/>
      <c r="J1619" s="5"/>
    </row>
    <row r="1620" spans="1:10" x14ac:dyDescent="0.2">
      <c r="A1620" s="55"/>
      <c r="B1620" s="55"/>
      <c r="C1620" s="65"/>
      <c r="D1620" s="65"/>
      <c r="E1620" s="65"/>
      <c r="F1620" s="65"/>
      <c r="G1620" s="65"/>
      <c r="I1620" s="5"/>
      <c r="J1620" s="5"/>
    </row>
    <row r="1621" spans="1:10" x14ac:dyDescent="0.2">
      <c r="A1621" s="55"/>
      <c r="B1621" s="55"/>
      <c r="C1621" s="65"/>
      <c r="D1621" s="65"/>
      <c r="E1621" s="65"/>
      <c r="F1621" s="65"/>
      <c r="G1621" s="65"/>
      <c r="I1621" s="5"/>
      <c r="J1621" s="5"/>
    </row>
    <row r="1622" spans="1:10" x14ac:dyDescent="0.2">
      <c r="A1622" s="55"/>
      <c r="B1622" s="55"/>
      <c r="C1622" s="65"/>
      <c r="D1622" s="65"/>
      <c r="E1622" s="65"/>
      <c r="F1622" s="65"/>
      <c r="G1622" s="65"/>
      <c r="I1622" s="5"/>
      <c r="J1622" s="5"/>
    </row>
    <row r="1623" spans="1:10" x14ac:dyDescent="0.2">
      <c r="A1623" s="55"/>
      <c r="B1623" s="55"/>
      <c r="C1623" s="65"/>
      <c r="D1623" s="65"/>
      <c r="E1623" s="65"/>
      <c r="F1623" s="65"/>
      <c r="G1623" s="65"/>
      <c r="I1623" s="5"/>
      <c r="J1623" s="5"/>
    </row>
    <row r="1624" spans="1:10" x14ac:dyDescent="0.2">
      <c r="A1624" s="55"/>
      <c r="B1624" s="55"/>
      <c r="C1624" s="65"/>
      <c r="D1624" s="65"/>
      <c r="E1624" s="65"/>
      <c r="F1624" s="65"/>
      <c r="G1624" s="65"/>
      <c r="I1624" s="5"/>
      <c r="J1624" s="5"/>
    </row>
    <row r="1625" spans="1:10" x14ac:dyDescent="0.2">
      <c r="A1625" s="55"/>
      <c r="B1625" s="55"/>
      <c r="C1625" s="65"/>
      <c r="D1625" s="65"/>
      <c r="E1625" s="65"/>
      <c r="F1625" s="65"/>
      <c r="G1625" s="65"/>
      <c r="I1625" s="5"/>
      <c r="J1625" s="5"/>
    </row>
    <row r="1626" spans="1:10" x14ac:dyDescent="0.2">
      <c r="A1626" s="55"/>
      <c r="B1626" s="55"/>
      <c r="C1626" s="65"/>
      <c r="D1626" s="65"/>
      <c r="E1626" s="65"/>
      <c r="F1626" s="65"/>
      <c r="G1626" s="65"/>
      <c r="I1626" s="5"/>
      <c r="J1626" s="5"/>
    </row>
    <row r="1627" spans="1:10" x14ac:dyDescent="0.2">
      <c r="A1627" s="55"/>
      <c r="B1627" s="55"/>
      <c r="C1627" s="65"/>
      <c r="D1627" s="65"/>
      <c r="E1627" s="65"/>
      <c r="F1627" s="65"/>
      <c r="G1627" s="65"/>
      <c r="I1627" s="5"/>
      <c r="J1627" s="5"/>
    </row>
    <row r="1628" spans="1:10" x14ac:dyDescent="0.2">
      <c r="A1628" s="55"/>
      <c r="B1628" s="55"/>
      <c r="C1628" s="65"/>
      <c r="D1628" s="65"/>
      <c r="E1628" s="65"/>
      <c r="F1628" s="65"/>
      <c r="G1628" s="65"/>
      <c r="I1628" s="5"/>
      <c r="J1628" s="5"/>
    </row>
    <row r="1629" spans="1:10" x14ac:dyDescent="0.2">
      <c r="A1629" s="55"/>
      <c r="B1629" s="55"/>
      <c r="C1629" s="65"/>
      <c r="D1629" s="65"/>
      <c r="E1629" s="65"/>
      <c r="F1629" s="65"/>
      <c r="G1629" s="65"/>
      <c r="I1629" s="5"/>
      <c r="J1629" s="5"/>
    </row>
    <row r="1630" spans="1:10" x14ac:dyDescent="0.2">
      <c r="A1630" s="55"/>
      <c r="B1630" s="55"/>
      <c r="C1630" s="65"/>
      <c r="D1630" s="65"/>
      <c r="E1630" s="65"/>
      <c r="F1630" s="65"/>
      <c r="G1630" s="65"/>
      <c r="I1630" s="5"/>
      <c r="J1630" s="5"/>
    </row>
    <row r="1631" spans="1:10" x14ac:dyDescent="0.2">
      <c r="A1631" s="55"/>
      <c r="B1631" s="55"/>
      <c r="C1631" s="65"/>
      <c r="D1631" s="65"/>
      <c r="E1631" s="65"/>
      <c r="F1631" s="65"/>
      <c r="G1631" s="65"/>
      <c r="I1631" s="5"/>
      <c r="J1631" s="5"/>
    </row>
    <row r="1632" spans="1:10" x14ac:dyDescent="0.2">
      <c r="A1632" s="55"/>
      <c r="B1632" s="55"/>
      <c r="C1632" s="65"/>
      <c r="D1632" s="65"/>
      <c r="E1632" s="65"/>
      <c r="F1632" s="65"/>
      <c r="G1632" s="65"/>
      <c r="I1632" s="5"/>
      <c r="J1632" s="5"/>
    </row>
    <row r="1633" spans="1:10" x14ac:dyDescent="0.2">
      <c r="A1633" s="55"/>
      <c r="B1633" s="55"/>
      <c r="C1633" s="65"/>
      <c r="D1633" s="65"/>
      <c r="E1633" s="65"/>
      <c r="F1633" s="65"/>
      <c r="G1633" s="65"/>
      <c r="I1633" s="5"/>
      <c r="J1633" s="5"/>
    </row>
    <row r="1634" spans="1:10" x14ac:dyDescent="0.2">
      <c r="A1634" s="55"/>
      <c r="B1634" s="55"/>
      <c r="C1634" s="65"/>
      <c r="D1634" s="65"/>
      <c r="E1634" s="65"/>
      <c r="F1634" s="65"/>
      <c r="G1634" s="65"/>
      <c r="I1634" s="5"/>
      <c r="J1634" s="5"/>
    </row>
    <row r="1635" spans="1:10" x14ac:dyDescent="0.2">
      <c r="A1635" s="55"/>
      <c r="B1635" s="55"/>
      <c r="C1635" s="65"/>
      <c r="D1635" s="65"/>
      <c r="E1635" s="65"/>
      <c r="F1635" s="65"/>
      <c r="G1635" s="65"/>
      <c r="I1635" s="5"/>
      <c r="J1635" s="5"/>
    </row>
    <row r="1636" spans="1:10" x14ac:dyDescent="0.2">
      <c r="A1636" s="55"/>
      <c r="B1636" s="55"/>
      <c r="C1636" s="65"/>
      <c r="D1636" s="65"/>
      <c r="E1636" s="65"/>
      <c r="F1636" s="65"/>
      <c r="G1636" s="65"/>
      <c r="I1636" s="5"/>
      <c r="J1636" s="5"/>
    </row>
    <row r="1637" spans="1:10" x14ac:dyDescent="0.2">
      <c r="A1637" s="55"/>
      <c r="B1637" s="55"/>
      <c r="C1637" s="65"/>
      <c r="D1637" s="65"/>
      <c r="E1637" s="65"/>
      <c r="F1637" s="65"/>
      <c r="G1637" s="65"/>
      <c r="I1637" s="5"/>
      <c r="J1637" s="5"/>
    </row>
    <row r="1638" spans="1:10" x14ac:dyDescent="0.2">
      <c r="A1638" s="55"/>
      <c r="B1638" s="55"/>
      <c r="C1638" s="65"/>
      <c r="D1638" s="65"/>
      <c r="E1638" s="65"/>
      <c r="F1638" s="65"/>
      <c r="G1638" s="65"/>
      <c r="I1638" s="5"/>
      <c r="J1638" s="5"/>
    </row>
    <row r="1639" spans="1:10" x14ac:dyDescent="0.2">
      <c r="A1639" s="55"/>
      <c r="B1639" s="55"/>
      <c r="C1639" s="65"/>
      <c r="D1639" s="65"/>
      <c r="E1639" s="65"/>
      <c r="F1639" s="65"/>
      <c r="G1639" s="65"/>
      <c r="I1639" s="5"/>
      <c r="J1639" s="5"/>
    </row>
    <row r="1640" spans="1:10" x14ac:dyDescent="0.2">
      <c r="A1640" s="55"/>
      <c r="B1640" s="55"/>
      <c r="C1640" s="65"/>
      <c r="D1640" s="65"/>
      <c r="E1640" s="65"/>
      <c r="F1640" s="65"/>
      <c r="G1640" s="65"/>
      <c r="I1640" s="5"/>
      <c r="J1640" s="5"/>
    </row>
    <row r="1641" spans="1:10" x14ac:dyDescent="0.2">
      <c r="A1641" s="55"/>
      <c r="B1641" s="55"/>
      <c r="C1641" s="65"/>
      <c r="D1641" s="65"/>
      <c r="E1641" s="65"/>
      <c r="F1641" s="65"/>
      <c r="G1641" s="65"/>
      <c r="I1641" s="5"/>
      <c r="J1641" s="5"/>
    </row>
    <row r="1642" spans="1:10" x14ac:dyDescent="0.2">
      <c r="A1642" s="55"/>
      <c r="B1642" s="55"/>
      <c r="C1642" s="65"/>
      <c r="D1642" s="65"/>
      <c r="E1642" s="65"/>
      <c r="F1642" s="65"/>
      <c r="G1642" s="65"/>
      <c r="I1642" s="5"/>
      <c r="J1642" s="5"/>
    </row>
    <row r="1643" spans="1:10" x14ac:dyDescent="0.2">
      <c r="A1643" s="55"/>
      <c r="B1643" s="55"/>
      <c r="C1643" s="65"/>
      <c r="D1643" s="65"/>
      <c r="E1643" s="65"/>
      <c r="F1643" s="65"/>
      <c r="G1643" s="65"/>
      <c r="I1643" s="5"/>
      <c r="J1643" s="5"/>
    </row>
    <row r="1644" spans="1:10" x14ac:dyDescent="0.2">
      <c r="A1644" s="55"/>
      <c r="B1644" s="55"/>
      <c r="C1644" s="65"/>
      <c r="D1644" s="65"/>
      <c r="E1644" s="65"/>
      <c r="F1644" s="65"/>
      <c r="G1644" s="65"/>
      <c r="I1644" s="5"/>
      <c r="J1644" s="5"/>
    </row>
    <row r="1645" spans="1:10" x14ac:dyDescent="0.2">
      <c r="A1645" s="55"/>
      <c r="B1645" s="55"/>
      <c r="C1645" s="65"/>
      <c r="D1645" s="65"/>
      <c r="E1645" s="65"/>
      <c r="F1645" s="65"/>
      <c r="G1645" s="65"/>
      <c r="I1645" s="5"/>
      <c r="J1645" s="5"/>
    </row>
    <row r="1646" spans="1:10" x14ac:dyDescent="0.2">
      <c r="A1646" s="55"/>
      <c r="B1646" s="55"/>
      <c r="C1646" s="65"/>
      <c r="D1646" s="65"/>
      <c r="E1646" s="65"/>
      <c r="F1646" s="65"/>
      <c r="G1646" s="65"/>
      <c r="I1646" s="5"/>
      <c r="J1646" s="5"/>
    </row>
    <row r="1647" spans="1:10" x14ac:dyDescent="0.2">
      <c r="A1647" s="55"/>
      <c r="B1647" s="55"/>
      <c r="C1647" s="65"/>
      <c r="D1647" s="65"/>
      <c r="E1647" s="65"/>
      <c r="F1647" s="65"/>
      <c r="G1647" s="65"/>
      <c r="I1647" s="5"/>
      <c r="J1647" s="5"/>
    </row>
    <row r="1648" spans="1:10" x14ac:dyDescent="0.2">
      <c r="A1648" s="55"/>
      <c r="B1648" s="55"/>
      <c r="C1648" s="65"/>
      <c r="D1648" s="65"/>
      <c r="E1648" s="65"/>
      <c r="F1648" s="65"/>
      <c r="G1648" s="65"/>
      <c r="I1648" s="5"/>
      <c r="J1648" s="5"/>
    </row>
    <row r="1649" spans="1:10" x14ac:dyDescent="0.2">
      <c r="A1649" s="55"/>
      <c r="B1649" s="55"/>
      <c r="C1649" s="65"/>
      <c r="D1649" s="65"/>
      <c r="E1649" s="65"/>
      <c r="F1649" s="65"/>
      <c r="G1649" s="65"/>
      <c r="I1649" s="5"/>
      <c r="J1649" s="5"/>
    </row>
    <row r="1650" spans="1:10" x14ac:dyDescent="0.2">
      <c r="A1650" s="55"/>
      <c r="B1650" s="55"/>
      <c r="C1650" s="65"/>
      <c r="D1650" s="65"/>
      <c r="E1650" s="65"/>
      <c r="F1650" s="65"/>
      <c r="G1650" s="65"/>
      <c r="I1650" s="5"/>
      <c r="J1650" s="5"/>
    </row>
    <row r="1651" spans="1:10" x14ac:dyDescent="0.2">
      <c r="A1651" s="55"/>
      <c r="B1651" s="55"/>
      <c r="C1651" s="65"/>
      <c r="D1651" s="65"/>
      <c r="E1651" s="65"/>
      <c r="F1651" s="65"/>
      <c r="G1651" s="65"/>
      <c r="I1651" s="5"/>
      <c r="J1651" s="5"/>
    </row>
    <row r="1652" spans="1:10" x14ac:dyDescent="0.2">
      <c r="A1652" s="55"/>
      <c r="B1652" s="55"/>
      <c r="C1652" s="65"/>
      <c r="D1652" s="65"/>
      <c r="E1652" s="65"/>
      <c r="F1652" s="65"/>
      <c r="G1652" s="65"/>
      <c r="I1652" s="5"/>
      <c r="J1652" s="5"/>
    </row>
    <row r="1653" spans="1:10" x14ac:dyDescent="0.2">
      <c r="A1653" s="55"/>
      <c r="B1653" s="55"/>
      <c r="C1653" s="65"/>
      <c r="D1653" s="65"/>
      <c r="E1653" s="65"/>
      <c r="F1653" s="65"/>
      <c r="G1653" s="65"/>
      <c r="I1653" s="5"/>
      <c r="J1653" s="5"/>
    </row>
    <row r="1654" spans="1:10" x14ac:dyDescent="0.2">
      <c r="A1654" s="55"/>
      <c r="B1654" s="55"/>
      <c r="C1654" s="65"/>
      <c r="D1654" s="65"/>
      <c r="E1654" s="65"/>
      <c r="F1654" s="65"/>
      <c r="G1654" s="65"/>
      <c r="I1654" s="5"/>
      <c r="J1654" s="5"/>
    </row>
    <row r="1655" spans="1:10" x14ac:dyDescent="0.2">
      <c r="A1655" s="55"/>
      <c r="B1655" s="55"/>
      <c r="C1655" s="65"/>
      <c r="D1655" s="65"/>
      <c r="E1655" s="65"/>
      <c r="F1655" s="65"/>
      <c r="G1655" s="65"/>
      <c r="I1655" s="5"/>
      <c r="J1655" s="5"/>
    </row>
    <row r="1656" spans="1:10" x14ac:dyDescent="0.2">
      <c r="A1656" s="55"/>
      <c r="B1656" s="55"/>
      <c r="C1656" s="65"/>
      <c r="D1656" s="65"/>
      <c r="E1656" s="65"/>
      <c r="F1656" s="65"/>
      <c r="G1656" s="65"/>
      <c r="I1656" s="5"/>
      <c r="J1656" s="5"/>
    </row>
    <row r="1657" spans="1:10" x14ac:dyDescent="0.2">
      <c r="A1657" s="55"/>
      <c r="B1657" s="55"/>
      <c r="C1657" s="65"/>
      <c r="D1657" s="65"/>
      <c r="E1657" s="65"/>
      <c r="F1657" s="65"/>
      <c r="G1657" s="65"/>
      <c r="I1657" s="5"/>
      <c r="J1657" s="5"/>
    </row>
    <row r="1658" spans="1:10" x14ac:dyDescent="0.2">
      <c r="A1658" s="55"/>
      <c r="B1658" s="55"/>
      <c r="C1658" s="65"/>
      <c r="D1658" s="65"/>
      <c r="E1658" s="65"/>
      <c r="F1658" s="65"/>
      <c r="G1658" s="65"/>
      <c r="I1658" s="5"/>
      <c r="J1658" s="5"/>
    </row>
    <row r="1659" spans="1:10" x14ac:dyDescent="0.2">
      <c r="A1659" s="55"/>
      <c r="B1659" s="55"/>
      <c r="C1659" s="65"/>
      <c r="D1659" s="65"/>
      <c r="E1659" s="65"/>
      <c r="F1659" s="65"/>
      <c r="G1659" s="65"/>
      <c r="I1659" s="5"/>
      <c r="J1659" s="5"/>
    </row>
    <row r="1660" spans="1:10" x14ac:dyDescent="0.2">
      <c r="A1660" s="55"/>
      <c r="B1660" s="55"/>
      <c r="C1660" s="65"/>
      <c r="D1660" s="65"/>
      <c r="E1660" s="65"/>
      <c r="F1660" s="65"/>
      <c r="G1660" s="65"/>
      <c r="I1660" s="5"/>
      <c r="J1660" s="5"/>
    </row>
    <row r="1661" spans="1:10" x14ac:dyDescent="0.2">
      <c r="A1661" s="55"/>
      <c r="B1661" s="55"/>
      <c r="C1661" s="65"/>
      <c r="D1661" s="65"/>
      <c r="E1661" s="65"/>
      <c r="F1661" s="65"/>
      <c r="G1661" s="65"/>
      <c r="I1661" s="5"/>
      <c r="J1661" s="5"/>
    </row>
    <row r="1662" spans="1:10" x14ac:dyDescent="0.2">
      <c r="A1662" s="55"/>
      <c r="B1662" s="55"/>
      <c r="C1662" s="65"/>
      <c r="D1662" s="65"/>
      <c r="E1662" s="65"/>
      <c r="F1662" s="65"/>
      <c r="G1662" s="65"/>
      <c r="I1662" s="5"/>
      <c r="J1662" s="5"/>
    </row>
    <row r="1663" spans="1:10" x14ac:dyDescent="0.2">
      <c r="A1663" s="55"/>
      <c r="B1663" s="55"/>
      <c r="C1663" s="65"/>
      <c r="D1663" s="65"/>
      <c r="E1663" s="65"/>
      <c r="F1663" s="65"/>
      <c r="G1663" s="65"/>
      <c r="I1663" s="5"/>
      <c r="J1663" s="5"/>
    </row>
    <row r="1664" spans="1:10" x14ac:dyDescent="0.2">
      <c r="A1664" s="55"/>
      <c r="B1664" s="55"/>
      <c r="C1664" s="65"/>
      <c r="D1664" s="65"/>
      <c r="E1664" s="65"/>
      <c r="F1664" s="65"/>
      <c r="G1664" s="65"/>
      <c r="I1664" s="5"/>
      <c r="J1664" s="5"/>
    </row>
    <row r="1665" spans="1:10" x14ac:dyDescent="0.2">
      <c r="A1665" s="55"/>
      <c r="B1665" s="55"/>
      <c r="C1665" s="65"/>
      <c r="D1665" s="65"/>
      <c r="E1665" s="65"/>
      <c r="F1665" s="65"/>
      <c r="G1665" s="65"/>
      <c r="I1665" s="5"/>
      <c r="J1665" s="5"/>
    </row>
    <row r="1666" spans="1:10" x14ac:dyDescent="0.2">
      <c r="A1666" s="55"/>
      <c r="B1666" s="55"/>
      <c r="C1666" s="65"/>
      <c r="D1666" s="65"/>
      <c r="E1666" s="65"/>
      <c r="F1666" s="65"/>
      <c r="G1666" s="65"/>
      <c r="I1666" s="5"/>
      <c r="J1666" s="5"/>
    </row>
    <row r="1667" spans="1:10" x14ac:dyDescent="0.2">
      <c r="A1667" s="55"/>
      <c r="B1667" s="55"/>
      <c r="C1667" s="65"/>
      <c r="D1667" s="65"/>
      <c r="E1667" s="65"/>
      <c r="F1667" s="65"/>
      <c r="G1667" s="65"/>
      <c r="I1667" s="5"/>
      <c r="J1667" s="5"/>
    </row>
    <row r="1668" spans="1:10" x14ac:dyDescent="0.2">
      <c r="A1668" s="55"/>
      <c r="B1668" s="55"/>
      <c r="C1668" s="65"/>
      <c r="D1668" s="65"/>
      <c r="E1668" s="65"/>
      <c r="F1668" s="65"/>
      <c r="G1668" s="65"/>
      <c r="I1668" s="5"/>
      <c r="J1668" s="5"/>
    </row>
    <row r="1669" spans="1:10" x14ac:dyDescent="0.2">
      <c r="A1669" s="55"/>
      <c r="B1669" s="55"/>
      <c r="C1669" s="65"/>
      <c r="D1669" s="65"/>
      <c r="E1669" s="65"/>
      <c r="F1669" s="65"/>
      <c r="G1669" s="65"/>
      <c r="I1669" s="5"/>
      <c r="J1669" s="5"/>
    </row>
    <row r="1670" spans="1:10" x14ac:dyDescent="0.2">
      <c r="A1670" s="55"/>
      <c r="B1670" s="55"/>
      <c r="C1670" s="65"/>
      <c r="D1670" s="65"/>
      <c r="E1670" s="65"/>
      <c r="F1670" s="65"/>
      <c r="G1670" s="65"/>
      <c r="I1670" s="5"/>
      <c r="J1670" s="5"/>
    </row>
    <row r="1671" spans="1:10" x14ac:dyDescent="0.2">
      <c r="A1671" s="55"/>
      <c r="B1671" s="55"/>
      <c r="C1671" s="65"/>
      <c r="D1671" s="65"/>
      <c r="E1671" s="65"/>
      <c r="F1671" s="65"/>
      <c r="G1671" s="65"/>
      <c r="I1671" s="5"/>
      <c r="J1671" s="5"/>
    </row>
    <row r="1672" spans="1:10" x14ac:dyDescent="0.2">
      <c r="A1672" s="55"/>
      <c r="B1672" s="55"/>
      <c r="C1672" s="65"/>
      <c r="D1672" s="65"/>
      <c r="E1672" s="65"/>
      <c r="F1672" s="65"/>
      <c r="G1672" s="65"/>
      <c r="I1672" s="5"/>
      <c r="J1672" s="5"/>
    </row>
    <row r="1673" spans="1:10" x14ac:dyDescent="0.2">
      <c r="A1673" s="55"/>
      <c r="B1673" s="55"/>
      <c r="C1673" s="65"/>
      <c r="D1673" s="65"/>
      <c r="E1673" s="65"/>
      <c r="F1673" s="65"/>
      <c r="G1673" s="65"/>
      <c r="I1673" s="5"/>
      <c r="J1673" s="5"/>
    </row>
    <row r="1674" spans="1:10" x14ac:dyDescent="0.2">
      <c r="A1674" s="55"/>
      <c r="B1674" s="55"/>
      <c r="C1674" s="65"/>
      <c r="D1674" s="65"/>
      <c r="E1674" s="65"/>
      <c r="F1674" s="65"/>
      <c r="G1674" s="65"/>
      <c r="I1674" s="5"/>
      <c r="J1674" s="5"/>
    </row>
    <row r="1675" spans="1:10" x14ac:dyDescent="0.2">
      <c r="A1675" s="55"/>
      <c r="B1675" s="55"/>
      <c r="C1675" s="65"/>
      <c r="D1675" s="65"/>
      <c r="E1675" s="65"/>
      <c r="F1675" s="65"/>
      <c r="G1675" s="65"/>
      <c r="I1675" s="5"/>
      <c r="J1675" s="5"/>
    </row>
    <row r="1676" spans="1:10" x14ac:dyDescent="0.2">
      <c r="A1676" s="55"/>
      <c r="B1676" s="55"/>
      <c r="C1676" s="65"/>
      <c r="D1676" s="65"/>
      <c r="E1676" s="65"/>
      <c r="F1676" s="65"/>
      <c r="G1676" s="65"/>
      <c r="I1676" s="5"/>
      <c r="J1676" s="5"/>
    </row>
    <row r="1677" spans="1:10" x14ac:dyDescent="0.2">
      <c r="A1677" s="55"/>
      <c r="B1677" s="55"/>
      <c r="C1677" s="65"/>
      <c r="D1677" s="65"/>
      <c r="E1677" s="65"/>
      <c r="F1677" s="65"/>
      <c r="G1677" s="65"/>
      <c r="I1677" s="5"/>
      <c r="J1677" s="5"/>
    </row>
    <row r="1678" spans="1:10" x14ac:dyDescent="0.2">
      <c r="A1678" s="55"/>
      <c r="B1678" s="55"/>
      <c r="C1678" s="65"/>
      <c r="D1678" s="65"/>
      <c r="E1678" s="65"/>
      <c r="F1678" s="65"/>
      <c r="G1678" s="65"/>
      <c r="I1678" s="5"/>
      <c r="J1678" s="5"/>
    </row>
    <row r="1679" spans="1:10" x14ac:dyDescent="0.2">
      <c r="A1679" s="55"/>
      <c r="B1679" s="55"/>
      <c r="C1679" s="65"/>
      <c r="D1679" s="65"/>
      <c r="E1679" s="65"/>
      <c r="F1679" s="65"/>
      <c r="G1679" s="65"/>
      <c r="I1679" s="5"/>
      <c r="J1679" s="5"/>
    </row>
    <row r="1680" spans="1:10" x14ac:dyDescent="0.2">
      <c r="A1680" s="55"/>
      <c r="B1680" s="55"/>
      <c r="C1680" s="65"/>
      <c r="D1680" s="65"/>
      <c r="E1680" s="65"/>
      <c r="F1680" s="65"/>
      <c r="G1680" s="65"/>
      <c r="I1680" s="5"/>
      <c r="J1680" s="5"/>
    </row>
    <row r="1681" spans="1:10" x14ac:dyDescent="0.2">
      <c r="A1681" s="55"/>
      <c r="B1681" s="55"/>
      <c r="C1681" s="65"/>
      <c r="D1681" s="65"/>
      <c r="E1681" s="65"/>
      <c r="F1681" s="65"/>
      <c r="G1681" s="65"/>
      <c r="I1681" s="5"/>
      <c r="J1681" s="5"/>
    </row>
    <row r="1682" spans="1:10" x14ac:dyDescent="0.2">
      <c r="A1682" s="55"/>
      <c r="B1682" s="55"/>
      <c r="C1682" s="65"/>
      <c r="D1682" s="65"/>
      <c r="E1682" s="65"/>
      <c r="F1682" s="65"/>
      <c r="G1682" s="65"/>
      <c r="I1682" s="5"/>
      <c r="J1682" s="5"/>
    </row>
    <row r="1683" spans="1:10" x14ac:dyDescent="0.2">
      <c r="A1683" s="55"/>
      <c r="B1683" s="55"/>
      <c r="C1683" s="65"/>
      <c r="D1683" s="65"/>
      <c r="E1683" s="65"/>
      <c r="F1683" s="65"/>
      <c r="G1683" s="65"/>
      <c r="I1683" s="5"/>
      <c r="J1683" s="5"/>
    </row>
    <row r="1684" spans="1:10" x14ac:dyDescent="0.2">
      <c r="A1684" s="55"/>
      <c r="B1684" s="55"/>
      <c r="C1684" s="65"/>
      <c r="D1684" s="65"/>
      <c r="E1684" s="65"/>
      <c r="F1684" s="65"/>
      <c r="G1684" s="65"/>
      <c r="I1684" s="5"/>
      <c r="J1684" s="5"/>
    </row>
    <row r="1685" spans="1:10" x14ac:dyDescent="0.2">
      <c r="A1685" s="55"/>
      <c r="B1685" s="55"/>
      <c r="C1685" s="65"/>
      <c r="D1685" s="65"/>
      <c r="E1685" s="65"/>
      <c r="F1685" s="65"/>
      <c r="G1685" s="65"/>
      <c r="I1685" s="5"/>
      <c r="J1685" s="5"/>
    </row>
    <row r="1686" spans="1:10" x14ac:dyDescent="0.2">
      <c r="A1686" s="55"/>
      <c r="B1686" s="55"/>
      <c r="C1686" s="65"/>
      <c r="D1686" s="65"/>
      <c r="E1686" s="65"/>
      <c r="F1686" s="65"/>
      <c r="G1686" s="65"/>
      <c r="I1686" s="5"/>
      <c r="J1686" s="5"/>
    </row>
    <row r="1687" spans="1:10" x14ac:dyDescent="0.2">
      <c r="A1687" s="55"/>
      <c r="B1687" s="55"/>
      <c r="C1687" s="65"/>
      <c r="D1687" s="65"/>
      <c r="E1687" s="65"/>
      <c r="F1687" s="65"/>
      <c r="G1687" s="65"/>
      <c r="I1687" s="5"/>
      <c r="J1687" s="5"/>
    </row>
    <row r="1688" spans="1:10" x14ac:dyDescent="0.2">
      <c r="A1688" s="55"/>
      <c r="B1688" s="55"/>
      <c r="C1688" s="65"/>
      <c r="D1688" s="65"/>
      <c r="E1688" s="65"/>
      <c r="F1688" s="65"/>
      <c r="G1688" s="65"/>
      <c r="I1688" s="5"/>
      <c r="J1688" s="5"/>
    </row>
    <row r="1689" spans="1:10" x14ac:dyDescent="0.2">
      <c r="A1689" s="55"/>
      <c r="B1689" s="55"/>
      <c r="C1689" s="65"/>
      <c r="D1689" s="65"/>
      <c r="E1689" s="65"/>
      <c r="F1689" s="65"/>
      <c r="G1689" s="65"/>
      <c r="I1689" s="5"/>
      <c r="J1689" s="5"/>
    </row>
    <row r="1690" spans="1:10" x14ac:dyDescent="0.2">
      <c r="A1690" s="55"/>
      <c r="B1690" s="55"/>
      <c r="C1690" s="65"/>
      <c r="D1690" s="65"/>
      <c r="E1690" s="65"/>
      <c r="F1690" s="65"/>
      <c r="G1690" s="65"/>
      <c r="I1690" s="5"/>
      <c r="J1690" s="5"/>
    </row>
    <row r="1691" spans="1:10" x14ac:dyDescent="0.2">
      <c r="A1691" s="55"/>
      <c r="B1691" s="55"/>
      <c r="C1691" s="65"/>
      <c r="D1691" s="65"/>
      <c r="E1691" s="65"/>
      <c r="F1691" s="65"/>
      <c r="G1691" s="65"/>
      <c r="I1691" s="5"/>
      <c r="J1691" s="5"/>
    </row>
    <row r="1692" spans="1:10" x14ac:dyDescent="0.2">
      <c r="A1692" s="55"/>
      <c r="B1692" s="55"/>
      <c r="C1692" s="65"/>
      <c r="D1692" s="65"/>
      <c r="E1692" s="65"/>
      <c r="F1692" s="65"/>
      <c r="G1692" s="65"/>
      <c r="I1692" s="5"/>
      <c r="J1692" s="5"/>
    </row>
    <row r="1693" spans="1:10" x14ac:dyDescent="0.2">
      <c r="A1693" s="55"/>
      <c r="B1693" s="55"/>
      <c r="C1693" s="65"/>
      <c r="D1693" s="65"/>
      <c r="E1693" s="65"/>
      <c r="F1693" s="65"/>
      <c r="G1693" s="65"/>
      <c r="I1693" s="5"/>
      <c r="J1693" s="5"/>
    </row>
    <row r="1694" spans="1:10" x14ac:dyDescent="0.2">
      <c r="A1694" s="55"/>
      <c r="B1694" s="55"/>
      <c r="C1694" s="65"/>
      <c r="D1694" s="65"/>
      <c r="E1694" s="65"/>
      <c r="F1694" s="65"/>
      <c r="G1694" s="65"/>
      <c r="I1694" s="5"/>
      <c r="J1694" s="5"/>
    </row>
    <row r="1695" spans="1:10" x14ac:dyDescent="0.2">
      <c r="A1695" s="55"/>
      <c r="B1695" s="55"/>
      <c r="C1695" s="65"/>
      <c r="D1695" s="65"/>
      <c r="E1695" s="65"/>
      <c r="F1695" s="65"/>
      <c r="G1695" s="65"/>
      <c r="I1695" s="5"/>
      <c r="J1695" s="5"/>
    </row>
    <row r="1696" spans="1:10" x14ac:dyDescent="0.2">
      <c r="A1696" s="55"/>
      <c r="B1696" s="55"/>
      <c r="C1696" s="65"/>
      <c r="D1696" s="65"/>
      <c r="E1696" s="65"/>
      <c r="F1696" s="65"/>
      <c r="G1696" s="65"/>
      <c r="I1696" s="5"/>
      <c r="J1696" s="5"/>
    </row>
    <row r="1697" spans="1:10" x14ac:dyDescent="0.2">
      <c r="A1697" s="55"/>
      <c r="B1697" s="55"/>
      <c r="C1697" s="65"/>
      <c r="D1697" s="65"/>
      <c r="E1697" s="65"/>
      <c r="F1697" s="65"/>
      <c r="G1697" s="65"/>
      <c r="I1697" s="5"/>
      <c r="J1697" s="5"/>
    </row>
    <row r="1698" spans="1:10" x14ac:dyDescent="0.2">
      <c r="A1698" s="55"/>
      <c r="B1698" s="55"/>
      <c r="C1698" s="65"/>
      <c r="D1698" s="65"/>
      <c r="E1698" s="65"/>
      <c r="F1698" s="65"/>
      <c r="G1698" s="65"/>
      <c r="I1698" s="5"/>
      <c r="J1698" s="5"/>
    </row>
    <row r="1699" spans="1:10" x14ac:dyDescent="0.2">
      <c r="A1699" s="55"/>
      <c r="B1699" s="55"/>
      <c r="C1699" s="65"/>
      <c r="D1699" s="65"/>
      <c r="E1699" s="65"/>
      <c r="F1699" s="65"/>
      <c r="G1699" s="65"/>
      <c r="I1699" s="5"/>
      <c r="J1699" s="5"/>
    </row>
    <row r="1700" spans="1:10" x14ac:dyDescent="0.2">
      <c r="A1700" s="55"/>
      <c r="B1700" s="55"/>
      <c r="C1700" s="65"/>
      <c r="D1700" s="65"/>
      <c r="E1700" s="65"/>
      <c r="F1700" s="65"/>
      <c r="G1700" s="65"/>
      <c r="I1700" s="5"/>
      <c r="J1700" s="5"/>
    </row>
    <row r="1701" spans="1:10" x14ac:dyDescent="0.2">
      <c r="A1701" s="55"/>
      <c r="B1701" s="55"/>
      <c r="C1701" s="65"/>
      <c r="D1701" s="65"/>
      <c r="E1701" s="65"/>
      <c r="F1701" s="65"/>
      <c r="G1701" s="65"/>
      <c r="I1701" s="5"/>
      <c r="J1701" s="5"/>
    </row>
    <row r="1702" spans="1:10" x14ac:dyDescent="0.2">
      <c r="A1702" s="55"/>
      <c r="B1702" s="55"/>
      <c r="C1702" s="65"/>
      <c r="D1702" s="65"/>
      <c r="E1702" s="65"/>
      <c r="F1702" s="65"/>
      <c r="G1702" s="65"/>
      <c r="I1702" s="5"/>
      <c r="J1702" s="5"/>
    </row>
    <row r="1703" spans="1:10" x14ac:dyDescent="0.2">
      <c r="A1703" s="55"/>
      <c r="B1703" s="55"/>
      <c r="C1703" s="65"/>
      <c r="D1703" s="65"/>
      <c r="E1703" s="65"/>
      <c r="F1703" s="65"/>
      <c r="G1703" s="65"/>
      <c r="I1703" s="5"/>
      <c r="J1703" s="5"/>
    </row>
    <row r="1704" spans="1:10" x14ac:dyDescent="0.2">
      <c r="A1704" s="55"/>
      <c r="B1704" s="55"/>
      <c r="C1704" s="65"/>
      <c r="D1704" s="65"/>
      <c r="E1704" s="65"/>
      <c r="F1704" s="65"/>
      <c r="G1704" s="65"/>
      <c r="I1704" s="5"/>
      <c r="J1704" s="5"/>
    </row>
    <row r="1705" spans="1:10" x14ac:dyDescent="0.2">
      <c r="A1705" s="55"/>
      <c r="B1705" s="55"/>
      <c r="C1705" s="65"/>
      <c r="D1705" s="65"/>
      <c r="E1705" s="65"/>
      <c r="F1705" s="65"/>
      <c r="G1705" s="65"/>
      <c r="I1705" s="5"/>
      <c r="J1705" s="5"/>
    </row>
    <row r="1706" spans="1:10" x14ac:dyDescent="0.2">
      <c r="A1706" s="55"/>
      <c r="B1706" s="55"/>
      <c r="C1706" s="65"/>
      <c r="D1706" s="65"/>
      <c r="E1706" s="65"/>
      <c r="F1706" s="65"/>
      <c r="G1706" s="65"/>
      <c r="I1706" s="5"/>
      <c r="J1706" s="5"/>
    </row>
    <row r="1707" spans="1:10" x14ac:dyDescent="0.2">
      <c r="A1707" s="55"/>
      <c r="B1707" s="55"/>
      <c r="C1707" s="65"/>
      <c r="D1707" s="65"/>
      <c r="E1707" s="65"/>
      <c r="F1707" s="65"/>
      <c r="G1707" s="65"/>
      <c r="I1707" s="5"/>
      <c r="J1707" s="5"/>
    </row>
    <row r="1708" spans="1:10" x14ac:dyDescent="0.2">
      <c r="A1708" s="55"/>
      <c r="B1708" s="55"/>
      <c r="C1708" s="65"/>
      <c r="D1708" s="65"/>
      <c r="E1708" s="65"/>
      <c r="F1708" s="65"/>
      <c r="G1708" s="65"/>
      <c r="I1708" s="5"/>
      <c r="J1708" s="5"/>
    </row>
    <row r="1709" spans="1:10" x14ac:dyDescent="0.2">
      <c r="A1709" s="55"/>
      <c r="B1709" s="55"/>
      <c r="C1709" s="65"/>
      <c r="D1709" s="65"/>
      <c r="E1709" s="65"/>
      <c r="F1709" s="65"/>
      <c r="G1709" s="65"/>
      <c r="I1709" s="5"/>
      <c r="J1709" s="5"/>
    </row>
    <row r="1710" spans="1:10" x14ac:dyDescent="0.2">
      <c r="A1710" s="55"/>
      <c r="B1710" s="55"/>
      <c r="C1710" s="65"/>
      <c r="D1710" s="65"/>
      <c r="E1710" s="65"/>
      <c r="F1710" s="65"/>
      <c r="G1710" s="65"/>
      <c r="I1710" s="5"/>
      <c r="J1710" s="5"/>
    </row>
    <row r="1711" spans="1:10" x14ac:dyDescent="0.2">
      <c r="A1711" s="55"/>
      <c r="B1711" s="55"/>
      <c r="C1711" s="65"/>
      <c r="D1711" s="65"/>
      <c r="E1711" s="65"/>
      <c r="F1711" s="65"/>
      <c r="G1711" s="65"/>
      <c r="I1711" s="5"/>
      <c r="J1711" s="5"/>
    </row>
    <row r="1712" spans="1:10" x14ac:dyDescent="0.2">
      <c r="A1712" s="55"/>
      <c r="B1712" s="55"/>
      <c r="C1712" s="65"/>
      <c r="D1712" s="65"/>
      <c r="E1712" s="65"/>
      <c r="F1712" s="65"/>
      <c r="G1712" s="65"/>
      <c r="I1712" s="5"/>
      <c r="J1712" s="5"/>
    </row>
    <row r="1713" spans="1:10" x14ac:dyDescent="0.2">
      <c r="A1713" s="55"/>
      <c r="B1713" s="55"/>
      <c r="C1713" s="65"/>
      <c r="D1713" s="65"/>
      <c r="E1713" s="65"/>
      <c r="F1713" s="65"/>
      <c r="G1713" s="65"/>
      <c r="I1713" s="5"/>
      <c r="J1713" s="5"/>
    </row>
    <row r="1714" spans="1:10" x14ac:dyDescent="0.2">
      <c r="A1714" s="55"/>
      <c r="B1714" s="55"/>
      <c r="C1714" s="65"/>
      <c r="D1714" s="65"/>
      <c r="E1714" s="65"/>
      <c r="F1714" s="65"/>
      <c r="G1714" s="65"/>
      <c r="I1714" s="5"/>
      <c r="J1714" s="5"/>
    </row>
    <row r="1715" spans="1:10" x14ac:dyDescent="0.2">
      <c r="A1715" s="55"/>
      <c r="B1715" s="55"/>
      <c r="C1715" s="65"/>
      <c r="D1715" s="65"/>
      <c r="E1715" s="65"/>
      <c r="F1715" s="65"/>
      <c r="G1715" s="65"/>
      <c r="I1715" s="5"/>
      <c r="J1715" s="5"/>
    </row>
    <row r="1716" spans="1:10" x14ac:dyDescent="0.2">
      <c r="A1716" s="55"/>
      <c r="B1716" s="55"/>
      <c r="C1716" s="65"/>
      <c r="D1716" s="65"/>
      <c r="E1716" s="65"/>
      <c r="F1716" s="65"/>
      <c r="G1716" s="65"/>
      <c r="I1716" s="5"/>
      <c r="J1716" s="5"/>
    </row>
    <row r="1717" spans="1:10" x14ac:dyDescent="0.2">
      <c r="A1717" s="55"/>
      <c r="B1717" s="55"/>
      <c r="C1717" s="65"/>
      <c r="D1717" s="65"/>
      <c r="E1717" s="65"/>
      <c r="F1717" s="65"/>
      <c r="G1717" s="65"/>
      <c r="I1717" s="5"/>
      <c r="J1717" s="5"/>
    </row>
    <row r="1718" spans="1:10" x14ac:dyDescent="0.2">
      <c r="A1718" s="55"/>
      <c r="B1718" s="55"/>
      <c r="C1718" s="65"/>
      <c r="D1718" s="65"/>
      <c r="E1718" s="65"/>
      <c r="F1718" s="65"/>
      <c r="G1718" s="65"/>
      <c r="I1718" s="5"/>
      <c r="J1718" s="5"/>
    </row>
    <row r="1719" spans="1:10" x14ac:dyDescent="0.2">
      <c r="A1719" s="55"/>
      <c r="B1719" s="55"/>
      <c r="C1719" s="65"/>
      <c r="D1719" s="65"/>
      <c r="E1719" s="65"/>
      <c r="F1719" s="65"/>
      <c r="G1719" s="65"/>
      <c r="I1719" s="5"/>
      <c r="J1719" s="5"/>
    </row>
    <row r="1720" spans="1:10" x14ac:dyDescent="0.2">
      <c r="A1720" s="55"/>
      <c r="B1720" s="55"/>
      <c r="C1720" s="65"/>
      <c r="D1720" s="65"/>
      <c r="E1720" s="65"/>
      <c r="F1720" s="65"/>
      <c r="G1720" s="65"/>
      <c r="I1720" s="5"/>
      <c r="J1720" s="5"/>
    </row>
    <row r="1721" spans="1:10" x14ac:dyDescent="0.2">
      <c r="A1721" s="55"/>
      <c r="B1721" s="55"/>
      <c r="C1721" s="65"/>
      <c r="D1721" s="65"/>
      <c r="E1721" s="65"/>
      <c r="F1721" s="65"/>
      <c r="G1721" s="65"/>
      <c r="I1721" s="5"/>
      <c r="J1721" s="5"/>
    </row>
    <row r="1722" spans="1:10" x14ac:dyDescent="0.2">
      <c r="A1722" s="55"/>
      <c r="B1722" s="55"/>
      <c r="C1722" s="65"/>
      <c r="D1722" s="65"/>
      <c r="E1722" s="65"/>
      <c r="F1722" s="65"/>
      <c r="G1722" s="65"/>
      <c r="I1722" s="5"/>
      <c r="J1722" s="5"/>
    </row>
    <row r="1723" spans="1:10" x14ac:dyDescent="0.2">
      <c r="A1723" s="55"/>
      <c r="B1723" s="55"/>
      <c r="C1723" s="65"/>
      <c r="D1723" s="65"/>
      <c r="E1723" s="65"/>
      <c r="F1723" s="65"/>
      <c r="G1723" s="65"/>
      <c r="I1723" s="5"/>
      <c r="J1723" s="5"/>
    </row>
    <row r="1724" spans="1:10" x14ac:dyDescent="0.2">
      <c r="A1724" s="55"/>
      <c r="B1724" s="55"/>
      <c r="C1724" s="65"/>
      <c r="D1724" s="65"/>
      <c r="E1724" s="65"/>
      <c r="F1724" s="65"/>
      <c r="G1724" s="65"/>
      <c r="I1724" s="5"/>
      <c r="J1724" s="5"/>
    </row>
    <row r="1725" spans="1:10" x14ac:dyDescent="0.2">
      <c r="A1725" s="55"/>
      <c r="B1725" s="55"/>
      <c r="C1725" s="65"/>
      <c r="D1725" s="65"/>
      <c r="E1725" s="65"/>
      <c r="F1725" s="65"/>
      <c r="G1725" s="65"/>
      <c r="I1725" s="5"/>
      <c r="J1725" s="5"/>
    </row>
    <row r="1726" spans="1:10" x14ac:dyDescent="0.2">
      <c r="A1726" s="55"/>
      <c r="B1726" s="55"/>
      <c r="C1726" s="65"/>
      <c r="D1726" s="65"/>
      <c r="E1726" s="65"/>
      <c r="F1726" s="65"/>
      <c r="G1726" s="65"/>
      <c r="I1726" s="5"/>
      <c r="J1726" s="5"/>
    </row>
    <row r="1727" spans="1:10" x14ac:dyDescent="0.2">
      <c r="A1727" s="55"/>
      <c r="B1727" s="55"/>
      <c r="C1727" s="65"/>
      <c r="D1727" s="65"/>
      <c r="E1727" s="65"/>
      <c r="F1727" s="65"/>
      <c r="G1727" s="65"/>
      <c r="I1727" s="5"/>
      <c r="J1727" s="5"/>
    </row>
    <row r="1728" spans="1:10" x14ac:dyDescent="0.2">
      <c r="A1728" s="55"/>
      <c r="B1728" s="55"/>
      <c r="C1728" s="65"/>
      <c r="D1728" s="65"/>
      <c r="E1728" s="65"/>
      <c r="F1728" s="65"/>
      <c r="G1728" s="65"/>
      <c r="I1728" s="5"/>
      <c r="J1728" s="5"/>
    </row>
    <row r="1729" spans="1:10" x14ac:dyDescent="0.2">
      <c r="A1729" s="55"/>
      <c r="B1729" s="55"/>
      <c r="C1729" s="65"/>
      <c r="D1729" s="65"/>
      <c r="E1729" s="65"/>
      <c r="F1729" s="65"/>
      <c r="G1729" s="65"/>
      <c r="I1729" s="5"/>
      <c r="J1729" s="5"/>
    </row>
    <row r="1730" spans="1:10" x14ac:dyDescent="0.2">
      <c r="A1730" s="55"/>
      <c r="B1730" s="55"/>
      <c r="C1730" s="65"/>
      <c r="D1730" s="65"/>
      <c r="E1730" s="65"/>
      <c r="F1730" s="65"/>
      <c r="G1730" s="65"/>
      <c r="I1730" s="5"/>
      <c r="J1730" s="5"/>
    </row>
    <row r="1731" spans="1:10" x14ac:dyDescent="0.2">
      <c r="A1731" s="55"/>
      <c r="B1731" s="55"/>
      <c r="C1731" s="65"/>
      <c r="D1731" s="65"/>
      <c r="E1731" s="65"/>
      <c r="F1731" s="65"/>
      <c r="G1731" s="65"/>
      <c r="I1731" s="5"/>
      <c r="J1731" s="5"/>
    </row>
    <row r="1732" spans="1:10" x14ac:dyDescent="0.2">
      <c r="A1732" s="55"/>
      <c r="B1732" s="55"/>
      <c r="C1732" s="65"/>
      <c r="D1732" s="65"/>
      <c r="E1732" s="65"/>
      <c r="F1732" s="65"/>
      <c r="G1732" s="65"/>
      <c r="I1732" s="5"/>
      <c r="J1732" s="5"/>
    </row>
    <row r="1733" spans="1:10" x14ac:dyDescent="0.2">
      <c r="A1733" s="55"/>
      <c r="B1733" s="55"/>
      <c r="C1733" s="65"/>
      <c r="D1733" s="65"/>
      <c r="E1733" s="65"/>
      <c r="F1733" s="65"/>
      <c r="G1733" s="65"/>
      <c r="I1733" s="5"/>
      <c r="J1733" s="5"/>
    </row>
    <row r="1734" spans="1:10" x14ac:dyDescent="0.2">
      <c r="A1734" s="55"/>
      <c r="B1734" s="55"/>
      <c r="C1734" s="65"/>
      <c r="D1734" s="65"/>
      <c r="E1734" s="65"/>
      <c r="F1734" s="65"/>
      <c r="G1734" s="65"/>
      <c r="I1734" s="5"/>
      <c r="J1734" s="5"/>
    </row>
    <row r="1735" spans="1:10" x14ac:dyDescent="0.2">
      <c r="A1735" s="55"/>
      <c r="B1735" s="55"/>
      <c r="C1735" s="65"/>
      <c r="D1735" s="65"/>
      <c r="E1735" s="65"/>
      <c r="F1735" s="65"/>
      <c r="G1735" s="65"/>
      <c r="I1735" s="5"/>
      <c r="J1735" s="5"/>
    </row>
    <row r="1736" spans="1:10" x14ac:dyDescent="0.2">
      <c r="A1736" s="55"/>
      <c r="B1736" s="55"/>
      <c r="C1736" s="65"/>
      <c r="D1736" s="65"/>
      <c r="E1736" s="65"/>
      <c r="F1736" s="65"/>
      <c r="G1736" s="65"/>
      <c r="I1736" s="5"/>
      <c r="J1736" s="5"/>
    </row>
    <row r="1737" spans="1:10" x14ac:dyDescent="0.2">
      <c r="A1737" s="55"/>
      <c r="B1737" s="55"/>
      <c r="C1737" s="65"/>
      <c r="D1737" s="65"/>
      <c r="E1737" s="65"/>
      <c r="F1737" s="65"/>
      <c r="G1737" s="65"/>
      <c r="I1737" s="5"/>
      <c r="J1737" s="5"/>
    </row>
    <row r="1738" spans="1:10" x14ac:dyDescent="0.2">
      <c r="A1738" s="55"/>
      <c r="B1738" s="55"/>
      <c r="C1738" s="65"/>
      <c r="D1738" s="65"/>
      <c r="E1738" s="65"/>
      <c r="F1738" s="65"/>
      <c r="G1738" s="65"/>
      <c r="I1738" s="5"/>
      <c r="J1738" s="5"/>
    </row>
    <row r="1739" spans="1:10" x14ac:dyDescent="0.2">
      <c r="A1739" s="55"/>
      <c r="B1739" s="55"/>
      <c r="C1739" s="65"/>
      <c r="D1739" s="65"/>
      <c r="E1739" s="65"/>
      <c r="F1739" s="65"/>
      <c r="G1739" s="65"/>
      <c r="I1739" s="5"/>
      <c r="J1739" s="5"/>
    </row>
    <row r="1740" spans="1:10" x14ac:dyDescent="0.2">
      <c r="A1740" s="55"/>
      <c r="B1740" s="55"/>
      <c r="C1740" s="65"/>
      <c r="D1740" s="65"/>
      <c r="E1740" s="65"/>
      <c r="F1740" s="65"/>
      <c r="G1740" s="65"/>
      <c r="I1740" s="5"/>
      <c r="J1740" s="5"/>
    </row>
    <row r="1741" spans="1:10" x14ac:dyDescent="0.2">
      <c r="A1741" s="55"/>
      <c r="B1741" s="55"/>
      <c r="C1741" s="65"/>
      <c r="D1741" s="65"/>
      <c r="E1741" s="65"/>
      <c r="F1741" s="65"/>
      <c r="G1741" s="65"/>
      <c r="I1741" s="5"/>
      <c r="J1741" s="5"/>
    </row>
    <row r="1742" spans="1:10" x14ac:dyDescent="0.2">
      <c r="A1742" s="55"/>
      <c r="B1742" s="55"/>
      <c r="C1742" s="65"/>
      <c r="D1742" s="65"/>
      <c r="E1742" s="65"/>
      <c r="F1742" s="65"/>
      <c r="G1742" s="65"/>
      <c r="I1742" s="5"/>
      <c r="J1742" s="5"/>
    </row>
    <row r="1743" spans="1:10" x14ac:dyDescent="0.2">
      <c r="A1743" s="55"/>
      <c r="B1743" s="55"/>
      <c r="C1743" s="65"/>
      <c r="D1743" s="65"/>
      <c r="E1743" s="65"/>
      <c r="F1743" s="65"/>
      <c r="G1743" s="65"/>
      <c r="I1743" s="5"/>
      <c r="J1743" s="5"/>
    </row>
    <row r="1744" spans="1:10" x14ac:dyDescent="0.2">
      <c r="A1744" s="55"/>
      <c r="B1744" s="55"/>
      <c r="C1744" s="65"/>
      <c r="D1744" s="65"/>
      <c r="E1744" s="65"/>
      <c r="F1744" s="65"/>
      <c r="G1744" s="65"/>
      <c r="I1744" s="5"/>
      <c r="J1744" s="5"/>
    </row>
    <row r="1745" spans="1:10" x14ac:dyDescent="0.2">
      <c r="A1745" s="55"/>
      <c r="B1745" s="55"/>
      <c r="C1745" s="65"/>
      <c r="D1745" s="65"/>
      <c r="E1745" s="65"/>
      <c r="F1745" s="65"/>
      <c r="G1745" s="65"/>
      <c r="I1745" s="5"/>
      <c r="J1745" s="5"/>
    </row>
    <row r="1746" spans="1:10" x14ac:dyDescent="0.2">
      <c r="A1746" s="55"/>
      <c r="B1746" s="55"/>
      <c r="C1746" s="65"/>
      <c r="D1746" s="65"/>
      <c r="E1746" s="65"/>
      <c r="F1746" s="65"/>
      <c r="G1746" s="65"/>
      <c r="I1746" s="5"/>
      <c r="J1746" s="5"/>
    </row>
    <row r="1747" spans="1:10" x14ac:dyDescent="0.2">
      <c r="A1747" s="55"/>
      <c r="B1747" s="55"/>
      <c r="C1747" s="65"/>
      <c r="D1747" s="65"/>
      <c r="E1747" s="65"/>
      <c r="F1747" s="65"/>
      <c r="G1747" s="65"/>
      <c r="I1747" s="5"/>
      <c r="J1747" s="5"/>
    </row>
    <row r="1748" spans="1:10" x14ac:dyDescent="0.2">
      <c r="A1748" s="55"/>
      <c r="B1748" s="55"/>
      <c r="C1748" s="65"/>
      <c r="D1748" s="65"/>
      <c r="E1748" s="65"/>
      <c r="F1748" s="65"/>
      <c r="G1748" s="65"/>
      <c r="I1748" s="5"/>
      <c r="J1748" s="5"/>
    </row>
    <row r="1749" spans="1:10" x14ac:dyDescent="0.2">
      <c r="A1749" s="55"/>
      <c r="B1749" s="55"/>
      <c r="C1749" s="65"/>
      <c r="D1749" s="65"/>
      <c r="E1749" s="65"/>
      <c r="F1749" s="65"/>
      <c r="G1749" s="65"/>
      <c r="I1749" s="5"/>
      <c r="J1749" s="5"/>
    </row>
    <row r="1750" spans="1:10" x14ac:dyDescent="0.2">
      <c r="A1750" s="55"/>
      <c r="B1750" s="55"/>
      <c r="C1750" s="65"/>
      <c r="D1750" s="65"/>
      <c r="E1750" s="65"/>
      <c r="F1750" s="65"/>
      <c r="G1750" s="65"/>
      <c r="I1750" s="5"/>
      <c r="J1750" s="5"/>
    </row>
    <row r="1751" spans="1:10" x14ac:dyDescent="0.2">
      <c r="A1751" s="55"/>
      <c r="B1751" s="55"/>
      <c r="C1751" s="65"/>
      <c r="D1751" s="65"/>
      <c r="E1751" s="65"/>
      <c r="F1751" s="65"/>
      <c r="G1751" s="65"/>
      <c r="I1751" s="5"/>
      <c r="J1751" s="5"/>
    </row>
    <row r="1752" spans="1:10" x14ac:dyDescent="0.2">
      <c r="A1752" s="55"/>
      <c r="B1752" s="55"/>
      <c r="C1752" s="65"/>
      <c r="D1752" s="65"/>
      <c r="E1752" s="65"/>
      <c r="F1752" s="65"/>
      <c r="G1752" s="65"/>
      <c r="I1752" s="5"/>
      <c r="J1752" s="5"/>
    </row>
    <row r="1753" spans="1:10" x14ac:dyDescent="0.2">
      <c r="A1753" s="55"/>
      <c r="B1753" s="55"/>
      <c r="C1753" s="65"/>
      <c r="D1753" s="65"/>
      <c r="E1753" s="65"/>
      <c r="F1753" s="65"/>
      <c r="G1753" s="65"/>
      <c r="I1753" s="5"/>
      <c r="J1753" s="5"/>
    </row>
    <row r="1754" spans="1:10" x14ac:dyDescent="0.2">
      <c r="A1754" s="55"/>
      <c r="B1754" s="55"/>
      <c r="C1754" s="65"/>
      <c r="D1754" s="65"/>
      <c r="E1754" s="65"/>
      <c r="F1754" s="65"/>
      <c r="G1754" s="65"/>
      <c r="I1754" s="5"/>
      <c r="J1754" s="5"/>
    </row>
    <row r="1755" spans="1:10" x14ac:dyDescent="0.2">
      <c r="A1755" s="55"/>
      <c r="B1755" s="55"/>
      <c r="C1755" s="65"/>
      <c r="D1755" s="65"/>
      <c r="E1755" s="65"/>
      <c r="F1755" s="65"/>
      <c r="G1755" s="65"/>
      <c r="I1755" s="5"/>
      <c r="J1755" s="5"/>
    </row>
    <row r="1756" spans="1:10" x14ac:dyDescent="0.2">
      <c r="A1756" s="55"/>
      <c r="B1756" s="55"/>
      <c r="C1756" s="65"/>
      <c r="D1756" s="65"/>
      <c r="E1756" s="65"/>
      <c r="F1756" s="65"/>
      <c r="G1756" s="65"/>
      <c r="I1756" s="5"/>
      <c r="J1756" s="5"/>
    </row>
    <row r="1757" spans="1:10" x14ac:dyDescent="0.2">
      <c r="A1757" s="55"/>
      <c r="B1757" s="55"/>
      <c r="C1757" s="65"/>
      <c r="D1757" s="65"/>
      <c r="E1757" s="65"/>
      <c r="F1757" s="65"/>
      <c r="G1757" s="65"/>
      <c r="I1757" s="5"/>
      <c r="J1757" s="5"/>
    </row>
    <row r="1758" spans="1:10" x14ac:dyDescent="0.2">
      <c r="A1758" s="55"/>
      <c r="B1758" s="55"/>
      <c r="C1758" s="65"/>
      <c r="D1758" s="65"/>
      <c r="E1758" s="65"/>
      <c r="F1758" s="65"/>
      <c r="G1758" s="65"/>
      <c r="I1758" s="5"/>
      <c r="J1758" s="5"/>
    </row>
    <row r="1759" spans="1:10" x14ac:dyDescent="0.2">
      <c r="A1759" s="55"/>
      <c r="B1759" s="55"/>
      <c r="C1759" s="65"/>
      <c r="D1759" s="65"/>
      <c r="E1759" s="65"/>
      <c r="F1759" s="65"/>
      <c r="G1759" s="65"/>
      <c r="I1759" s="5"/>
      <c r="J1759" s="5"/>
    </row>
    <row r="1760" spans="1:10" x14ac:dyDescent="0.2">
      <c r="A1760" s="55"/>
      <c r="B1760" s="55"/>
      <c r="C1760" s="65"/>
      <c r="D1760" s="65"/>
      <c r="E1760" s="65"/>
      <c r="F1760" s="65"/>
      <c r="G1760" s="65"/>
      <c r="I1760" s="5"/>
      <c r="J1760" s="5"/>
    </row>
    <row r="1761" spans="1:10" x14ac:dyDescent="0.2">
      <c r="A1761" s="55"/>
      <c r="B1761" s="55"/>
      <c r="C1761" s="65"/>
      <c r="D1761" s="65"/>
      <c r="E1761" s="65"/>
      <c r="F1761" s="65"/>
      <c r="G1761" s="65"/>
      <c r="I1761" s="5"/>
      <c r="J1761" s="5"/>
    </row>
    <row r="1762" spans="1:10" x14ac:dyDescent="0.2">
      <c r="A1762" s="55"/>
      <c r="B1762" s="55"/>
      <c r="C1762" s="65"/>
      <c r="D1762" s="65"/>
      <c r="E1762" s="65"/>
      <c r="F1762" s="65"/>
      <c r="G1762" s="65"/>
      <c r="I1762" s="5"/>
      <c r="J1762" s="5"/>
    </row>
    <row r="1763" spans="1:10" x14ac:dyDescent="0.2">
      <c r="A1763" s="55"/>
      <c r="B1763" s="55"/>
      <c r="C1763" s="65"/>
      <c r="D1763" s="65"/>
      <c r="E1763" s="65"/>
      <c r="F1763" s="65"/>
      <c r="G1763" s="65"/>
      <c r="I1763" s="5"/>
      <c r="J1763" s="5"/>
    </row>
    <row r="1764" spans="1:10" x14ac:dyDescent="0.2">
      <c r="A1764" s="55"/>
      <c r="B1764" s="55"/>
      <c r="C1764" s="65"/>
      <c r="D1764" s="65"/>
      <c r="E1764" s="65"/>
      <c r="F1764" s="65"/>
      <c r="G1764" s="65"/>
      <c r="I1764" s="5"/>
      <c r="J1764" s="5"/>
    </row>
    <row r="1765" spans="1:10" x14ac:dyDescent="0.2">
      <c r="A1765" s="55"/>
      <c r="B1765" s="55"/>
      <c r="C1765" s="65"/>
      <c r="D1765" s="65"/>
      <c r="E1765" s="65"/>
      <c r="F1765" s="65"/>
      <c r="G1765" s="65"/>
      <c r="I1765" s="5"/>
      <c r="J1765" s="5"/>
    </row>
    <row r="1766" spans="1:10" x14ac:dyDescent="0.2">
      <c r="A1766" s="55"/>
      <c r="B1766" s="55"/>
      <c r="C1766" s="65"/>
      <c r="D1766" s="65"/>
      <c r="E1766" s="65"/>
      <c r="F1766" s="65"/>
      <c r="G1766" s="65"/>
      <c r="I1766" s="5"/>
      <c r="J1766" s="5"/>
    </row>
    <row r="1767" spans="1:10" x14ac:dyDescent="0.2">
      <c r="A1767" s="55"/>
      <c r="B1767" s="55"/>
      <c r="C1767" s="65"/>
      <c r="D1767" s="65"/>
      <c r="E1767" s="65"/>
      <c r="F1767" s="65"/>
      <c r="G1767" s="65"/>
      <c r="I1767" s="5"/>
      <c r="J1767" s="5"/>
    </row>
    <row r="1768" spans="1:10" x14ac:dyDescent="0.2">
      <c r="A1768" s="55"/>
      <c r="B1768" s="55"/>
      <c r="C1768" s="65"/>
      <c r="D1768" s="65"/>
      <c r="E1768" s="65"/>
      <c r="F1768" s="65"/>
      <c r="G1768" s="65"/>
      <c r="I1768" s="5"/>
      <c r="J1768" s="5"/>
    </row>
    <row r="1769" spans="1:10" x14ac:dyDescent="0.2">
      <c r="A1769" s="55"/>
      <c r="B1769" s="55"/>
      <c r="C1769" s="65"/>
      <c r="D1769" s="65"/>
      <c r="E1769" s="65"/>
      <c r="F1769" s="65"/>
      <c r="G1769" s="65"/>
      <c r="I1769" s="5"/>
      <c r="J1769" s="5"/>
    </row>
    <row r="1770" spans="1:10" x14ac:dyDescent="0.2">
      <c r="A1770" s="55"/>
      <c r="B1770" s="55"/>
      <c r="C1770" s="65"/>
      <c r="D1770" s="65"/>
      <c r="E1770" s="65"/>
      <c r="F1770" s="65"/>
      <c r="G1770" s="65"/>
      <c r="I1770" s="5"/>
      <c r="J1770" s="5"/>
    </row>
    <row r="1771" spans="1:10" x14ac:dyDescent="0.2">
      <c r="A1771" s="55"/>
      <c r="B1771" s="55"/>
      <c r="C1771" s="65"/>
      <c r="D1771" s="65"/>
      <c r="E1771" s="65"/>
      <c r="F1771" s="65"/>
      <c r="G1771" s="65"/>
      <c r="I1771" s="5"/>
      <c r="J1771" s="5"/>
    </row>
    <row r="1772" spans="1:10" x14ac:dyDescent="0.2">
      <c r="A1772" s="55"/>
      <c r="B1772" s="55"/>
      <c r="C1772" s="65"/>
      <c r="D1772" s="65"/>
      <c r="E1772" s="65"/>
      <c r="F1772" s="65"/>
      <c r="G1772" s="65"/>
      <c r="I1772" s="5"/>
      <c r="J1772" s="5"/>
    </row>
    <row r="1773" spans="1:10" x14ac:dyDescent="0.2">
      <c r="A1773" s="55"/>
      <c r="B1773" s="55"/>
      <c r="C1773" s="65"/>
      <c r="D1773" s="65"/>
      <c r="E1773" s="65"/>
      <c r="F1773" s="65"/>
      <c r="G1773" s="65"/>
      <c r="I1773" s="5"/>
      <c r="J1773" s="5"/>
    </row>
    <row r="1774" spans="1:10" x14ac:dyDescent="0.2">
      <c r="A1774" s="55"/>
      <c r="B1774" s="55"/>
      <c r="C1774" s="65"/>
      <c r="D1774" s="65"/>
      <c r="E1774" s="65"/>
      <c r="F1774" s="65"/>
      <c r="G1774" s="65"/>
      <c r="I1774" s="5"/>
      <c r="J1774" s="5"/>
    </row>
    <row r="1775" spans="1:10" x14ac:dyDescent="0.2">
      <c r="A1775" s="55"/>
      <c r="B1775" s="55"/>
      <c r="C1775" s="65"/>
      <c r="D1775" s="65"/>
      <c r="E1775" s="65"/>
      <c r="F1775" s="65"/>
      <c r="G1775" s="65"/>
      <c r="I1775" s="5"/>
      <c r="J1775" s="5"/>
    </row>
    <row r="1776" spans="1:10" x14ac:dyDescent="0.2">
      <c r="A1776" s="55"/>
      <c r="B1776" s="55"/>
      <c r="C1776" s="65"/>
      <c r="D1776" s="65"/>
      <c r="E1776" s="65"/>
      <c r="F1776" s="65"/>
      <c r="G1776" s="65"/>
      <c r="I1776" s="5"/>
      <c r="J1776" s="5"/>
    </row>
    <row r="1777" spans="1:10" x14ac:dyDescent="0.2">
      <c r="A1777" s="55"/>
      <c r="B1777" s="55"/>
      <c r="C1777" s="65"/>
      <c r="D1777" s="65"/>
      <c r="E1777" s="65"/>
      <c r="F1777" s="65"/>
      <c r="G1777" s="65"/>
      <c r="I1777" s="5"/>
      <c r="J1777" s="5"/>
    </row>
    <row r="1778" spans="1:10" x14ac:dyDescent="0.2">
      <c r="A1778" s="55"/>
      <c r="B1778" s="55"/>
      <c r="C1778" s="65"/>
      <c r="D1778" s="65"/>
      <c r="E1778" s="65"/>
      <c r="F1778" s="65"/>
      <c r="G1778" s="65"/>
      <c r="I1778" s="5"/>
      <c r="J1778" s="5"/>
    </row>
    <row r="1779" spans="1:10" x14ac:dyDescent="0.2">
      <c r="A1779" s="55"/>
      <c r="B1779" s="55"/>
      <c r="C1779" s="65"/>
      <c r="D1779" s="65"/>
      <c r="E1779" s="65"/>
      <c r="F1779" s="65"/>
      <c r="G1779" s="65"/>
      <c r="I1779" s="5"/>
      <c r="J1779" s="5"/>
    </row>
    <row r="1780" spans="1:10" x14ac:dyDescent="0.2">
      <c r="A1780" s="55"/>
      <c r="B1780" s="55"/>
      <c r="C1780" s="65"/>
      <c r="D1780" s="65"/>
      <c r="E1780" s="65"/>
      <c r="F1780" s="65"/>
      <c r="G1780" s="65"/>
      <c r="I1780" s="5"/>
      <c r="J1780" s="5"/>
    </row>
    <row r="1781" spans="1:10" x14ac:dyDescent="0.2">
      <c r="A1781" s="55"/>
      <c r="B1781" s="55"/>
      <c r="C1781" s="65"/>
      <c r="D1781" s="65"/>
      <c r="E1781" s="65"/>
      <c r="F1781" s="65"/>
      <c r="G1781" s="65"/>
      <c r="I1781" s="5"/>
      <c r="J1781" s="5"/>
    </row>
    <row r="1782" spans="1:10" x14ac:dyDescent="0.2">
      <c r="A1782" s="55"/>
      <c r="B1782" s="55"/>
      <c r="C1782" s="65"/>
      <c r="D1782" s="65"/>
      <c r="E1782" s="65"/>
      <c r="F1782" s="65"/>
      <c r="G1782" s="65"/>
      <c r="I1782" s="5"/>
      <c r="J1782" s="5"/>
    </row>
    <row r="1783" spans="1:10" x14ac:dyDescent="0.2">
      <c r="A1783" s="55"/>
      <c r="B1783" s="55"/>
      <c r="C1783" s="65"/>
      <c r="D1783" s="65"/>
      <c r="E1783" s="65"/>
      <c r="F1783" s="65"/>
      <c r="G1783" s="65"/>
      <c r="I1783" s="5"/>
      <c r="J1783" s="5"/>
    </row>
    <row r="1784" spans="1:10" x14ac:dyDescent="0.2">
      <c r="A1784" s="55"/>
      <c r="B1784" s="55"/>
      <c r="C1784" s="65"/>
      <c r="D1784" s="65"/>
      <c r="E1784" s="65"/>
      <c r="F1784" s="65"/>
      <c r="G1784" s="65"/>
      <c r="I1784" s="5"/>
      <c r="J1784" s="5"/>
    </row>
    <row r="1785" spans="1:10" x14ac:dyDescent="0.2">
      <c r="A1785" s="55"/>
      <c r="B1785" s="55"/>
      <c r="C1785" s="65"/>
      <c r="D1785" s="65"/>
      <c r="E1785" s="65"/>
      <c r="F1785" s="65"/>
      <c r="G1785" s="65"/>
      <c r="I1785" s="5"/>
      <c r="J1785" s="5"/>
    </row>
    <row r="1786" spans="1:10" x14ac:dyDescent="0.2">
      <c r="A1786" s="55"/>
      <c r="B1786" s="55"/>
      <c r="C1786" s="65"/>
      <c r="D1786" s="65"/>
      <c r="E1786" s="65"/>
      <c r="F1786" s="65"/>
      <c r="G1786" s="65"/>
      <c r="I1786" s="5"/>
      <c r="J1786" s="5"/>
    </row>
    <row r="1787" spans="1:10" x14ac:dyDescent="0.2">
      <c r="A1787" s="55"/>
      <c r="B1787" s="55"/>
      <c r="C1787" s="65"/>
      <c r="D1787" s="65"/>
      <c r="E1787" s="65"/>
      <c r="F1787" s="65"/>
      <c r="G1787" s="65"/>
      <c r="I1787" s="5"/>
      <c r="J1787" s="5"/>
    </row>
    <row r="1788" spans="1:10" x14ac:dyDescent="0.2">
      <c r="A1788" s="55"/>
      <c r="B1788" s="55"/>
      <c r="C1788" s="65"/>
      <c r="D1788" s="65"/>
      <c r="E1788" s="65"/>
      <c r="F1788" s="65"/>
      <c r="G1788" s="65"/>
      <c r="I1788" s="5"/>
      <c r="J1788" s="5"/>
    </row>
    <row r="1789" spans="1:10" x14ac:dyDescent="0.2">
      <c r="A1789" s="55"/>
      <c r="B1789" s="55"/>
      <c r="C1789" s="65"/>
      <c r="D1789" s="65"/>
      <c r="E1789" s="65"/>
      <c r="F1789" s="65"/>
      <c r="G1789" s="65"/>
      <c r="I1789" s="5"/>
      <c r="J1789" s="5"/>
    </row>
    <row r="1790" spans="1:10" x14ac:dyDescent="0.2">
      <c r="A1790" s="55"/>
      <c r="B1790" s="55"/>
      <c r="C1790" s="65"/>
      <c r="D1790" s="65"/>
      <c r="E1790" s="65"/>
      <c r="F1790" s="65"/>
      <c r="G1790" s="65"/>
      <c r="I1790" s="5"/>
      <c r="J1790" s="5"/>
    </row>
    <row r="1791" spans="1:10" x14ac:dyDescent="0.2">
      <c r="A1791" s="55"/>
      <c r="B1791" s="55"/>
      <c r="C1791" s="65"/>
      <c r="D1791" s="65"/>
      <c r="E1791" s="65"/>
      <c r="F1791" s="65"/>
      <c r="G1791" s="65"/>
      <c r="I1791" s="5"/>
      <c r="J1791" s="5"/>
    </row>
    <row r="1792" spans="1:10" x14ac:dyDescent="0.2">
      <c r="A1792" s="55"/>
      <c r="B1792" s="55"/>
      <c r="C1792" s="65"/>
      <c r="D1792" s="65"/>
      <c r="E1792" s="65"/>
      <c r="F1792" s="65"/>
      <c r="G1792" s="65"/>
      <c r="I1792" s="5"/>
      <c r="J1792" s="5"/>
    </row>
    <row r="1793" spans="1:10" x14ac:dyDescent="0.2">
      <c r="A1793" s="55"/>
      <c r="B1793" s="55"/>
      <c r="C1793" s="65"/>
      <c r="D1793" s="65"/>
      <c r="E1793" s="65"/>
      <c r="F1793" s="65"/>
      <c r="G1793" s="65"/>
      <c r="I1793" s="5"/>
      <c r="J1793" s="5"/>
    </row>
    <row r="1794" spans="1:10" x14ac:dyDescent="0.2">
      <c r="A1794" s="55"/>
      <c r="B1794" s="55"/>
      <c r="C1794" s="65"/>
      <c r="D1794" s="65"/>
      <c r="E1794" s="65"/>
      <c r="F1794" s="65"/>
      <c r="G1794" s="65"/>
      <c r="I1794" s="5"/>
      <c r="J1794" s="5"/>
    </row>
    <row r="1795" spans="1:10" x14ac:dyDescent="0.2">
      <c r="A1795" s="55"/>
      <c r="B1795" s="55"/>
      <c r="C1795" s="65"/>
      <c r="D1795" s="65"/>
      <c r="E1795" s="65"/>
      <c r="F1795" s="65"/>
      <c r="G1795" s="65"/>
      <c r="I1795" s="5"/>
      <c r="J1795" s="5"/>
    </row>
    <row r="1796" spans="1:10" x14ac:dyDescent="0.2">
      <c r="A1796" s="55"/>
      <c r="B1796" s="55"/>
      <c r="C1796" s="65"/>
      <c r="D1796" s="65"/>
      <c r="E1796" s="65"/>
      <c r="F1796" s="65"/>
      <c r="G1796" s="65"/>
      <c r="I1796" s="5"/>
      <c r="J1796" s="5"/>
    </row>
    <row r="1797" spans="1:10" x14ac:dyDescent="0.2">
      <c r="A1797" s="55"/>
      <c r="B1797" s="55"/>
      <c r="C1797" s="65"/>
      <c r="D1797" s="65"/>
      <c r="E1797" s="65"/>
      <c r="F1797" s="65"/>
      <c r="G1797" s="65"/>
      <c r="I1797" s="5"/>
      <c r="J1797" s="5"/>
    </row>
    <row r="1798" spans="1:10" x14ac:dyDescent="0.2">
      <c r="A1798" s="55"/>
      <c r="B1798" s="55"/>
      <c r="C1798" s="65"/>
      <c r="D1798" s="65"/>
      <c r="E1798" s="65"/>
      <c r="F1798" s="65"/>
      <c r="G1798" s="65"/>
      <c r="I1798" s="5"/>
      <c r="J1798" s="5"/>
    </row>
    <row r="1799" spans="1:10" x14ac:dyDescent="0.2">
      <c r="A1799" s="55"/>
      <c r="B1799" s="55"/>
      <c r="C1799" s="65"/>
      <c r="D1799" s="65"/>
      <c r="E1799" s="65"/>
      <c r="F1799" s="65"/>
      <c r="G1799" s="65"/>
      <c r="I1799" s="5"/>
      <c r="J1799" s="5"/>
    </row>
    <row r="1800" spans="1:10" x14ac:dyDescent="0.2">
      <c r="A1800" s="55"/>
      <c r="B1800" s="55"/>
      <c r="C1800" s="65"/>
      <c r="D1800" s="65"/>
      <c r="E1800" s="65"/>
      <c r="F1800" s="65"/>
      <c r="G1800" s="65"/>
      <c r="I1800" s="5"/>
      <c r="J1800" s="5"/>
    </row>
    <row r="1801" spans="1:10" x14ac:dyDescent="0.2">
      <c r="A1801" s="55"/>
      <c r="B1801" s="55"/>
      <c r="C1801" s="65"/>
      <c r="D1801" s="65"/>
      <c r="E1801" s="65"/>
      <c r="F1801" s="65"/>
      <c r="G1801" s="65"/>
      <c r="I1801" s="5"/>
      <c r="J1801" s="5"/>
    </row>
    <row r="1802" spans="1:10" x14ac:dyDescent="0.2">
      <c r="A1802" s="55"/>
      <c r="B1802" s="55"/>
      <c r="C1802" s="65"/>
      <c r="D1802" s="65"/>
      <c r="E1802" s="65"/>
      <c r="F1802" s="65"/>
      <c r="G1802" s="65"/>
      <c r="I1802" s="5"/>
      <c r="J1802" s="5"/>
    </row>
    <row r="1803" spans="1:10" x14ac:dyDescent="0.2">
      <c r="A1803" s="55"/>
      <c r="B1803" s="55"/>
      <c r="C1803" s="65"/>
      <c r="D1803" s="65"/>
      <c r="E1803" s="65"/>
      <c r="F1803" s="65"/>
      <c r="G1803" s="65"/>
      <c r="I1803" s="5"/>
      <c r="J1803" s="5"/>
    </row>
    <row r="1804" spans="1:10" x14ac:dyDescent="0.2">
      <c r="A1804" s="55"/>
      <c r="B1804" s="55"/>
      <c r="C1804" s="65"/>
      <c r="D1804" s="65"/>
      <c r="E1804" s="65"/>
      <c r="F1804" s="65"/>
      <c r="G1804" s="65"/>
      <c r="I1804" s="5"/>
      <c r="J1804" s="5"/>
    </row>
    <row r="1805" spans="1:10" x14ac:dyDescent="0.2">
      <c r="A1805" s="55"/>
      <c r="B1805" s="55"/>
      <c r="C1805" s="65"/>
      <c r="D1805" s="65"/>
      <c r="E1805" s="65"/>
      <c r="F1805" s="65"/>
      <c r="G1805" s="65"/>
      <c r="I1805" s="5"/>
      <c r="J1805" s="5"/>
    </row>
    <row r="1806" spans="1:10" x14ac:dyDescent="0.2">
      <c r="A1806" s="55"/>
      <c r="B1806" s="55"/>
      <c r="C1806" s="65"/>
      <c r="D1806" s="65"/>
      <c r="E1806" s="65"/>
      <c r="F1806" s="65"/>
      <c r="G1806" s="65"/>
      <c r="I1806" s="5"/>
      <c r="J1806" s="5"/>
    </row>
    <row r="1807" spans="1:10" x14ac:dyDescent="0.2">
      <c r="A1807" s="55"/>
      <c r="B1807" s="55"/>
      <c r="C1807" s="65"/>
      <c r="D1807" s="65"/>
      <c r="E1807" s="65"/>
      <c r="F1807" s="65"/>
      <c r="G1807" s="65"/>
      <c r="I1807" s="5"/>
      <c r="J1807" s="5"/>
    </row>
    <row r="1808" spans="1:10" x14ac:dyDescent="0.2">
      <c r="A1808" s="55"/>
      <c r="B1808" s="55"/>
      <c r="C1808" s="65"/>
      <c r="D1808" s="65"/>
      <c r="E1808" s="65"/>
      <c r="F1808" s="65"/>
      <c r="G1808" s="65"/>
      <c r="I1808" s="5"/>
      <c r="J1808" s="5"/>
    </row>
    <row r="1809" spans="1:10" x14ac:dyDescent="0.2">
      <c r="A1809" s="55"/>
      <c r="B1809" s="55"/>
      <c r="C1809" s="65"/>
      <c r="D1809" s="65"/>
      <c r="E1809" s="65"/>
      <c r="F1809" s="65"/>
      <c r="G1809" s="65"/>
      <c r="I1809" s="5"/>
      <c r="J1809" s="5"/>
    </row>
    <row r="1810" spans="1:10" x14ac:dyDescent="0.2">
      <c r="A1810" s="55"/>
      <c r="B1810" s="55"/>
      <c r="C1810" s="65"/>
      <c r="D1810" s="65"/>
      <c r="E1810" s="65"/>
      <c r="F1810" s="65"/>
      <c r="G1810" s="65"/>
      <c r="I1810" s="5"/>
      <c r="J1810" s="5"/>
    </row>
    <row r="1811" spans="1:10" x14ac:dyDescent="0.2">
      <c r="A1811" s="55"/>
      <c r="B1811" s="55"/>
      <c r="C1811" s="65"/>
      <c r="D1811" s="65"/>
      <c r="E1811" s="65"/>
      <c r="F1811" s="65"/>
      <c r="G1811" s="65"/>
      <c r="I1811" s="5"/>
      <c r="J1811" s="5"/>
    </row>
    <row r="1812" spans="1:10" x14ac:dyDescent="0.2">
      <c r="A1812" s="55"/>
      <c r="B1812" s="55"/>
      <c r="C1812" s="65"/>
      <c r="D1812" s="65"/>
      <c r="E1812" s="65"/>
      <c r="F1812" s="65"/>
      <c r="G1812" s="65"/>
      <c r="I1812" s="5"/>
      <c r="J1812" s="5"/>
    </row>
    <row r="1813" spans="1:10" x14ac:dyDescent="0.2">
      <c r="A1813" s="55"/>
      <c r="B1813" s="55"/>
      <c r="C1813" s="65"/>
      <c r="D1813" s="65"/>
      <c r="E1813" s="65"/>
      <c r="F1813" s="65"/>
      <c r="G1813" s="65"/>
      <c r="I1813" s="5"/>
      <c r="J1813" s="5"/>
    </row>
    <row r="1814" spans="1:10" x14ac:dyDescent="0.2">
      <c r="A1814" s="55"/>
      <c r="B1814" s="55"/>
      <c r="C1814" s="65"/>
      <c r="D1814" s="65"/>
      <c r="E1814" s="65"/>
      <c r="F1814" s="65"/>
      <c r="G1814" s="65"/>
      <c r="I1814" s="5"/>
      <c r="J1814" s="5"/>
    </row>
    <row r="1815" spans="1:10" x14ac:dyDescent="0.2">
      <c r="A1815" s="55"/>
      <c r="B1815" s="55"/>
      <c r="C1815" s="65"/>
      <c r="D1815" s="65"/>
      <c r="E1815" s="65"/>
      <c r="F1815" s="65"/>
      <c r="G1815" s="65"/>
      <c r="I1815" s="5"/>
      <c r="J1815" s="5"/>
    </row>
    <row r="1816" spans="1:10" x14ac:dyDescent="0.2">
      <c r="A1816" s="55"/>
      <c r="B1816" s="55"/>
      <c r="C1816" s="65"/>
      <c r="D1816" s="65"/>
      <c r="E1816" s="65"/>
      <c r="F1816" s="65"/>
      <c r="G1816" s="65"/>
      <c r="I1816" s="5"/>
      <c r="J1816" s="5"/>
    </row>
    <row r="1817" spans="1:10" x14ac:dyDescent="0.2">
      <c r="A1817" s="55"/>
      <c r="B1817" s="55"/>
      <c r="C1817" s="65"/>
      <c r="D1817" s="65"/>
      <c r="E1817" s="65"/>
      <c r="F1817" s="65"/>
      <c r="G1817" s="65"/>
      <c r="I1817" s="5"/>
      <c r="J1817" s="5"/>
    </row>
    <row r="1818" spans="1:10" x14ac:dyDescent="0.2">
      <c r="A1818" s="55"/>
      <c r="B1818" s="55"/>
      <c r="C1818" s="65"/>
      <c r="D1818" s="65"/>
      <c r="E1818" s="65"/>
      <c r="F1818" s="65"/>
      <c r="G1818" s="65"/>
      <c r="I1818" s="5"/>
      <c r="J1818" s="5"/>
    </row>
    <row r="1819" spans="1:10" x14ac:dyDescent="0.2">
      <c r="A1819" s="55"/>
      <c r="B1819" s="55"/>
      <c r="C1819" s="65"/>
      <c r="D1819" s="65"/>
      <c r="E1819" s="65"/>
      <c r="F1819" s="65"/>
      <c r="G1819" s="65"/>
      <c r="I1819" s="5"/>
      <c r="J1819" s="5"/>
    </row>
    <row r="1820" spans="1:10" x14ac:dyDescent="0.2">
      <c r="A1820" s="55"/>
      <c r="B1820" s="55"/>
      <c r="C1820" s="65"/>
      <c r="D1820" s="65"/>
      <c r="E1820" s="65"/>
      <c r="F1820" s="65"/>
      <c r="G1820" s="65"/>
      <c r="I1820" s="5"/>
      <c r="J1820" s="5"/>
    </row>
    <row r="1821" spans="1:10" x14ac:dyDescent="0.2">
      <c r="A1821" s="55"/>
      <c r="B1821" s="55"/>
      <c r="C1821" s="65"/>
      <c r="D1821" s="65"/>
      <c r="E1821" s="65"/>
      <c r="F1821" s="65"/>
      <c r="G1821" s="65"/>
      <c r="I1821" s="5"/>
      <c r="J1821" s="5"/>
    </row>
    <row r="1822" spans="1:10" x14ac:dyDescent="0.2">
      <c r="A1822" s="55"/>
      <c r="B1822" s="55"/>
      <c r="C1822" s="65"/>
      <c r="D1822" s="65"/>
      <c r="E1822" s="65"/>
      <c r="F1822" s="65"/>
      <c r="G1822" s="65"/>
      <c r="I1822" s="5"/>
      <c r="J1822" s="5"/>
    </row>
    <row r="1823" spans="1:10" x14ac:dyDescent="0.2">
      <c r="A1823" s="55"/>
      <c r="B1823" s="55"/>
      <c r="C1823" s="65"/>
      <c r="D1823" s="65"/>
      <c r="E1823" s="65"/>
      <c r="F1823" s="65"/>
      <c r="G1823" s="65"/>
      <c r="I1823" s="5"/>
      <c r="J1823" s="5"/>
    </row>
    <row r="1824" spans="1:10" x14ac:dyDescent="0.2">
      <c r="A1824" s="55"/>
      <c r="B1824" s="55"/>
      <c r="C1824" s="65"/>
      <c r="D1824" s="65"/>
      <c r="E1824" s="65"/>
      <c r="F1824" s="65"/>
      <c r="G1824" s="65"/>
      <c r="I1824" s="5"/>
      <c r="J1824" s="5"/>
    </row>
    <row r="1825" spans="1:10" x14ac:dyDescent="0.2">
      <c r="A1825" s="55"/>
      <c r="B1825" s="55"/>
      <c r="C1825" s="65"/>
      <c r="D1825" s="65"/>
      <c r="E1825" s="65"/>
      <c r="F1825" s="65"/>
      <c r="G1825" s="65"/>
      <c r="I1825" s="5"/>
      <c r="J1825" s="5"/>
    </row>
    <row r="1826" spans="1:10" x14ac:dyDescent="0.2">
      <c r="A1826" s="55"/>
      <c r="B1826" s="55"/>
      <c r="C1826" s="65"/>
      <c r="D1826" s="65"/>
      <c r="E1826" s="65"/>
      <c r="F1826" s="65"/>
      <c r="G1826" s="65"/>
      <c r="I1826" s="5"/>
      <c r="J1826" s="5"/>
    </row>
    <row r="1827" spans="1:10" x14ac:dyDescent="0.2">
      <c r="A1827" s="55"/>
      <c r="B1827" s="55"/>
      <c r="C1827" s="65"/>
      <c r="D1827" s="65"/>
      <c r="E1827" s="65"/>
      <c r="F1827" s="65"/>
      <c r="G1827" s="65"/>
      <c r="I1827" s="5"/>
      <c r="J1827" s="5"/>
    </row>
    <row r="1828" spans="1:10" x14ac:dyDescent="0.2">
      <c r="A1828" s="55"/>
      <c r="B1828" s="55"/>
      <c r="C1828" s="65"/>
      <c r="D1828" s="65"/>
      <c r="E1828" s="65"/>
      <c r="F1828" s="65"/>
      <c r="G1828" s="65"/>
      <c r="I1828" s="5"/>
      <c r="J1828" s="5"/>
    </row>
    <row r="1829" spans="1:10" x14ac:dyDescent="0.2">
      <c r="A1829" s="55"/>
      <c r="B1829" s="55"/>
      <c r="C1829" s="65"/>
      <c r="D1829" s="65"/>
      <c r="E1829" s="65"/>
      <c r="F1829" s="65"/>
      <c r="G1829" s="65"/>
      <c r="I1829" s="5"/>
      <c r="J1829" s="5"/>
    </row>
    <row r="1830" spans="1:10" x14ac:dyDescent="0.2">
      <c r="A1830" s="55"/>
      <c r="B1830" s="55"/>
      <c r="C1830" s="65"/>
      <c r="D1830" s="65"/>
      <c r="E1830" s="65"/>
      <c r="F1830" s="65"/>
      <c r="G1830" s="65"/>
      <c r="I1830" s="5"/>
      <c r="J1830" s="5"/>
    </row>
    <row r="1831" spans="1:10" x14ac:dyDescent="0.2">
      <c r="A1831" s="55"/>
      <c r="B1831" s="55"/>
      <c r="C1831" s="65"/>
      <c r="D1831" s="65"/>
      <c r="E1831" s="65"/>
      <c r="F1831" s="65"/>
      <c r="G1831" s="65"/>
      <c r="I1831" s="5"/>
      <c r="J1831" s="5"/>
    </row>
    <row r="1832" spans="1:10" x14ac:dyDescent="0.2">
      <c r="A1832" s="55"/>
      <c r="B1832" s="55"/>
      <c r="C1832" s="65"/>
      <c r="D1832" s="65"/>
      <c r="E1832" s="65"/>
      <c r="F1832" s="65"/>
      <c r="G1832" s="65"/>
      <c r="I1832" s="5"/>
      <c r="J1832" s="5"/>
    </row>
    <row r="1833" spans="1:10" x14ac:dyDescent="0.2">
      <c r="A1833" s="55"/>
      <c r="B1833" s="55"/>
      <c r="C1833" s="65"/>
      <c r="D1833" s="65"/>
      <c r="E1833" s="65"/>
      <c r="F1833" s="65"/>
      <c r="G1833" s="65"/>
      <c r="I1833" s="5"/>
      <c r="J1833" s="5"/>
    </row>
    <row r="1834" spans="1:10" x14ac:dyDescent="0.2">
      <c r="A1834" s="55"/>
      <c r="B1834" s="55"/>
      <c r="C1834" s="65"/>
      <c r="D1834" s="65"/>
      <c r="E1834" s="65"/>
      <c r="F1834" s="65"/>
      <c r="G1834" s="65"/>
      <c r="I1834" s="5"/>
      <c r="J1834" s="5"/>
    </row>
    <row r="1835" spans="1:10" x14ac:dyDescent="0.2">
      <c r="A1835" s="55"/>
      <c r="B1835" s="55"/>
      <c r="C1835" s="65"/>
      <c r="D1835" s="65"/>
      <c r="E1835" s="65"/>
      <c r="F1835" s="65"/>
      <c r="G1835" s="65"/>
      <c r="I1835" s="5"/>
      <c r="J1835" s="5"/>
    </row>
    <row r="1836" spans="1:10" x14ac:dyDescent="0.2">
      <c r="A1836" s="55"/>
      <c r="B1836" s="55"/>
      <c r="C1836" s="65"/>
      <c r="D1836" s="65"/>
      <c r="E1836" s="65"/>
      <c r="F1836" s="65"/>
      <c r="G1836" s="65"/>
      <c r="I1836" s="5"/>
      <c r="J1836" s="5"/>
    </row>
    <row r="1837" spans="1:10" x14ac:dyDescent="0.2">
      <c r="A1837" s="55"/>
      <c r="B1837" s="55"/>
      <c r="C1837" s="65"/>
      <c r="D1837" s="65"/>
      <c r="E1837" s="65"/>
      <c r="F1837" s="65"/>
      <c r="G1837" s="65"/>
      <c r="I1837" s="5"/>
      <c r="J1837" s="5"/>
    </row>
    <row r="1838" spans="1:10" x14ac:dyDescent="0.2">
      <c r="A1838" s="55"/>
      <c r="B1838" s="55"/>
      <c r="C1838" s="65"/>
      <c r="D1838" s="65"/>
      <c r="E1838" s="65"/>
      <c r="F1838" s="65"/>
      <c r="G1838" s="65"/>
      <c r="I1838" s="5"/>
      <c r="J1838" s="5"/>
    </row>
    <row r="1839" spans="1:10" x14ac:dyDescent="0.2">
      <c r="A1839" s="55"/>
      <c r="B1839" s="55"/>
      <c r="C1839" s="65"/>
      <c r="D1839" s="65"/>
      <c r="E1839" s="65"/>
      <c r="F1839" s="65"/>
      <c r="G1839" s="65"/>
      <c r="I1839" s="5"/>
      <c r="J1839" s="5"/>
    </row>
    <row r="1840" spans="1:10" x14ac:dyDescent="0.2">
      <c r="A1840" s="55"/>
      <c r="B1840" s="55"/>
      <c r="C1840" s="65"/>
      <c r="D1840" s="65"/>
      <c r="E1840" s="65"/>
      <c r="F1840" s="65"/>
      <c r="G1840" s="65"/>
      <c r="I1840" s="5"/>
      <c r="J1840" s="5"/>
    </row>
    <row r="1841" spans="1:10" x14ac:dyDescent="0.2">
      <c r="A1841" s="55"/>
      <c r="B1841" s="55"/>
      <c r="C1841" s="65"/>
      <c r="D1841" s="65"/>
      <c r="E1841" s="65"/>
      <c r="F1841" s="65"/>
      <c r="G1841" s="65"/>
      <c r="I1841" s="5"/>
      <c r="J1841" s="5"/>
    </row>
    <row r="1842" spans="1:10" x14ac:dyDescent="0.2">
      <c r="A1842" s="55"/>
      <c r="B1842" s="55"/>
      <c r="C1842" s="65"/>
      <c r="D1842" s="65"/>
      <c r="E1842" s="65"/>
      <c r="F1842" s="65"/>
      <c r="G1842" s="65"/>
      <c r="I1842" s="5"/>
      <c r="J1842" s="5"/>
    </row>
    <row r="1843" spans="1:10" x14ac:dyDescent="0.2">
      <c r="A1843" s="55"/>
      <c r="B1843" s="55"/>
      <c r="C1843" s="65"/>
      <c r="D1843" s="65"/>
      <c r="E1843" s="65"/>
      <c r="F1843" s="65"/>
      <c r="G1843" s="65"/>
      <c r="I1843" s="5"/>
      <c r="J1843" s="5"/>
    </row>
    <row r="1844" spans="1:10" x14ac:dyDescent="0.2">
      <c r="A1844" s="55"/>
      <c r="B1844" s="55"/>
      <c r="C1844" s="65"/>
      <c r="D1844" s="65"/>
      <c r="E1844" s="65"/>
      <c r="F1844" s="65"/>
      <c r="G1844" s="65"/>
      <c r="I1844" s="5"/>
      <c r="J1844" s="5"/>
    </row>
    <row r="1845" spans="1:10" x14ac:dyDescent="0.2">
      <c r="A1845" s="55"/>
      <c r="B1845" s="55"/>
      <c r="C1845" s="65"/>
      <c r="D1845" s="65"/>
      <c r="E1845" s="65"/>
      <c r="F1845" s="65"/>
      <c r="G1845" s="65"/>
      <c r="I1845" s="5"/>
      <c r="J1845" s="5"/>
    </row>
    <row r="1846" spans="1:10" x14ac:dyDescent="0.2">
      <c r="A1846" s="55"/>
      <c r="B1846" s="55"/>
      <c r="C1846" s="65"/>
      <c r="D1846" s="65"/>
      <c r="E1846" s="65"/>
      <c r="F1846" s="65"/>
      <c r="G1846" s="65"/>
      <c r="I1846" s="5"/>
      <c r="J1846" s="5"/>
    </row>
    <row r="1847" spans="1:10" x14ac:dyDescent="0.2">
      <c r="A1847" s="55"/>
      <c r="B1847" s="55"/>
      <c r="C1847" s="65"/>
      <c r="D1847" s="65"/>
      <c r="E1847" s="65"/>
      <c r="F1847" s="65"/>
      <c r="G1847" s="65"/>
      <c r="I1847" s="5"/>
      <c r="J1847" s="5"/>
    </row>
    <row r="1848" spans="1:10" x14ac:dyDescent="0.2">
      <c r="A1848" s="55"/>
      <c r="B1848" s="55"/>
      <c r="C1848" s="65"/>
      <c r="D1848" s="65"/>
      <c r="E1848" s="65"/>
      <c r="F1848" s="65"/>
      <c r="G1848" s="65"/>
      <c r="I1848" s="5"/>
      <c r="J1848" s="5"/>
    </row>
    <row r="1849" spans="1:10" x14ac:dyDescent="0.2">
      <c r="A1849" s="55"/>
      <c r="B1849" s="55"/>
      <c r="C1849" s="65"/>
      <c r="D1849" s="65"/>
      <c r="E1849" s="65"/>
      <c r="F1849" s="65"/>
      <c r="G1849" s="65"/>
      <c r="I1849" s="5"/>
      <c r="J1849" s="5"/>
    </row>
    <row r="1850" spans="1:10" x14ac:dyDescent="0.2">
      <c r="A1850" s="55"/>
      <c r="B1850" s="55"/>
      <c r="C1850" s="65"/>
      <c r="D1850" s="65"/>
      <c r="E1850" s="65"/>
      <c r="F1850" s="65"/>
      <c r="G1850" s="65"/>
      <c r="I1850" s="5"/>
      <c r="J1850" s="5"/>
    </row>
    <row r="1851" spans="1:10" x14ac:dyDescent="0.2">
      <c r="A1851" s="55"/>
      <c r="B1851" s="55"/>
      <c r="C1851" s="65"/>
      <c r="D1851" s="65"/>
      <c r="E1851" s="65"/>
      <c r="F1851" s="65"/>
      <c r="G1851" s="65"/>
      <c r="I1851" s="5"/>
      <c r="J1851" s="5"/>
    </row>
    <row r="1852" spans="1:10" x14ac:dyDescent="0.2">
      <c r="A1852" s="55"/>
      <c r="B1852" s="55"/>
      <c r="C1852" s="65"/>
      <c r="D1852" s="65"/>
      <c r="E1852" s="65"/>
      <c r="F1852" s="65"/>
      <c r="G1852" s="65"/>
      <c r="I1852" s="5"/>
      <c r="J1852" s="5"/>
    </row>
    <row r="1853" spans="1:10" x14ac:dyDescent="0.2">
      <c r="A1853" s="55"/>
      <c r="B1853" s="55"/>
      <c r="C1853" s="65"/>
      <c r="D1853" s="65"/>
      <c r="E1853" s="65"/>
      <c r="F1853" s="65"/>
      <c r="G1853" s="65"/>
      <c r="I1853" s="5"/>
      <c r="J1853" s="5"/>
    </row>
    <row r="1854" spans="1:10" x14ac:dyDescent="0.2">
      <c r="A1854" s="55"/>
      <c r="B1854" s="55"/>
      <c r="C1854" s="65"/>
      <c r="D1854" s="65"/>
      <c r="E1854" s="65"/>
      <c r="F1854" s="65"/>
      <c r="G1854" s="65"/>
      <c r="I1854" s="5"/>
      <c r="J1854" s="5"/>
    </row>
    <row r="1855" spans="1:10" x14ac:dyDescent="0.2">
      <c r="A1855" s="55"/>
      <c r="B1855" s="55"/>
      <c r="C1855" s="65"/>
      <c r="D1855" s="65"/>
      <c r="E1855" s="65"/>
      <c r="F1855" s="65"/>
      <c r="G1855" s="65"/>
      <c r="I1855" s="5"/>
      <c r="J1855" s="5"/>
    </row>
    <row r="1856" spans="1:10" x14ac:dyDescent="0.2">
      <c r="A1856" s="55"/>
      <c r="B1856" s="55"/>
      <c r="C1856" s="65"/>
      <c r="D1856" s="65"/>
      <c r="E1856" s="65"/>
      <c r="F1856" s="65"/>
      <c r="G1856" s="65"/>
      <c r="I1856" s="5"/>
      <c r="J1856" s="5"/>
    </row>
    <row r="1857" spans="1:10" x14ac:dyDescent="0.2">
      <c r="A1857" s="55"/>
      <c r="B1857" s="55"/>
      <c r="C1857" s="65"/>
      <c r="D1857" s="65"/>
      <c r="E1857" s="65"/>
      <c r="F1857" s="65"/>
      <c r="G1857" s="65"/>
      <c r="I1857" s="5"/>
      <c r="J1857" s="5"/>
    </row>
    <row r="1858" spans="1:10" x14ac:dyDescent="0.2">
      <c r="A1858" s="55"/>
      <c r="B1858" s="55"/>
      <c r="C1858" s="65"/>
      <c r="D1858" s="65"/>
      <c r="E1858" s="65"/>
      <c r="F1858" s="65"/>
      <c r="G1858" s="65"/>
      <c r="I1858" s="5"/>
      <c r="J1858" s="5"/>
    </row>
    <row r="1859" spans="1:10" x14ac:dyDescent="0.2">
      <c r="A1859" s="55"/>
      <c r="B1859" s="55"/>
      <c r="C1859" s="65"/>
      <c r="D1859" s="65"/>
      <c r="E1859" s="65"/>
      <c r="F1859" s="65"/>
      <c r="G1859" s="65"/>
      <c r="I1859" s="5"/>
      <c r="J1859" s="5"/>
    </row>
    <row r="1860" spans="1:10" x14ac:dyDescent="0.2">
      <c r="A1860" s="55"/>
      <c r="B1860" s="55"/>
      <c r="C1860" s="65"/>
      <c r="D1860" s="65"/>
      <c r="E1860" s="65"/>
      <c r="F1860" s="65"/>
      <c r="G1860" s="65"/>
      <c r="I1860" s="5"/>
      <c r="J1860" s="5"/>
    </row>
    <row r="1861" spans="1:10" x14ac:dyDescent="0.2">
      <c r="A1861" s="55"/>
      <c r="B1861" s="55"/>
      <c r="C1861" s="65"/>
      <c r="D1861" s="65"/>
      <c r="E1861" s="65"/>
      <c r="F1861" s="65"/>
      <c r="G1861" s="65"/>
      <c r="I1861" s="5"/>
      <c r="J1861" s="5"/>
    </row>
    <row r="1862" spans="1:10" x14ac:dyDescent="0.2">
      <c r="A1862" s="55"/>
      <c r="B1862" s="55"/>
      <c r="C1862" s="65"/>
      <c r="D1862" s="65"/>
      <c r="E1862" s="65"/>
      <c r="F1862" s="65"/>
      <c r="G1862" s="65"/>
      <c r="I1862" s="5"/>
      <c r="J1862" s="5"/>
    </row>
    <row r="1863" spans="1:10" x14ac:dyDescent="0.2">
      <c r="A1863" s="55"/>
      <c r="B1863" s="55"/>
      <c r="C1863" s="65"/>
      <c r="D1863" s="65"/>
      <c r="E1863" s="65"/>
      <c r="F1863" s="65"/>
      <c r="G1863" s="65"/>
      <c r="I1863" s="5"/>
      <c r="J1863" s="5"/>
    </row>
    <row r="1864" spans="1:10" x14ac:dyDescent="0.2">
      <c r="A1864" s="55"/>
      <c r="B1864" s="55"/>
      <c r="C1864" s="65"/>
      <c r="D1864" s="65"/>
      <c r="E1864" s="65"/>
      <c r="F1864" s="65"/>
      <c r="G1864" s="65"/>
      <c r="I1864" s="5"/>
      <c r="J1864" s="5"/>
    </row>
    <row r="1865" spans="1:10" x14ac:dyDescent="0.2">
      <c r="A1865" s="55"/>
      <c r="B1865" s="55"/>
      <c r="C1865" s="65"/>
      <c r="D1865" s="65"/>
      <c r="E1865" s="65"/>
      <c r="F1865" s="65"/>
      <c r="G1865" s="65"/>
      <c r="I1865" s="5"/>
      <c r="J1865" s="5"/>
    </row>
    <row r="1866" spans="1:10" x14ac:dyDescent="0.2">
      <c r="A1866" s="55"/>
      <c r="B1866" s="55"/>
      <c r="C1866" s="65"/>
      <c r="D1866" s="65"/>
      <c r="E1866" s="65"/>
      <c r="F1866" s="65"/>
      <c r="G1866" s="65"/>
      <c r="I1866" s="5"/>
      <c r="J1866" s="5"/>
    </row>
    <row r="1867" spans="1:10" x14ac:dyDescent="0.2">
      <c r="A1867" s="55"/>
      <c r="B1867" s="55"/>
      <c r="C1867" s="65"/>
      <c r="D1867" s="65"/>
      <c r="E1867" s="65"/>
      <c r="F1867" s="65"/>
      <c r="G1867" s="65"/>
      <c r="I1867" s="5"/>
      <c r="J1867" s="5"/>
    </row>
    <row r="1868" spans="1:10" x14ac:dyDescent="0.2">
      <c r="A1868" s="55"/>
      <c r="B1868" s="55"/>
      <c r="C1868" s="65"/>
      <c r="D1868" s="65"/>
      <c r="E1868" s="65"/>
      <c r="F1868" s="65"/>
      <c r="G1868" s="65"/>
      <c r="I1868" s="5"/>
      <c r="J1868" s="5"/>
    </row>
    <row r="1869" spans="1:10" x14ac:dyDescent="0.2">
      <c r="A1869" s="55"/>
      <c r="B1869" s="55"/>
      <c r="C1869" s="65"/>
      <c r="D1869" s="65"/>
      <c r="E1869" s="65"/>
      <c r="F1869" s="65"/>
      <c r="G1869" s="65"/>
      <c r="I1869" s="5"/>
      <c r="J1869" s="5"/>
    </row>
    <row r="1870" spans="1:10" x14ac:dyDescent="0.2">
      <c r="A1870" s="55"/>
      <c r="B1870" s="55"/>
      <c r="C1870" s="65"/>
      <c r="D1870" s="65"/>
      <c r="E1870" s="65"/>
      <c r="F1870" s="65"/>
      <c r="G1870" s="65"/>
      <c r="I1870" s="5"/>
      <c r="J1870" s="5"/>
    </row>
    <row r="1871" spans="1:10" x14ac:dyDescent="0.2">
      <c r="A1871" s="55"/>
      <c r="B1871" s="55"/>
      <c r="C1871" s="65"/>
      <c r="D1871" s="65"/>
      <c r="E1871" s="65"/>
      <c r="F1871" s="65"/>
      <c r="G1871" s="65"/>
      <c r="I1871" s="5"/>
      <c r="J1871" s="5"/>
    </row>
    <row r="1872" spans="1:10" x14ac:dyDescent="0.2">
      <c r="A1872" s="55"/>
      <c r="B1872" s="55"/>
      <c r="C1872" s="65"/>
      <c r="D1872" s="65"/>
      <c r="E1872" s="65"/>
      <c r="F1872" s="65"/>
      <c r="G1872" s="65"/>
      <c r="I1872" s="5"/>
      <c r="J1872" s="5"/>
    </row>
    <row r="1873" spans="1:10" x14ac:dyDescent="0.2">
      <c r="A1873" s="55"/>
      <c r="B1873" s="55"/>
      <c r="C1873" s="65"/>
      <c r="D1873" s="65"/>
      <c r="E1873" s="65"/>
      <c r="F1873" s="65"/>
      <c r="G1873" s="65"/>
      <c r="I1873" s="5"/>
      <c r="J1873" s="5"/>
    </row>
    <row r="1874" spans="1:10" x14ac:dyDescent="0.2">
      <c r="A1874" s="55"/>
      <c r="B1874" s="55"/>
      <c r="C1874" s="65"/>
      <c r="D1874" s="65"/>
      <c r="E1874" s="65"/>
      <c r="F1874" s="65"/>
      <c r="G1874" s="65"/>
      <c r="I1874" s="5"/>
      <c r="J1874" s="5"/>
    </row>
    <row r="1875" spans="1:10" x14ac:dyDescent="0.2">
      <c r="A1875" s="55"/>
      <c r="B1875" s="55"/>
      <c r="C1875" s="65"/>
      <c r="D1875" s="65"/>
      <c r="E1875" s="65"/>
      <c r="F1875" s="65"/>
      <c r="G1875" s="65"/>
      <c r="I1875" s="5"/>
      <c r="J1875" s="5"/>
    </row>
    <row r="1876" spans="1:10" x14ac:dyDescent="0.2">
      <c r="A1876" s="55"/>
      <c r="B1876" s="55"/>
      <c r="C1876" s="65"/>
      <c r="D1876" s="65"/>
      <c r="E1876" s="65"/>
      <c r="F1876" s="65"/>
      <c r="G1876" s="65"/>
      <c r="I1876" s="5"/>
      <c r="J1876" s="5"/>
    </row>
    <row r="1877" spans="1:10" x14ac:dyDescent="0.2">
      <c r="A1877" s="55"/>
      <c r="B1877" s="55"/>
      <c r="C1877" s="65"/>
      <c r="D1877" s="65"/>
      <c r="E1877" s="65"/>
      <c r="F1877" s="65"/>
      <c r="G1877" s="65"/>
      <c r="I1877" s="5"/>
      <c r="J1877" s="5"/>
    </row>
    <row r="1878" spans="1:10" x14ac:dyDescent="0.2">
      <c r="A1878" s="55"/>
      <c r="B1878" s="55"/>
      <c r="C1878" s="65"/>
      <c r="D1878" s="65"/>
      <c r="E1878" s="65"/>
      <c r="F1878" s="65"/>
      <c r="G1878" s="65"/>
      <c r="I1878" s="5"/>
      <c r="J1878" s="5"/>
    </row>
    <row r="1879" spans="1:10" x14ac:dyDescent="0.2">
      <c r="A1879" s="55"/>
      <c r="B1879" s="55"/>
      <c r="C1879" s="65"/>
      <c r="D1879" s="65"/>
      <c r="E1879" s="65"/>
      <c r="F1879" s="65"/>
      <c r="G1879" s="65"/>
      <c r="I1879" s="5"/>
      <c r="J1879" s="5"/>
    </row>
    <row r="1880" spans="1:10" x14ac:dyDescent="0.2">
      <c r="A1880" s="55"/>
      <c r="B1880" s="55"/>
      <c r="C1880" s="65"/>
      <c r="D1880" s="65"/>
      <c r="E1880" s="65"/>
      <c r="F1880" s="65"/>
      <c r="G1880" s="65"/>
      <c r="I1880" s="5"/>
      <c r="J1880" s="5"/>
    </row>
    <row r="1881" spans="1:10" x14ac:dyDescent="0.2">
      <c r="A1881" s="55"/>
      <c r="B1881" s="55"/>
      <c r="C1881" s="65"/>
      <c r="D1881" s="65"/>
      <c r="E1881" s="65"/>
      <c r="F1881" s="65"/>
      <c r="G1881" s="65"/>
      <c r="I1881" s="5"/>
      <c r="J1881" s="5"/>
    </row>
    <row r="1882" spans="1:10" x14ac:dyDescent="0.2">
      <c r="A1882" s="55"/>
      <c r="B1882" s="55"/>
      <c r="C1882" s="65"/>
      <c r="D1882" s="65"/>
      <c r="E1882" s="65"/>
      <c r="F1882" s="65"/>
      <c r="G1882" s="65"/>
      <c r="I1882" s="5"/>
      <c r="J1882" s="5"/>
    </row>
    <row r="1883" spans="1:10" x14ac:dyDescent="0.2">
      <c r="A1883" s="55"/>
      <c r="B1883" s="55"/>
      <c r="C1883" s="65"/>
      <c r="D1883" s="65"/>
      <c r="E1883" s="65"/>
      <c r="F1883" s="65"/>
      <c r="G1883" s="65"/>
      <c r="I1883" s="5"/>
      <c r="J1883" s="5"/>
    </row>
    <row r="1884" spans="1:10" x14ac:dyDescent="0.2">
      <c r="A1884" s="55"/>
      <c r="B1884" s="55"/>
      <c r="C1884" s="65"/>
      <c r="D1884" s="65"/>
      <c r="E1884" s="65"/>
      <c r="F1884" s="65"/>
      <c r="G1884" s="65"/>
      <c r="I1884" s="5"/>
      <c r="J1884" s="5"/>
    </row>
    <row r="1885" spans="1:10" x14ac:dyDescent="0.2">
      <c r="A1885" s="55"/>
      <c r="B1885" s="55"/>
      <c r="C1885" s="65"/>
      <c r="D1885" s="65"/>
      <c r="E1885" s="65"/>
      <c r="F1885" s="65"/>
      <c r="G1885" s="65"/>
      <c r="I1885" s="5"/>
      <c r="J1885" s="5"/>
    </row>
    <row r="1886" spans="1:10" x14ac:dyDescent="0.2">
      <c r="A1886" s="55"/>
      <c r="B1886" s="55"/>
      <c r="C1886" s="65"/>
      <c r="D1886" s="65"/>
      <c r="E1886" s="65"/>
      <c r="F1886" s="65"/>
      <c r="G1886" s="65"/>
      <c r="I1886" s="5"/>
      <c r="J1886" s="5"/>
    </row>
    <row r="1887" spans="1:10" x14ac:dyDescent="0.2">
      <c r="A1887" s="55"/>
      <c r="B1887" s="55"/>
      <c r="C1887" s="65"/>
      <c r="D1887" s="65"/>
      <c r="E1887" s="65"/>
      <c r="F1887" s="65"/>
      <c r="G1887" s="65"/>
      <c r="I1887" s="5"/>
      <c r="J1887" s="5"/>
    </row>
    <row r="1888" spans="1:10" x14ac:dyDescent="0.2">
      <c r="A1888" s="55"/>
      <c r="B1888" s="55"/>
      <c r="C1888" s="65"/>
      <c r="D1888" s="65"/>
      <c r="E1888" s="65"/>
      <c r="F1888" s="65"/>
      <c r="G1888" s="65"/>
      <c r="I1888" s="5"/>
      <c r="J1888" s="5"/>
    </row>
    <row r="1889" spans="1:10" x14ac:dyDescent="0.2">
      <c r="A1889" s="55"/>
      <c r="B1889" s="55"/>
      <c r="C1889" s="65"/>
      <c r="D1889" s="65"/>
      <c r="E1889" s="65"/>
      <c r="F1889" s="65"/>
      <c r="G1889" s="65"/>
      <c r="I1889" s="5"/>
      <c r="J1889" s="5"/>
    </row>
    <row r="1890" spans="1:10" x14ac:dyDescent="0.2">
      <c r="A1890" s="55"/>
      <c r="B1890" s="55"/>
      <c r="C1890" s="65"/>
      <c r="D1890" s="65"/>
      <c r="E1890" s="65"/>
      <c r="F1890" s="65"/>
      <c r="G1890" s="65"/>
      <c r="I1890" s="5"/>
      <c r="J1890" s="5"/>
    </row>
    <row r="1891" spans="1:10" x14ac:dyDescent="0.2">
      <c r="A1891" s="55"/>
      <c r="B1891" s="55"/>
      <c r="C1891" s="65"/>
      <c r="D1891" s="65"/>
      <c r="E1891" s="65"/>
      <c r="F1891" s="65"/>
      <c r="G1891" s="65"/>
      <c r="I1891" s="5"/>
      <c r="J1891" s="5"/>
    </row>
    <row r="1892" spans="1:10" x14ac:dyDescent="0.2">
      <c r="A1892" s="55"/>
      <c r="B1892" s="55"/>
      <c r="C1892" s="65"/>
      <c r="D1892" s="65"/>
      <c r="E1892" s="65"/>
      <c r="F1892" s="65"/>
      <c r="G1892" s="65"/>
      <c r="I1892" s="5"/>
      <c r="J1892" s="5"/>
    </row>
    <row r="1893" spans="1:10" x14ac:dyDescent="0.2">
      <c r="A1893" s="55"/>
      <c r="B1893" s="55"/>
      <c r="C1893" s="65"/>
      <c r="D1893" s="65"/>
      <c r="E1893" s="65"/>
      <c r="F1893" s="65"/>
      <c r="G1893" s="65"/>
      <c r="I1893" s="5"/>
      <c r="J1893" s="5"/>
    </row>
    <row r="1894" spans="1:10" x14ac:dyDescent="0.2">
      <c r="A1894" s="55"/>
      <c r="B1894" s="55"/>
      <c r="C1894" s="65"/>
      <c r="D1894" s="65"/>
      <c r="E1894" s="65"/>
      <c r="F1894" s="65"/>
      <c r="G1894" s="65"/>
      <c r="I1894" s="5"/>
      <c r="J1894" s="5"/>
    </row>
    <row r="1895" spans="1:10" x14ac:dyDescent="0.2">
      <c r="A1895" s="55"/>
      <c r="B1895" s="55"/>
      <c r="C1895" s="65"/>
      <c r="D1895" s="65"/>
      <c r="E1895" s="65"/>
      <c r="F1895" s="65"/>
      <c r="G1895" s="65"/>
      <c r="I1895" s="5"/>
      <c r="J1895" s="5"/>
    </row>
    <row r="1896" spans="1:10" x14ac:dyDescent="0.2">
      <c r="A1896" s="55"/>
      <c r="B1896" s="55"/>
      <c r="C1896" s="65"/>
      <c r="D1896" s="65"/>
      <c r="E1896" s="65"/>
      <c r="F1896" s="65"/>
      <c r="G1896" s="65"/>
      <c r="I1896" s="5"/>
      <c r="J1896" s="5"/>
    </row>
    <row r="1897" spans="1:10" x14ac:dyDescent="0.2">
      <c r="A1897" s="55"/>
      <c r="B1897" s="55"/>
      <c r="C1897" s="65"/>
      <c r="D1897" s="65"/>
      <c r="E1897" s="65"/>
      <c r="F1897" s="65"/>
      <c r="G1897" s="65"/>
      <c r="I1897" s="5"/>
      <c r="J1897" s="5"/>
    </row>
    <row r="1898" spans="1:10" x14ac:dyDescent="0.2">
      <c r="A1898" s="55"/>
      <c r="B1898" s="55"/>
      <c r="C1898" s="65"/>
      <c r="D1898" s="65"/>
      <c r="E1898" s="65"/>
      <c r="F1898" s="65"/>
      <c r="G1898" s="65"/>
      <c r="I1898" s="5"/>
      <c r="J1898" s="5"/>
    </row>
    <row r="1899" spans="1:10" x14ac:dyDescent="0.2">
      <c r="A1899" s="55"/>
      <c r="B1899" s="55"/>
      <c r="C1899" s="65"/>
      <c r="D1899" s="65"/>
      <c r="E1899" s="65"/>
      <c r="F1899" s="65"/>
      <c r="G1899" s="65"/>
      <c r="I1899" s="5"/>
      <c r="J1899" s="5"/>
    </row>
    <row r="1900" spans="1:10" x14ac:dyDescent="0.2">
      <c r="A1900" s="55"/>
      <c r="B1900" s="55"/>
      <c r="C1900" s="65"/>
      <c r="D1900" s="65"/>
      <c r="E1900" s="65"/>
      <c r="F1900" s="65"/>
      <c r="G1900" s="65"/>
      <c r="I1900" s="5"/>
      <c r="J1900" s="5"/>
    </row>
    <row r="1901" spans="1:10" x14ac:dyDescent="0.2">
      <c r="A1901" s="55"/>
      <c r="B1901" s="55"/>
      <c r="C1901" s="65"/>
      <c r="D1901" s="65"/>
      <c r="E1901" s="65"/>
      <c r="F1901" s="65"/>
      <c r="G1901" s="65"/>
      <c r="I1901" s="5"/>
      <c r="J1901" s="5"/>
    </row>
    <row r="1902" spans="1:10" x14ac:dyDescent="0.2">
      <c r="A1902" s="55"/>
      <c r="B1902" s="55"/>
      <c r="C1902" s="65"/>
      <c r="D1902" s="65"/>
      <c r="E1902" s="65"/>
      <c r="F1902" s="65"/>
      <c r="G1902" s="65"/>
      <c r="I1902" s="5"/>
      <c r="J1902" s="5"/>
    </row>
    <row r="1903" spans="1:10" x14ac:dyDescent="0.2">
      <c r="A1903" s="55"/>
      <c r="B1903" s="55"/>
      <c r="C1903" s="65"/>
      <c r="D1903" s="65"/>
      <c r="E1903" s="65"/>
      <c r="F1903" s="65"/>
      <c r="G1903" s="65"/>
      <c r="I1903" s="5"/>
      <c r="J1903" s="5"/>
    </row>
    <row r="1904" spans="1:10" x14ac:dyDescent="0.2">
      <c r="A1904" s="55"/>
      <c r="B1904" s="55"/>
      <c r="C1904" s="65"/>
      <c r="D1904" s="65"/>
      <c r="E1904" s="65"/>
      <c r="F1904" s="65"/>
      <c r="G1904" s="65"/>
      <c r="I1904" s="5"/>
      <c r="J1904" s="5"/>
    </row>
    <row r="1905" spans="1:10" x14ac:dyDescent="0.2">
      <c r="A1905" s="55"/>
      <c r="B1905" s="55"/>
      <c r="C1905" s="65"/>
      <c r="D1905" s="65"/>
      <c r="E1905" s="65"/>
      <c r="F1905" s="65"/>
      <c r="G1905" s="65"/>
      <c r="I1905" s="5"/>
      <c r="J1905" s="5"/>
    </row>
    <row r="1906" spans="1:10" x14ac:dyDescent="0.2">
      <c r="A1906" s="55"/>
      <c r="B1906" s="55"/>
      <c r="C1906" s="65"/>
      <c r="D1906" s="65"/>
      <c r="E1906" s="65"/>
      <c r="F1906" s="65"/>
      <c r="G1906" s="65"/>
      <c r="I1906" s="5"/>
      <c r="J1906" s="5"/>
    </row>
    <row r="1907" spans="1:10" x14ac:dyDescent="0.2">
      <c r="A1907" s="55"/>
      <c r="B1907" s="55"/>
      <c r="C1907" s="65"/>
      <c r="D1907" s="65"/>
      <c r="E1907" s="65"/>
      <c r="F1907" s="65"/>
      <c r="G1907" s="65"/>
      <c r="I1907" s="5"/>
      <c r="J1907" s="5"/>
    </row>
    <row r="1908" spans="1:10" x14ac:dyDescent="0.2">
      <c r="A1908" s="55"/>
      <c r="B1908" s="55"/>
      <c r="C1908" s="65"/>
      <c r="D1908" s="65"/>
      <c r="E1908" s="65"/>
      <c r="F1908" s="65"/>
      <c r="G1908" s="65"/>
      <c r="I1908" s="5"/>
      <c r="J1908" s="5"/>
    </row>
    <row r="1909" spans="1:10" x14ac:dyDescent="0.2">
      <c r="A1909" s="55"/>
      <c r="B1909" s="55"/>
      <c r="C1909" s="65"/>
      <c r="D1909" s="65"/>
      <c r="E1909" s="65"/>
      <c r="F1909" s="65"/>
      <c r="G1909" s="65"/>
      <c r="I1909" s="5"/>
      <c r="J1909" s="5"/>
    </row>
    <row r="1910" spans="1:10" x14ac:dyDescent="0.2">
      <c r="A1910" s="55"/>
      <c r="B1910" s="55"/>
      <c r="C1910" s="65"/>
      <c r="D1910" s="65"/>
      <c r="E1910" s="65"/>
      <c r="F1910" s="65"/>
      <c r="G1910" s="65"/>
      <c r="I1910" s="5"/>
      <c r="J1910" s="5"/>
    </row>
    <row r="1911" spans="1:10" x14ac:dyDescent="0.2">
      <c r="A1911" s="55"/>
      <c r="B1911" s="55"/>
      <c r="C1911" s="65"/>
      <c r="D1911" s="65"/>
      <c r="E1911" s="65"/>
      <c r="F1911" s="65"/>
      <c r="G1911" s="65"/>
      <c r="I1911" s="5"/>
      <c r="J1911" s="5"/>
    </row>
    <row r="1912" spans="1:10" x14ac:dyDescent="0.2">
      <c r="A1912" s="55"/>
      <c r="B1912" s="55"/>
      <c r="C1912" s="65"/>
      <c r="D1912" s="65"/>
      <c r="E1912" s="65"/>
      <c r="F1912" s="65"/>
      <c r="G1912" s="65"/>
      <c r="I1912" s="5"/>
      <c r="J1912" s="5"/>
    </row>
    <row r="1913" spans="1:10" x14ac:dyDescent="0.2">
      <c r="A1913" s="55"/>
      <c r="B1913" s="55"/>
      <c r="C1913" s="65"/>
      <c r="D1913" s="65"/>
      <c r="E1913" s="65"/>
      <c r="F1913" s="65"/>
      <c r="G1913" s="65"/>
      <c r="I1913" s="5"/>
      <c r="J1913" s="5"/>
    </row>
    <row r="1914" spans="1:10" x14ac:dyDescent="0.2">
      <c r="A1914" s="55"/>
      <c r="B1914" s="55"/>
      <c r="C1914" s="65"/>
      <c r="D1914" s="65"/>
      <c r="E1914" s="65"/>
      <c r="F1914" s="65"/>
      <c r="G1914" s="65"/>
      <c r="I1914" s="5"/>
      <c r="J1914" s="5"/>
    </row>
    <row r="1915" spans="1:10" x14ac:dyDescent="0.2">
      <c r="A1915" s="55"/>
      <c r="B1915" s="55"/>
      <c r="C1915" s="65"/>
      <c r="D1915" s="65"/>
      <c r="E1915" s="65"/>
      <c r="F1915" s="65"/>
      <c r="G1915" s="65"/>
      <c r="I1915" s="5"/>
      <c r="J1915" s="5"/>
    </row>
    <row r="1916" spans="1:10" x14ac:dyDescent="0.2">
      <c r="A1916" s="55"/>
      <c r="B1916" s="55"/>
      <c r="C1916" s="65"/>
      <c r="D1916" s="65"/>
      <c r="E1916" s="65"/>
      <c r="F1916" s="65"/>
      <c r="G1916" s="65"/>
      <c r="I1916" s="5"/>
      <c r="J1916" s="5"/>
    </row>
    <row r="1917" spans="1:10" x14ac:dyDescent="0.2">
      <c r="A1917" s="55"/>
      <c r="B1917" s="55"/>
      <c r="C1917" s="65"/>
      <c r="D1917" s="65"/>
      <c r="E1917" s="65"/>
      <c r="F1917" s="65"/>
      <c r="G1917" s="65"/>
      <c r="I1917" s="5"/>
      <c r="J1917" s="5"/>
    </row>
    <row r="1918" spans="1:10" x14ac:dyDescent="0.2">
      <c r="A1918" s="55"/>
      <c r="B1918" s="55"/>
      <c r="C1918" s="65"/>
      <c r="D1918" s="65"/>
      <c r="E1918" s="65"/>
      <c r="F1918" s="65"/>
      <c r="G1918" s="65"/>
      <c r="I1918" s="5"/>
      <c r="J1918" s="5"/>
    </row>
    <row r="1919" spans="1:10" x14ac:dyDescent="0.2">
      <c r="A1919" s="55"/>
      <c r="B1919" s="55"/>
      <c r="C1919" s="65"/>
      <c r="D1919" s="65"/>
      <c r="E1919" s="65"/>
      <c r="F1919" s="65"/>
      <c r="G1919" s="65"/>
      <c r="I1919" s="5"/>
      <c r="J1919" s="5"/>
    </row>
    <row r="1920" spans="1:10" x14ac:dyDescent="0.2">
      <c r="A1920" s="55"/>
      <c r="B1920" s="55"/>
      <c r="C1920" s="65"/>
      <c r="D1920" s="65"/>
      <c r="E1920" s="65"/>
      <c r="F1920" s="65"/>
      <c r="G1920" s="65"/>
      <c r="I1920" s="5"/>
      <c r="J1920" s="5"/>
    </row>
    <row r="1921" spans="1:10" x14ac:dyDescent="0.2">
      <c r="A1921" s="55"/>
      <c r="B1921" s="55"/>
      <c r="C1921" s="65"/>
      <c r="D1921" s="65"/>
      <c r="E1921" s="65"/>
      <c r="F1921" s="65"/>
      <c r="G1921" s="65"/>
      <c r="I1921" s="5"/>
      <c r="J1921" s="5"/>
    </row>
    <row r="1922" spans="1:10" x14ac:dyDescent="0.2">
      <c r="A1922" s="55"/>
      <c r="B1922" s="55"/>
      <c r="C1922" s="65"/>
      <c r="D1922" s="65"/>
      <c r="E1922" s="65"/>
      <c r="F1922" s="65"/>
      <c r="G1922" s="65"/>
      <c r="I1922" s="5"/>
      <c r="J1922" s="5"/>
    </row>
    <row r="1923" spans="1:10" x14ac:dyDescent="0.2">
      <c r="A1923" s="55"/>
      <c r="B1923" s="55"/>
      <c r="C1923" s="65"/>
      <c r="D1923" s="65"/>
      <c r="E1923" s="65"/>
      <c r="F1923" s="65"/>
      <c r="G1923" s="65"/>
      <c r="I1923" s="5"/>
      <c r="J1923" s="5"/>
    </row>
    <row r="1924" spans="1:10" x14ac:dyDescent="0.2">
      <c r="A1924" s="55"/>
      <c r="B1924" s="55"/>
      <c r="C1924" s="65"/>
      <c r="D1924" s="65"/>
      <c r="E1924" s="65"/>
      <c r="F1924" s="65"/>
      <c r="G1924" s="65"/>
      <c r="I1924" s="5"/>
      <c r="J1924" s="5"/>
    </row>
    <row r="1925" spans="1:10" x14ac:dyDescent="0.2">
      <c r="A1925" s="55"/>
      <c r="B1925" s="55"/>
      <c r="C1925" s="65"/>
      <c r="D1925" s="65"/>
      <c r="E1925" s="65"/>
      <c r="F1925" s="65"/>
      <c r="G1925" s="65"/>
      <c r="I1925" s="5"/>
      <c r="J1925" s="5"/>
    </row>
    <row r="1926" spans="1:10" x14ac:dyDescent="0.2">
      <c r="A1926" s="55"/>
      <c r="B1926" s="55"/>
      <c r="C1926" s="65"/>
      <c r="D1926" s="65"/>
      <c r="E1926" s="65"/>
      <c r="F1926" s="65"/>
      <c r="G1926" s="65"/>
      <c r="I1926" s="5"/>
      <c r="J1926" s="5"/>
    </row>
    <row r="1927" spans="1:10" x14ac:dyDescent="0.2">
      <c r="A1927" s="55"/>
      <c r="B1927" s="55"/>
      <c r="C1927" s="65"/>
      <c r="D1927" s="65"/>
      <c r="E1927" s="65"/>
      <c r="F1927" s="65"/>
      <c r="G1927" s="65"/>
      <c r="I1927" s="5"/>
      <c r="J1927" s="5"/>
    </row>
    <row r="1928" spans="1:10" x14ac:dyDescent="0.2">
      <c r="A1928" s="55"/>
      <c r="B1928" s="55"/>
      <c r="C1928" s="65"/>
      <c r="D1928" s="65"/>
      <c r="E1928" s="65"/>
      <c r="F1928" s="65"/>
      <c r="G1928" s="65"/>
      <c r="I1928" s="5"/>
      <c r="J1928" s="5"/>
    </row>
    <row r="1929" spans="1:10" x14ac:dyDescent="0.2">
      <c r="A1929" s="55"/>
      <c r="B1929" s="55"/>
      <c r="C1929" s="65"/>
      <c r="D1929" s="65"/>
      <c r="E1929" s="65"/>
      <c r="F1929" s="65"/>
      <c r="G1929" s="65"/>
      <c r="I1929" s="5"/>
      <c r="J1929" s="5"/>
    </row>
    <row r="1930" spans="1:10" x14ac:dyDescent="0.2">
      <c r="A1930" s="55"/>
      <c r="B1930" s="55"/>
      <c r="C1930" s="65"/>
      <c r="D1930" s="65"/>
      <c r="E1930" s="65"/>
      <c r="F1930" s="65"/>
      <c r="G1930" s="65"/>
      <c r="I1930" s="5"/>
      <c r="J1930" s="5"/>
    </row>
    <row r="1931" spans="1:10" x14ac:dyDescent="0.2">
      <c r="A1931" s="55"/>
      <c r="B1931" s="55"/>
      <c r="C1931" s="65"/>
      <c r="D1931" s="65"/>
      <c r="E1931" s="65"/>
      <c r="F1931" s="65"/>
      <c r="G1931" s="65"/>
      <c r="I1931" s="5"/>
      <c r="J1931" s="5"/>
    </row>
    <row r="1932" spans="1:10" x14ac:dyDescent="0.2">
      <c r="A1932" s="55"/>
      <c r="B1932" s="55"/>
      <c r="C1932" s="65"/>
      <c r="D1932" s="65"/>
      <c r="E1932" s="65"/>
      <c r="F1932" s="65"/>
      <c r="G1932" s="65"/>
      <c r="I1932" s="5"/>
      <c r="J1932" s="5"/>
    </row>
    <row r="1933" spans="1:10" x14ac:dyDescent="0.2">
      <c r="A1933" s="55"/>
      <c r="B1933" s="55"/>
      <c r="C1933" s="65"/>
      <c r="D1933" s="65"/>
      <c r="E1933" s="65"/>
      <c r="F1933" s="65"/>
      <c r="G1933" s="65"/>
      <c r="I1933" s="5"/>
      <c r="J1933" s="5"/>
    </row>
    <row r="1934" spans="1:10" x14ac:dyDescent="0.2">
      <c r="A1934" s="55"/>
      <c r="B1934" s="55"/>
      <c r="C1934" s="65"/>
      <c r="D1934" s="65"/>
      <c r="E1934" s="65"/>
      <c r="F1934" s="65"/>
      <c r="G1934" s="65"/>
      <c r="I1934" s="5"/>
      <c r="J1934" s="5"/>
    </row>
    <row r="1935" spans="1:10" x14ac:dyDescent="0.2">
      <c r="A1935" s="55"/>
      <c r="B1935" s="55"/>
      <c r="C1935" s="65"/>
      <c r="D1935" s="65"/>
      <c r="E1935" s="65"/>
      <c r="F1935" s="65"/>
      <c r="G1935" s="65"/>
      <c r="I1935" s="5"/>
      <c r="J1935" s="5"/>
    </row>
    <row r="1936" spans="1:10" x14ac:dyDescent="0.2">
      <c r="A1936" s="55"/>
      <c r="B1936" s="55"/>
      <c r="C1936" s="65"/>
      <c r="D1936" s="65"/>
      <c r="E1936" s="65"/>
      <c r="F1936" s="65"/>
      <c r="G1936" s="65"/>
      <c r="I1936" s="5"/>
      <c r="J1936" s="5"/>
    </row>
    <row r="1937" spans="1:10" x14ac:dyDescent="0.2">
      <c r="A1937" s="55"/>
      <c r="B1937" s="55"/>
      <c r="C1937" s="65"/>
      <c r="D1937" s="65"/>
      <c r="E1937" s="65"/>
      <c r="F1937" s="65"/>
      <c r="G1937" s="65"/>
      <c r="I1937" s="5"/>
      <c r="J1937" s="5"/>
    </row>
    <row r="1938" spans="1:10" x14ac:dyDescent="0.2">
      <c r="A1938" s="55"/>
      <c r="B1938" s="55"/>
      <c r="C1938" s="65"/>
      <c r="D1938" s="65"/>
      <c r="E1938" s="65"/>
      <c r="F1938" s="65"/>
      <c r="G1938" s="65"/>
      <c r="I1938" s="5"/>
      <c r="J1938" s="5"/>
    </row>
    <row r="1939" spans="1:10" x14ac:dyDescent="0.2">
      <c r="A1939" s="55"/>
      <c r="B1939" s="55"/>
      <c r="C1939" s="65"/>
      <c r="D1939" s="65"/>
      <c r="E1939" s="65"/>
      <c r="F1939" s="65"/>
      <c r="G1939" s="65"/>
      <c r="I1939" s="5"/>
      <c r="J1939" s="5"/>
    </row>
    <row r="1940" spans="1:10" x14ac:dyDescent="0.2">
      <c r="A1940" s="55"/>
      <c r="B1940" s="55"/>
      <c r="C1940" s="65"/>
      <c r="D1940" s="65"/>
      <c r="E1940" s="65"/>
      <c r="F1940" s="65"/>
      <c r="G1940" s="65"/>
      <c r="I1940" s="5"/>
      <c r="J1940" s="5"/>
    </row>
    <row r="1941" spans="1:10" x14ac:dyDescent="0.2">
      <c r="A1941" s="55"/>
      <c r="B1941" s="55"/>
      <c r="C1941" s="65"/>
      <c r="D1941" s="65"/>
      <c r="E1941" s="65"/>
      <c r="F1941" s="65"/>
      <c r="G1941" s="65"/>
      <c r="I1941" s="5"/>
      <c r="J1941" s="5"/>
    </row>
    <row r="1942" spans="1:10" x14ac:dyDescent="0.2">
      <c r="A1942" s="55"/>
      <c r="B1942" s="55"/>
      <c r="C1942" s="65"/>
      <c r="D1942" s="65"/>
      <c r="E1942" s="65"/>
      <c r="F1942" s="65"/>
      <c r="G1942" s="65"/>
      <c r="I1942" s="5"/>
      <c r="J1942" s="5"/>
    </row>
    <row r="1943" spans="1:10" x14ac:dyDescent="0.2">
      <c r="A1943" s="55"/>
      <c r="B1943" s="55"/>
      <c r="C1943" s="65"/>
      <c r="D1943" s="65"/>
      <c r="E1943" s="65"/>
      <c r="F1943" s="65"/>
      <c r="G1943" s="65"/>
      <c r="I1943" s="5"/>
      <c r="J1943" s="5"/>
    </row>
    <row r="1944" spans="1:10" x14ac:dyDescent="0.2">
      <c r="A1944" s="55"/>
      <c r="B1944" s="55"/>
      <c r="C1944" s="65"/>
      <c r="D1944" s="65"/>
      <c r="E1944" s="65"/>
      <c r="F1944" s="65"/>
      <c r="G1944" s="65"/>
      <c r="I1944" s="5"/>
      <c r="J1944" s="5"/>
    </row>
    <row r="1945" spans="1:10" x14ac:dyDescent="0.2">
      <c r="A1945" s="55"/>
      <c r="B1945" s="55"/>
      <c r="C1945" s="65"/>
      <c r="D1945" s="65"/>
      <c r="E1945" s="65"/>
      <c r="F1945" s="65"/>
      <c r="G1945" s="65"/>
      <c r="I1945" s="5"/>
      <c r="J1945" s="5"/>
    </row>
    <row r="1946" spans="1:10" x14ac:dyDescent="0.2">
      <c r="A1946" s="55"/>
      <c r="B1946" s="55"/>
      <c r="C1946" s="65"/>
      <c r="D1946" s="65"/>
      <c r="E1946" s="65"/>
      <c r="F1946" s="65"/>
      <c r="G1946" s="65"/>
      <c r="I1946" s="5"/>
      <c r="J1946" s="5"/>
    </row>
    <row r="1947" spans="1:10" x14ac:dyDescent="0.2">
      <c r="A1947" s="55"/>
      <c r="B1947" s="55"/>
      <c r="C1947" s="65"/>
      <c r="D1947" s="65"/>
      <c r="E1947" s="65"/>
      <c r="F1947" s="65"/>
      <c r="G1947" s="65"/>
      <c r="I1947" s="5"/>
      <c r="J1947" s="5"/>
    </row>
    <row r="1948" spans="1:10" x14ac:dyDescent="0.2">
      <c r="A1948" s="55"/>
      <c r="B1948" s="55"/>
      <c r="C1948" s="65"/>
      <c r="D1948" s="65"/>
      <c r="E1948" s="65"/>
      <c r="F1948" s="65"/>
      <c r="G1948" s="65"/>
      <c r="I1948" s="5"/>
      <c r="J1948" s="5"/>
    </row>
    <row r="1949" spans="1:10" x14ac:dyDescent="0.2">
      <c r="A1949" s="55"/>
      <c r="B1949" s="55"/>
      <c r="C1949" s="65"/>
      <c r="D1949" s="65"/>
      <c r="E1949" s="65"/>
      <c r="F1949" s="65"/>
      <c r="G1949" s="65"/>
      <c r="I1949" s="5"/>
      <c r="J1949" s="5"/>
    </row>
    <row r="1950" spans="1:10" x14ac:dyDescent="0.2">
      <c r="A1950" s="55"/>
      <c r="B1950" s="55"/>
      <c r="C1950" s="65"/>
      <c r="D1950" s="65"/>
      <c r="E1950" s="65"/>
      <c r="F1950" s="65"/>
      <c r="G1950" s="65"/>
      <c r="I1950" s="5"/>
      <c r="J1950" s="5"/>
    </row>
    <row r="1951" spans="1:10" x14ac:dyDescent="0.2">
      <c r="A1951" s="55"/>
      <c r="B1951" s="55"/>
      <c r="C1951" s="65"/>
      <c r="D1951" s="65"/>
      <c r="E1951" s="65"/>
      <c r="F1951" s="65"/>
      <c r="G1951" s="65"/>
      <c r="I1951" s="5"/>
      <c r="J1951" s="5"/>
    </row>
    <row r="1952" spans="1:10" x14ac:dyDescent="0.2">
      <c r="A1952" s="55"/>
      <c r="B1952" s="55"/>
      <c r="C1952" s="65"/>
      <c r="D1952" s="65"/>
      <c r="E1952" s="65"/>
      <c r="F1952" s="65"/>
      <c r="G1952" s="65"/>
      <c r="I1952" s="5"/>
      <c r="J1952" s="5"/>
    </row>
    <row r="1953" spans="1:10" x14ac:dyDescent="0.2">
      <c r="A1953" s="55"/>
      <c r="B1953" s="55"/>
      <c r="C1953" s="65"/>
      <c r="D1953" s="65"/>
      <c r="E1953" s="65"/>
      <c r="F1953" s="65"/>
      <c r="G1953" s="65"/>
      <c r="I1953" s="5"/>
      <c r="J1953" s="5"/>
    </row>
    <row r="1954" spans="1:10" x14ac:dyDescent="0.2">
      <c r="A1954" s="55"/>
      <c r="B1954" s="55"/>
      <c r="C1954" s="65"/>
      <c r="D1954" s="65"/>
      <c r="E1954" s="65"/>
      <c r="F1954" s="65"/>
      <c r="G1954" s="65"/>
      <c r="I1954" s="5"/>
      <c r="J1954" s="5"/>
    </row>
    <row r="1955" spans="1:10" x14ac:dyDescent="0.2">
      <c r="A1955" s="55"/>
      <c r="B1955" s="55"/>
      <c r="C1955" s="65"/>
      <c r="D1955" s="65"/>
      <c r="E1955" s="65"/>
      <c r="F1955" s="65"/>
      <c r="G1955" s="65"/>
      <c r="I1955" s="5"/>
      <c r="J1955" s="5"/>
    </row>
    <row r="1956" spans="1:10" x14ac:dyDescent="0.2">
      <c r="A1956" s="55"/>
      <c r="B1956" s="55"/>
      <c r="C1956" s="65"/>
      <c r="D1956" s="65"/>
      <c r="E1956" s="65"/>
      <c r="F1956" s="65"/>
      <c r="G1956" s="65"/>
      <c r="I1956" s="5"/>
      <c r="J1956" s="5"/>
    </row>
    <row r="1957" spans="1:10" x14ac:dyDescent="0.2">
      <c r="A1957" s="55"/>
      <c r="B1957" s="55"/>
      <c r="C1957" s="65"/>
      <c r="D1957" s="65"/>
      <c r="E1957" s="65"/>
      <c r="F1957" s="65"/>
      <c r="G1957" s="65"/>
      <c r="I1957" s="5"/>
      <c r="J1957" s="5"/>
    </row>
    <row r="1958" spans="1:10" x14ac:dyDescent="0.2">
      <c r="A1958" s="55"/>
      <c r="B1958" s="55"/>
      <c r="C1958" s="65"/>
      <c r="D1958" s="65"/>
      <c r="E1958" s="65"/>
      <c r="F1958" s="65"/>
      <c r="G1958" s="65"/>
      <c r="I1958" s="5"/>
      <c r="J1958" s="5"/>
    </row>
    <row r="1959" spans="1:10" x14ac:dyDescent="0.2">
      <c r="A1959" s="55"/>
      <c r="B1959" s="55"/>
      <c r="C1959" s="65"/>
      <c r="D1959" s="65"/>
      <c r="E1959" s="65"/>
      <c r="F1959" s="65"/>
      <c r="G1959" s="65"/>
      <c r="I1959" s="5"/>
      <c r="J1959" s="5"/>
    </row>
    <row r="1960" spans="1:10" x14ac:dyDescent="0.2">
      <c r="A1960" s="55"/>
      <c r="B1960" s="55"/>
      <c r="C1960" s="65"/>
      <c r="D1960" s="65"/>
      <c r="E1960" s="65"/>
      <c r="F1960" s="65"/>
      <c r="G1960" s="65"/>
      <c r="I1960" s="5"/>
      <c r="J1960" s="5"/>
    </row>
    <row r="1961" spans="1:10" x14ac:dyDescent="0.2">
      <c r="A1961" s="55"/>
      <c r="B1961" s="55"/>
      <c r="C1961" s="65"/>
      <c r="D1961" s="65"/>
      <c r="E1961" s="65"/>
      <c r="F1961" s="65"/>
      <c r="G1961" s="65"/>
      <c r="I1961" s="5"/>
      <c r="J1961" s="5"/>
    </row>
    <row r="1962" spans="1:10" x14ac:dyDescent="0.2">
      <c r="A1962" s="55"/>
      <c r="B1962" s="55"/>
      <c r="C1962" s="65"/>
      <c r="D1962" s="65"/>
      <c r="E1962" s="65"/>
      <c r="F1962" s="65"/>
      <c r="G1962" s="65"/>
      <c r="I1962" s="5"/>
      <c r="J1962" s="5"/>
    </row>
    <row r="1963" spans="1:10" x14ac:dyDescent="0.2">
      <c r="A1963" s="55"/>
      <c r="B1963" s="55"/>
      <c r="C1963" s="65"/>
      <c r="D1963" s="65"/>
      <c r="E1963" s="65"/>
      <c r="F1963" s="65"/>
      <c r="G1963" s="65"/>
      <c r="I1963" s="5"/>
      <c r="J1963" s="5"/>
    </row>
    <row r="1964" spans="1:10" x14ac:dyDescent="0.2">
      <c r="A1964" s="55"/>
      <c r="B1964" s="55"/>
      <c r="C1964" s="65"/>
      <c r="D1964" s="65"/>
      <c r="E1964" s="65"/>
      <c r="F1964" s="65"/>
      <c r="G1964" s="65"/>
      <c r="I1964" s="5"/>
      <c r="J1964" s="5"/>
    </row>
    <row r="1965" spans="1:10" x14ac:dyDescent="0.2">
      <c r="A1965" s="55"/>
      <c r="B1965" s="55"/>
      <c r="C1965" s="65"/>
      <c r="D1965" s="65"/>
      <c r="E1965" s="65"/>
      <c r="F1965" s="65"/>
      <c r="G1965" s="65"/>
      <c r="I1965" s="5"/>
      <c r="J1965" s="5"/>
    </row>
    <row r="1966" spans="1:10" x14ac:dyDescent="0.2">
      <c r="A1966" s="55"/>
      <c r="B1966" s="55"/>
      <c r="C1966" s="65"/>
      <c r="D1966" s="65"/>
      <c r="E1966" s="65"/>
      <c r="F1966" s="65"/>
      <c r="G1966" s="65"/>
      <c r="I1966" s="5"/>
      <c r="J1966" s="5"/>
    </row>
    <row r="1967" spans="1:10" x14ac:dyDescent="0.2">
      <c r="A1967" s="55"/>
      <c r="B1967" s="55"/>
      <c r="C1967" s="65"/>
      <c r="D1967" s="65"/>
      <c r="E1967" s="65"/>
      <c r="F1967" s="65"/>
      <c r="G1967" s="65"/>
      <c r="I1967" s="5"/>
      <c r="J1967" s="5"/>
    </row>
    <row r="1968" spans="1:10" x14ac:dyDescent="0.2">
      <c r="A1968" s="55"/>
      <c r="B1968" s="55"/>
      <c r="C1968" s="65"/>
      <c r="D1968" s="65"/>
      <c r="E1968" s="65"/>
      <c r="F1968" s="65"/>
      <c r="G1968" s="65"/>
      <c r="I1968" s="5"/>
      <c r="J1968" s="5"/>
    </row>
    <row r="1969" spans="1:10" x14ac:dyDescent="0.2">
      <c r="A1969" s="55"/>
      <c r="B1969" s="55"/>
      <c r="C1969" s="65"/>
      <c r="D1969" s="65"/>
      <c r="E1969" s="65"/>
      <c r="F1969" s="65"/>
      <c r="G1969" s="65"/>
      <c r="I1969" s="5"/>
      <c r="J1969" s="5"/>
    </row>
    <row r="1970" spans="1:10" x14ac:dyDescent="0.2">
      <c r="A1970" s="55"/>
      <c r="B1970" s="55"/>
      <c r="C1970" s="65"/>
      <c r="D1970" s="65"/>
      <c r="E1970" s="65"/>
      <c r="F1970" s="65"/>
      <c r="G1970" s="65"/>
      <c r="I1970" s="5"/>
      <c r="J1970" s="5"/>
    </row>
    <row r="1971" spans="1:10" x14ac:dyDescent="0.2">
      <c r="A1971" s="55"/>
      <c r="B1971" s="55"/>
      <c r="C1971" s="65"/>
      <c r="D1971" s="65"/>
      <c r="E1971" s="65"/>
      <c r="F1971" s="65"/>
      <c r="G1971" s="65"/>
      <c r="I1971" s="5"/>
      <c r="J1971" s="5"/>
    </row>
    <row r="1972" spans="1:10" x14ac:dyDescent="0.2">
      <c r="A1972" s="55"/>
      <c r="B1972" s="55"/>
      <c r="C1972" s="65"/>
      <c r="D1972" s="65"/>
      <c r="E1972" s="65"/>
      <c r="F1972" s="65"/>
      <c r="G1972" s="65"/>
      <c r="I1972" s="5"/>
      <c r="J1972" s="5"/>
    </row>
    <row r="1973" spans="1:10" x14ac:dyDescent="0.2">
      <c r="A1973" s="55"/>
      <c r="B1973" s="55"/>
      <c r="C1973" s="65"/>
      <c r="D1973" s="65"/>
      <c r="E1973" s="65"/>
      <c r="F1973" s="65"/>
      <c r="G1973" s="65"/>
      <c r="I1973" s="5"/>
      <c r="J1973" s="5"/>
    </row>
    <row r="1974" spans="1:10" x14ac:dyDescent="0.2">
      <c r="A1974" s="55"/>
      <c r="B1974" s="55"/>
      <c r="C1974" s="65"/>
      <c r="D1974" s="65"/>
      <c r="E1974" s="65"/>
      <c r="F1974" s="65"/>
      <c r="G1974" s="65"/>
      <c r="I1974" s="5"/>
      <c r="J1974" s="5"/>
    </row>
    <row r="1975" spans="1:10" x14ac:dyDescent="0.2">
      <c r="A1975" s="55"/>
      <c r="B1975" s="55"/>
      <c r="C1975" s="65"/>
      <c r="D1975" s="65"/>
      <c r="E1975" s="65"/>
      <c r="F1975" s="65"/>
      <c r="G1975" s="65"/>
      <c r="I1975" s="5"/>
      <c r="J1975" s="5"/>
    </row>
    <row r="1976" spans="1:10" x14ac:dyDescent="0.2">
      <c r="A1976" s="55"/>
      <c r="B1976" s="55"/>
      <c r="C1976" s="65"/>
      <c r="D1976" s="65"/>
      <c r="E1976" s="65"/>
      <c r="F1976" s="65"/>
      <c r="G1976" s="65"/>
      <c r="I1976" s="5"/>
      <c r="J1976" s="5"/>
    </row>
    <row r="1977" spans="1:10" x14ac:dyDescent="0.2">
      <c r="A1977" s="55"/>
      <c r="B1977" s="55"/>
      <c r="C1977" s="65"/>
      <c r="D1977" s="65"/>
      <c r="E1977" s="65"/>
      <c r="F1977" s="65"/>
      <c r="G1977" s="65"/>
      <c r="I1977" s="5"/>
      <c r="J1977" s="5"/>
    </row>
    <row r="1978" spans="1:10" x14ac:dyDescent="0.2">
      <c r="A1978" s="55"/>
      <c r="B1978" s="55"/>
      <c r="C1978" s="65"/>
      <c r="D1978" s="65"/>
      <c r="E1978" s="65"/>
      <c r="F1978" s="65"/>
      <c r="G1978" s="65"/>
      <c r="I1978" s="5"/>
      <c r="J1978" s="5"/>
    </row>
    <row r="1979" spans="1:10" x14ac:dyDescent="0.2">
      <c r="A1979" s="55"/>
      <c r="B1979" s="55"/>
      <c r="C1979" s="65"/>
      <c r="D1979" s="65"/>
      <c r="E1979" s="65"/>
      <c r="F1979" s="65"/>
      <c r="G1979" s="65"/>
      <c r="I1979" s="5"/>
      <c r="J1979" s="5"/>
    </row>
    <row r="1980" spans="1:10" x14ac:dyDescent="0.2">
      <c r="A1980" s="55"/>
      <c r="B1980" s="55"/>
      <c r="C1980" s="65"/>
      <c r="D1980" s="65"/>
      <c r="E1980" s="65"/>
      <c r="F1980" s="65"/>
      <c r="G1980" s="65"/>
      <c r="I1980" s="5"/>
      <c r="J1980" s="5"/>
    </row>
    <row r="1981" spans="1:10" x14ac:dyDescent="0.2">
      <c r="A1981" s="55"/>
      <c r="B1981" s="55"/>
      <c r="C1981" s="65"/>
      <c r="D1981" s="65"/>
      <c r="E1981" s="65"/>
      <c r="F1981" s="65"/>
      <c r="G1981" s="65"/>
      <c r="I1981" s="5"/>
      <c r="J1981" s="5"/>
    </row>
    <row r="1982" spans="1:10" x14ac:dyDescent="0.2">
      <c r="A1982" s="55"/>
      <c r="B1982" s="55"/>
      <c r="C1982" s="65"/>
      <c r="D1982" s="65"/>
      <c r="E1982" s="65"/>
      <c r="F1982" s="65"/>
      <c r="G1982" s="65"/>
      <c r="I1982" s="5"/>
      <c r="J1982" s="5"/>
    </row>
    <row r="1983" spans="1:10" x14ac:dyDescent="0.2">
      <c r="A1983" s="55"/>
      <c r="B1983" s="55"/>
      <c r="C1983" s="65"/>
      <c r="D1983" s="65"/>
      <c r="E1983" s="65"/>
      <c r="F1983" s="65"/>
      <c r="G1983" s="65"/>
      <c r="I1983" s="5"/>
      <c r="J1983" s="5"/>
    </row>
    <row r="1984" spans="1:10" x14ac:dyDescent="0.2">
      <c r="A1984" s="55"/>
      <c r="B1984" s="55"/>
      <c r="C1984" s="65"/>
      <c r="D1984" s="65"/>
      <c r="E1984" s="65"/>
      <c r="F1984" s="65"/>
      <c r="G1984" s="65"/>
      <c r="I1984" s="5"/>
      <c r="J1984" s="5"/>
    </row>
    <row r="1985" spans="1:10" x14ac:dyDescent="0.2">
      <c r="A1985" s="55"/>
      <c r="B1985" s="55"/>
      <c r="C1985" s="65"/>
      <c r="D1985" s="65"/>
      <c r="E1985" s="65"/>
      <c r="F1985" s="65"/>
      <c r="G1985" s="65"/>
      <c r="I1985" s="5"/>
      <c r="J1985" s="5"/>
    </row>
    <row r="1986" spans="1:10" x14ac:dyDescent="0.2">
      <c r="A1986" s="55"/>
      <c r="B1986" s="55"/>
      <c r="C1986" s="65"/>
      <c r="D1986" s="65"/>
      <c r="E1986" s="65"/>
      <c r="F1986" s="65"/>
      <c r="G1986" s="65"/>
      <c r="I1986" s="5"/>
      <c r="J1986" s="5"/>
    </row>
    <row r="1987" spans="1:10" x14ac:dyDescent="0.2">
      <c r="A1987" s="55"/>
      <c r="B1987" s="55"/>
      <c r="C1987" s="65"/>
      <c r="D1987" s="65"/>
      <c r="E1987" s="65"/>
      <c r="F1987" s="65"/>
      <c r="G1987" s="65"/>
      <c r="I1987" s="5"/>
      <c r="J1987" s="5"/>
    </row>
    <row r="1988" spans="1:10" x14ac:dyDescent="0.2">
      <c r="A1988" s="55"/>
      <c r="B1988" s="55"/>
      <c r="C1988" s="65"/>
      <c r="D1988" s="65"/>
      <c r="E1988" s="65"/>
      <c r="F1988" s="65"/>
      <c r="G1988" s="65"/>
      <c r="I1988" s="5"/>
      <c r="J1988" s="5"/>
    </row>
    <row r="1989" spans="1:10" x14ac:dyDescent="0.2">
      <c r="A1989" s="55"/>
      <c r="B1989" s="55"/>
      <c r="C1989" s="65"/>
      <c r="D1989" s="65"/>
      <c r="E1989" s="65"/>
      <c r="F1989" s="65"/>
      <c r="G1989" s="65"/>
      <c r="I1989" s="5"/>
      <c r="J1989" s="5"/>
    </row>
    <row r="1990" spans="1:10" x14ac:dyDescent="0.2">
      <c r="A1990" s="55"/>
      <c r="B1990" s="55"/>
      <c r="C1990" s="65"/>
      <c r="D1990" s="65"/>
      <c r="E1990" s="65"/>
      <c r="F1990" s="65"/>
      <c r="G1990" s="65"/>
      <c r="I1990" s="5"/>
      <c r="J1990" s="5"/>
    </row>
    <row r="1991" spans="1:10" x14ac:dyDescent="0.2">
      <c r="A1991" s="55"/>
      <c r="B1991" s="55"/>
      <c r="C1991" s="65"/>
      <c r="D1991" s="65"/>
      <c r="E1991" s="65"/>
      <c r="F1991" s="65"/>
      <c r="G1991" s="65"/>
      <c r="I1991" s="5"/>
      <c r="J1991" s="5"/>
    </row>
    <row r="1992" spans="1:10" x14ac:dyDescent="0.2">
      <c r="A1992" s="55"/>
      <c r="B1992" s="55"/>
      <c r="C1992" s="65"/>
      <c r="D1992" s="65"/>
      <c r="E1992" s="65"/>
      <c r="F1992" s="65"/>
      <c r="G1992" s="65"/>
      <c r="I1992" s="5"/>
      <c r="J1992" s="5"/>
    </row>
    <row r="1993" spans="1:10" x14ac:dyDescent="0.2">
      <c r="A1993" s="55"/>
      <c r="B1993" s="55"/>
      <c r="C1993" s="65"/>
      <c r="D1993" s="65"/>
      <c r="E1993" s="65"/>
      <c r="F1993" s="65"/>
      <c r="G1993" s="65"/>
      <c r="I1993" s="5"/>
      <c r="J1993" s="5"/>
    </row>
    <row r="1994" spans="1:10" x14ac:dyDescent="0.2">
      <c r="A1994" s="55"/>
      <c r="B1994" s="55"/>
      <c r="C1994" s="65"/>
      <c r="D1994" s="65"/>
      <c r="E1994" s="65"/>
      <c r="F1994" s="65"/>
      <c r="G1994" s="65"/>
      <c r="I1994" s="5"/>
      <c r="J1994" s="5"/>
    </row>
    <row r="1995" spans="1:10" x14ac:dyDescent="0.2">
      <c r="A1995" s="55"/>
      <c r="B1995" s="55"/>
      <c r="C1995" s="65"/>
      <c r="D1995" s="65"/>
      <c r="E1995" s="65"/>
      <c r="F1995" s="65"/>
      <c r="G1995" s="65"/>
      <c r="I1995" s="5"/>
      <c r="J1995" s="5"/>
    </row>
    <row r="1996" spans="1:10" x14ac:dyDescent="0.2">
      <c r="A1996" s="55"/>
      <c r="B1996" s="55"/>
      <c r="C1996" s="65"/>
      <c r="D1996" s="65"/>
      <c r="E1996" s="65"/>
      <c r="F1996" s="65"/>
      <c r="G1996" s="65"/>
      <c r="I1996" s="5"/>
      <c r="J1996" s="5"/>
    </row>
    <row r="1997" spans="1:10" x14ac:dyDescent="0.2">
      <c r="A1997" s="55"/>
      <c r="B1997" s="55"/>
      <c r="C1997" s="65"/>
      <c r="D1997" s="65"/>
      <c r="E1997" s="65"/>
      <c r="F1997" s="65"/>
      <c r="G1997" s="65"/>
      <c r="I1997" s="5"/>
      <c r="J1997" s="5"/>
    </row>
    <row r="1998" spans="1:10" x14ac:dyDescent="0.2">
      <c r="A1998" s="55"/>
      <c r="B1998" s="55"/>
      <c r="C1998" s="65"/>
      <c r="D1998" s="65"/>
      <c r="E1998" s="65"/>
      <c r="F1998" s="65"/>
      <c r="G1998" s="65"/>
      <c r="I1998" s="5"/>
      <c r="J1998" s="5"/>
    </row>
    <row r="1999" spans="1:10" x14ac:dyDescent="0.2">
      <c r="A1999" s="55"/>
      <c r="B1999" s="55"/>
      <c r="C1999" s="65"/>
      <c r="D1999" s="65"/>
      <c r="E1999" s="65"/>
      <c r="F1999" s="65"/>
      <c r="G1999" s="65"/>
      <c r="I1999" s="5"/>
      <c r="J1999" s="5"/>
    </row>
    <row r="2000" spans="1:10" x14ac:dyDescent="0.2">
      <c r="A2000" s="55"/>
      <c r="B2000" s="55"/>
      <c r="C2000" s="65"/>
      <c r="D2000" s="65"/>
      <c r="E2000" s="65"/>
      <c r="F2000" s="65"/>
      <c r="G2000" s="65"/>
      <c r="I2000" s="5"/>
      <c r="J2000" s="5"/>
    </row>
    <row r="2001" spans="1:10" x14ac:dyDescent="0.2">
      <c r="A2001" s="55"/>
      <c r="B2001" s="55"/>
      <c r="C2001" s="65"/>
      <c r="D2001" s="65"/>
      <c r="E2001" s="65"/>
      <c r="F2001" s="65"/>
      <c r="G2001" s="65"/>
      <c r="I2001" s="5"/>
      <c r="J2001" s="5"/>
    </row>
    <row r="2002" spans="1:10" x14ac:dyDescent="0.2">
      <c r="A2002" s="55"/>
      <c r="B2002" s="55"/>
      <c r="C2002" s="65"/>
      <c r="D2002" s="65"/>
      <c r="E2002" s="65"/>
      <c r="F2002" s="65"/>
      <c r="G2002" s="65"/>
      <c r="I2002" s="5"/>
      <c r="J2002" s="5"/>
    </row>
    <row r="2003" spans="1:10" x14ac:dyDescent="0.2">
      <c r="A2003" s="55"/>
      <c r="B2003" s="55"/>
      <c r="C2003" s="65"/>
      <c r="D2003" s="65"/>
      <c r="E2003" s="65"/>
      <c r="F2003" s="65"/>
      <c r="G2003" s="65"/>
      <c r="I2003" s="5"/>
      <c r="J2003" s="5"/>
    </row>
    <row r="2004" spans="1:10" x14ac:dyDescent="0.2">
      <c r="A2004" s="55"/>
      <c r="B2004" s="55"/>
      <c r="C2004" s="65"/>
      <c r="D2004" s="65"/>
      <c r="E2004" s="65"/>
      <c r="F2004" s="65"/>
      <c r="G2004" s="65"/>
      <c r="I2004" s="5"/>
      <c r="J2004" s="5"/>
    </row>
    <row r="2005" spans="1:10" x14ac:dyDescent="0.2">
      <c r="A2005" s="55"/>
      <c r="B2005" s="55"/>
      <c r="C2005" s="65"/>
      <c r="D2005" s="65"/>
      <c r="E2005" s="65"/>
      <c r="F2005" s="65"/>
      <c r="G2005" s="65"/>
      <c r="I2005" s="5"/>
      <c r="J2005" s="5"/>
    </row>
    <row r="2006" spans="1:10" x14ac:dyDescent="0.2">
      <c r="A2006" s="55"/>
      <c r="B2006" s="55"/>
      <c r="C2006" s="65"/>
      <c r="D2006" s="65"/>
      <c r="E2006" s="65"/>
      <c r="F2006" s="65"/>
      <c r="G2006" s="65"/>
      <c r="I2006" s="5"/>
      <c r="J2006" s="5"/>
    </row>
    <row r="2007" spans="1:10" x14ac:dyDescent="0.2">
      <c r="A2007" s="55"/>
      <c r="B2007" s="55"/>
      <c r="C2007" s="65"/>
      <c r="D2007" s="65"/>
      <c r="E2007" s="65"/>
      <c r="F2007" s="65"/>
      <c r="G2007" s="65"/>
      <c r="I2007" s="5"/>
      <c r="J2007" s="5"/>
    </row>
    <row r="2008" spans="1:10" x14ac:dyDescent="0.2">
      <c r="A2008" s="55"/>
      <c r="B2008" s="55"/>
      <c r="C2008" s="65"/>
      <c r="D2008" s="65"/>
      <c r="E2008" s="65"/>
      <c r="F2008" s="65"/>
      <c r="G2008" s="65"/>
      <c r="I2008" s="5"/>
      <c r="J2008" s="5"/>
    </row>
    <row r="2009" spans="1:10" x14ac:dyDescent="0.2">
      <c r="A2009" s="55"/>
      <c r="B2009" s="55"/>
      <c r="C2009" s="65"/>
      <c r="D2009" s="65"/>
      <c r="E2009" s="65"/>
      <c r="F2009" s="65"/>
      <c r="G2009" s="65"/>
      <c r="I2009" s="5"/>
      <c r="J2009" s="5"/>
    </row>
    <row r="2010" spans="1:10" x14ac:dyDescent="0.2">
      <c r="A2010" s="55"/>
      <c r="B2010" s="55"/>
      <c r="C2010" s="65"/>
      <c r="D2010" s="65"/>
      <c r="E2010" s="65"/>
      <c r="F2010" s="65"/>
      <c r="G2010" s="65"/>
      <c r="I2010" s="5"/>
      <c r="J2010" s="5"/>
    </row>
    <row r="2011" spans="1:10" x14ac:dyDescent="0.2">
      <c r="A2011" s="55"/>
      <c r="B2011" s="55"/>
      <c r="C2011" s="65"/>
      <c r="D2011" s="65"/>
      <c r="E2011" s="65"/>
      <c r="F2011" s="65"/>
      <c r="G2011" s="65"/>
      <c r="I2011" s="5"/>
      <c r="J2011" s="5"/>
    </row>
    <row r="2012" spans="1:10" x14ac:dyDescent="0.2">
      <c r="A2012" s="55"/>
      <c r="B2012" s="55"/>
      <c r="C2012" s="65"/>
      <c r="D2012" s="65"/>
      <c r="E2012" s="65"/>
      <c r="F2012" s="65"/>
      <c r="G2012" s="65"/>
      <c r="I2012" s="5"/>
      <c r="J2012" s="5"/>
    </row>
    <row r="2013" spans="1:10" x14ac:dyDescent="0.2">
      <c r="A2013" s="55"/>
      <c r="B2013" s="55"/>
      <c r="C2013" s="65"/>
      <c r="D2013" s="65"/>
      <c r="E2013" s="65"/>
      <c r="F2013" s="65"/>
      <c r="G2013" s="65"/>
      <c r="I2013" s="5"/>
      <c r="J2013" s="5"/>
    </row>
    <row r="2014" spans="1:10" x14ac:dyDescent="0.2">
      <c r="A2014" s="55"/>
      <c r="B2014" s="55"/>
      <c r="C2014" s="65"/>
      <c r="D2014" s="65"/>
      <c r="E2014" s="65"/>
      <c r="F2014" s="65"/>
      <c r="G2014" s="65"/>
      <c r="I2014" s="5"/>
      <c r="J2014" s="5"/>
    </row>
    <row r="2015" spans="1:10" x14ac:dyDescent="0.2">
      <c r="A2015" s="55"/>
      <c r="B2015" s="55"/>
      <c r="C2015" s="65"/>
      <c r="D2015" s="65"/>
      <c r="E2015" s="65"/>
      <c r="F2015" s="65"/>
      <c r="G2015" s="65"/>
      <c r="I2015" s="5"/>
      <c r="J2015" s="5"/>
    </row>
    <row r="2016" spans="1:10" x14ac:dyDescent="0.2">
      <c r="A2016" s="55"/>
      <c r="B2016" s="55"/>
      <c r="C2016" s="65"/>
      <c r="D2016" s="65"/>
      <c r="E2016" s="65"/>
      <c r="F2016" s="65"/>
      <c r="G2016" s="65"/>
      <c r="I2016" s="5"/>
      <c r="J2016" s="5"/>
    </row>
    <row r="2017" spans="1:10" x14ac:dyDescent="0.2">
      <c r="A2017" s="55"/>
      <c r="B2017" s="55"/>
      <c r="C2017" s="65"/>
      <c r="D2017" s="65"/>
      <c r="E2017" s="65"/>
      <c r="F2017" s="65"/>
      <c r="G2017" s="65"/>
      <c r="I2017" s="5"/>
      <c r="J2017" s="5"/>
    </row>
    <row r="2018" spans="1:10" x14ac:dyDescent="0.2">
      <c r="A2018" s="55"/>
      <c r="B2018" s="55"/>
      <c r="C2018" s="65"/>
      <c r="D2018" s="65"/>
      <c r="E2018" s="65"/>
      <c r="F2018" s="65"/>
      <c r="G2018" s="65"/>
      <c r="I2018" s="5"/>
      <c r="J2018" s="5"/>
    </row>
    <row r="2019" spans="1:10" x14ac:dyDescent="0.2">
      <c r="A2019" s="55"/>
      <c r="B2019" s="55"/>
      <c r="C2019" s="65"/>
      <c r="D2019" s="65"/>
      <c r="E2019" s="65"/>
      <c r="F2019" s="65"/>
      <c r="G2019" s="65"/>
      <c r="I2019" s="5"/>
      <c r="J2019" s="5"/>
    </row>
    <row r="2020" spans="1:10" x14ac:dyDescent="0.2">
      <c r="A2020" s="55"/>
      <c r="B2020" s="55"/>
      <c r="C2020" s="65"/>
      <c r="D2020" s="65"/>
      <c r="E2020" s="65"/>
      <c r="F2020" s="65"/>
      <c r="G2020" s="65"/>
      <c r="I2020" s="5"/>
      <c r="J2020" s="5"/>
    </row>
    <row r="2021" spans="1:10" x14ac:dyDescent="0.2">
      <c r="A2021" s="55"/>
      <c r="B2021" s="55"/>
      <c r="C2021" s="65"/>
      <c r="D2021" s="65"/>
      <c r="E2021" s="65"/>
      <c r="F2021" s="65"/>
      <c r="G2021" s="65"/>
      <c r="I2021" s="5"/>
      <c r="J2021" s="5"/>
    </row>
    <row r="2022" spans="1:10" x14ac:dyDescent="0.2">
      <c r="A2022" s="55"/>
      <c r="B2022" s="55"/>
      <c r="C2022" s="65"/>
      <c r="D2022" s="65"/>
      <c r="E2022" s="65"/>
      <c r="F2022" s="65"/>
      <c r="G2022" s="65"/>
      <c r="I2022" s="5"/>
      <c r="J2022" s="5"/>
    </row>
    <row r="2023" spans="1:10" x14ac:dyDescent="0.2">
      <c r="A2023" s="55"/>
      <c r="B2023" s="55"/>
      <c r="C2023" s="65"/>
      <c r="D2023" s="65"/>
      <c r="E2023" s="65"/>
      <c r="F2023" s="65"/>
      <c r="G2023" s="65"/>
      <c r="I2023" s="5"/>
      <c r="J2023" s="5"/>
    </row>
    <row r="2024" spans="1:10" x14ac:dyDescent="0.2">
      <c r="A2024" s="55"/>
      <c r="B2024" s="55"/>
      <c r="C2024" s="65"/>
      <c r="D2024" s="65"/>
      <c r="E2024" s="65"/>
      <c r="F2024" s="65"/>
      <c r="G2024" s="65"/>
      <c r="I2024" s="5"/>
      <c r="J2024" s="5"/>
    </row>
    <row r="2025" spans="1:10" x14ac:dyDescent="0.2">
      <c r="A2025" s="55"/>
      <c r="B2025" s="55"/>
      <c r="C2025" s="65"/>
      <c r="D2025" s="65"/>
      <c r="E2025" s="65"/>
      <c r="F2025" s="65"/>
      <c r="G2025" s="65"/>
      <c r="I2025" s="5"/>
      <c r="J2025" s="5"/>
    </row>
    <row r="2026" spans="1:10" x14ac:dyDescent="0.2">
      <c r="A2026" s="55"/>
      <c r="B2026" s="55"/>
      <c r="C2026" s="65"/>
      <c r="D2026" s="65"/>
      <c r="E2026" s="65"/>
      <c r="F2026" s="65"/>
      <c r="G2026" s="65"/>
      <c r="I2026" s="5"/>
      <c r="J2026" s="5"/>
    </row>
    <row r="2027" spans="1:10" x14ac:dyDescent="0.2">
      <c r="A2027" s="55"/>
      <c r="B2027" s="55"/>
      <c r="C2027" s="65"/>
      <c r="D2027" s="65"/>
      <c r="E2027" s="65"/>
      <c r="F2027" s="65"/>
      <c r="G2027" s="65"/>
      <c r="I2027" s="5"/>
      <c r="J2027" s="5"/>
    </row>
    <row r="2028" spans="1:10" x14ac:dyDescent="0.2">
      <c r="A2028" s="55"/>
      <c r="B2028" s="55"/>
      <c r="C2028" s="65"/>
      <c r="D2028" s="65"/>
      <c r="E2028" s="65"/>
      <c r="F2028" s="65"/>
      <c r="G2028" s="65"/>
      <c r="I2028" s="5"/>
      <c r="J2028" s="5"/>
    </row>
    <row r="2029" spans="1:10" x14ac:dyDescent="0.2">
      <c r="A2029" s="55"/>
      <c r="B2029" s="55"/>
      <c r="C2029" s="65"/>
      <c r="D2029" s="65"/>
      <c r="E2029" s="65"/>
      <c r="F2029" s="65"/>
      <c r="G2029" s="65"/>
      <c r="I2029" s="5"/>
      <c r="J2029" s="5"/>
    </row>
    <row r="2030" spans="1:10" x14ac:dyDescent="0.2">
      <c r="A2030" s="55"/>
      <c r="B2030" s="55"/>
      <c r="C2030" s="65"/>
      <c r="D2030" s="65"/>
      <c r="E2030" s="65"/>
      <c r="F2030" s="65"/>
      <c r="G2030" s="65"/>
      <c r="I2030" s="5"/>
      <c r="J2030" s="5"/>
    </row>
    <row r="2031" spans="1:10" x14ac:dyDescent="0.2">
      <c r="A2031" s="55"/>
      <c r="B2031" s="55"/>
      <c r="C2031" s="65"/>
      <c r="D2031" s="65"/>
      <c r="E2031" s="65"/>
      <c r="F2031" s="65"/>
      <c r="G2031" s="65"/>
      <c r="I2031" s="5"/>
      <c r="J2031" s="5"/>
    </row>
    <row r="2032" spans="1:10" x14ac:dyDescent="0.2">
      <c r="A2032" s="55"/>
      <c r="B2032" s="55"/>
      <c r="C2032" s="65"/>
      <c r="D2032" s="65"/>
      <c r="E2032" s="65"/>
      <c r="F2032" s="65"/>
      <c r="G2032" s="65"/>
      <c r="I2032" s="5"/>
      <c r="J2032" s="5"/>
    </row>
    <row r="2033" spans="1:10" x14ac:dyDescent="0.2">
      <c r="A2033" s="55"/>
      <c r="B2033" s="55"/>
      <c r="C2033" s="65"/>
      <c r="D2033" s="65"/>
      <c r="E2033" s="65"/>
      <c r="F2033" s="65"/>
      <c r="G2033" s="65"/>
      <c r="I2033" s="5"/>
      <c r="J2033" s="5"/>
    </row>
    <row r="2034" spans="1:10" x14ac:dyDescent="0.2">
      <c r="A2034" s="55"/>
      <c r="B2034" s="55"/>
      <c r="C2034" s="65"/>
      <c r="D2034" s="65"/>
      <c r="E2034" s="65"/>
      <c r="F2034" s="65"/>
      <c r="G2034" s="65"/>
      <c r="I2034" s="5"/>
      <c r="J2034" s="5"/>
    </row>
    <row r="2035" spans="1:10" x14ac:dyDescent="0.2">
      <c r="A2035" s="55"/>
      <c r="B2035" s="55"/>
      <c r="C2035" s="65"/>
      <c r="D2035" s="65"/>
      <c r="E2035" s="65"/>
      <c r="F2035" s="65"/>
      <c r="G2035" s="65"/>
      <c r="I2035" s="5"/>
      <c r="J2035" s="5"/>
    </row>
    <row r="2036" spans="1:10" x14ac:dyDescent="0.2">
      <c r="A2036" s="55"/>
      <c r="B2036" s="55"/>
      <c r="C2036" s="65"/>
      <c r="D2036" s="65"/>
      <c r="E2036" s="65"/>
      <c r="F2036" s="65"/>
      <c r="G2036" s="65"/>
      <c r="I2036" s="5"/>
      <c r="J2036" s="5"/>
    </row>
    <row r="2037" spans="1:10" x14ac:dyDescent="0.2">
      <c r="A2037" s="55"/>
      <c r="B2037" s="55"/>
      <c r="C2037" s="65"/>
      <c r="D2037" s="65"/>
      <c r="E2037" s="65"/>
      <c r="F2037" s="65"/>
      <c r="G2037" s="65"/>
      <c r="I2037" s="5"/>
      <c r="J2037" s="5"/>
    </row>
    <row r="2038" spans="1:10" x14ac:dyDescent="0.2">
      <c r="A2038" s="55"/>
      <c r="B2038" s="55"/>
      <c r="C2038" s="65"/>
      <c r="D2038" s="65"/>
      <c r="E2038" s="65"/>
      <c r="F2038" s="65"/>
      <c r="G2038" s="65"/>
      <c r="I2038" s="5"/>
      <c r="J2038" s="5"/>
    </row>
    <row r="2039" spans="1:10" x14ac:dyDescent="0.2">
      <c r="A2039" s="55"/>
      <c r="B2039" s="55"/>
      <c r="C2039" s="65"/>
      <c r="D2039" s="65"/>
      <c r="E2039" s="65"/>
      <c r="F2039" s="65"/>
      <c r="G2039" s="65"/>
      <c r="I2039" s="5"/>
      <c r="J2039" s="5"/>
    </row>
    <row r="2040" spans="1:10" x14ac:dyDescent="0.2">
      <c r="A2040" s="55"/>
      <c r="B2040" s="55"/>
      <c r="C2040" s="65"/>
      <c r="D2040" s="65"/>
      <c r="E2040" s="65"/>
      <c r="F2040" s="65"/>
      <c r="G2040" s="65"/>
      <c r="I2040" s="5"/>
      <c r="J2040" s="5"/>
    </row>
    <row r="2041" spans="1:10" x14ac:dyDescent="0.2">
      <c r="A2041" s="55"/>
      <c r="B2041" s="55"/>
      <c r="C2041" s="65"/>
      <c r="D2041" s="65"/>
      <c r="E2041" s="65"/>
      <c r="F2041" s="65"/>
      <c r="G2041" s="65"/>
      <c r="I2041" s="5"/>
      <c r="J2041" s="5"/>
    </row>
    <row r="2042" spans="1:10" x14ac:dyDescent="0.2">
      <c r="A2042" s="55"/>
      <c r="B2042" s="55"/>
      <c r="C2042" s="65"/>
      <c r="D2042" s="65"/>
      <c r="E2042" s="65"/>
      <c r="F2042" s="65"/>
      <c r="G2042" s="65"/>
      <c r="I2042" s="5"/>
      <c r="J2042" s="5"/>
    </row>
    <row r="2043" spans="1:10" x14ac:dyDescent="0.2">
      <c r="A2043" s="55"/>
      <c r="B2043" s="55"/>
      <c r="C2043" s="65"/>
      <c r="D2043" s="65"/>
      <c r="E2043" s="65"/>
      <c r="F2043" s="65"/>
      <c r="G2043" s="65"/>
      <c r="I2043" s="5"/>
      <c r="J2043" s="5"/>
    </row>
    <row r="2044" spans="1:10" x14ac:dyDescent="0.2">
      <c r="A2044" s="55"/>
      <c r="B2044" s="55"/>
      <c r="C2044" s="65"/>
      <c r="D2044" s="65"/>
      <c r="E2044" s="65"/>
      <c r="F2044" s="65"/>
      <c r="G2044" s="65"/>
      <c r="I2044" s="5"/>
      <c r="J2044" s="5"/>
    </row>
    <row r="2045" spans="1:10" x14ac:dyDescent="0.2">
      <c r="A2045" s="55"/>
      <c r="B2045" s="55"/>
      <c r="C2045" s="65"/>
      <c r="D2045" s="65"/>
      <c r="E2045" s="65"/>
      <c r="F2045" s="65"/>
      <c r="G2045" s="65"/>
      <c r="I2045" s="5"/>
      <c r="J2045" s="5"/>
    </row>
    <row r="2046" spans="1:10" x14ac:dyDescent="0.2">
      <c r="A2046" s="55"/>
      <c r="B2046" s="55"/>
      <c r="C2046" s="65"/>
      <c r="D2046" s="65"/>
      <c r="E2046" s="65"/>
      <c r="F2046" s="65"/>
      <c r="G2046" s="65"/>
      <c r="I2046" s="5"/>
      <c r="J2046" s="5"/>
    </row>
    <row r="2047" spans="1:10" x14ac:dyDescent="0.2">
      <c r="A2047" s="55"/>
      <c r="B2047" s="55"/>
      <c r="C2047" s="65"/>
      <c r="D2047" s="65"/>
      <c r="E2047" s="65"/>
      <c r="F2047" s="65"/>
      <c r="G2047" s="65"/>
      <c r="I2047" s="5"/>
      <c r="J2047" s="5"/>
    </row>
    <row r="2048" spans="1:10" x14ac:dyDescent="0.2">
      <c r="A2048" s="55"/>
      <c r="B2048" s="55"/>
      <c r="C2048" s="65"/>
      <c r="D2048" s="65"/>
      <c r="E2048" s="65"/>
      <c r="F2048" s="65"/>
      <c r="G2048" s="65"/>
      <c r="I2048" s="5"/>
      <c r="J2048" s="5"/>
    </row>
    <row r="2049" spans="1:10" x14ac:dyDescent="0.2">
      <c r="A2049" s="55"/>
      <c r="B2049" s="55"/>
      <c r="C2049" s="65"/>
      <c r="D2049" s="65"/>
      <c r="E2049" s="65"/>
      <c r="F2049" s="65"/>
      <c r="G2049" s="65"/>
      <c r="I2049" s="5"/>
      <c r="J2049" s="5"/>
    </row>
    <row r="2050" spans="1:10" x14ac:dyDescent="0.2">
      <c r="A2050" s="55"/>
      <c r="B2050" s="55"/>
      <c r="C2050" s="65"/>
      <c r="D2050" s="65"/>
      <c r="E2050" s="65"/>
      <c r="F2050" s="65"/>
      <c r="G2050" s="65"/>
      <c r="I2050" s="5"/>
      <c r="J2050" s="5"/>
    </row>
    <row r="2051" spans="1:10" x14ac:dyDescent="0.2">
      <c r="A2051" s="55"/>
      <c r="B2051" s="55"/>
      <c r="C2051" s="65"/>
      <c r="D2051" s="65"/>
      <c r="E2051" s="65"/>
      <c r="F2051" s="65"/>
      <c r="G2051" s="65"/>
      <c r="I2051" s="5"/>
      <c r="J2051" s="5"/>
    </row>
    <row r="2052" spans="1:10" x14ac:dyDescent="0.2">
      <c r="A2052" s="55"/>
      <c r="B2052" s="55"/>
      <c r="C2052" s="65"/>
      <c r="D2052" s="65"/>
      <c r="E2052" s="65"/>
      <c r="F2052" s="65"/>
      <c r="G2052" s="65"/>
      <c r="I2052" s="5"/>
      <c r="J2052" s="5"/>
    </row>
    <row r="2053" spans="1:10" x14ac:dyDescent="0.2">
      <c r="A2053" s="55"/>
      <c r="B2053" s="55"/>
      <c r="C2053" s="65"/>
      <c r="D2053" s="65"/>
      <c r="E2053" s="65"/>
      <c r="F2053" s="65"/>
      <c r="G2053" s="65"/>
      <c r="I2053" s="5"/>
      <c r="J2053" s="5"/>
    </row>
    <row r="2054" spans="1:10" x14ac:dyDescent="0.2">
      <c r="A2054" s="55"/>
      <c r="B2054" s="55"/>
      <c r="C2054" s="65"/>
      <c r="D2054" s="65"/>
      <c r="E2054" s="65"/>
      <c r="F2054" s="65"/>
      <c r="G2054" s="65"/>
      <c r="I2054" s="5"/>
      <c r="J2054" s="5"/>
    </row>
    <row r="2055" spans="1:10" x14ac:dyDescent="0.2">
      <c r="A2055" s="55"/>
      <c r="B2055" s="55"/>
      <c r="C2055" s="65"/>
      <c r="D2055" s="65"/>
      <c r="E2055" s="65"/>
      <c r="F2055" s="65"/>
      <c r="G2055" s="65"/>
      <c r="I2055" s="5"/>
      <c r="J2055" s="5"/>
    </row>
    <row r="2056" spans="1:10" x14ac:dyDescent="0.2">
      <c r="A2056" s="55"/>
      <c r="B2056" s="55"/>
      <c r="C2056" s="65"/>
      <c r="D2056" s="65"/>
      <c r="E2056" s="65"/>
      <c r="F2056" s="65"/>
      <c r="G2056" s="65"/>
      <c r="I2056" s="5"/>
      <c r="J2056" s="5"/>
    </row>
    <row r="2057" spans="1:10" x14ac:dyDescent="0.2">
      <c r="A2057" s="55"/>
      <c r="B2057" s="55"/>
      <c r="C2057" s="65"/>
      <c r="D2057" s="65"/>
      <c r="E2057" s="65"/>
      <c r="F2057" s="65"/>
      <c r="G2057" s="65"/>
      <c r="I2057" s="5"/>
      <c r="J2057" s="5"/>
    </row>
    <row r="2058" spans="1:10" x14ac:dyDescent="0.2">
      <c r="A2058" s="55"/>
      <c r="B2058" s="55"/>
      <c r="C2058" s="65"/>
      <c r="D2058" s="65"/>
      <c r="E2058" s="65"/>
      <c r="F2058" s="65"/>
      <c r="G2058" s="65"/>
      <c r="I2058" s="5"/>
      <c r="J2058" s="5"/>
    </row>
    <row r="2059" spans="1:10" x14ac:dyDescent="0.2">
      <c r="A2059" s="55"/>
      <c r="B2059" s="55"/>
      <c r="C2059" s="65"/>
      <c r="D2059" s="65"/>
      <c r="E2059" s="65"/>
      <c r="F2059" s="65"/>
      <c r="G2059" s="65"/>
      <c r="I2059" s="5"/>
      <c r="J2059" s="5"/>
    </row>
    <row r="2060" spans="1:10" x14ac:dyDescent="0.2">
      <c r="A2060" s="55"/>
      <c r="B2060" s="55"/>
      <c r="C2060" s="65"/>
      <c r="D2060" s="65"/>
      <c r="E2060" s="65"/>
      <c r="F2060" s="65"/>
      <c r="G2060" s="65"/>
      <c r="I2060" s="5"/>
      <c r="J2060" s="5"/>
    </row>
    <row r="2061" spans="1:10" x14ac:dyDescent="0.2">
      <c r="A2061" s="55"/>
      <c r="B2061" s="55"/>
      <c r="C2061" s="65"/>
      <c r="D2061" s="65"/>
      <c r="E2061" s="65"/>
      <c r="F2061" s="65"/>
      <c r="G2061" s="65"/>
      <c r="I2061" s="5"/>
      <c r="J2061" s="5"/>
    </row>
    <row r="2062" spans="1:10" x14ac:dyDescent="0.2">
      <c r="A2062" s="55"/>
      <c r="B2062" s="55"/>
      <c r="C2062" s="65"/>
      <c r="D2062" s="65"/>
      <c r="E2062" s="65"/>
      <c r="F2062" s="65"/>
      <c r="G2062" s="65"/>
      <c r="I2062" s="5"/>
      <c r="J2062" s="5"/>
    </row>
    <row r="2063" spans="1:10" x14ac:dyDescent="0.2">
      <c r="A2063" s="55"/>
      <c r="B2063" s="55"/>
      <c r="C2063" s="65"/>
      <c r="D2063" s="65"/>
      <c r="E2063" s="65"/>
      <c r="F2063" s="65"/>
      <c r="G2063" s="65"/>
      <c r="I2063" s="5"/>
      <c r="J2063" s="5"/>
    </row>
    <row r="2064" spans="1:10" x14ac:dyDescent="0.2">
      <c r="A2064" s="55"/>
      <c r="B2064" s="55"/>
      <c r="C2064" s="65"/>
      <c r="D2064" s="65"/>
      <c r="E2064" s="65"/>
      <c r="F2064" s="65"/>
      <c r="G2064" s="65"/>
      <c r="I2064" s="5"/>
      <c r="J2064" s="5"/>
    </row>
    <row r="2065" spans="1:10" x14ac:dyDescent="0.2">
      <c r="A2065" s="55"/>
      <c r="B2065" s="55"/>
      <c r="C2065" s="65"/>
      <c r="D2065" s="65"/>
      <c r="E2065" s="65"/>
      <c r="F2065" s="65"/>
      <c r="G2065" s="65"/>
      <c r="I2065" s="5"/>
      <c r="J2065" s="5"/>
    </row>
    <row r="2066" spans="1:10" x14ac:dyDescent="0.2">
      <c r="A2066" s="55"/>
      <c r="B2066" s="55"/>
      <c r="C2066" s="65"/>
      <c r="D2066" s="65"/>
      <c r="E2066" s="65"/>
      <c r="F2066" s="65"/>
      <c r="G2066" s="65"/>
      <c r="I2066" s="5"/>
      <c r="J2066" s="5"/>
    </row>
    <row r="2067" spans="1:10" x14ac:dyDescent="0.2">
      <c r="A2067" s="55"/>
      <c r="B2067" s="55"/>
      <c r="C2067" s="65"/>
      <c r="D2067" s="65"/>
      <c r="E2067" s="65"/>
      <c r="F2067" s="65"/>
      <c r="G2067" s="65"/>
      <c r="I2067" s="5"/>
      <c r="J2067" s="5"/>
    </row>
    <row r="2068" spans="1:10" x14ac:dyDescent="0.2">
      <c r="A2068" s="55"/>
      <c r="B2068" s="55"/>
      <c r="C2068" s="65"/>
      <c r="D2068" s="65"/>
      <c r="E2068" s="65"/>
      <c r="F2068" s="65"/>
      <c r="G2068" s="65"/>
      <c r="I2068" s="5"/>
      <c r="J2068" s="5"/>
    </row>
    <row r="2069" spans="1:10" x14ac:dyDescent="0.2">
      <c r="A2069" s="55"/>
      <c r="B2069" s="55"/>
      <c r="C2069" s="65"/>
      <c r="D2069" s="65"/>
      <c r="E2069" s="65"/>
      <c r="F2069" s="65"/>
      <c r="G2069" s="65"/>
      <c r="I2069" s="5"/>
      <c r="J2069" s="5"/>
    </row>
    <row r="2070" spans="1:10" x14ac:dyDescent="0.2">
      <c r="A2070" s="55"/>
      <c r="B2070" s="55"/>
      <c r="C2070" s="65"/>
      <c r="D2070" s="65"/>
      <c r="E2070" s="65"/>
      <c r="F2070" s="65"/>
      <c r="G2070" s="65"/>
      <c r="I2070" s="5"/>
      <c r="J2070" s="5"/>
    </row>
    <row r="2071" spans="1:10" x14ac:dyDescent="0.2">
      <c r="A2071" s="55"/>
      <c r="B2071" s="55"/>
      <c r="C2071" s="65"/>
      <c r="D2071" s="65"/>
      <c r="E2071" s="65"/>
      <c r="F2071" s="65"/>
      <c r="G2071" s="65"/>
      <c r="I2071" s="5"/>
      <c r="J2071" s="5"/>
    </row>
    <row r="2072" spans="1:10" x14ac:dyDescent="0.2">
      <c r="A2072" s="55"/>
      <c r="B2072" s="55"/>
      <c r="C2072" s="65"/>
      <c r="D2072" s="65"/>
      <c r="E2072" s="65"/>
      <c r="F2072" s="65"/>
      <c r="G2072" s="65"/>
      <c r="I2072" s="5"/>
      <c r="J2072" s="5"/>
    </row>
    <row r="2073" spans="1:10" x14ac:dyDescent="0.2">
      <c r="A2073" s="55"/>
      <c r="B2073" s="55"/>
      <c r="C2073" s="65"/>
      <c r="D2073" s="65"/>
      <c r="E2073" s="65"/>
      <c r="F2073" s="65"/>
      <c r="G2073" s="65"/>
      <c r="I2073" s="5"/>
      <c r="J2073" s="5"/>
    </row>
    <row r="2074" spans="1:10" x14ac:dyDescent="0.2">
      <c r="A2074" s="55"/>
      <c r="B2074" s="55"/>
      <c r="C2074" s="65"/>
      <c r="D2074" s="65"/>
      <c r="E2074" s="65"/>
      <c r="F2074" s="65"/>
      <c r="G2074" s="65"/>
      <c r="I2074" s="5"/>
      <c r="J2074" s="5"/>
    </row>
    <row r="2075" spans="1:10" x14ac:dyDescent="0.2">
      <c r="A2075" s="55"/>
      <c r="B2075" s="55"/>
      <c r="C2075" s="65"/>
      <c r="D2075" s="65"/>
      <c r="E2075" s="65"/>
      <c r="F2075" s="65"/>
      <c r="G2075" s="65"/>
      <c r="I2075" s="5"/>
      <c r="J2075" s="5"/>
    </row>
    <row r="2076" spans="1:10" x14ac:dyDescent="0.2">
      <c r="A2076" s="55"/>
      <c r="B2076" s="55"/>
      <c r="C2076" s="65"/>
      <c r="D2076" s="65"/>
      <c r="E2076" s="65"/>
      <c r="F2076" s="65"/>
      <c r="G2076" s="65"/>
      <c r="I2076" s="5"/>
      <c r="J2076" s="5"/>
    </row>
    <row r="2077" spans="1:10" x14ac:dyDescent="0.2">
      <c r="A2077" s="55"/>
      <c r="B2077" s="55"/>
      <c r="C2077" s="65"/>
      <c r="D2077" s="65"/>
      <c r="E2077" s="65"/>
      <c r="F2077" s="65"/>
      <c r="G2077" s="65"/>
      <c r="I2077" s="5"/>
      <c r="J2077" s="5"/>
    </row>
    <row r="2078" spans="1:10" x14ac:dyDescent="0.2">
      <c r="A2078" s="55"/>
      <c r="B2078" s="55"/>
      <c r="C2078" s="65"/>
      <c r="D2078" s="65"/>
      <c r="E2078" s="65"/>
      <c r="F2078" s="65"/>
      <c r="G2078" s="65"/>
      <c r="I2078" s="5"/>
      <c r="J2078" s="5"/>
    </row>
    <row r="2079" spans="1:10" x14ac:dyDescent="0.2">
      <c r="A2079" s="55"/>
      <c r="B2079" s="55"/>
      <c r="C2079" s="65"/>
      <c r="D2079" s="65"/>
      <c r="E2079" s="65"/>
      <c r="F2079" s="65"/>
      <c r="G2079" s="65"/>
      <c r="I2079" s="5"/>
      <c r="J2079" s="5"/>
    </row>
    <row r="2080" spans="1:10" x14ac:dyDescent="0.2">
      <c r="A2080" s="55"/>
      <c r="B2080" s="55"/>
      <c r="C2080" s="65"/>
      <c r="D2080" s="65"/>
      <c r="E2080" s="65"/>
      <c r="F2080" s="65"/>
      <c r="G2080" s="65"/>
      <c r="I2080" s="5"/>
      <c r="J2080" s="5"/>
    </row>
    <row r="2081" spans="1:10" x14ac:dyDescent="0.2">
      <c r="A2081" s="55"/>
      <c r="B2081" s="55"/>
      <c r="C2081" s="65"/>
      <c r="D2081" s="65"/>
      <c r="E2081" s="65"/>
      <c r="F2081" s="65"/>
      <c r="G2081" s="65"/>
      <c r="I2081" s="5"/>
      <c r="J2081" s="5"/>
    </row>
    <row r="2082" spans="1:10" x14ac:dyDescent="0.2">
      <c r="A2082" s="55"/>
      <c r="B2082" s="55"/>
      <c r="C2082" s="65"/>
      <c r="D2082" s="65"/>
      <c r="E2082" s="65"/>
      <c r="F2082" s="65"/>
      <c r="G2082" s="65"/>
      <c r="I2082" s="5"/>
      <c r="J2082" s="5"/>
    </row>
    <row r="2083" spans="1:10" x14ac:dyDescent="0.2">
      <c r="A2083" s="55"/>
      <c r="B2083" s="55"/>
      <c r="C2083" s="65"/>
      <c r="D2083" s="65"/>
      <c r="E2083" s="65"/>
      <c r="F2083" s="65"/>
      <c r="G2083" s="65"/>
      <c r="I2083" s="5"/>
      <c r="J2083" s="5"/>
    </row>
    <row r="2084" spans="1:10" x14ac:dyDescent="0.2">
      <c r="A2084" s="55"/>
      <c r="B2084" s="55"/>
      <c r="C2084" s="65"/>
      <c r="D2084" s="65"/>
      <c r="E2084" s="65"/>
      <c r="F2084" s="65"/>
      <c r="G2084" s="65"/>
      <c r="I2084" s="5"/>
      <c r="J2084" s="5"/>
    </row>
    <row r="2085" spans="1:10" x14ac:dyDescent="0.2">
      <c r="A2085" s="55"/>
      <c r="B2085" s="55"/>
      <c r="C2085" s="65"/>
      <c r="D2085" s="65"/>
      <c r="E2085" s="65"/>
      <c r="F2085" s="65"/>
      <c r="G2085" s="65"/>
      <c r="I2085" s="5"/>
      <c r="J2085" s="5"/>
    </row>
    <row r="2086" spans="1:10" x14ac:dyDescent="0.2">
      <c r="A2086" s="55"/>
      <c r="B2086" s="55"/>
      <c r="C2086" s="65"/>
      <c r="D2086" s="65"/>
      <c r="E2086" s="65"/>
      <c r="F2086" s="65"/>
      <c r="G2086" s="65"/>
      <c r="I2086" s="5"/>
      <c r="J2086" s="5"/>
    </row>
    <row r="2087" spans="1:10" x14ac:dyDescent="0.2">
      <c r="A2087" s="55"/>
      <c r="B2087" s="55"/>
      <c r="C2087" s="65"/>
      <c r="D2087" s="65"/>
      <c r="E2087" s="65"/>
      <c r="F2087" s="65"/>
      <c r="G2087" s="65"/>
      <c r="I2087" s="5"/>
      <c r="J2087" s="5"/>
    </row>
    <row r="2088" spans="1:10" x14ac:dyDescent="0.2">
      <c r="A2088" s="55"/>
      <c r="B2088" s="55"/>
      <c r="C2088" s="65"/>
      <c r="D2088" s="65"/>
      <c r="E2088" s="65"/>
      <c r="F2088" s="65"/>
      <c r="G2088" s="65"/>
      <c r="I2088" s="5"/>
      <c r="J2088" s="5"/>
    </row>
    <row r="2089" spans="1:10" x14ac:dyDescent="0.2">
      <c r="A2089" s="55"/>
      <c r="B2089" s="55"/>
      <c r="C2089" s="65"/>
      <c r="D2089" s="65"/>
      <c r="E2089" s="65"/>
      <c r="F2089" s="65"/>
      <c r="G2089" s="65"/>
      <c r="I2089" s="5"/>
      <c r="J2089" s="5"/>
    </row>
    <row r="2090" spans="1:10" x14ac:dyDescent="0.2">
      <c r="A2090" s="55"/>
      <c r="B2090" s="55"/>
      <c r="C2090" s="65"/>
      <c r="D2090" s="65"/>
      <c r="E2090" s="65"/>
      <c r="F2090" s="65"/>
      <c r="G2090" s="65"/>
      <c r="I2090" s="5"/>
      <c r="J2090" s="5"/>
    </row>
    <row r="2091" spans="1:10" x14ac:dyDescent="0.2">
      <c r="A2091" s="55"/>
      <c r="B2091" s="55"/>
      <c r="C2091" s="65"/>
      <c r="D2091" s="65"/>
      <c r="E2091" s="65"/>
      <c r="F2091" s="65"/>
      <c r="G2091" s="65"/>
      <c r="I2091" s="5"/>
      <c r="J2091" s="5"/>
    </row>
    <row r="2092" spans="1:10" x14ac:dyDescent="0.2">
      <c r="A2092" s="55"/>
      <c r="B2092" s="55"/>
      <c r="C2092" s="65"/>
      <c r="D2092" s="65"/>
      <c r="E2092" s="65"/>
      <c r="F2092" s="65"/>
      <c r="G2092" s="65"/>
      <c r="I2092" s="5"/>
      <c r="J2092" s="5"/>
    </row>
    <row r="2093" spans="1:10" x14ac:dyDescent="0.2">
      <c r="A2093" s="55"/>
      <c r="B2093" s="55"/>
      <c r="C2093" s="65"/>
      <c r="D2093" s="65"/>
      <c r="E2093" s="65"/>
      <c r="F2093" s="65"/>
      <c r="G2093" s="65"/>
      <c r="I2093" s="5"/>
      <c r="J2093" s="5"/>
    </row>
    <row r="2094" spans="1:10" x14ac:dyDescent="0.2">
      <c r="A2094" s="55"/>
      <c r="B2094" s="55"/>
      <c r="C2094" s="65"/>
      <c r="D2094" s="65"/>
      <c r="E2094" s="65"/>
      <c r="F2094" s="65"/>
      <c r="G2094" s="65"/>
      <c r="I2094" s="5"/>
      <c r="J2094" s="5"/>
    </row>
    <row r="2095" spans="1:10" x14ac:dyDescent="0.2">
      <c r="A2095" s="55"/>
      <c r="B2095" s="55"/>
      <c r="C2095" s="65"/>
      <c r="D2095" s="65"/>
      <c r="E2095" s="65"/>
      <c r="F2095" s="65"/>
      <c r="G2095" s="65"/>
      <c r="I2095" s="5"/>
      <c r="J2095" s="5"/>
    </row>
    <row r="2096" spans="1:10" x14ac:dyDescent="0.2">
      <c r="A2096" s="55"/>
      <c r="B2096" s="55"/>
      <c r="C2096" s="65"/>
      <c r="D2096" s="65"/>
      <c r="E2096" s="65"/>
      <c r="F2096" s="65"/>
      <c r="G2096" s="65"/>
      <c r="I2096" s="5"/>
      <c r="J2096" s="5"/>
    </row>
    <row r="2097" spans="1:10" x14ac:dyDescent="0.2">
      <c r="A2097" s="55"/>
      <c r="B2097" s="55"/>
      <c r="C2097" s="65"/>
      <c r="D2097" s="65"/>
      <c r="E2097" s="65"/>
      <c r="F2097" s="65"/>
      <c r="G2097" s="65"/>
      <c r="I2097" s="5"/>
      <c r="J2097" s="5"/>
    </row>
    <row r="2098" spans="1:10" x14ac:dyDescent="0.2">
      <c r="A2098" s="55"/>
      <c r="B2098" s="55"/>
      <c r="C2098" s="65"/>
      <c r="D2098" s="65"/>
      <c r="E2098" s="65"/>
      <c r="F2098" s="65"/>
      <c r="G2098" s="65"/>
      <c r="I2098" s="5"/>
      <c r="J2098" s="5"/>
    </row>
    <row r="2099" spans="1:10" x14ac:dyDescent="0.2">
      <c r="A2099" s="55"/>
      <c r="B2099" s="55"/>
      <c r="C2099" s="65"/>
      <c r="D2099" s="65"/>
      <c r="E2099" s="65"/>
      <c r="F2099" s="65"/>
      <c r="G2099" s="65"/>
      <c r="I2099" s="5"/>
      <c r="J2099" s="5"/>
    </row>
    <row r="2100" spans="1:10" x14ac:dyDescent="0.2">
      <c r="A2100" s="55"/>
      <c r="B2100" s="55"/>
      <c r="C2100" s="65"/>
      <c r="D2100" s="65"/>
      <c r="E2100" s="65"/>
      <c r="F2100" s="65"/>
      <c r="G2100" s="65"/>
      <c r="I2100" s="5"/>
      <c r="J2100" s="5"/>
    </row>
    <row r="2101" spans="1:10" x14ac:dyDescent="0.2">
      <c r="A2101" s="55"/>
      <c r="B2101" s="55"/>
      <c r="C2101" s="65"/>
      <c r="D2101" s="65"/>
      <c r="E2101" s="65"/>
      <c r="F2101" s="65"/>
      <c r="G2101" s="65"/>
      <c r="I2101" s="5"/>
      <c r="J2101" s="5"/>
    </row>
    <row r="2102" spans="1:10" x14ac:dyDescent="0.2">
      <c r="A2102" s="55"/>
      <c r="B2102" s="55"/>
      <c r="C2102" s="65"/>
      <c r="D2102" s="65"/>
      <c r="E2102" s="65"/>
      <c r="F2102" s="65"/>
      <c r="G2102" s="65"/>
      <c r="I2102" s="5"/>
      <c r="J2102" s="5"/>
    </row>
    <row r="2103" spans="1:10" x14ac:dyDescent="0.2">
      <c r="A2103" s="55"/>
      <c r="B2103" s="55"/>
      <c r="C2103" s="65"/>
      <c r="D2103" s="65"/>
      <c r="E2103" s="65"/>
      <c r="F2103" s="65"/>
      <c r="G2103" s="65"/>
      <c r="I2103" s="5"/>
      <c r="J2103" s="5"/>
    </row>
    <row r="2104" spans="1:10" x14ac:dyDescent="0.2">
      <c r="A2104" s="55"/>
      <c r="B2104" s="55"/>
      <c r="C2104" s="65"/>
      <c r="D2104" s="65"/>
      <c r="E2104" s="65"/>
      <c r="F2104" s="65"/>
      <c r="G2104" s="65"/>
      <c r="I2104" s="5"/>
      <c r="J2104" s="5"/>
    </row>
    <row r="2105" spans="1:10" x14ac:dyDescent="0.2">
      <c r="A2105" s="55"/>
      <c r="B2105" s="55"/>
      <c r="C2105" s="65"/>
      <c r="D2105" s="65"/>
      <c r="E2105" s="65"/>
      <c r="F2105" s="65"/>
      <c r="G2105" s="65"/>
      <c r="I2105" s="5"/>
      <c r="J2105" s="5"/>
    </row>
    <row r="2106" spans="1:10" x14ac:dyDescent="0.2">
      <c r="A2106" s="55"/>
      <c r="B2106" s="55"/>
      <c r="C2106" s="65"/>
      <c r="D2106" s="65"/>
      <c r="E2106" s="65"/>
      <c r="F2106" s="65"/>
      <c r="G2106" s="65"/>
      <c r="I2106" s="5"/>
      <c r="J2106" s="5"/>
    </row>
    <row r="2107" spans="1:10" x14ac:dyDescent="0.2">
      <c r="A2107" s="55"/>
      <c r="B2107" s="55"/>
      <c r="C2107" s="65"/>
      <c r="D2107" s="65"/>
      <c r="E2107" s="65"/>
      <c r="F2107" s="65"/>
      <c r="G2107" s="65"/>
      <c r="I2107" s="5"/>
      <c r="J2107" s="5"/>
    </row>
    <row r="2108" spans="1:10" x14ac:dyDescent="0.2">
      <c r="A2108" s="55"/>
      <c r="B2108" s="55"/>
      <c r="C2108" s="65"/>
      <c r="D2108" s="65"/>
      <c r="E2108" s="65"/>
      <c r="F2108" s="65"/>
      <c r="G2108" s="65"/>
      <c r="I2108" s="5"/>
      <c r="J2108" s="5"/>
    </row>
    <row r="2109" spans="1:10" x14ac:dyDescent="0.2">
      <c r="A2109" s="55"/>
      <c r="B2109" s="55"/>
      <c r="C2109" s="65"/>
      <c r="D2109" s="65"/>
      <c r="E2109" s="65"/>
      <c r="F2109" s="65"/>
      <c r="G2109" s="65"/>
      <c r="I2109" s="5"/>
      <c r="J2109" s="5"/>
    </row>
    <row r="2110" spans="1:10" x14ac:dyDescent="0.2">
      <c r="A2110" s="55"/>
      <c r="B2110" s="55"/>
      <c r="C2110" s="65"/>
      <c r="D2110" s="65"/>
      <c r="E2110" s="65"/>
      <c r="F2110" s="65"/>
      <c r="G2110" s="65"/>
      <c r="I2110" s="5"/>
      <c r="J2110" s="5"/>
    </row>
    <row r="2111" spans="1:10" x14ac:dyDescent="0.2">
      <c r="A2111" s="55"/>
      <c r="B2111" s="55"/>
      <c r="C2111" s="65"/>
      <c r="D2111" s="65"/>
      <c r="E2111" s="65"/>
      <c r="F2111" s="65"/>
      <c r="G2111" s="65"/>
      <c r="I2111" s="5"/>
      <c r="J2111" s="5"/>
    </row>
    <row r="2112" spans="1:10" x14ac:dyDescent="0.2">
      <c r="A2112" s="55"/>
      <c r="B2112" s="55"/>
      <c r="C2112" s="65"/>
      <c r="D2112" s="65"/>
      <c r="E2112" s="65"/>
      <c r="F2112" s="65"/>
      <c r="G2112" s="65"/>
      <c r="I2112" s="5"/>
      <c r="J2112" s="5"/>
    </row>
    <row r="2113" spans="1:10" x14ac:dyDescent="0.2">
      <c r="A2113" s="55"/>
      <c r="B2113" s="55"/>
      <c r="C2113" s="65"/>
      <c r="D2113" s="65"/>
      <c r="E2113" s="65"/>
      <c r="F2113" s="65"/>
      <c r="G2113" s="65"/>
      <c r="I2113" s="5"/>
      <c r="J2113" s="5"/>
    </row>
    <row r="2114" spans="1:10" x14ac:dyDescent="0.2">
      <c r="A2114" s="55"/>
      <c r="B2114" s="55"/>
      <c r="C2114" s="65"/>
      <c r="D2114" s="65"/>
      <c r="E2114" s="65"/>
      <c r="F2114" s="65"/>
      <c r="G2114" s="65"/>
      <c r="I2114" s="5"/>
      <c r="J2114" s="5"/>
    </row>
    <row r="2115" spans="1:10" x14ac:dyDescent="0.2">
      <c r="A2115" s="55"/>
      <c r="B2115" s="55"/>
      <c r="C2115" s="65"/>
      <c r="D2115" s="65"/>
      <c r="E2115" s="65"/>
      <c r="F2115" s="65"/>
      <c r="G2115" s="65"/>
      <c r="I2115" s="5"/>
      <c r="J2115" s="5"/>
    </row>
    <row r="2116" spans="1:10" x14ac:dyDescent="0.2">
      <c r="A2116" s="55"/>
      <c r="B2116" s="55"/>
      <c r="C2116" s="65"/>
      <c r="D2116" s="65"/>
      <c r="E2116" s="65"/>
      <c r="F2116" s="65"/>
      <c r="G2116" s="65"/>
      <c r="I2116" s="5"/>
      <c r="J2116" s="5"/>
    </row>
    <row r="2117" spans="1:10" x14ac:dyDescent="0.2">
      <c r="A2117" s="55"/>
      <c r="B2117" s="55"/>
      <c r="C2117" s="65"/>
      <c r="D2117" s="65"/>
      <c r="E2117" s="65"/>
      <c r="F2117" s="65"/>
      <c r="G2117" s="65"/>
      <c r="I2117" s="5"/>
      <c r="J2117" s="5"/>
    </row>
    <row r="2118" spans="1:10" x14ac:dyDescent="0.2">
      <c r="A2118" s="55"/>
      <c r="B2118" s="55"/>
      <c r="C2118" s="65"/>
      <c r="D2118" s="65"/>
      <c r="E2118" s="65"/>
      <c r="F2118" s="65"/>
      <c r="G2118" s="65"/>
      <c r="I2118" s="5"/>
      <c r="J2118" s="5"/>
    </row>
    <row r="2119" spans="1:10" x14ac:dyDescent="0.2">
      <c r="A2119" s="55"/>
      <c r="B2119" s="55"/>
      <c r="C2119" s="65"/>
      <c r="D2119" s="65"/>
      <c r="E2119" s="65"/>
      <c r="F2119" s="65"/>
      <c r="G2119" s="65"/>
      <c r="I2119" s="5"/>
      <c r="J2119" s="5"/>
    </row>
    <row r="2120" spans="1:10" x14ac:dyDescent="0.2">
      <c r="A2120" s="55"/>
      <c r="B2120" s="55"/>
      <c r="C2120" s="65"/>
      <c r="D2120" s="65"/>
      <c r="E2120" s="65"/>
      <c r="F2120" s="65"/>
      <c r="G2120" s="65"/>
      <c r="I2120" s="5"/>
      <c r="J2120" s="5"/>
    </row>
    <row r="2121" spans="1:10" x14ac:dyDescent="0.2">
      <c r="A2121" s="55"/>
      <c r="B2121" s="55"/>
      <c r="C2121" s="65"/>
      <c r="D2121" s="65"/>
      <c r="E2121" s="65"/>
      <c r="F2121" s="65"/>
      <c r="G2121" s="65"/>
      <c r="I2121" s="5"/>
      <c r="J2121" s="5"/>
    </row>
    <row r="2122" spans="1:10" x14ac:dyDescent="0.2">
      <c r="A2122" s="55"/>
      <c r="B2122" s="55"/>
      <c r="C2122" s="65"/>
      <c r="D2122" s="65"/>
      <c r="E2122" s="65"/>
      <c r="F2122" s="65"/>
      <c r="G2122" s="65"/>
      <c r="I2122" s="5"/>
      <c r="J2122" s="5"/>
    </row>
    <row r="2123" spans="1:10" x14ac:dyDescent="0.2">
      <c r="A2123" s="55"/>
      <c r="B2123" s="55"/>
      <c r="C2123" s="65"/>
      <c r="D2123" s="65"/>
      <c r="E2123" s="65"/>
      <c r="F2123" s="65"/>
      <c r="G2123" s="65"/>
      <c r="I2123" s="5"/>
      <c r="J2123" s="5"/>
    </row>
    <row r="2124" spans="1:10" x14ac:dyDescent="0.2">
      <c r="A2124" s="55"/>
      <c r="B2124" s="55"/>
      <c r="C2124" s="65"/>
      <c r="D2124" s="65"/>
      <c r="E2124" s="65"/>
      <c r="F2124" s="65"/>
      <c r="G2124" s="65"/>
      <c r="I2124" s="5"/>
      <c r="J2124" s="5"/>
    </row>
    <row r="2125" spans="1:10" x14ac:dyDescent="0.2">
      <c r="A2125" s="55"/>
      <c r="B2125" s="55"/>
      <c r="C2125" s="65"/>
      <c r="D2125" s="65"/>
      <c r="E2125" s="65"/>
      <c r="F2125" s="65"/>
      <c r="G2125" s="65"/>
      <c r="I2125" s="5"/>
      <c r="J2125" s="5"/>
    </row>
    <row r="2126" spans="1:10" x14ac:dyDescent="0.2">
      <c r="A2126" s="55"/>
      <c r="B2126" s="55"/>
      <c r="C2126" s="65"/>
      <c r="D2126" s="65"/>
      <c r="E2126" s="65"/>
      <c r="F2126" s="65"/>
      <c r="G2126" s="65"/>
      <c r="I2126" s="5"/>
      <c r="J2126" s="5"/>
    </row>
    <row r="2127" spans="1:10" x14ac:dyDescent="0.2">
      <c r="A2127" s="55"/>
      <c r="B2127" s="55"/>
      <c r="C2127" s="65"/>
      <c r="D2127" s="65"/>
      <c r="E2127" s="65"/>
      <c r="F2127" s="65"/>
      <c r="G2127" s="65"/>
      <c r="I2127" s="5"/>
      <c r="J2127" s="5"/>
    </row>
    <row r="2128" spans="1:10" x14ac:dyDescent="0.2">
      <c r="A2128" s="55"/>
      <c r="B2128" s="55"/>
      <c r="C2128" s="65"/>
      <c r="D2128" s="65"/>
      <c r="E2128" s="65"/>
      <c r="F2128" s="65"/>
      <c r="G2128" s="65"/>
      <c r="I2128" s="5"/>
      <c r="J2128" s="5"/>
    </row>
    <row r="2129" spans="1:10" x14ac:dyDescent="0.2">
      <c r="A2129" s="55"/>
      <c r="B2129" s="55"/>
      <c r="C2129" s="65"/>
      <c r="D2129" s="65"/>
      <c r="E2129" s="65"/>
      <c r="F2129" s="65"/>
      <c r="G2129" s="65"/>
      <c r="I2129" s="5"/>
      <c r="J2129" s="5"/>
    </row>
    <row r="2130" spans="1:10" x14ac:dyDescent="0.2">
      <c r="A2130" s="55"/>
      <c r="B2130" s="55"/>
      <c r="C2130" s="65"/>
      <c r="D2130" s="65"/>
      <c r="E2130" s="65"/>
      <c r="F2130" s="65"/>
      <c r="G2130" s="65"/>
      <c r="I2130" s="5"/>
      <c r="J2130" s="5"/>
    </row>
    <row r="2131" spans="1:10" x14ac:dyDescent="0.2">
      <c r="A2131" s="55"/>
      <c r="B2131" s="55"/>
      <c r="C2131" s="65"/>
      <c r="D2131" s="65"/>
      <c r="E2131" s="65"/>
      <c r="F2131" s="65"/>
      <c r="G2131" s="65"/>
      <c r="I2131" s="5"/>
      <c r="J2131" s="5"/>
    </row>
    <row r="2132" spans="1:10" x14ac:dyDescent="0.2">
      <c r="A2132" s="55"/>
      <c r="B2132" s="55"/>
      <c r="C2132" s="65"/>
      <c r="D2132" s="65"/>
      <c r="E2132" s="65"/>
      <c r="F2132" s="65"/>
      <c r="G2132" s="65"/>
      <c r="I2132" s="5"/>
      <c r="J2132" s="5"/>
    </row>
    <row r="2133" spans="1:10" x14ac:dyDescent="0.2">
      <c r="A2133" s="55"/>
      <c r="B2133" s="55"/>
      <c r="C2133" s="65"/>
      <c r="D2133" s="65"/>
      <c r="E2133" s="65"/>
      <c r="F2133" s="65"/>
      <c r="G2133" s="65"/>
      <c r="I2133" s="5"/>
      <c r="J2133" s="5"/>
    </row>
    <row r="2134" spans="1:10" x14ac:dyDescent="0.2">
      <c r="A2134" s="55"/>
      <c r="B2134" s="55"/>
      <c r="C2134" s="65"/>
      <c r="D2134" s="65"/>
      <c r="E2134" s="65"/>
      <c r="F2134" s="65"/>
      <c r="G2134" s="65"/>
      <c r="I2134" s="5"/>
      <c r="J2134" s="5"/>
    </row>
    <row r="2135" spans="1:10" x14ac:dyDescent="0.2">
      <c r="A2135" s="55"/>
      <c r="B2135" s="55"/>
      <c r="C2135" s="65"/>
      <c r="D2135" s="65"/>
      <c r="E2135" s="65"/>
      <c r="F2135" s="65"/>
      <c r="G2135" s="65"/>
      <c r="I2135" s="5"/>
      <c r="J2135" s="5"/>
    </row>
    <row r="2136" spans="1:10" x14ac:dyDescent="0.2">
      <c r="A2136" s="55"/>
      <c r="B2136" s="55"/>
      <c r="C2136" s="65"/>
      <c r="D2136" s="65"/>
      <c r="E2136" s="65"/>
      <c r="F2136" s="65"/>
      <c r="G2136" s="65"/>
      <c r="I2136" s="5"/>
      <c r="J2136" s="5"/>
    </row>
    <row r="2137" spans="1:10" x14ac:dyDescent="0.2">
      <c r="A2137" s="55"/>
      <c r="B2137" s="55"/>
      <c r="C2137" s="65"/>
      <c r="D2137" s="65"/>
      <c r="E2137" s="65"/>
      <c r="F2137" s="65"/>
      <c r="G2137" s="65"/>
      <c r="I2137" s="5"/>
      <c r="J2137" s="5"/>
    </row>
    <row r="2138" spans="1:10" x14ac:dyDescent="0.2">
      <c r="A2138" s="55"/>
      <c r="B2138" s="55"/>
      <c r="C2138" s="65"/>
      <c r="D2138" s="65"/>
      <c r="E2138" s="65"/>
      <c r="F2138" s="65"/>
      <c r="G2138" s="65"/>
      <c r="I2138" s="5"/>
      <c r="J2138" s="5"/>
    </row>
    <row r="2139" spans="1:10" x14ac:dyDescent="0.2">
      <c r="A2139" s="55"/>
      <c r="B2139" s="55"/>
      <c r="C2139" s="65"/>
      <c r="D2139" s="65"/>
      <c r="E2139" s="65"/>
      <c r="F2139" s="65"/>
      <c r="G2139" s="65"/>
      <c r="I2139" s="5"/>
      <c r="J2139" s="5"/>
    </row>
    <row r="2140" spans="1:10" x14ac:dyDescent="0.2">
      <c r="A2140" s="55"/>
      <c r="B2140" s="55"/>
      <c r="C2140" s="65"/>
      <c r="D2140" s="65"/>
      <c r="E2140" s="65"/>
      <c r="F2140" s="65"/>
      <c r="G2140" s="65"/>
      <c r="I2140" s="5"/>
      <c r="J2140" s="5"/>
    </row>
    <row r="2141" spans="1:10" x14ac:dyDescent="0.2">
      <c r="A2141" s="55"/>
      <c r="B2141" s="55"/>
      <c r="C2141" s="65"/>
      <c r="D2141" s="65"/>
      <c r="E2141" s="65"/>
      <c r="F2141" s="65"/>
      <c r="G2141" s="65"/>
      <c r="I2141" s="5"/>
      <c r="J2141" s="5"/>
    </row>
    <row r="2142" spans="1:10" x14ac:dyDescent="0.2">
      <c r="A2142" s="55"/>
      <c r="B2142" s="55"/>
      <c r="C2142" s="65"/>
      <c r="D2142" s="65"/>
      <c r="E2142" s="65"/>
      <c r="F2142" s="65"/>
      <c r="G2142" s="65"/>
      <c r="I2142" s="5"/>
      <c r="J2142" s="5"/>
    </row>
    <row r="2143" spans="1:10" x14ac:dyDescent="0.2">
      <c r="A2143" s="55"/>
      <c r="B2143" s="55"/>
      <c r="C2143" s="65"/>
      <c r="D2143" s="65"/>
      <c r="E2143" s="65"/>
      <c r="F2143" s="65"/>
      <c r="G2143" s="65"/>
      <c r="I2143" s="5"/>
      <c r="J2143" s="5"/>
    </row>
    <row r="2144" spans="1:10" x14ac:dyDescent="0.2">
      <c r="A2144" s="55"/>
      <c r="B2144" s="55"/>
      <c r="C2144" s="65"/>
      <c r="D2144" s="65"/>
      <c r="E2144" s="65"/>
      <c r="F2144" s="65"/>
      <c r="G2144" s="65"/>
      <c r="I2144" s="5"/>
      <c r="J2144" s="5"/>
    </row>
    <row r="2145" spans="1:10" x14ac:dyDescent="0.2">
      <c r="A2145" s="55"/>
      <c r="B2145" s="55"/>
      <c r="C2145" s="65"/>
      <c r="D2145" s="65"/>
      <c r="E2145" s="65"/>
      <c r="F2145" s="65"/>
      <c r="G2145" s="65"/>
      <c r="I2145" s="5"/>
      <c r="J2145" s="5"/>
    </row>
    <row r="2146" spans="1:10" x14ac:dyDescent="0.2">
      <c r="A2146" s="55"/>
      <c r="B2146" s="55"/>
      <c r="C2146" s="65"/>
      <c r="D2146" s="65"/>
      <c r="E2146" s="65"/>
      <c r="F2146" s="65"/>
      <c r="G2146" s="65"/>
      <c r="I2146" s="5"/>
      <c r="J2146" s="5"/>
    </row>
    <row r="2147" spans="1:10" x14ac:dyDescent="0.2">
      <c r="A2147" s="55"/>
      <c r="B2147" s="55"/>
      <c r="C2147" s="65"/>
      <c r="D2147" s="65"/>
      <c r="E2147" s="65"/>
      <c r="F2147" s="65"/>
      <c r="G2147" s="65"/>
      <c r="I2147" s="5"/>
      <c r="J2147" s="5"/>
    </row>
    <row r="2148" spans="1:10" x14ac:dyDescent="0.2">
      <c r="A2148" s="55"/>
      <c r="B2148" s="55"/>
      <c r="C2148" s="65"/>
      <c r="D2148" s="65"/>
      <c r="E2148" s="65"/>
      <c r="F2148" s="65"/>
      <c r="G2148" s="65"/>
      <c r="I2148" s="5"/>
      <c r="J2148" s="5"/>
    </row>
    <row r="2149" spans="1:10" x14ac:dyDescent="0.2">
      <c r="A2149" s="55"/>
      <c r="B2149" s="55"/>
      <c r="C2149" s="65"/>
      <c r="D2149" s="65"/>
      <c r="E2149" s="65"/>
      <c r="F2149" s="65"/>
      <c r="G2149" s="65"/>
      <c r="I2149" s="5"/>
      <c r="J2149" s="5"/>
    </row>
    <row r="2150" spans="1:10" x14ac:dyDescent="0.2">
      <c r="A2150" s="55"/>
      <c r="B2150" s="55"/>
      <c r="C2150" s="65"/>
      <c r="D2150" s="65"/>
      <c r="E2150" s="65"/>
      <c r="F2150" s="65"/>
      <c r="G2150" s="65"/>
      <c r="I2150" s="5"/>
      <c r="J2150" s="5"/>
    </row>
    <row r="2151" spans="1:10" x14ac:dyDescent="0.2">
      <c r="A2151" s="55"/>
      <c r="B2151" s="55"/>
      <c r="C2151" s="65"/>
      <c r="D2151" s="65"/>
      <c r="E2151" s="65"/>
      <c r="F2151" s="65"/>
      <c r="G2151" s="65"/>
      <c r="I2151" s="5"/>
      <c r="J2151" s="5"/>
    </row>
    <row r="2152" spans="1:10" x14ac:dyDescent="0.2">
      <c r="A2152" s="55"/>
      <c r="B2152" s="55"/>
      <c r="C2152" s="65"/>
      <c r="D2152" s="65"/>
      <c r="E2152" s="65"/>
      <c r="F2152" s="65"/>
      <c r="G2152" s="65"/>
      <c r="I2152" s="5"/>
      <c r="J2152" s="5"/>
    </row>
    <row r="2153" spans="1:10" x14ac:dyDescent="0.2">
      <c r="A2153" s="55"/>
      <c r="B2153" s="55"/>
      <c r="C2153" s="65"/>
      <c r="D2153" s="65"/>
      <c r="E2153" s="65"/>
      <c r="F2153" s="65"/>
      <c r="G2153" s="65"/>
      <c r="I2153" s="5"/>
      <c r="J2153" s="5"/>
    </row>
    <row r="2154" spans="1:10" x14ac:dyDescent="0.2">
      <c r="A2154" s="55"/>
      <c r="B2154" s="55"/>
      <c r="C2154" s="65"/>
      <c r="D2154" s="65"/>
      <c r="E2154" s="65"/>
      <c r="F2154" s="65"/>
      <c r="G2154" s="65"/>
      <c r="I2154" s="5"/>
      <c r="J2154" s="5"/>
    </row>
    <row r="2155" spans="1:10" x14ac:dyDescent="0.2">
      <c r="A2155" s="55"/>
      <c r="B2155" s="55"/>
      <c r="C2155" s="65"/>
      <c r="D2155" s="65"/>
      <c r="E2155" s="65"/>
      <c r="F2155" s="65"/>
      <c r="G2155" s="65"/>
      <c r="I2155" s="5"/>
      <c r="J2155" s="5"/>
    </row>
    <row r="2156" spans="1:10" x14ac:dyDescent="0.2">
      <c r="A2156" s="55"/>
      <c r="B2156" s="55"/>
      <c r="C2156" s="65"/>
      <c r="D2156" s="65"/>
      <c r="E2156" s="65"/>
      <c r="F2156" s="65"/>
      <c r="G2156" s="65"/>
      <c r="I2156" s="5"/>
      <c r="J2156" s="5"/>
    </row>
    <row r="2157" spans="1:10" x14ac:dyDescent="0.2">
      <c r="A2157" s="55"/>
      <c r="B2157" s="55"/>
      <c r="C2157" s="65"/>
      <c r="D2157" s="65"/>
      <c r="E2157" s="65"/>
      <c r="F2157" s="65"/>
      <c r="G2157" s="65"/>
      <c r="I2157" s="5"/>
      <c r="J2157" s="5"/>
    </row>
    <row r="2158" spans="1:10" x14ac:dyDescent="0.2">
      <c r="A2158" s="55"/>
      <c r="B2158" s="55"/>
      <c r="C2158" s="65"/>
      <c r="D2158" s="65"/>
      <c r="E2158" s="65"/>
      <c r="F2158" s="65"/>
      <c r="G2158" s="65"/>
      <c r="I2158" s="5"/>
      <c r="J2158" s="5"/>
    </row>
    <row r="2159" spans="1:10" x14ac:dyDescent="0.2">
      <c r="A2159" s="55"/>
      <c r="B2159" s="55"/>
      <c r="C2159" s="65"/>
      <c r="D2159" s="65"/>
      <c r="E2159" s="65"/>
      <c r="F2159" s="65"/>
      <c r="G2159" s="65"/>
      <c r="I2159" s="5"/>
      <c r="J2159" s="5"/>
    </row>
    <row r="2160" spans="1:10" x14ac:dyDescent="0.2">
      <c r="A2160" s="55"/>
      <c r="B2160" s="55"/>
      <c r="C2160" s="65"/>
      <c r="D2160" s="65"/>
      <c r="E2160" s="65"/>
      <c r="F2160" s="65"/>
      <c r="G2160" s="65"/>
      <c r="I2160" s="5"/>
      <c r="J2160" s="5"/>
    </row>
    <row r="2161" spans="1:10" x14ac:dyDescent="0.2">
      <c r="A2161" s="55"/>
      <c r="B2161" s="55"/>
      <c r="C2161" s="65"/>
      <c r="D2161" s="65"/>
      <c r="E2161" s="65"/>
      <c r="F2161" s="65"/>
      <c r="G2161" s="65"/>
      <c r="I2161" s="5"/>
      <c r="J2161" s="5"/>
    </row>
    <row r="2162" spans="1:10" x14ac:dyDescent="0.2">
      <c r="A2162" s="55"/>
      <c r="B2162" s="55"/>
      <c r="C2162" s="65"/>
      <c r="D2162" s="65"/>
      <c r="E2162" s="65"/>
      <c r="F2162" s="65"/>
      <c r="G2162" s="65"/>
      <c r="I2162" s="5"/>
      <c r="J2162" s="5"/>
    </row>
    <row r="2163" spans="1:10" x14ac:dyDescent="0.2">
      <c r="A2163" s="55"/>
      <c r="B2163" s="55"/>
      <c r="C2163" s="65"/>
      <c r="D2163" s="65"/>
      <c r="E2163" s="65"/>
      <c r="F2163" s="65"/>
      <c r="G2163" s="65"/>
      <c r="I2163" s="5"/>
      <c r="J2163" s="5"/>
    </row>
    <row r="2164" spans="1:10" x14ac:dyDescent="0.2">
      <c r="A2164" s="55"/>
      <c r="B2164" s="55"/>
      <c r="C2164" s="65"/>
      <c r="D2164" s="65"/>
      <c r="E2164" s="65"/>
      <c r="F2164" s="65"/>
      <c r="G2164" s="65"/>
      <c r="I2164" s="5"/>
      <c r="J2164" s="5"/>
    </row>
    <row r="2165" spans="1:10" x14ac:dyDescent="0.2">
      <c r="A2165" s="55"/>
      <c r="B2165" s="55"/>
      <c r="C2165" s="65"/>
      <c r="D2165" s="65"/>
      <c r="E2165" s="65"/>
      <c r="F2165" s="65"/>
      <c r="G2165" s="65"/>
      <c r="I2165" s="5"/>
      <c r="J2165" s="5"/>
    </row>
    <row r="2166" spans="1:10" x14ac:dyDescent="0.2">
      <c r="A2166" s="55"/>
      <c r="B2166" s="55"/>
      <c r="C2166" s="65"/>
      <c r="D2166" s="65"/>
      <c r="E2166" s="65"/>
      <c r="F2166" s="65"/>
      <c r="G2166" s="65"/>
      <c r="I2166" s="5"/>
      <c r="J2166" s="5"/>
    </row>
    <row r="2167" spans="1:10" x14ac:dyDescent="0.2">
      <c r="A2167" s="55"/>
      <c r="B2167" s="55"/>
      <c r="C2167" s="65"/>
      <c r="D2167" s="65"/>
      <c r="E2167" s="65"/>
      <c r="F2167" s="65"/>
      <c r="G2167" s="65"/>
      <c r="I2167" s="5"/>
      <c r="J2167" s="5"/>
    </row>
    <row r="2168" spans="1:10" x14ac:dyDescent="0.2">
      <c r="A2168" s="55"/>
      <c r="B2168" s="55"/>
      <c r="C2168" s="65"/>
      <c r="D2168" s="65"/>
      <c r="E2168" s="65"/>
      <c r="F2168" s="65"/>
      <c r="G2168" s="65"/>
      <c r="I2168" s="5"/>
      <c r="J2168" s="5"/>
    </row>
    <row r="2169" spans="1:10" x14ac:dyDescent="0.2">
      <c r="A2169" s="55"/>
      <c r="B2169" s="55"/>
      <c r="C2169" s="65"/>
      <c r="D2169" s="65"/>
      <c r="E2169" s="65"/>
      <c r="F2169" s="65"/>
      <c r="G2169" s="65"/>
      <c r="I2169" s="5"/>
      <c r="J2169" s="5"/>
    </row>
    <row r="2170" spans="1:10" x14ac:dyDescent="0.2">
      <c r="A2170" s="55"/>
      <c r="B2170" s="55"/>
      <c r="C2170" s="65"/>
      <c r="D2170" s="65"/>
      <c r="E2170" s="65"/>
      <c r="F2170" s="65"/>
      <c r="G2170" s="65"/>
      <c r="I2170" s="5"/>
      <c r="J2170" s="5"/>
    </row>
    <row r="2171" spans="1:10" x14ac:dyDescent="0.2">
      <c r="A2171" s="55"/>
      <c r="B2171" s="55"/>
      <c r="C2171" s="65"/>
      <c r="D2171" s="65"/>
      <c r="E2171" s="65"/>
      <c r="F2171" s="65"/>
      <c r="G2171" s="65"/>
      <c r="I2171" s="5"/>
      <c r="J2171" s="5"/>
    </row>
    <row r="2172" spans="1:10" x14ac:dyDescent="0.2">
      <c r="A2172" s="55"/>
      <c r="B2172" s="55"/>
      <c r="C2172" s="65"/>
      <c r="D2172" s="65"/>
      <c r="E2172" s="65"/>
      <c r="F2172" s="65"/>
      <c r="G2172" s="65"/>
      <c r="I2172" s="5"/>
      <c r="J2172" s="5"/>
    </row>
    <row r="2173" spans="1:10" x14ac:dyDescent="0.2">
      <c r="A2173" s="55"/>
      <c r="B2173" s="55"/>
      <c r="C2173" s="65"/>
      <c r="D2173" s="65"/>
      <c r="E2173" s="65"/>
      <c r="F2173" s="65"/>
      <c r="G2173" s="65"/>
      <c r="I2173" s="5"/>
      <c r="J2173" s="5"/>
    </row>
    <row r="2174" spans="1:10" x14ac:dyDescent="0.2">
      <c r="A2174" s="55"/>
      <c r="B2174" s="55"/>
      <c r="C2174" s="65"/>
      <c r="D2174" s="65"/>
      <c r="E2174" s="65"/>
      <c r="F2174" s="65"/>
      <c r="G2174" s="65"/>
      <c r="I2174" s="5"/>
      <c r="J2174" s="5"/>
    </row>
    <row r="2175" spans="1:10" x14ac:dyDescent="0.2">
      <c r="A2175" s="55"/>
      <c r="B2175" s="55"/>
      <c r="C2175" s="65"/>
      <c r="D2175" s="65"/>
      <c r="E2175" s="65"/>
      <c r="F2175" s="65"/>
      <c r="G2175" s="65"/>
      <c r="I2175" s="5"/>
      <c r="J2175" s="5"/>
    </row>
    <row r="2176" spans="1:10" x14ac:dyDescent="0.2">
      <c r="A2176" s="55"/>
      <c r="B2176" s="55"/>
      <c r="C2176" s="65"/>
      <c r="D2176" s="65"/>
      <c r="E2176" s="65"/>
      <c r="F2176" s="65"/>
      <c r="G2176" s="65"/>
      <c r="I2176" s="5"/>
      <c r="J2176" s="5"/>
    </row>
    <row r="2177" spans="1:10" x14ac:dyDescent="0.2">
      <c r="A2177" s="55"/>
      <c r="B2177" s="55"/>
      <c r="C2177" s="65"/>
      <c r="D2177" s="65"/>
      <c r="E2177" s="65"/>
      <c r="F2177" s="65"/>
      <c r="G2177" s="65"/>
      <c r="I2177" s="5"/>
      <c r="J2177" s="5"/>
    </row>
    <row r="2178" spans="1:10" x14ac:dyDescent="0.2">
      <c r="A2178" s="55"/>
      <c r="B2178" s="55"/>
      <c r="C2178" s="65"/>
      <c r="D2178" s="65"/>
      <c r="E2178" s="65"/>
      <c r="F2178" s="65"/>
      <c r="G2178" s="65"/>
      <c r="I2178" s="5"/>
      <c r="J2178" s="5"/>
    </row>
    <row r="2179" spans="1:10" x14ac:dyDescent="0.2">
      <c r="A2179" s="55"/>
      <c r="B2179" s="55"/>
      <c r="C2179" s="65"/>
      <c r="D2179" s="65"/>
      <c r="E2179" s="65"/>
      <c r="F2179" s="65"/>
      <c r="G2179" s="65"/>
      <c r="I2179" s="5"/>
      <c r="J2179" s="5"/>
    </row>
    <row r="2180" spans="1:10" x14ac:dyDescent="0.2">
      <c r="A2180" s="55"/>
      <c r="B2180" s="55"/>
      <c r="C2180" s="65"/>
      <c r="D2180" s="65"/>
      <c r="E2180" s="65"/>
      <c r="F2180" s="65"/>
      <c r="G2180" s="65"/>
      <c r="I2180" s="5"/>
      <c r="J2180" s="5"/>
    </row>
    <row r="2181" spans="1:10" x14ac:dyDescent="0.2">
      <c r="A2181" s="55"/>
      <c r="B2181" s="55"/>
      <c r="C2181" s="65"/>
      <c r="D2181" s="65"/>
      <c r="E2181" s="65"/>
      <c r="F2181" s="65"/>
      <c r="G2181" s="65"/>
      <c r="I2181" s="5"/>
      <c r="J2181" s="5"/>
    </row>
    <row r="2182" spans="1:10" x14ac:dyDescent="0.2">
      <c r="A2182" s="55"/>
      <c r="B2182" s="55"/>
      <c r="C2182" s="65"/>
      <c r="D2182" s="65"/>
      <c r="E2182" s="65"/>
      <c r="F2182" s="65"/>
      <c r="G2182" s="65"/>
      <c r="I2182" s="5"/>
      <c r="J2182" s="5"/>
    </row>
    <row r="2183" spans="1:10" x14ac:dyDescent="0.2">
      <c r="A2183" s="55"/>
      <c r="B2183" s="55"/>
      <c r="C2183" s="65"/>
      <c r="D2183" s="65"/>
      <c r="E2183" s="65"/>
      <c r="F2183" s="65"/>
      <c r="G2183" s="65"/>
      <c r="I2183" s="5"/>
      <c r="J2183" s="5"/>
    </row>
    <row r="2184" spans="1:10" x14ac:dyDescent="0.2">
      <c r="A2184" s="55"/>
      <c r="B2184" s="55"/>
      <c r="C2184" s="65"/>
      <c r="D2184" s="65"/>
      <c r="E2184" s="65"/>
      <c r="F2184" s="65"/>
      <c r="G2184" s="65"/>
      <c r="I2184" s="5"/>
      <c r="J2184" s="5"/>
    </row>
    <row r="2185" spans="1:10" x14ac:dyDescent="0.2">
      <c r="A2185" s="55"/>
      <c r="B2185" s="55"/>
      <c r="C2185" s="65"/>
      <c r="D2185" s="65"/>
      <c r="E2185" s="65"/>
      <c r="F2185" s="65"/>
      <c r="G2185" s="65"/>
      <c r="I2185" s="5"/>
      <c r="J2185" s="5"/>
    </row>
    <row r="2186" spans="1:10" x14ac:dyDescent="0.2">
      <c r="A2186" s="55"/>
      <c r="B2186" s="55"/>
      <c r="C2186" s="65"/>
      <c r="D2186" s="65"/>
      <c r="E2186" s="65"/>
      <c r="F2186" s="65"/>
      <c r="G2186" s="65"/>
      <c r="I2186" s="5"/>
      <c r="J2186" s="5"/>
    </row>
    <row r="2187" spans="1:10" x14ac:dyDescent="0.2">
      <c r="A2187" s="55"/>
      <c r="B2187" s="55"/>
      <c r="C2187" s="65"/>
      <c r="D2187" s="65"/>
      <c r="E2187" s="65"/>
      <c r="F2187" s="65"/>
      <c r="G2187" s="65"/>
      <c r="I2187" s="5"/>
      <c r="J2187" s="5"/>
    </row>
    <row r="2188" spans="1:10" x14ac:dyDescent="0.2">
      <c r="A2188" s="55"/>
      <c r="B2188" s="55"/>
      <c r="C2188" s="65"/>
      <c r="D2188" s="65"/>
      <c r="E2188" s="65"/>
      <c r="F2188" s="65"/>
      <c r="G2188" s="65"/>
      <c r="I2188" s="5"/>
      <c r="J2188" s="5"/>
    </row>
    <row r="2189" spans="1:10" x14ac:dyDescent="0.2">
      <c r="A2189" s="55"/>
      <c r="B2189" s="55"/>
      <c r="C2189" s="65"/>
      <c r="D2189" s="65"/>
      <c r="E2189" s="65"/>
      <c r="F2189" s="65"/>
      <c r="G2189" s="65"/>
      <c r="I2189" s="5"/>
      <c r="J2189" s="5"/>
    </row>
    <row r="2190" spans="1:10" x14ac:dyDescent="0.2">
      <c r="A2190" s="55"/>
      <c r="B2190" s="55"/>
      <c r="C2190" s="65"/>
      <c r="D2190" s="65"/>
      <c r="E2190" s="65"/>
      <c r="F2190" s="65"/>
      <c r="G2190" s="65"/>
      <c r="I2190" s="5"/>
      <c r="J2190" s="5"/>
    </row>
    <row r="2191" spans="1:10" x14ac:dyDescent="0.2">
      <c r="A2191" s="55"/>
      <c r="B2191" s="55"/>
      <c r="C2191" s="65"/>
      <c r="D2191" s="65"/>
      <c r="E2191" s="65"/>
      <c r="F2191" s="65"/>
      <c r="G2191" s="65"/>
      <c r="I2191" s="5"/>
      <c r="J2191" s="5"/>
    </row>
    <row r="2192" spans="1:10" x14ac:dyDescent="0.2">
      <c r="A2192" s="55"/>
      <c r="B2192" s="55"/>
      <c r="C2192" s="65"/>
      <c r="D2192" s="65"/>
      <c r="E2192" s="65"/>
      <c r="F2192" s="65"/>
      <c r="G2192" s="65"/>
      <c r="I2192" s="5"/>
      <c r="J2192" s="5"/>
    </row>
    <row r="2193" spans="1:10" x14ac:dyDescent="0.2">
      <c r="A2193" s="55"/>
      <c r="B2193" s="55"/>
      <c r="C2193" s="65"/>
      <c r="D2193" s="65"/>
      <c r="E2193" s="65"/>
      <c r="F2193" s="65"/>
      <c r="G2193" s="65"/>
      <c r="I2193" s="5"/>
      <c r="J2193" s="5"/>
    </row>
    <row r="2194" spans="1:10" x14ac:dyDescent="0.2">
      <c r="A2194" s="55"/>
      <c r="B2194" s="55"/>
      <c r="C2194" s="65"/>
      <c r="D2194" s="65"/>
      <c r="E2194" s="65"/>
      <c r="F2194" s="65"/>
      <c r="G2194" s="65"/>
      <c r="I2194" s="5"/>
      <c r="J2194" s="5"/>
    </row>
    <row r="2195" spans="1:10" x14ac:dyDescent="0.2">
      <c r="A2195" s="55"/>
      <c r="B2195" s="55"/>
      <c r="C2195" s="65"/>
      <c r="D2195" s="65"/>
      <c r="E2195" s="65"/>
      <c r="F2195" s="65"/>
      <c r="G2195" s="65"/>
      <c r="I2195" s="5"/>
      <c r="J2195" s="5"/>
    </row>
    <row r="2196" spans="1:10" x14ac:dyDescent="0.2">
      <c r="A2196" s="55"/>
      <c r="B2196" s="55"/>
      <c r="C2196" s="65"/>
      <c r="D2196" s="65"/>
      <c r="E2196" s="65"/>
      <c r="F2196" s="65"/>
      <c r="G2196" s="65"/>
      <c r="I2196" s="5"/>
      <c r="J2196" s="5"/>
    </row>
    <row r="2197" spans="1:10" x14ac:dyDescent="0.2">
      <c r="A2197" s="55"/>
      <c r="B2197" s="55"/>
      <c r="C2197" s="65"/>
      <c r="D2197" s="65"/>
      <c r="E2197" s="65"/>
      <c r="F2197" s="65"/>
      <c r="G2197" s="65"/>
      <c r="I2197" s="5"/>
      <c r="J2197" s="5"/>
    </row>
    <row r="2198" spans="1:10" x14ac:dyDescent="0.2">
      <c r="A2198" s="55"/>
      <c r="B2198" s="55"/>
      <c r="C2198" s="65"/>
      <c r="D2198" s="65"/>
      <c r="E2198" s="65"/>
      <c r="F2198" s="65"/>
      <c r="G2198" s="65"/>
      <c r="I2198" s="5"/>
      <c r="J2198" s="5"/>
    </row>
    <row r="2199" spans="1:10" x14ac:dyDescent="0.2">
      <c r="A2199" s="55"/>
      <c r="B2199" s="55"/>
      <c r="C2199" s="65"/>
      <c r="D2199" s="65"/>
      <c r="E2199" s="65"/>
      <c r="F2199" s="65"/>
      <c r="G2199" s="65"/>
      <c r="I2199" s="5"/>
      <c r="J2199" s="5"/>
    </row>
    <row r="2200" spans="1:10" x14ac:dyDescent="0.2">
      <c r="A2200" s="55"/>
      <c r="B2200" s="55"/>
      <c r="C2200" s="65"/>
      <c r="D2200" s="65"/>
      <c r="E2200" s="65"/>
      <c r="F2200" s="65"/>
      <c r="G2200" s="65"/>
      <c r="I2200" s="5"/>
      <c r="J2200" s="5"/>
    </row>
    <row r="2201" spans="1:10" x14ac:dyDescent="0.2">
      <c r="A2201" s="55"/>
      <c r="B2201" s="55"/>
      <c r="C2201" s="65"/>
      <c r="D2201" s="65"/>
      <c r="E2201" s="65"/>
      <c r="F2201" s="65"/>
      <c r="G2201" s="65"/>
      <c r="I2201" s="5"/>
      <c r="J2201" s="5"/>
    </row>
    <row r="2202" spans="1:10" x14ac:dyDescent="0.2">
      <c r="A2202" s="55"/>
      <c r="B2202" s="55"/>
      <c r="C2202" s="65"/>
      <c r="D2202" s="65"/>
      <c r="E2202" s="65"/>
      <c r="F2202" s="65"/>
      <c r="G2202" s="65"/>
      <c r="I2202" s="5"/>
      <c r="J2202" s="5"/>
    </row>
    <row r="2203" spans="1:10" x14ac:dyDescent="0.2">
      <c r="A2203" s="55"/>
      <c r="B2203" s="55"/>
      <c r="C2203" s="65"/>
      <c r="D2203" s="65"/>
      <c r="E2203" s="65"/>
      <c r="F2203" s="65"/>
      <c r="G2203" s="65"/>
      <c r="I2203" s="5"/>
      <c r="J2203" s="5"/>
    </row>
    <row r="2204" spans="1:10" x14ac:dyDescent="0.2">
      <c r="A2204" s="55"/>
      <c r="B2204" s="55"/>
      <c r="C2204" s="65"/>
      <c r="D2204" s="65"/>
      <c r="E2204" s="65"/>
      <c r="F2204" s="65"/>
      <c r="G2204" s="65"/>
      <c r="I2204" s="5"/>
      <c r="J2204" s="5"/>
    </row>
    <row r="2205" spans="1:10" x14ac:dyDescent="0.2">
      <c r="A2205" s="55"/>
      <c r="B2205" s="55"/>
      <c r="C2205" s="65"/>
      <c r="D2205" s="65"/>
      <c r="E2205" s="65"/>
      <c r="F2205" s="65"/>
      <c r="G2205" s="65"/>
      <c r="I2205" s="5"/>
      <c r="J2205" s="5"/>
    </row>
    <row r="2206" spans="1:10" x14ac:dyDescent="0.2">
      <c r="A2206" s="55"/>
      <c r="B2206" s="55"/>
      <c r="C2206" s="65"/>
      <c r="D2206" s="65"/>
      <c r="E2206" s="65"/>
      <c r="F2206" s="65"/>
      <c r="G2206" s="65"/>
      <c r="I2206" s="5"/>
      <c r="J2206" s="5"/>
    </row>
    <row r="2207" spans="1:10" x14ac:dyDescent="0.2">
      <c r="A2207" s="55"/>
      <c r="B2207" s="55"/>
      <c r="C2207" s="65"/>
      <c r="D2207" s="65"/>
      <c r="E2207" s="65"/>
      <c r="F2207" s="65"/>
      <c r="G2207" s="65"/>
      <c r="I2207" s="5"/>
      <c r="J2207" s="5"/>
    </row>
    <row r="2208" spans="1:10" x14ac:dyDescent="0.2">
      <c r="A2208" s="55"/>
      <c r="B2208" s="55"/>
      <c r="C2208" s="65"/>
      <c r="D2208" s="65"/>
      <c r="E2208" s="65"/>
      <c r="F2208" s="65"/>
      <c r="G2208" s="65"/>
      <c r="I2208" s="5"/>
      <c r="J2208" s="5"/>
    </row>
    <row r="2209" spans="1:10" x14ac:dyDescent="0.2">
      <c r="A2209" s="55"/>
      <c r="B2209" s="55"/>
      <c r="C2209" s="65"/>
      <c r="D2209" s="65"/>
      <c r="E2209" s="65"/>
      <c r="F2209" s="65"/>
      <c r="G2209" s="65"/>
      <c r="I2209" s="5"/>
      <c r="J2209" s="5"/>
    </row>
    <row r="2210" spans="1:10" x14ac:dyDescent="0.2">
      <c r="A2210" s="55"/>
      <c r="B2210" s="55"/>
      <c r="C2210" s="65"/>
      <c r="D2210" s="65"/>
      <c r="E2210" s="65"/>
      <c r="F2210" s="65"/>
      <c r="G2210" s="65"/>
      <c r="I2210" s="5"/>
      <c r="J2210" s="5"/>
    </row>
    <row r="2211" spans="1:10" x14ac:dyDescent="0.2">
      <c r="A2211" s="55"/>
      <c r="B2211" s="55"/>
      <c r="C2211" s="65"/>
      <c r="D2211" s="65"/>
      <c r="E2211" s="65"/>
      <c r="F2211" s="65"/>
      <c r="G2211" s="65"/>
      <c r="I2211" s="5"/>
      <c r="J2211" s="5"/>
    </row>
    <row r="2212" spans="1:10" x14ac:dyDescent="0.2">
      <c r="A2212" s="55"/>
      <c r="B2212" s="55"/>
      <c r="C2212" s="65"/>
      <c r="D2212" s="65"/>
      <c r="E2212" s="65"/>
      <c r="F2212" s="65"/>
      <c r="G2212" s="65"/>
      <c r="I2212" s="5"/>
      <c r="J2212" s="5"/>
    </row>
    <row r="2213" spans="1:10" x14ac:dyDescent="0.2">
      <c r="A2213" s="55"/>
      <c r="B2213" s="55"/>
      <c r="C2213" s="65"/>
      <c r="D2213" s="65"/>
      <c r="E2213" s="65"/>
      <c r="F2213" s="65"/>
      <c r="G2213" s="65"/>
      <c r="I2213" s="5"/>
      <c r="J2213" s="5"/>
    </row>
    <row r="2214" spans="1:10" x14ac:dyDescent="0.2">
      <c r="A2214" s="55"/>
      <c r="B2214" s="55"/>
      <c r="C2214" s="65"/>
      <c r="D2214" s="65"/>
      <c r="E2214" s="65"/>
      <c r="F2214" s="65"/>
      <c r="G2214" s="65"/>
      <c r="I2214" s="5"/>
      <c r="J2214" s="5"/>
    </row>
    <row r="2215" spans="1:10" x14ac:dyDescent="0.2">
      <c r="A2215" s="55"/>
      <c r="B2215" s="55"/>
      <c r="C2215" s="65"/>
      <c r="D2215" s="65"/>
      <c r="E2215" s="65"/>
      <c r="F2215" s="65"/>
      <c r="G2215" s="65"/>
      <c r="I2215" s="5"/>
      <c r="J2215" s="5"/>
    </row>
    <row r="2216" spans="1:10" x14ac:dyDescent="0.2">
      <c r="A2216" s="55"/>
      <c r="B2216" s="55"/>
      <c r="C2216" s="65"/>
      <c r="D2216" s="65"/>
      <c r="E2216" s="65"/>
      <c r="F2216" s="65"/>
      <c r="G2216" s="65"/>
      <c r="I2216" s="5"/>
      <c r="J2216" s="5"/>
    </row>
    <row r="2217" spans="1:10" x14ac:dyDescent="0.2">
      <c r="A2217" s="55"/>
      <c r="B2217" s="55"/>
      <c r="C2217" s="65"/>
      <c r="D2217" s="65"/>
      <c r="E2217" s="65"/>
      <c r="F2217" s="65"/>
      <c r="G2217" s="65"/>
      <c r="I2217" s="5"/>
      <c r="J2217" s="5"/>
    </row>
    <row r="2218" spans="1:10" x14ac:dyDescent="0.2">
      <c r="A2218" s="55"/>
      <c r="B2218" s="55"/>
      <c r="C2218" s="65"/>
      <c r="D2218" s="65"/>
      <c r="E2218" s="65"/>
      <c r="F2218" s="65"/>
      <c r="G2218" s="65"/>
      <c r="I2218" s="5"/>
      <c r="J2218" s="5"/>
    </row>
    <row r="2219" spans="1:10" x14ac:dyDescent="0.2">
      <c r="A2219" s="55"/>
      <c r="B2219" s="55"/>
      <c r="C2219" s="65"/>
      <c r="D2219" s="65"/>
      <c r="E2219" s="65"/>
      <c r="F2219" s="65"/>
      <c r="G2219" s="65"/>
      <c r="I2219" s="5"/>
      <c r="J2219" s="5"/>
    </row>
    <row r="2220" spans="1:10" x14ac:dyDescent="0.2">
      <c r="A2220" s="55"/>
      <c r="B2220" s="55"/>
      <c r="C2220" s="65"/>
      <c r="D2220" s="65"/>
      <c r="E2220" s="65"/>
      <c r="F2220" s="65"/>
      <c r="G2220" s="65"/>
      <c r="I2220" s="5"/>
      <c r="J2220" s="5"/>
    </row>
    <row r="2221" spans="1:10" x14ac:dyDescent="0.2">
      <c r="A2221" s="55"/>
      <c r="B2221" s="55"/>
      <c r="C2221" s="65"/>
      <c r="D2221" s="65"/>
      <c r="E2221" s="65"/>
      <c r="F2221" s="65"/>
      <c r="G2221" s="65"/>
      <c r="I2221" s="5"/>
      <c r="J2221" s="5"/>
    </row>
    <row r="2222" spans="1:10" x14ac:dyDescent="0.2">
      <c r="A2222" s="55"/>
      <c r="B2222" s="55"/>
      <c r="C2222" s="65"/>
      <c r="D2222" s="65"/>
      <c r="E2222" s="65"/>
      <c r="F2222" s="65"/>
      <c r="G2222" s="65"/>
      <c r="I2222" s="5"/>
      <c r="J2222" s="5"/>
    </row>
    <row r="2223" spans="1:10" x14ac:dyDescent="0.2">
      <c r="A2223" s="55"/>
      <c r="B2223" s="55"/>
      <c r="C2223" s="65"/>
      <c r="D2223" s="65"/>
      <c r="E2223" s="65"/>
      <c r="F2223" s="65"/>
      <c r="G2223" s="65"/>
      <c r="I2223" s="5"/>
      <c r="J2223" s="5"/>
    </row>
    <row r="2224" spans="1:10" x14ac:dyDescent="0.2">
      <c r="A2224" s="55"/>
      <c r="B2224" s="55"/>
      <c r="C2224" s="65"/>
      <c r="D2224" s="65"/>
      <c r="E2224" s="65"/>
      <c r="F2224" s="65"/>
      <c r="G2224" s="65"/>
      <c r="I2224" s="5"/>
      <c r="J2224" s="5"/>
    </row>
    <row r="2225" spans="1:10" x14ac:dyDescent="0.2">
      <c r="A2225" s="55"/>
      <c r="B2225" s="55"/>
      <c r="C2225" s="65"/>
      <c r="D2225" s="65"/>
      <c r="E2225" s="65"/>
      <c r="F2225" s="65"/>
      <c r="G2225" s="65"/>
      <c r="I2225" s="5"/>
      <c r="J2225" s="5"/>
    </row>
    <row r="2226" spans="1:10" x14ac:dyDescent="0.2">
      <c r="A2226" s="55"/>
      <c r="B2226" s="55"/>
      <c r="C2226" s="65"/>
      <c r="D2226" s="65"/>
      <c r="E2226" s="65"/>
      <c r="F2226" s="65"/>
      <c r="G2226" s="65"/>
      <c r="I2226" s="5"/>
      <c r="J2226" s="5"/>
    </row>
    <row r="2227" spans="1:10" x14ac:dyDescent="0.2">
      <c r="A2227" s="55"/>
      <c r="B2227" s="55"/>
      <c r="C2227" s="65"/>
      <c r="D2227" s="65"/>
      <c r="E2227" s="65"/>
      <c r="F2227" s="65"/>
      <c r="G2227" s="65"/>
      <c r="I2227" s="5"/>
      <c r="J2227" s="5"/>
    </row>
    <row r="2228" spans="1:10" x14ac:dyDescent="0.2">
      <c r="A2228" s="55"/>
      <c r="B2228" s="55"/>
      <c r="C2228" s="65"/>
      <c r="D2228" s="65"/>
      <c r="E2228" s="65"/>
      <c r="F2228" s="65"/>
      <c r="G2228" s="65"/>
      <c r="I2228" s="5"/>
      <c r="J2228" s="5"/>
    </row>
    <row r="2229" spans="1:10" x14ac:dyDescent="0.2">
      <c r="A2229" s="55"/>
      <c r="B2229" s="55"/>
      <c r="C2229" s="65"/>
      <c r="D2229" s="65"/>
      <c r="E2229" s="65"/>
      <c r="F2229" s="65"/>
      <c r="G2229" s="65"/>
      <c r="I2229" s="5"/>
      <c r="J2229" s="5"/>
    </row>
    <row r="2230" spans="1:10" x14ac:dyDescent="0.2">
      <c r="A2230" s="55"/>
      <c r="B2230" s="55"/>
      <c r="C2230" s="65"/>
      <c r="D2230" s="65"/>
      <c r="E2230" s="65"/>
      <c r="F2230" s="65"/>
      <c r="G2230" s="65"/>
      <c r="I2230" s="5"/>
      <c r="J2230" s="5"/>
    </row>
    <row r="2231" spans="1:10" x14ac:dyDescent="0.2">
      <c r="A2231" s="55"/>
      <c r="B2231" s="55"/>
      <c r="C2231" s="65"/>
      <c r="D2231" s="65"/>
      <c r="E2231" s="65"/>
      <c r="F2231" s="65"/>
      <c r="G2231" s="65"/>
      <c r="I2231" s="5"/>
      <c r="J2231" s="5"/>
    </row>
    <row r="2232" spans="1:10" x14ac:dyDescent="0.2">
      <c r="A2232" s="55"/>
      <c r="B2232" s="55"/>
      <c r="C2232" s="65"/>
      <c r="D2232" s="65"/>
      <c r="E2232" s="65"/>
      <c r="F2232" s="65"/>
      <c r="G2232" s="65"/>
      <c r="I2232" s="5"/>
      <c r="J2232" s="5"/>
    </row>
    <row r="2233" spans="1:10" x14ac:dyDescent="0.2">
      <c r="A2233" s="55"/>
      <c r="B2233" s="55"/>
      <c r="C2233" s="65"/>
      <c r="D2233" s="65"/>
      <c r="E2233" s="65"/>
      <c r="F2233" s="65"/>
      <c r="G2233" s="65"/>
      <c r="I2233" s="5"/>
      <c r="J2233" s="5"/>
    </row>
    <row r="2234" spans="1:10" x14ac:dyDescent="0.2">
      <c r="A2234" s="55"/>
      <c r="B2234" s="55"/>
      <c r="C2234" s="65"/>
      <c r="D2234" s="65"/>
      <c r="E2234" s="65"/>
      <c r="F2234" s="65"/>
      <c r="G2234" s="65"/>
      <c r="I2234" s="5"/>
      <c r="J2234" s="5"/>
    </row>
    <row r="2235" spans="1:10" x14ac:dyDescent="0.2">
      <c r="A2235" s="55"/>
      <c r="B2235" s="55"/>
      <c r="C2235" s="65"/>
      <c r="D2235" s="65"/>
      <c r="E2235" s="65"/>
      <c r="F2235" s="65"/>
      <c r="G2235" s="65"/>
      <c r="I2235" s="5"/>
      <c r="J2235" s="5"/>
    </row>
    <row r="2236" spans="1:10" x14ac:dyDescent="0.2">
      <c r="A2236" s="55"/>
      <c r="B2236" s="55"/>
      <c r="C2236" s="65"/>
      <c r="D2236" s="65"/>
      <c r="E2236" s="65"/>
      <c r="F2236" s="65"/>
      <c r="G2236" s="65"/>
      <c r="I2236" s="5"/>
      <c r="J2236" s="5"/>
    </row>
    <row r="2237" spans="1:10" x14ac:dyDescent="0.2">
      <c r="A2237" s="55"/>
      <c r="B2237" s="55"/>
      <c r="C2237" s="65"/>
      <c r="D2237" s="65"/>
      <c r="E2237" s="65"/>
      <c r="F2237" s="65"/>
      <c r="G2237" s="65"/>
      <c r="I2237" s="5"/>
      <c r="J2237" s="5"/>
    </row>
    <row r="2238" spans="1:10" x14ac:dyDescent="0.2">
      <c r="A2238" s="55"/>
      <c r="B2238" s="55"/>
      <c r="C2238" s="65"/>
      <c r="D2238" s="65"/>
      <c r="E2238" s="65"/>
      <c r="F2238" s="65"/>
      <c r="G2238" s="65"/>
      <c r="I2238" s="5"/>
      <c r="J2238" s="5"/>
    </row>
    <row r="2239" spans="1:10" x14ac:dyDescent="0.2">
      <c r="A2239" s="55"/>
      <c r="B2239" s="55"/>
      <c r="C2239" s="65"/>
      <c r="D2239" s="65"/>
      <c r="E2239" s="65"/>
      <c r="F2239" s="65"/>
      <c r="G2239" s="65"/>
      <c r="I2239" s="5"/>
      <c r="J2239" s="5"/>
    </row>
    <row r="2240" spans="1:10" x14ac:dyDescent="0.2">
      <c r="A2240" s="55"/>
      <c r="B2240" s="55"/>
      <c r="C2240" s="65"/>
      <c r="D2240" s="65"/>
      <c r="E2240" s="65"/>
      <c r="F2240" s="65"/>
      <c r="G2240" s="65"/>
      <c r="I2240" s="5"/>
      <c r="J2240" s="5"/>
    </row>
    <row r="2241" spans="1:10" x14ac:dyDescent="0.2">
      <c r="A2241" s="55"/>
      <c r="B2241" s="55"/>
      <c r="C2241" s="65"/>
      <c r="D2241" s="65"/>
      <c r="E2241" s="65"/>
      <c r="F2241" s="65"/>
      <c r="G2241" s="65"/>
      <c r="I2241" s="5"/>
      <c r="J2241" s="5"/>
    </row>
    <row r="2242" spans="1:10" x14ac:dyDescent="0.2">
      <c r="A2242" s="55"/>
      <c r="B2242" s="55"/>
      <c r="C2242" s="65"/>
      <c r="D2242" s="65"/>
      <c r="E2242" s="65"/>
      <c r="F2242" s="65"/>
      <c r="G2242" s="65"/>
      <c r="I2242" s="5"/>
      <c r="J2242" s="5"/>
    </row>
    <row r="2243" spans="1:10" x14ac:dyDescent="0.2">
      <c r="A2243" s="55"/>
      <c r="B2243" s="55"/>
      <c r="C2243" s="65"/>
      <c r="D2243" s="65"/>
      <c r="E2243" s="65"/>
      <c r="F2243" s="65"/>
      <c r="G2243" s="65"/>
      <c r="I2243" s="5"/>
      <c r="J2243" s="5"/>
    </row>
    <row r="2244" spans="1:10" x14ac:dyDescent="0.2">
      <c r="A2244" s="55"/>
      <c r="B2244" s="55"/>
      <c r="C2244" s="65"/>
      <c r="D2244" s="65"/>
      <c r="E2244" s="65"/>
      <c r="F2244" s="65"/>
      <c r="G2244" s="65"/>
      <c r="I2244" s="5"/>
      <c r="J2244" s="5"/>
    </row>
    <row r="2245" spans="1:10" x14ac:dyDescent="0.2">
      <c r="A2245" s="55"/>
      <c r="B2245" s="55"/>
      <c r="C2245" s="65"/>
      <c r="D2245" s="65"/>
      <c r="E2245" s="65"/>
      <c r="F2245" s="65"/>
      <c r="G2245" s="65"/>
      <c r="I2245" s="5"/>
      <c r="J2245" s="5"/>
    </row>
    <row r="2246" spans="1:10" x14ac:dyDescent="0.2">
      <c r="A2246" s="55"/>
      <c r="B2246" s="55"/>
      <c r="C2246" s="65"/>
      <c r="D2246" s="65"/>
      <c r="E2246" s="65"/>
      <c r="F2246" s="65"/>
      <c r="G2246" s="65"/>
      <c r="I2246" s="5"/>
      <c r="J2246" s="5"/>
    </row>
    <row r="2247" spans="1:10" x14ac:dyDescent="0.2">
      <c r="A2247" s="55"/>
      <c r="B2247" s="55"/>
      <c r="C2247" s="65"/>
      <c r="D2247" s="65"/>
      <c r="E2247" s="65"/>
      <c r="F2247" s="65"/>
      <c r="G2247" s="65"/>
      <c r="I2247" s="5"/>
      <c r="J2247" s="5"/>
    </row>
    <row r="2248" spans="1:10" x14ac:dyDescent="0.2">
      <c r="A2248" s="55"/>
      <c r="B2248" s="55"/>
      <c r="C2248" s="65"/>
      <c r="D2248" s="65"/>
      <c r="E2248" s="65"/>
      <c r="F2248" s="65"/>
      <c r="G2248" s="65"/>
      <c r="I2248" s="5"/>
      <c r="J2248" s="5"/>
    </row>
    <row r="2249" spans="1:10" x14ac:dyDescent="0.2">
      <c r="A2249" s="55"/>
      <c r="B2249" s="55"/>
      <c r="C2249" s="65"/>
      <c r="D2249" s="65"/>
      <c r="E2249" s="65"/>
      <c r="F2249" s="65"/>
      <c r="G2249" s="65"/>
      <c r="I2249" s="5"/>
      <c r="J2249" s="5"/>
    </row>
    <row r="2250" spans="1:10" x14ac:dyDescent="0.2">
      <c r="A2250" s="55"/>
      <c r="B2250" s="55"/>
      <c r="C2250" s="65"/>
      <c r="D2250" s="65"/>
      <c r="E2250" s="65"/>
      <c r="F2250" s="65"/>
      <c r="G2250" s="65"/>
      <c r="I2250" s="5"/>
      <c r="J2250" s="5"/>
    </row>
    <row r="2251" spans="1:10" x14ac:dyDescent="0.2">
      <c r="A2251" s="55"/>
      <c r="B2251" s="55"/>
      <c r="C2251" s="65"/>
      <c r="D2251" s="65"/>
      <c r="E2251" s="65"/>
      <c r="F2251" s="65"/>
      <c r="G2251" s="65"/>
      <c r="I2251" s="5"/>
      <c r="J2251" s="5"/>
    </row>
    <row r="2252" spans="1:10" x14ac:dyDescent="0.2">
      <c r="A2252" s="55"/>
      <c r="B2252" s="55"/>
      <c r="C2252" s="65"/>
      <c r="D2252" s="65"/>
      <c r="E2252" s="65"/>
      <c r="F2252" s="65"/>
      <c r="G2252" s="65"/>
      <c r="I2252" s="5"/>
      <c r="J2252" s="5"/>
    </row>
    <row r="2253" spans="1:10" x14ac:dyDescent="0.2">
      <c r="A2253" s="55"/>
      <c r="B2253" s="55"/>
      <c r="C2253" s="65"/>
      <c r="D2253" s="65"/>
      <c r="E2253" s="65"/>
      <c r="F2253" s="65"/>
      <c r="G2253" s="65"/>
      <c r="I2253" s="5"/>
      <c r="J2253" s="5"/>
    </row>
    <row r="2254" spans="1:10" x14ac:dyDescent="0.2">
      <c r="A2254" s="55"/>
      <c r="B2254" s="55"/>
      <c r="C2254" s="65"/>
      <c r="D2254" s="65"/>
      <c r="E2254" s="65"/>
      <c r="F2254" s="65"/>
      <c r="G2254" s="65"/>
      <c r="I2254" s="5"/>
      <c r="J2254" s="5"/>
    </row>
    <row r="2255" spans="1:10" x14ac:dyDescent="0.2">
      <c r="A2255" s="55"/>
      <c r="B2255" s="55"/>
      <c r="C2255" s="65"/>
      <c r="D2255" s="65"/>
      <c r="E2255" s="65"/>
      <c r="F2255" s="65"/>
      <c r="G2255" s="65"/>
      <c r="I2255" s="5"/>
      <c r="J2255" s="5"/>
    </row>
    <row r="2256" spans="1:10" x14ac:dyDescent="0.2">
      <c r="A2256" s="55"/>
      <c r="B2256" s="55"/>
      <c r="C2256" s="65"/>
      <c r="D2256" s="65"/>
      <c r="E2256" s="65"/>
      <c r="F2256" s="65"/>
      <c r="G2256" s="65"/>
      <c r="I2256" s="5"/>
      <c r="J2256" s="5"/>
    </row>
    <row r="2257" spans="1:10" x14ac:dyDescent="0.2">
      <c r="A2257" s="55"/>
      <c r="B2257" s="55"/>
      <c r="C2257" s="65"/>
      <c r="D2257" s="65"/>
      <c r="E2257" s="65"/>
      <c r="F2257" s="65"/>
      <c r="G2257" s="65"/>
      <c r="I2257" s="5"/>
      <c r="J2257" s="5"/>
    </row>
    <row r="2258" spans="1:10" x14ac:dyDescent="0.2">
      <c r="A2258" s="55"/>
      <c r="B2258" s="55"/>
      <c r="C2258" s="65"/>
      <c r="D2258" s="65"/>
      <c r="E2258" s="65"/>
      <c r="F2258" s="65"/>
      <c r="G2258" s="65"/>
      <c r="I2258" s="5"/>
      <c r="J2258" s="5"/>
    </row>
    <row r="2259" spans="1:10" x14ac:dyDescent="0.2">
      <c r="A2259" s="55"/>
      <c r="B2259" s="55"/>
      <c r="C2259" s="65"/>
      <c r="D2259" s="65"/>
      <c r="E2259" s="65"/>
      <c r="F2259" s="65"/>
      <c r="G2259" s="65"/>
      <c r="I2259" s="5"/>
      <c r="J2259" s="5"/>
    </row>
    <row r="2260" spans="1:10" x14ac:dyDescent="0.2">
      <c r="A2260" s="55"/>
      <c r="B2260" s="55"/>
      <c r="C2260" s="65"/>
      <c r="D2260" s="65"/>
      <c r="E2260" s="65"/>
      <c r="F2260" s="65"/>
      <c r="G2260" s="65"/>
      <c r="I2260" s="5"/>
      <c r="J2260" s="5"/>
    </row>
    <row r="2261" spans="1:10" x14ac:dyDescent="0.2">
      <c r="A2261" s="55"/>
      <c r="B2261" s="55"/>
      <c r="C2261" s="65"/>
      <c r="D2261" s="65"/>
      <c r="E2261" s="65"/>
      <c r="F2261" s="65"/>
      <c r="G2261" s="65"/>
      <c r="I2261" s="5"/>
      <c r="J2261" s="5"/>
    </row>
    <row r="2262" spans="1:10" x14ac:dyDescent="0.2">
      <c r="A2262" s="55"/>
      <c r="B2262" s="55"/>
      <c r="C2262" s="65"/>
      <c r="D2262" s="65"/>
      <c r="E2262" s="65"/>
      <c r="F2262" s="65"/>
      <c r="G2262" s="65"/>
      <c r="I2262" s="5"/>
      <c r="J2262" s="5"/>
    </row>
    <row r="2263" spans="1:10" x14ac:dyDescent="0.2">
      <c r="A2263" s="55"/>
      <c r="B2263" s="55"/>
      <c r="C2263" s="65"/>
      <c r="D2263" s="65"/>
      <c r="E2263" s="65"/>
      <c r="F2263" s="65"/>
      <c r="G2263" s="65"/>
      <c r="I2263" s="5"/>
      <c r="J2263" s="5"/>
    </row>
    <row r="2264" spans="1:10" x14ac:dyDescent="0.2">
      <c r="A2264" s="55"/>
      <c r="B2264" s="55"/>
      <c r="C2264" s="65"/>
      <c r="D2264" s="65"/>
      <c r="E2264" s="65"/>
      <c r="F2264" s="65"/>
      <c r="G2264" s="65"/>
      <c r="I2264" s="5"/>
      <c r="J2264" s="5"/>
    </row>
    <row r="2265" spans="1:10" x14ac:dyDescent="0.2">
      <c r="A2265" s="55"/>
      <c r="B2265" s="55"/>
      <c r="C2265" s="65"/>
      <c r="D2265" s="65"/>
      <c r="E2265" s="65"/>
      <c r="F2265" s="65"/>
      <c r="G2265" s="65"/>
      <c r="I2265" s="5"/>
      <c r="J2265" s="5"/>
    </row>
    <row r="2266" spans="1:10" x14ac:dyDescent="0.2">
      <c r="A2266" s="55"/>
      <c r="B2266" s="55"/>
      <c r="C2266" s="65"/>
      <c r="D2266" s="65"/>
      <c r="E2266" s="65"/>
      <c r="F2266" s="65"/>
      <c r="G2266" s="65"/>
      <c r="I2266" s="5"/>
      <c r="J2266" s="5"/>
    </row>
    <row r="2267" spans="1:10" x14ac:dyDescent="0.2">
      <c r="A2267" s="55"/>
      <c r="B2267" s="55"/>
      <c r="C2267" s="65"/>
      <c r="D2267" s="65"/>
      <c r="E2267" s="65"/>
      <c r="F2267" s="65"/>
      <c r="G2267" s="65"/>
      <c r="I2267" s="5"/>
      <c r="J2267" s="5"/>
    </row>
    <row r="2268" spans="1:10" x14ac:dyDescent="0.2">
      <c r="A2268" s="55"/>
      <c r="B2268" s="55"/>
      <c r="C2268" s="65"/>
      <c r="D2268" s="65"/>
      <c r="E2268" s="65"/>
      <c r="F2268" s="65"/>
      <c r="G2268" s="65"/>
      <c r="I2268" s="5"/>
      <c r="J2268" s="5"/>
    </row>
    <row r="2269" spans="1:10" x14ac:dyDescent="0.2">
      <c r="A2269" s="55"/>
      <c r="B2269" s="55"/>
      <c r="C2269" s="65"/>
      <c r="D2269" s="65"/>
      <c r="E2269" s="65"/>
      <c r="F2269" s="65"/>
      <c r="G2269" s="65"/>
      <c r="I2269" s="5"/>
      <c r="J2269" s="5"/>
    </row>
    <row r="2270" spans="1:10" x14ac:dyDescent="0.2">
      <c r="A2270" s="55"/>
      <c r="B2270" s="55"/>
      <c r="C2270" s="65"/>
      <c r="D2270" s="65"/>
      <c r="E2270" s="65"/>
      <c r="F2270" s="65"/>
      <c r="G2270" s="65"/>
      <c r="I2270" s="5"/>
      <c r="J2270" s="5"/>
    </row>
    <row r="2271" spans="1:10" x14ac:dyDescent="0.2">
      <c r="A2271" s="55"/>
      <c r="B2271" s="55"/>
      <c r="C2271" s="65"/>
      <c r="D2271" s="65"/>
      <c r="E2271" s="65"/>
      <c r="F2271" s="65"/>
      <c r="G2271" s="65"/>
      <c r="I2271" s="5"/>
      <c r="J2271" s="5"/>
    </row>
    <row r="2272" spans="1:10" x14ac:dyDescent="0.2">
      <c r="A2272" s="55"/>
      <c r="B2272" s="55"/>
      <c r="C2272" s="65"/>
      <c r="D2272" s="65"/>
      <c r="E2272" s="65"/>
      <c r="F2272" s="65"/>
      <c r="G2272" s="65"/>
      <c r="I2272" s="5"/>
      <c r="J2272" s="5"/>
    </row>
    <row r="2273" spans="1:10" x14ac:dyDescent="0.2">
      <c r="A2273" s="55"/>
      <c r="B2273" s="55"/>
      <c r="C2273" s="65"/>
      <c r="D2273" s="65"/>
      <c r="E2273" s="65"/>
      <c r="F2273" s="65"/>
      <c r="G2273" s="65"/>
      <c r="I2273" s="5"/>
      <c r="J2273" s="5"/>
    </row>
    <row r="2274" spans="1:10" x14ac:dyDescent="0.2">
      <c r="A2274" s="55"/>
      <c r="B2274" s="55"/>
      <c r="C2274" s="65"/>
      <c r="D2274" s="65"/>
      <c r="E2274" s="65"/>
      <c r="F2274" s="65"/>
      <c r="G2274" s="65"/>
      <c r="I2274" s="5"/>
      <c r="J2274" s="5"/>
    </row>
    <row r="2275" spans="1:10" x14ac:dyDescent="0.2">
      <c r="A2275" s="55"/>
      <c r="B2275" s="55"/>
      <c r="C2275" s="65"/>
      <c r="D2275" s="65"/>
      <c r="E2275" s="65"/>
      <c r="F2275" s="65"/>
      <c r="G2275" s="65"/>
      <c r="I2275" s="5"/>
      <c r="J2275" s="5"/>
    </row>
    <row r="2276" spans="1:10" x14ac:dyDescent="0.2">
      <c r="A2276" s="55"/>
      <c r="B2276" s="55"/>
      <c r="C2276" s="65"/>
      <c r="D2276" s="65"/>
      <c r="E2276" s="65"/>
      <c r="F2276" s="65"/>
      <c r="G2276" s="65"/>
      <c r="I2276" s="5"/>
      <c r="J2276" s="5"/>
    </row>
    <row r="2277" spans="1:10" x14ac:dyDescent="0.2">
      <c r="A2277" s="55"/>
      <c r="B2277" s="55"/>
      <c r="C2277" s="65"/>
      <c r="D2277" s="65"/>
      <c r="E2277" s="65"/>
      <c r="F2277" s="65"/>
      <c r="G2277" s="65"/>
      <c r="I2277" s="5"/>
      <c r="J2277" s="5"/>
    </row>
    <row r="2278" spans="1:10" x14ac:dyDescent="0.2">
      <c r="A2278" s="55"/>
      <c r="B2278" s="55"/>
      <c r="C2278" s="65"/>
      <c r="D2278" s="65"/>
      <c r="E2278" s="65"/>
      <c r="F2278" s="65"/>
      <c r="G2278" s="65"/>
      <c r="I2278" s="5"/>
      <c r="J2278" s="5"/>
    </row>
    <row r="2279" spans="1:10" x14ac:dyDescent="0.2">
      <c r="A2279" s="55"/>
      <c r="B2279" s="55"/>
      <c r="C2279" s="65"/>
      <c r="D2279" s="65"/>
      <c r="E2279" s="65"/>
      <c r="F2279" s="65"/>
      <c r="G2279" s="65"/>
      <c r="I2279" s="5"/>
      <c r="J2279" s="5"/>
    </row>
    <row r="2280" spans="1:10" x14ac:dyDescent="0.2">
      <c r="A2280" s="55"/>
      <c r="B2280" s="55"/>
      <c r="C2280" s="65"/>
      <c r="D2280" s="65"/>
      <c r="E2280" s="65"/>
      <c r="F2280" s="65"/>
      <c r="G2280" s="65"/>
      <c r="I2280" s="5"/>
      <c r="J2280" s="5"/>
    </row>
    <row r="2281" spans="1:10" x14ac:dyDescent="0.2">
      <c r="A2281" s="55"/>
      <c r="B2281" s="55"/>
      <c r="C2281" s="65"/>
      <c r="D2281" s="65"/>
      <c r="E2281" s="65"/>
      <c r="F2281" s="65"/>
      <c r="G2281" s="65"/>
      <c r="I2281" s="5"/>
      <c r="J2281" s="5"/>
    </row>
    <row r="2282" spans="1:10" x14ac:dyDescent="0.2">
      <c r="A2282" s="55"/>
      <c r="B2282" s="55"/>
      <c r="C2282" s="65"/>
      <c r="D2282" s="65"/>
      <c r="E2282" s="65"/>
      <c r="F2282" s="65"/>
      <c r="G2282" s="65"/>
      <c r="I2282" s="5"/>
      <c r="J2282" s="5"/>
    </row>
    <row r="2283" spans="1:10" x14ac:dyDescent="0.2">
      <c r="A2283" s="55"/>
      <c r="B2283" s="55"/>
      <c r="C2283" s="65"/>
      <c r="D2283" s="65"/>
      <c r="E2283" s="65"/>
      <c r="F2283" s="65"/>
      <c r="G2283" s="65"/>
      <c r="I2283" s="5"/>
      <c r="J2283" s="5"/>
    </row>
    <row r="2284" spans="1:10" x14ac:dyDescent="0.2">
      <c r="A2284" s="55"/>
      <c r="B2284" s="55"/>
      <c r="C2284" s="65"/>
      <c r="D2284" s="65"/>
      <c r="E2284" s="65"/>
      <c r="F2284" s="65"/>
      <c r="G2284" s="65"/>
      <c r="I2284" s="5"/>
      <c r="J2284" s="5"/>
    </row>
    <row r="2285" spans="1:10" x14ac:dyDescent="0.2">
      <c r="A2285" s="55"/>
      <c r="B2285" s="55"/>
      <c r="C2285" s="65"/>
      <c r="D2285" s="65"/>
      <c r="E2285" s="65"/>
      <c r="F2285" s="65"/>
      <c r="G2285" s="65"/>
      <c r="I2285" s="5"/>
      <c r="J2285" s="5"/>
    </row>
    <row r="2286" spans="1:10" x14ac:dyDescent="0.2">
      <c r="A2286" s="55"/>
      <c r="B2286" s="55"/>
      <c r="C2286" s="65"/>
      <c r="D2286" s="65"/>
      <c r="E2286" s="65"/>
      <c r="F2286" s="65"/>
      <c r="G2286" s="65"/>
      <c r="I2286" s="5"/>
      <c r="J2286" s="5"/>
    </row>
    <row r="2287" spans="1:10" x14ac:dyDescent="0.2">
      <c r="A2287" s="55"/>
      <c r="B2287" s="55"/>
      <c r="C2287" s="65"/>
      <c r="D2287" s="65"/>
      <c r="E2287" s="65"/>
      <c r="F2287" s="65"/>
      <c r="G2287" s="65"/>
      <c r="I2287" s="5"/>
      <c r="J2287" s="5"/>
    </row>
    <row r="2288" spans="1:10" x14ac:dyDescent="0.2">
      <c r="A2288" s="55"/>
      <c r="B2288" s="55"/>
      <c r="C2288" s="65"/>
      <c r="D2288" s="65"/>
      <c r="E2288" s="65"/>
      <c r="F2288" s="65"/>
      <c r="G2288" s="65"/>
      <c r="I2288" s="5"/>
      <c r="J2288" s="5"/>
    </row>
    <row r="2289" spans="1:10" x14ac:dyDescent="0.2">
      <c r="A2289" s="55"/>
      <c r="B2289" s="55"/>
      <c r="C2289" s="65"/>
      <c r="D2289" s="65"/>
      <c r="E2289" s="65"/>
      <c r="F2289" s="65"/>
      <c r="G2289" s="65"/>
      <c r="I2289" s="5"/>
      <c r="J2289" s="5"/>
    </row>
    <row r="2290" spans="1:10" x14ac:dyDescent="0.2">
      <c r="A2290" s="55"/>
      <c r="B2290" s="55"/>
      <c r="C2290" s="65"/>
      <c r="D2290" s="65"/>
      <c r="E2290" s="65"/>
      <c r="F2290" s="65"/>
      <c r="G2290" s="65"/>
      <c r="I2290" s="5"/>
      <c r="J2290" s="5"/>
    </row>
    <row r="2291" spans="1:10" x14ac:dyDescent="0.2">
      <c r="A2291" s="55"/>
      <c r="B2291" s="55"/>
      <c r="C2291" s="65"/>
      <c r="D2291" s="65"/>
      <c r="E2291" s="65"/>
      <c r="F2291" s="65"/>
      <c r="G2291" s="65"/>
      <c r="I2291" s="5"/>
      <c r="J2291" s="5"/>
    </row>
    <row r="2292" spans="1:10" x14ac:dyDescent="0.2">
      <c r="A2292" s="55"/>
      <c r="B2292" s="55"/>
      <c r="C2292" s="65"/>
      <c r="D2292" s="65"/>
      <c r="E2292" s="65"/>
      <c r="F2292" s="65"/>
      <c r="G2292" s="65"/>
      <c r="I2292" s="5"/>
      <c r="J2292" s="5"/>
    </row>
    <row r="2293" spans="1:10" x14ac:dyDescent="0.2">
      <c r="A2293" s="55"/>
      <c r="B2293" s="55"/>
      <c r="C2293" s="65"/>
      <c r="D2293" s="65"/>
      <c r="E2293" s="65"/>
      <c r="F2293" s="65"/>
      <c r="G2293" s="65"/>
      <c r="I2293" s="5"/>
      <c r="J2293" s="5"/>
    </row>
    <row r="2294" spans="1:10" x14ac:dyDescent="0.2">
      <c r="A2294" s="55"/>
      <c r="B2294" s="55"/>
      <c r="C2294" s="65"/>
      <c r="D2294" s="65"/>
      <c r="E2294" s="65"/>
      <c r="F2294" s="65"/>
      <c r="G2294" s="65"/>
      <c r="I2294" s="5"/>
      <c r="J2294" s="5"/>
    </row>
    <row r="2295" spans="1:10" x14ac:dyDescent="0.2">
      <c r="A2295" s="55"/>
      <c r="B2295" s="55"/>
      <c r="C2295" s="65"/>
      <c r="D2295" s="65"/>
      <c r="E2295" s="65"/>
      <c r="F2295" s="65"/>
      <c r="G2295" s="65"/>
      <c r="I2295" s="5"/>
      <c r="J2295" s="5"/>
    </row>
    <row r="2296" spans="1:10" x14ac:dyDescent="0.2">
      <c r="A2296" s="55"/>
      <c r="B2296" s="55"/>
      <c r="C2296" s="65"/>
      <c r="D2296" s="65"/>
      <c r="E2296" s="65"/>
      <c r="F2296" s="65"/>
      <c r="G2296" s="65"/>
      <c r="I2296" s="5"/>
      <c r="J2296" s="5"/>
    </row>
    <row r="2297" spans="1:10" x14ac:dyDescent="0.2">
      <c r="A2297" s="55"/>
      <c r="B2297" s="55"/>
      <c r="C2297" s="65"/>
      <c r="D2297" s="65"/>
      <c r="E2297" s="65"/>
      <c r="F2297" s="65"/>
      <c r="G2297" s="65"/>
      <c r="I2297" s="5"/>
      <c r="J2297" s="5"/>
    </row>
    <row r="2298" spans="1:10" x14ac:dyDescent="0.2">
      <c r="A2298" s="55"/>
      <c r="B2298" s="55"/>
      <c r="C2298" s="65"/>
      <c r="D2298" s="65"/>
      <c r="E2298" s="65"/>
      <c r="F2298" s="65"/>
      <c r="G2298" s="65"/>
      <c r="I2298" s="5"/>
      <c r="J2298" s="5"/>
    </row>
    <row r="2299" spans="1:10" x14ac:dyDescent="0.2">
      <c r="A2299" s="55"/>
      <c r="B2299" s="55"/>
      <c r="C2299" s="65"/>
      <c r="D2299" s="65"/>
      <c r="E2299" s="65"/>
      <c r="F2299" s="65"/>
      <c r="G2299" s="65"/>
      <c r="I2299" s="5"/>
      <c r="J2299" s="5"/>
    </row>
    <row r="2300" spans="1:10" x14ac:dyDescent="0.2">
      <c r="A2300" s="55"/>
      <c r="B2300" s="55"/>
      <c r="C2300" s="65"/>
      <c r="D2300" s="65"/>
      <c r="E2300" s="65"/>
      <c r="F2300" s="65"/>
      <c r="G2300" s="65"/>
      <c r="I2300" s="5"/>
      <c r="J2300" s="5"/>
    </row>
    <row r="2301" spans="1:10" x14ac:dyDescent="0.2">
      <c r="A2301" s="55"/>
      <c r="B2301" s="55"/>
      <c r="C2301" s="65"/>
      <c r="D2301" s="65"/>
      <c r="E2301" s="65"/>
      <c r="F2301" s="65"/>
      <c r="G2301" s="65"/>
      <c r="I2301" s="5"/>
      <c r="J2301" s="5"/>
    </row>
    <row r="2302" spans="1:10" x14ac:dyDescent="0.2">
      <c r="A2302" s="55"/>
      <c r="B2302" s="55"/>
      <c r="C2302" s="65"/>
      <c r="D2302" s="65"/>
      <c r="E2302" s="65"/>
      <c r="F2302" s="65"/>
      <c r="G2302" s="65"/>
      <c r="I2302" s="5"/>
      <c r="J2302" s="5"/>
    </row>
    <row r="2303" spans="1:10" x14ac:dyDescent="0.2">
      <c r="A2303" s="55"/>
      <c r="B2303" s="55"/>
      <c r="C2303" s="65"/>
      <c r="D2303" s="65"/>
      <c r="E2303" s="65"/>
      <c r="F2303" s="65"/>
      <c r="G2303" s="65"/>
      <c r="I2303" s="5"/>
      <c r="J2303" s="5"/>
    </row>
    <row r="2304" spans="1:10" x14ac:dyDescent="0.2">
      <c r="A2304" s="55"/>
      <c r="B2304" s="55"/>
      <c r="C2304" s="65"/>
      <c r="D2304" s="65"/>
      <c r="E2304" s="65"/>
      <c r="F2304" s="65"/>
      <c r="G2304" s="65"/>
      <c r="I2304" s="5"/>
      <c r="J2304" s="5"/>
    </row>
    <row r="2305" spans="1:10" x14ac:dyDescent="0.2">
      <c r="A2305" s="55"/>
      <c r="B2305" s="55"/>
      <c r="C2305" s="65"/>
      <c r="D2305" s="65"/>
      <c r="E2305" s="65"/>
      <c r="F2305" s="65"/>
      <c r="G2305" s="65"/>
      <c r="I2305" s="5"/>
      <c r="J2305" s="5"/>
    </row>
    <row r="2306" spans="1:10" x14ac:dyDescent="0.2">
      <c r="A2306" s="55"/>
      <c r="B2306" s="55"/>
      <c r="C2306" s="65"/>
      <c r="D2306" s="65"/>
      <c r="E2306" s="65"/>
      <c r="F2306" s="65"/>
      <c r="G2306" s="65"/>
      <c r="I2306" s="5"/>
      <c r="J2306" s="5"/>
    </row>
    <row r="2307" spans="1:10" x14ac:dyDescent="0.2">
      <c r="A2307" s="55"/>
      <c r="B2307" s="55"/>
      <c r="C2307" s="65"/>
      <c r="D2307" s="65"/>
      <c r="E2307" s="65"/>
      <c r="F2307" s="65"/>
      <c r="G2307" s="65"/>
      <c r="I2307" s="5"/>
      <c r="J2307" s="5"/>
    </row>
    <row r="2308" spans="1:10" x14ac:dyDescent="0.2">
      <c r="A2308" s="55"/>
      <c r="B2308" s="55"/>
      <c r="C2308" s="65"/>
      <c r="D2308" s="65"/>
      <c r="E2308" s="65"/>
      <c r="F2308" s="65"/>
      <c r="G2308" s="65"/>
      <c r="I2308" s="5"/>
      <c r="J2308" s="5"/>
    </row>
    <row r="2309" spans="1:10" x14ac:dyDescent="0.2">
      <c r="A2309" s="55"/>
      <c r="B2309" s="55"/>
      <c r="C2309" s="65"/>
      <c r="D2309" s="65"/>
      <c r="E2309" s="65"/>
      <c r="F2309" s="65"/>
      <c r="G2309" s="65"/>
      <c r="I2309" s="5"/>
      <c r="J2309" s="5"/>
    </row>
    <row r="2310" spans="1:10" x14ac:dyDescent="0.2">
      <c r="A2310" s="55"/>
      <c r="B2310" s="55"/>
      <c r="C2310" s="65"/>
      <c r="D2310" s="65"/>
      <c r="E2310" s="65"/>
      <c r="F2310" s="65"/>
      <c r="G2310" s="65"/>
      <c r="I2310" s="5"/>
      <c r="J2310" s="5"/>
    </row>
    <row r="2311" spans="1:10" x14ac:dyDescent="0.2">
      <c r="A2311" s="55"/>
      <c r="B2311" s="55"/>
      <c r="C2311" s="65"/>
      <c r="D2311" s="65"/>
      <c r="E2311" s="65"/>
      <c r="F2311" s="65"/>
      <c r="G2311" s="65"/>
      <c r="I2311" s="5"/>
      <c r="J2311" s="5"/>
    </row>
    <row r="2312" spans="1:10" x14ac:dyDescent="0.2">
      <c r="A2312" s="55"/>
      <c r="B2312" s="55"/>
      <c r="C2312" s="65"/>
      <c r="D2312" s="65"/>
      <c r="E2312" s="65"/>
      <c r="F2312" s="65"/>
      <c r="G2312" s="65"/>
      <c r="I2312" s="5"/>
      <c r="J2312" s="5"/>
    </row>
    <row r="2313" spans="1:10" x14ac:dyDescent="0.2">
      <c r="A2313" s="55"/>
      <c r="B2313" s="55"/>
      <c r="C2313" s="65"/>
      <c r="D2313" s="65"/>
      <c r="E2313" s="65"/>
      <c r="F2313" s="65"/>
      <c r="G2313" s="65"/>
      <c r="I2313" s="5"/>
      <c r="J2313" s="5"/>
    </row>
    <row r="2314" spans="1:10" x14ac:dyDescent="0.2">
      <c r="A2314" s="55"/>
      <c r="B2314" s="55"/>
      <c r="C2314" s="65"/>
      <c r="D2314" s="65"/>
      <c r="E2314" s="65"/>
      <c r="F2314" s="65"/>
      <c r="G2314" s="65"/>
      <c r="I2314" s="5"/>
      <c r="J2314" s="5"/>
    </row>
    <row r="2315" spans="1:10" x14ac:dyDescent="0.2">
      <c r="A2315" s="55"/>
      <c r="B2315" s="55"/>
      <c r="C2315" s="65"/>
      <c r="D2315" s="65"/>
      <c r="E2315" s="65"/>
      <c r="F2315" s="65"/>
      <c r="G2315" s="65"/>
      <c r="I2315" s="5"/>
      <c r="J2315" s="5"/>
    </row>
    <row r="2316" spans="1:10" x14ac:dyDescent="0.2">
      <c r="A2316" s="55"/>
      <c r="B2316" s="55"/>
      <c r="C2316" s="65"/>
      <c r="D2316" s="65"/>
      <c r="E2316" s="65"/>
      <c r="F2316" s="65"/>
      <c r="G2316" s="65"/>
      <c r="I2316" s="5"/>
      <c r="J2316" s="5"/>
    </row>
    <row r="2317" spans="1:10" x14ac:dyDescent="0.2">
      <c r="A2317" s="55"/>
      <c r="B2317" s="55"/>
      <c r="C2317" s="65"/>
      <c r="D2317" s="65"/>
      <c r="E2317" s="65"/>
      <c r="F2317" s="65"/>
      <c r="G2317" s="65"/>
      <c r="I2317" s="5"/>
      <c r="J2317" s="5"/>
    </row>
    <row r="2318" spans="1:10" x14ac:dyDescent="0.2">
      <c r="A2318" s="55"/>
      <c r="B2318" s="55"/>
      <c r="C2318" s="65"/>
      <c r="D2318" s="65"/>
      <c r="E2318" s="65"/>
      <c r="F2318" s="65"/>
      <c r="G2318" s="65"/>
      <c r="I2318" s="5"/>
      <c r="J2318" s="5"/>
    </row>
    <row r="2319" spans="1:10" x14ac:dyDescent="0.2">
      <c r="A2319" s="55"/>
      <c r="B2319" s="55"/>
      <c r="C2319" s="65"/>
      <c r="D2319" s="65"/>
      <c r="E2319" s="65"/>
      <c r="F2319" s="65"/>
      <c r="G2319" s="65"/>
      <c r="I2319" s="5"/>
      <c r="J2319" s="5"/>
    </row>
    <row r="2320" spans="1:10" x14ac:dyDescent="0.2">
      <c r="A2320" s="55"/>
      <c r="B2320" s="55"/>
      <c r="C2320" s="65"/>
      <c r="D2320" s="65"/>
      <c r="E2320" s="65"/>
      <c r="F2320" s="65"/>
      <c r="G2320" s="65"/>
      <c r="I2320" s="5"/>
      <c r="J2320" s="5"/>
    </row>
    <row r="2321" spans="1:10" x14ac:dyDescent="0.2">
      <c r="A2321" s="55"/>
      <c r="B2321" s="55"/>
      <c r="C2321" s="65"/>
      <c r="D2321" s="65"/>
      <c r="E2321" s="65"/>
      <c r="F2321" s="65"/>
      <c r="G2321" s="65"/>
      <c r="I2321" s="5"/>
      <c r="J2321" s="5"/>
    </row>
    <row r="2322" spans="1:10" x14ac:dyDescent="0.2">
      <c r="A2322" s="55"/>
      <c r="B2322" s="55"/>
      <c r="C2322" s="65"/>
      <c r="D2322" s="65"/>
      <c r="E2322" s="65"/>
      <c r="F2322" s="65"/>
      <c r="G2322" s="65"/>
      <c r="I2322" s="5"/>
      <c r="J2322" s="5"/>
    </row>
    <row r="2323" spans="1:10" x14ac:dyDescent="0.2">
      <c r="A2323" s="55"/>
      <c r="B2323" s="55"/>
      <c r="C2323" s="65"/>
      <c r="D2323" s="65"/>
      <c r="E2323" s="65"/>
      <c r="F2323" s="65"/>
      <c r="G2323" s="65"/>
      <c r="I2323" s="5"/>
      <c r="J2323" s="5"/>
    </row>
    <row r="2324" spans="1:10" x14ac:dyDescent="0.2">
      <c r="A2324" s="55"/>
      <c r="B2324" s="55"/>
      <c r="C2324" s="65"/>
      <c r="D2324" s="65"/>
      <c r="E2324" s="65"/>
      <c r="F2324" s="65"/>
      <c r="G2324" s="65"/>
      <c r="I2324" s="5"/>
      <c r="J2324" s="5"/>
    </row>
    <row r="2325" spans="1:10" x14ac:dyDescent="0.2">
      <c r="A2325" s="55"/>
      <c r="B2325" s="55"/>
      <c r="C2325" s="65"/>
      <c r="D2325" s="65"/>
      <c r="E2325" s="65"/>
      <c r="F2325" s="65"/>
      <c r="G2325" s="65"/>
      <c r="I2325" s="5"/>
      <c r="J2325" s="5"/>
    </row>
    <row r="2326" spans="1:10" x14ac:dyDescent="0.2">
      <c r="A2326" s="55"/>
      <c r="B2326" s="55"/>
      <c r="C2326" s="65"/>
      <c r="D2326" s="65"/>
      <c r="E2326" s="65"/>
      <c r="F2326" s="65"/>
      <c r="G2326" s="65"/>
      <c r="I2326" s="5"/>
      <c r="J2326" s="5"/>
    </row>
    <row r="2327" spans="1:10" x14ac:dyDescent="0.2">
      <c r="A2327" s="55"/>
      <c r="B2327" s="55"/>
      <c r="C2327" s="65"/>
      <c r="D2327" s="65"/>
      <c r="E2327" s="65"/>
      <c r="F2327" s="65"/>
      <c r="G2327" s="65"/>
      <c r="I2327" s="5"/>
      <c r="J2327" s="5"/>
    </row>
    <row r="2328" spans="1:10" x14ac:dyDescent="0.2">
      <c r="A2328" s="55"/>
      <c r="B2328" s="55"/>
      <c r="C2328" s="65"/>
      <c r="D2328" s="65"/>
      <c r="E2328" s="65"/>
      <c r="F2328" s="65"/>
      <c r="G2328" s="65"/>
      <c r="I2328" s="5"/>
      <c r="J2328" s="5"/>
    </row>
    <row r="2329" spans="1:10" x14ac:dyDescent="0.2">
      <c r="A2329" s="55"/>
      <c r="B2329" s="55"/>
      <c r="C2329" s="65"/>
      <c r="D2329" s="65"/>
      <c r="E2329" s="65"/>
      <c r="F2329" s="65"/>
      <c r="G2329" s="65"/>
      <c r="I2329" s="5"/>
      <c r="J2329" s="5"/>
    </row>
    <row r="2330" spans="1:10" x14ac:dyDescent="0.2">
      <c r="A2330" s="55"/>
      <c r="B2330" s="55"/>
      <c r="C2330" s="65"/>
      <c r="D2330" s="65"/>
      <c r="E2330" s="65"/>
      <c r="F2330" s="65"/>
      <c r="G2330" s="65"/>
      <c r="I2330" s="5"/>
      <c r="J2330" s="5"/>
    </row>
    <row r="2331" spans="1:10" x14ac:dyDescent="0.2">
      <c r="A2331" s="55"/>
      <c r="B2331" s="55"/>
      <c r="C2331" s="65"/>
      <c r="D2331" s="65"/>
      <c r="E2331" s="65"/>
      <c r="F2331" s="65"/>
      <c r="G2331" s="65"/>
      <c r="I2331" s="5"/>
      <c r="J2331" s="5"/>
    </row>
    <row r="2332" spans="1:10" x14ac:dyDescent="0.2">
      <c r="A2332" s="55"/>
      <c r="B2332" s="55"/>
      <c r="C2332" s="65"/>
      <c r="D2332" s="65"/>
      <c r="E2332" s="65"/>
      <c r="F2332" s="65"/>
      <c r="G2332" s="65"/>
      <c r="I2332" s="5"/>
      <c r="J2332" s="5"/>
    </row>
    <row r="2333" spans="1:10" x14ac:dyDescent="0.2">
      <c r="A2333" s="55"/>
      <c r="B2333" s="55"/>
      <c r="C2333" s="65"/>
      <c r="D2333" s="65"/>
      <c r="E2333" s="65"/>
      <c r="F2333" s="65"/>
      <c r="G2333" s="65"/>
      <c r="I2333" s="5"/>
      <c r="J2333" s="5"/>
    </row>
    <row r="2334" spans="1:10" x14ac:dyDescent="0.2">
      <c r="A2334" s="55"/>
      <c r="B2334" s="55"/>
      <c r="C2334" s="65"/>
      <c r="D2334" s="65"/>
      <c r="E2334" s="65"/>
      <c r="F2334" s="65"/>
      <c r="G2334" s="65"/>
      <c r="I2334" s="5"/>
      <c r="J2334" s="5"/>
    </row>
    <row r="2335" spans="1:10" x14ac:dyDescent="0.2">
      <c r="A2335" s="55"/>
      <c r="B2335" s="55"/>
      <c r="C2335" s="65"/>
      <c r="D2335" s="65"/>
      <c r="E2335" s="65"/>
      <c r="F2335" s="65"/>
      <c r="G2335" s="65"/>
      <c r="I2335" s="5"/>
      <c r="J2335" s="5"/>
    </row>
    <row r="2336" spans="1:10" x14ac:dyDescent="0.2">
      <c r="A2336" s="55"/>
      <c r="B2336" s="55"/>
      <c r="C2336" s="65"/>
      <c r="D2336" s="65"/>
      <c r="E2336" s="65"/>
      <c r="F2336" s="65"/>
      <c r="G2336" s="65"/>
      <c r="I2336" s="5"/>
      <c r="J2336" s="5"/>
    </row>
    <row r="2337" spans="1:10" x14ac:dyDescent="0.2">
      <c r="A2337" s="55"/>
      <c r="B2337" s="55"/>
      <c r="C2337" s="65"/>
      <c r="D2337" s="65"/>
      <c r="E2337" s="65"/>
      <c r="F2337" s="65"/>
      <c r="G2337" s="65"/>
      <c r="I2337" s="5"/>
      <c r="J2337" s="5"/>
    </row>
    <row r="2338" spans="1:10" x14ac:dyDescent="0.2">
      <c r="A2338" s="55"/>
      <c r="B2338" s="55"/>
      <c r="C2338" s="65"/>
      <c r="D2338" s="65"/>
      <c r="E2338" s="65"/>
      <c r="F2338" s="65"/>
      <c r="G2338" s="65"/>
      <c r="I2338" s="5"/>
      <c r="J2338" s="5"/>
    </row>
    <row r="2339" spans="1:10" x14ac:dyDescent="0.2">
      <c r="A2339" s="55"/>
      <c r="B2339" s="55"/>
      <c r="C2339" s="65"/>
      <c r="D2339" s="65"/>
      <c r="E2339" s="65"/>
      <c r="F2339" s="65"/>
      <c r="G2339" s="65"/>
      <c r="I2339" s="5"/>
      <c r="J2339" s="5"/>
    </row>
    <row r="2340" spans="1:10" x14ac:dyDescent="0.2">
      <c r="A2340" s="55"/>
      <c r="B2340" s="55"/>
      <c r="C2340" s="65"/>
      <c r="D2340" s="65"/>
      <c r="E2340" s="65"/>
      <c r="F2340" s="65"/>
      <c r="G2340" s="65"/>
      <c r="I2340" s="5"/>
      <c r="J2340" s="5"/>
    </row>
    <row r="2341" spans="1:10" x14ac:dyDescent="0.2">
      <c r="A2341" s="55"/>
      <c r="B2341" s="55"/>
      <c r="C2341" s="65"/>
      <c r="D2341" s="65"/>
      <c r="E2341" s="65"/>
      <c r="F2341" s="65"/>
      <c r="G2341" s="65"/>
      <c r="I2341" s="5"/>
      <c r="J2341" s="5"/>
    </row>
    <row r="2342" spans="1:10" x14ac:dyDescent="0.2">
      <c r="A2342" s="55"/>
      <c r="B2342" s="55"/>
      <c r="C2342" s="65"/>
      <c r="D2342" s="65"/>
      <c r="E2342" s="65"/>
      <c r="F2342" s="65"/>
      <c r="G2342" s="65"/>
      <c r="I2342" s="5"/>
      <c r="J2342" s="5"/>
    </row>
    <row r="2343" spans="1:10" x14ac:dyDescent="0.2">
      <c r="A2343" s="55"/>
      <c r="B2343" s="55"/>
      <c r="C2343" s="65"/>
      <c r="D2343" s="65"/>
      <c r="E2343" s="65"/>
      <c r="F2343" s="65"/>
      <c r="G2343" s="65"/>
      <c r="I2343" s="5"/>
      <c r="J2343" s="5"/>
    </row>
    <row r="2344" spans="1:10" x14ac:dyDescent="0.2">
      <c r="A2344" s="55"/>
      <c r="B2344" s="55"/>
      <c r="C2344" s="65"/>
      <c r="D2344" s="65"/>
      <c r="E2344" s="65"/>
      <c r="F2344" s="65"/>
      <c r="G2344" s="65"/>
      <c r="I2344" s="5"/>
      <c r="J2344" s="5"/>
    </row>
    <row r="2345" spans="1:10" x14ac:dyDescent="0.2">
      <c r="A2345" s="55"/>
      <c r="B2345" s="55"/>
      <c r="C2345" s="65"/>
      <c r="D2345" s="65"/>
      <c r="E2345" s="65"/>
      <c r="F2345" s="65"/>
      <c r="G2345" s="65"/>
      <c r="I2345" s="5"/>
      <c r="J2345" s="5"/>
    </row>
    <row r="2346" spans="1:10" x14ac:dyDescent="0.2">
      <c r="A2346" s="55"/>
      <c r="B2346" s="55"/>
      <c r="C2346" s="65"/>
      <c r="D2346" s="65"/>
      <c r="E2346" s="65"/>
      <c r="F2346" s="65"/>
      <c r="G2346" s="65"/>
      <c r="I2346" s="5"/>
      <c r="J2346" s="5"/>
    </row>
    <row r="2347" spans="1:10" x14ac:dyDescent="0.2">
      <c r="A2347" s="55"/>
      <c r="B2347" s="55"/>
      <c r="C2347" s="65"/>
      <c r="D2347" s="65"/>
      <c r="E2347" s="65"/>
      <c r="F2347" s="65"/>
      <c r="G2347" s="65"/>
      <c r="I2347" s="5"/>
      <c r="J2347" s="5"/>
    </row>
    <row r="2348" spans="1:10" x14ac:dyDescent="0.2">
      <c r="A2348" s="55"/>
      <c r="B2348" s="55"/>
      <c r="C2348" s="65"/>
      <c r="D2348" s="65"/>
      <c r="E2348" s="65"/>
      <c r="F2348" s="65"/>
      <c r="G2348" s="65"/>
      <c r="I2348" s="5"/>
      <c r="J2348" s="5"/>
    </row>
    <row r="2349" spans="1:10" x14ac:dyDescent="0.2">
      <c r="A2349" s="55"/>
      <c r="B2349" s="55"/>
      <c r="C2349" s="65"/>
      <c r="D2349" s="65"/>
      <c r="E2349" s="65"/>
      <c r="F2349" s="65"/>
      <c r="G2349" s="65"/>
      <c r="I2349" s="5"/>
      <c r="J2349" s="5"/>
    </row>
    <row r="2350" spans="1:10" x14ac:dyDescent="0.2">
      <c r="A2350" s="55"/>
      <c r="B2350" s="55"/>
      <c r="C2350" s="65"/>
      <c r="D2350" s="65"/>
      <c r="E2350" s="65"/>
      <c r="F2350" s="65"/>
      <c r="G2350" s="65"/>
      <c r="I2350" s="5"/>
      <c r="J2350" s="5"/>
    </row>
    <row r="2351" spans="1:10" x14ac:dyDescent="0.2">
      <c r="A2351" s="55"/>
      <c r="B2351" s="55"/>
      <c r="C2351" s="65"/>
      <c r="D2351" s="65"/>
      <c r="E2351" s="65"/>
      <c r="F2351" s="65"/>
      <c r="G2351" s="65"/>
      <c r="I2351" s="5"/>
      <c r="J2351" s="5"/>
    </row>
    <row r="2352" spans="1:10" x14ac:dyDescent="0.2">
      <c r="A2352" s="55"/>
      <c r="B2352" s="55"/>
      <c r="C2352" s="65"/>
      <c r="D2352" s="65"/>
      <c r="E2352" s="65"/>
      <c r="F2352" s="65"/>
      <c r="G2352" s="65"/>
      <c r="I2352" s="5"/>
      <c r="J2352" s="5"/>
    </row>
    <row r="2353" spans="1:10" x14ac:dyDescent="0.2">
      <c r="A2353" s="55"/>
      <c r="B2353" s="55"/>
      <c r="C2353" s="65"/>
      <c r="D2353" s="65"/>
      <c r="E2353" s="65"/>
      <c r="F2353" s="65"/>
      <c r="G2353" s="65"/>
      <c r="I2353" s="5"/>
      <c r="J2353" s="5"/>
    </row>
    <row r="2354" spans="1:10" x14ac:dyDescent="0.2">
      <c r="A2354" s="55"/>
      <c r="B2354" s="55"/>
      <c r="C2354" s="65"/>
      <c r="D2354" s="65"/>
      <c r="E2354" s="65"/>
      <c r="F2354" s="65"/>
      <c r="G2354" s="65"/>
      <c r="I2354" s="5"/>
      <c r="J2354" s="5"/>
    </row>
    <row r="2355" spans="1:10" x14ac:dyDescent="0.2">
      <c r="A2355" s="55"/>
      <c r="B2355" s="55"/>
      <c r="C2355" s="65"/>
      <c r="D2355" s="65"/>
      <c r="E2355" s="65"/>
      <c r="F2355" s="65"/>
      <c r="G2355" s="65"/>
      <c r="I2355" s="5"/>
      <c r="J2355" s="5"/>
    </row>
    <row r="2356" spans="1:10" x14ac:dyDescent="0.2">
      <c r="A2356" s="55"/>
      <c r="B2356" s="55"/>
      <c r="C2356" s="65"/>
      <c r="D2356" s="65"/>
      <c r="E2356" s="65"/>
      <c r="F2356" s="65"/>
      <c r="G2356" s="65"/>
      <c r="I2356" s="5"/>
      <c r="J2356" s="5"/>
    </row>
    <row r="2357" spans="1:10" x14ac:dyDescent="0.2">
      <c r="A2357" s="55"/>
      <c r="B2357" s="55"/>
      <c r="C2357" s="65"/>
      <c r="D2357" s="65"/>
      <c r="E2357" s="65"/>
      <c r="F2357" s="65"/>
      <c r="G2357" s="65"/>
      <c r="I2357" s="5"/>
      <c r="J2357" s="5"/>
    </row>
    <row r="2358" spans="1:10" x14ac:dyDescent="0.2">
      <c r="A2358" s="55"/>
      <c r="B2358" s="55"/>
      <c r="C2358" s="65"/>
      <c r="D2358" s="65"/>
      <c r="E2358" s="65"/>
      <c r="F2358" s="65"/>
      <c r="G2358" s="65"/>
      <c r="I2358" s="5"/>
      <c r="J2358" s="5"/>
    </row>
    <row r="2359" spans="1:10" x14ac:dyDescent="0.2">
      <c r="A2359" s="55"/>
      <c r="B2359" s="55"/>
      <c r="C2359" s="65"/>
      <c r="D2359" s="65"/>
      <c r="E2359" s="65"/>
      <c r="F2359" s="65"/>
      <c r="G2359" s="65"/>
      <c r="I2359" s="5"/>
      <c r="J2359" s="5"/>
    </row>
    <row r="2360" spans="1:10" x14ac:dyDescent="0.2">
      <c r="A2360" s="55"/>
      <c r="B2360" s="55"/>
      <c r="C2360" s="65"/>
      <c r="D2360" s="65"/>
      <c r="E2360" s="65"/>
      <c r="F2360" s="65"/>
      <c r="G2360" s="65"/>
      <c r="I2360" s="5"/>
      <c r="J2360" s="5"/>
    </row>
    <row r="2361" spans="1:10" x14ac:dyDescent="0.2">
      <c r="A2361" s="55"/>
      <c r="B2361" s="55"/>
      <c r="C2361" s="65"/>
      <c r="D2361" s="65"/>
      <c r="E2361" s="65"/>
      <c r="F2361" s="65"/>
      <c r="G2361" s="65"/>
      <c r="I2361" s="5"/>
      <c r="J2361" s="5"/>
    </row>
    <row r="2362" spans="1:10" x14ac:dyDescent="0.2">
      <c r="A2362" s="55"/>
      <c r="B2362" s="55"/>
      <c r="C2362" s="65"/>
      <c r="D2362" s="65"/>
      <c r="E2362" s="65"/>
      <c r="F2362" s="65"/>
      <c r="G2362" s="65"/>
      <c r="I2362" s="5"/>
      <c r="J2362" s="5"/>
    </row>
    <row r="2363" spans="1:10" x14ac:dyDescent="0.2">
      <c r="A2363" s="55"/>
      <c r="B2363" s="55"/>
      <c r="C2363" s="65"/>
      <c r="D2363" s="65"/>
      <c r="E2363" s="65"/>
      <c r="F2363" s="65"/>
      <c r="G2363" s="65"/>
      <c r="I2363" s="5"/>
      <c r="J2363" s="5"/>
    </row>
    <row r="2364" spans="1:10" x14ac:dyDescent="0.2">
      <c r="A2364" s="55"/>
      <c r="B2364" s="55"/>
      <c r="C2364" s="65"/>
      <c r="D2364" s="65"/>
      <c r="E2364" s="65"/>
      <c r="F2364" s="65"/>
      <c r="G2364" s="65"/>
      <c r="I2364" s="5"/>
      <c r="J2364" s="5"/>
    </row>
    <row r="2365" spans="1:10" x14ac:dyDescent="0.2">
      <c r="A2365" s="55"/>
      <c r="B2365" s="55"/>
      <c r="C2365" s="65"/>
      <c r="D2365" s="65"/>
      <c r="E2365" s="65"/>
      <c r="F2365" s="65"/>
      <c r="G2365" s="65"/>
      <c r="I2365" s="5"/>
      <c r="J2365" s="5"/>
    </row>
    <row r="2366" spans="1:10" x14ac:dyDescent="0.2">
      <c r="A2366" s="55"/>
      <c r="B2366" s="55"/>
      <c r="C2366" s="65"/>
      <c r="D2366" s="65"/>
      <c r="E2366" s="65"/>
      <c r="F2366" s="65"/>
      <c r="G2366" s="65"/>
      <c r="I2366" s="5"/>
      <c r="J2366" s="5"/>
    </row>
    <row r="2367" spans="1:10" x14ac:dyDescent="0.2">
      <c r="A2367" s="55"/>
      <c r="B2367" s="55"/>
      <c r="C2367" s="65"/>
      <c r="D2367" s="65"/>
      <c r="E2367" s="65"/>
      <c r="F2367" s="65"/>
      <c r="G2367" s="65"/>
      <c r="I2367" s="5"/>
      <c r="J2367" s="5"/>
    </row>
    <row r="2368" spans="1:10" x14ac:dyDescent="0.2">
      <c r="A2368" s="55"/>
      <c r="B2368" s="55"/>
      <c r="C2368" s="65"/>
      <c r="D2368" s="65"/>
      <c r="E2368" s="65"/>
      <c r="F2368" s="65"/>
      <c r="G2368" s="65"/>
      <c r="I2368" s="5"/>
      <c r="J2368" s="5"/>
    </row>
    <row r="2369" spans="1:10" x14ac:dyDescent="0.2">
      <c r="A2369" s="55"/>
      <c r="B2369" s="55"/>
      <c r="C2369" s="65"/>
      <c r="D2369" s="65"/>
      <c r="E2369" s="65"/>
      <c r="F2369" s="65"/>
      <c r="G2369" s="65"/>
      <c r="I2369" s="5"/>
      <c r="J2369" s="5"/>
    </row>
    <row r="2370" spans="1:10" x14ac:dyDescent="0.2">
      <c r="A2370" s="55"/>
      <c r="B2370" s="55"/>
      <c r="C2370" s="65"/>
      <c r="D2370" s="65"/>
      <c r="E2370" s="65"/>
      <c r="F2370" s="65"/>
      <c r="G2370" s="65"/>
      <c r="I2370" s="5"/>
      <c r="J2370" s="5"/>
    </row>
    <row r="2371" spans="1:10" x14ac:dyDescent="0.2">
      <c r="A2371" s="55"/>
      <c r="B2371" s="55"/>
      <c r="C2371" s="65"/>
      <c r="D2371" s="65"/>
      <c r="E2371" s="65"/>
      <c r="F2371" s="65"/>
      <c r="G2371" s="65"/>
      <c r="I2371" s="5"/>
      <c r="J2371" s="5"/>
    </row>
    <row r="2372" spans="1:10" x14ac:dyDescent="0.2">
      <c r="A2372" s="55"/>
      <c r="B2372" s="55"/>
      <c r="C2372" s="65"/>
      <c r="D2372" s="65"/>
      <c r="E2372" s="65"/>
      <c r="F2372" s="65"/>
      <c r="G2372" s="65"/>
      <c r="I2372" s="5"/>
      <c r="J2372" s="5"/>
    </row>
    <row r="2373" spans="1:10" x14ac:dyDescent="0.2">
      <c r="A2373" s="55"/>
      <c r="B2373" s="55"/>
      <c r="C2373" s="65"/>
      <c r="D2373" s="65"/>
      <c r="E2373" s="65"/>
      <c r="F2373" s="65"/>
      <c r="G2373" s="65"/>
      <c r="I2373" s="5"/>
      <c r="J2373" s="5"/>
    </row>
    <row r="2374" spans="1:10" x14ac:dyDescent="0.2">
      <c r="A2374" s="55"/>
      <c r="B2374" s="55"/>
      <c r="C2374" s="65"/>
      <c r="D2374" s="65"/>
      <c r="E2374" s="65"/>
      <c r="F2374" s="65"/>
      <c r="G2374" s="65"/>
      <c r="I2374" s="5"/>
      <c r="J2374" s="5"/>
    </row>
    <row r="2375" spans="1:10" x14ac:dyDescent="0.2">
      <c r="A2375" s="55"/>
      <c r="B2375" s="55"/>
      <c r="C2375" s="65"/>
      <c r="D2375" s="65"/>
      <c r="E2375" s="65"/>
      <c r="F2375" s="65"/>
      <c r="G2375" s="65"/>
      <c r="I2375" s="5"/>
      <c r="J2375" s="5"/>
    </row>
    <row r="2376" spans="1:10" x14ac:dyDescent="0.2">
      <c r="A2376" s="55"/>
      <c r="B2376" s="55"/>
      <c r="C2376" s="65"/>
      <c r="D2376" s="65"/>
      <c r="E2376" s="65"/>
      <c r="F2376" s="65"/>
      <c r="G2376" s="65"/>
      <c r="I2376" s="5"/>
      <c r="J2376" s="5"/>
    </row>
    <row r="2377" spans="1:10" x14ac:dyDescent="0.2">
      <c r="A2377" s="55"/>
      <c r="B2377" s="55"/>
      <c r="C2377" s="65"/>
      <c r="D2377" s="65"/>
      <c r="E2377" s="65"/>
      <c r="F2377" s="65"/>
      <c r="G2377" s="65"/>
      <c r="I2377" s="5"/>
      <c r="J2377" s="5"/>
    </row>
    <row r="2378" spans="1:10" x14ac:dyDescent="0.2">
      <c r="A2378" s="55"/>
      <c r="B2378" s="55"/>
      <c r="C2378" s="65"/>
      <c r="D2378" s="65"/>
      <c r="E2378" s="65"/>
      <c r="F2378" s="65"/>
      <c r="G2378" s="65"/>
      <c r="I2378" s="5"/>
      <c r="J2378" s="5"/>
    </row>
    <row r="2379" spans="1:10" x14ac:dyDescent="0.2">
      <c r="A2379" s="55"/>
      <c r="B2379" s="55"/>
      <c r="C2379" s="65"/>
      <c r="D2379" s="65"/>
      <c r="E2379" s="65"/>
      <c r="F2379" s="65"/>
      <c r="G2379" s="65"/>
      <c r="I2379" s="5"/>
      <c r="J2379" s="5"/>
    </row>
    <row r="2380" spans="1:10" x14ac:dyDescent="0.2">
      <c r="A2380" s="55"/>
      <c r="B2380" s="55"/>
      <c r="C2380" s="65"/>
      <c r="D2380" s="65"/>
      <c r="E2380" s="65"/>
      <c r="F2380" s="65"/>
      <c r="G2380" s="65"/>
      <c r="I2380" s="5"/>
      <c r="J2380" s="5"/>
    </row>
    <row r="2381" spans="1:10" x14ac:dyDescent="0.2">
      <c r="A2381" s="55"/>
      <c r="B2381" s="55"/>
      <c r="C2381" s="65"/>
      <c r="D2381" s="65"/>
      <c r="E2381" s="65"/>
      <c r="F2381" s="65"/>
      <c r="G2381" s="65"/>
      <c r="I2381" s="5"/>
      <c r="J2381" s="5"/>
    </row>
    <row r="2382" spans="1:10" x14ac:dyDescent="0.2">
      <c r="A2382" s="55"/>
      <c r="B2382" s="55"/>
      <c r="C2382" s="65"/>
      <c r="D2382" s="65"/>
      <c r="E2382" s="65"/>
      <c r="F2382" s="65"/>
      <c r="G2382" s="65"/>
      <c r="I2382" s="5"/>
      <c r="J2382" s="5"/>
    </row>
    <row r="2383" spans="1:10" x14ac:dyDescent="0.2">
      <c r="A2383" s="55"/>
      <c r="B2383" s="55"/>
      <c r="C2383" s="65"/>
      <c r="D2383" s="65"/>
      <c r="E2383" s="65"/>
      <c r="F2383" s="65"/>
      <c r="G2383" s="65"/>
      <c r="I2383" s="5"/>
      <c r="J2383" s="5"/>
    </row>
    <row r="2384" spans="1:10" x14ac:dyDescent="0.2">
      <c r="A2384" s="55"/>
      <c r="B2384" s="55"/>
      <c r="C2384" s="65"/>
      <c r="D2384" s="65"/>
      <c r="E2384" s="65"/>
      <c r="F2384" s="65"/>
      <c r="G2384" s="65"/>
      <c r="I2384" s="5"/>
      <c r="J2384" s="5"/>
    </row>
    <row r="2385" spans="1:10" x14ac:dyDescent="0.2">
      <c r="A2385" s="55"/>
      <c r="B2385" s="55"/>
      <c r="C2385" s="65"/>
      <c r="D2385" s="65"/>
      <c r="E2385" s="65"/>
      <c r="F2385" s="65"/>
      <c r="G2385" s="65"/>
      <c r="I2385" s="5"/>
      <c r="J2385" s="5"/>
    </row>
    <row r="2386" spans="1:10" x14ac:dyDescent="0.2">
      <c r="A2386" s="55"/>
      <c r="B2386" s="55"/>
      <c r="C2386" s="65"/>
      <c r="D2386" s="65"/>
      <c r="E2386" s="65"/>
      <c r="F2386" s="65"/>
      <c r="G2386" s="65"/>
      <c r="I2386" s="5"/>
      <c r="J2386" s="5"/>
    </row>
    <row r="2387" spans="1:10" x14ac:dyDescent="0.2">
      <c r="A2387" s="55"/>
      <c r="B2387" s="55"/>
      <c r="C2387" s="65"/>
      <c r="D2387" s="65"/>
      <c r="E2387" s="65"/>
      <c r="F2387" s="65"/>
      <c r="G2387" s="65"/>
      <c r="I2387" s="5"/>
      <c r="J2387" s="5"/>
    </row>
    <row r="2388" spans="1:10" x14ac:dyDescent="0.2">
      <c r="A2388" s="55"/>
      <c r="B2388" s="55"/>
      <c r="C2388" s="65"/>
      <c r="D2388" s="65"/>
      <c r="E2388" s="65"/>
      <c r="F2388" s="65"/>
      <c r="G2388" s="65"/>
      <c r="I2388" s="5"/>
      <c r="J2388" s="5"/>
    </row>
    <row r="2389" spans="1:10" x14ac:dyDescent="0.2">
      <c r="A2389" s="55"/>
      <c r="B2389" s="55"/>
      <c r="C2389" s="65"/>
      <c r="D2389" s="65"/>
      <c r="E2389" s="65"/>
      <c r="F2389" s="65"/>
      <c r="G2389" s="65"/>
      <c r="I2389" s="5"/>
      <c r="J2389" s="5"/>
    </row>
    <row r="2390" spans="1:10" x14ac:dyDescent="0.2">
      <c r="A2390" s="55"/>
      <c r="B2390" s="55"/>
      <c r="C2390" s="65"/>
      <c r="D2390" s="65"/>
      <c r="E2390" s="65"/>
      <c r="F2390" s="65"/>
      <c r="G2390" s="65"/>
      <c r="I2390" s="5"/>
      <c r="J2390" s="5"/>
    </row>
    <row r="2391" spans="1:10" x14ac:dyDescent="0.2">
      <c r="A2391" s="55"/>
      <c r="B2391" s="55"/>
      <c r="C2391" s="65"/>
      <c r="D2391" s="65"/>
      <c r="E2391" s="65"/>
      <c r="F2391" s="65"/>
      <c r="G2391" s="65"/>
      <c r="I2391" s="5"/>
      <c r="J2391" s="5"/>
    </row>
    <row r="2392" spans="1:10" x14ac:dyDescent="0.2">
      <c r="A2392" s="55"/>
      <c r="B2392" s="55"/>
      <c r="C2392" s="65"/>
      <c r="D2392" s="65"/>
      <c r="E2392" s="65"/>
      <c r="F2392" s="65"/>
      <c r="G2392" s="65"/>
      <c r="I2392" s="5"/>
      <c r="J2392" s="5"/>
    </row>
    <row r="2393" spans="1:10" x14ac:dyDescent="0.2">
      <c r="A2393" s="55"/>
      <c r="B2393" s="55"/>
      <c r="C2393" s="65"/>
      <c r="D2393" s="65"/>
      <c r="E2393" s="65"/>
      <c r="F2393" s="65"/>
      <c r="G2393" s="65"/>
      <c r="I2393" s="5"/>
      <c r="J2393" s="5"/>
    </row>
    <row r="2394" spans="1:10" x14ac:dyDescent="0.2">
      <c r="A2394" s="55"/>
      <c r="B2394" s="55"/>
      <c r="C2394" s="65"/>
      <c r="D2394" s="65"/>
      <c r="E2394" s="65"/>
      <c r="F2394" s="65"/>
      <c r="G2394" s="65"/>
      <c r="I2394" s="5"/>
      <c r="J2394" s="5"/>
    </row>
    <row r="2395" spans="1:10" x14ac:dyDescent="0.2">
      <c r="A2395" s="55"/>
      <c r="B2395" s="55"/>
      <c r="C2395" s="65"/>
      <c r="D2395" s="65"/>
      <c r="E2395" s="65"/>
      <c r="F2395" s="65"/>
      <c r="G2395" s="65"/>
      <c r="I2395" s="5"/>
      <c r="J2395" s="5"/>
    </row>
    <row r="2396" spans="1:10" x14ac:dyDescent="0.2">
      <c r="A2396" s="55"/>
      <c r="B2396" s="55"/>
      <c r="C2396" s="65"/>
      <c r="D2396" s="65"/>
      <c r="E2396" s="65"/>
      <c r="F2396" s="65"/>
      <c r="G2396" s="65"/>
      <c r="I2396" s="5"/>
      <c r="J2396" s="5"/>
    </row>
    <row r="2397" spans="1:10" x14ac:dyDescent="0.2">
      <c r="A2397" s="55"/>
      <c r="B2397" s="55"/>
      <c r="C2397" s="65"/>
      <c r="D2397" s="65"/>
      <c r="E2397" s="65"/>
      <c r="F2397" s="65"/>
      <c r="G2397" s="65"/>
      <c r="I2397" s="5"/>
      <c r="J2397" s="5"/>
    </row>
    <row r="2398" spans="1:10" x14ac:dyDescent="0.2">
      <c r="A2398" s="55"/>
      <c r="B2398" s="55"/>
      <c r="C2398" s="65"/>
      <c r="D2398" s="65"/>
      <c r="E2398" s="65"/>
      <c r="F2398" s="65"/>
      <c r="G2398" s="65"/>
      <c r="I2398" s="5"/>
      <c r="J2398" s="5"/>
    </row>
    <row r="2399" spans="1:10" x14ac:dyDescent="0.2">
      <c r="A2399" s="55"/>
      <c r="B2399" s="55"/>
      <c r="C2399" s="65"/>
      <c r="D2399" s="65"/>
      <c r="E2399" s="65"/>
      <c r="F2399" s="65"/>
      <c r="G2399" s="65"/>
      <c r="I2399" s="5"/>
      <c r="J2399" s="5"/>
    </row>
    <row r="2400" spans="1:10" x14ac:dyDescent="0.2">
      <c r="A2400" s="55"/>
      <c r="B2400" s="55"/>
      <c r="C2400" s="65"/>
      <c r="D2400" s="65"/>
      <c r="E2400" s="65"/>
      <c r="F2400" s="65"/>
      <c r="G2400" s="65"/>
      <c r="I2400" s="5"/>
      <c r="J2400" s="5"/>
    </row>
    <row r="2401" spans="1:10" x14ac:dyDescent="0.2">
      <c r="A2401" s="55"/>
      <c r="B2401" s="55"/>
      <c r="C2401" s="65"/>
      <c r="D2401" s="65"/>
      <c r="E2401" s="65"/>
      <c r="F2401" s="65"/>
      <c r="G2401" s="65"/>
      <c r="I2401" s="5"/>
      <c r="J2401" s="5"/>
    </row>
    <row r="2402" spans="1:10" x14ac:dyDescent="0.2">
      <c r="A2402" s="55"/>
      <c r="B2402" s="55"/>
      <c r="C2402" s="65"/>
      <c r="D2402" s="65"/>
      <c r="E2402" s="65"/>
      <c r="F2402" s="65"/>
      <c r="G2402" s="65"/>
      <c r="I2402" s="5"/>
      <c r="J2402" s="5"/>
    </row>
    <row r="2403" spans="1:10" x14ac:dyDescent="0.2">
      <c r="A2403" s="55"/>
      <c r="B2403" s="55"/>
      <c r="C2403" s="65"/>
      <c r="D2403" s="65"/>
      <c r="E2403" s="65"/>
      <c r="F2403" s="65"/>
      <c r="G2403" s="65"/>
      <c r="I2403" s="5"/>
      <c r="J2403" s="5"/>
    </row>
    <row r="2404" spans="1:10" x14ac:dyDescent="0.2">
      <c r="A2404" s="55"/>
      <c r="B2404" s="55"/>
      <c r="C2404" s="65"/>
      <c r="D2404" s="65"/>
      <c r="E2404" s="65"/>
      <c r="F2404" s="65"/>
      <c r="G2404" s="65"/>
      <c r="I2404" s="5"/>
      <c r="J2404" s="5"/>
    </row>
    <row r="2405" spans="1:10" x14ac:dyDescent="0.2">
      <c r="A2405" s="55"/>
      <c r="B2405" s="55"/>
      <c r="C2405" s="65"/>
      <c r="D2405" s="65"/>
      <c r="E2405" s="65"/>
      <c r="F2405" s="65"/>
      <c r="G2405" s="65"/>
      <c r="I2405" s="5"/>
      <c r="J2405" s="5"/>
    </row>
    <row r="2406" spans="1:10" x14ac:dyDescent="0.2">
      <c r="A2406" s="55"/>
      <c r="B2406" s="55"/>
      <c r="C2406" s="65"/>
      <c r="D2406" s="65"/>
      <c r="E2406" s="65"/>
      <c r="F2406" s="65"/>
      <c r="G2406" s="65"/>
      <c r="I2406" s="5"/>
      <c r="J2406" s="5"/>
    </row>
    <row r="2407" spans="1:10" x14ac:dyDescent="0.2">
      <c r="A2407" s="55"/>
      <c r="B2407" s="55"/>
      <c r="C2407" s="65"/>
      <c r="D2407" s="65"/>
      <c r="E2407" s="65"/>
      <c r="F2407" s="65"/>
      <c r="G2407" s="65"/>
      <c r="I2407" s="5"/>
      <c r="J2407" s="5"/>
    </row>
    <row r="2408" spans="1:10" x14ac:dyDescent="0.2">
      <c r="A2408" s="55"/>
      <c r="B2408" s="55"/>
      <c r="C2408" s="65"/>
      <c r="D2408" s="65"/>
      <c r="E2408" s="65"/>
      <c r="F2408" s="65"/>
      <c r="G2408" s="65"/>
      <c r="I2408" s="5"/>
      <c r="J2408" s="5"/>
    </row>
    <row r="2409" spans="1:10" x14ac:dyDescent="0.2">
      <c r="A2409" s="55"/>
      <c r="B2409" s="55"/>
      <c r="C2409" s="65"/>
      <c r="D2409" s="65"/>
      <c r="E2409" s="65"/>
      <c r="F2409" s="65"/>
      <c r="G2409" s="65"/>
      <c r="I2409" s="5"/>
      <c r="J2409" s="5"/>
    </row>
    <row r="2410" spans="1:10" x14ac:dyDescent="0.2">
      <c r="A2410" s="55"/>
      <c r="B2410" s="55"/>
      <c r="C2410" s="65"/>
      <c r="D2410" s="65"/>
      <c r="E2410" s="65"/>
      <c r="F2410" s="65"/>
      <c r="G2410" s="65"/>
      <c r="I2410" s="5"/>
      <c r="J2410" s="5"/>
    </row>
    <row r="2411" spans="1:10" x14ac:dyDescent="0.2">
      <c r="A2411" s="55"/>
      <c r="B2411" s="55"/>
      <c r="C2411" s="65"/>
      <c r="D2411" s="65"/>
      <c r="E2411" s="65"/>
      <c r="F2411" s="65"/>
      <c r="G2411" s="65"/>
      <c r="I2411" s="5"/>
      <c r="J2411" s="5"/>
    </row>
    <row r="2412" spans="1:10" x14ac:dyDescent="0.2">
      <c r="A2412" s="55"/>
      <c r="B2412" s="55"/>
      <c r="C2412" s="65"/>
      <c r="D2412" s="65"/>
      <c r="E2412" s="65"/>
      <c r="F2412" s="65"/>
      <c r="G2412" s="65"/>
      <c r="I2412" s="5"/>
      <c r="J2412" s="5"/>
    </row>
    <row r="2413" spans="1:10" x14ac:dyDescent="0.2">
      <c r="A2413" s="55"/>
      <c r="B2413" s="55"/>
      <c r="C2413" s="65"/>
      <c r="D2413" s="65"/>
      <c r="E2413" s="65"/>
      <c r="F2413" s="65"/>
      <c r="G2413" s="65"/>
      <c r="I2413" s="5"/>
      <c r="J2413" s="5"/>
    </row>
    <row r="2414" spans="1:10" x14ac:dyDescent="0.2">
      <c r="A2414" s="55"/>
      <c r="B2414" s="55"/>
      <c r="C2414" s="65"/>
      <c r="D2414" s="65"/>
      <c r="E2414" s="65"/>
      <c r="F2414" s="65"/>
      <c r="G2414" s="65"/>
      <c r="I2414" s="5"/>
      <c r="J2414" s="5"/>
    </row>
    <row r="2415" spans="1:10" x14ac:dyDescent="0.2">
      <c r="A2415" s="55"/>
      <c r="B2415" s="55"/>
      <c r="C2415" s="65"/>
      <c r="D2415" s="65"/>
      <c r="E2415" s="65"/>
      <c r="F2415" s="65"/>
      <c r="G2415" s="65"/>
      <c r="I2415" s="5"/>
      <c r="J2415" s="5"/>
    </row>
    <row r="2416" spans="1:10" x14ac:dyDescent="0.2">
      <c r="A2416" s="55"/>
      <c r="B2416" s="55"/>
      <c r="C2416" s="65"/>
      <c r="D2416" s="65"/>
      <c r="E2416" s="65"/>
      <c r="F2416" s="65"/>
      <c r="G2416" s="65"/>
      <c r="I2416" s="5"/>
      <c r="J2416" s="5"/>
    </row>
    <row r="2417" spans="1:10" x14ac:dyDescent="0.2">
      <c r="A2417" s="55"/>
      <c r="B2417" s="55"/>
      <c r="C2417" s="65"/>
      <c r="D2417" s="65"/>
      <c r="E2417" s="65"/>
      <c r="F2417" s="65"/>
      <c r="G2417" s="65"/>
      <c r="I2417" s="5"/>
      <c r="J2417" s="5"/>
    </row>
    <row r="2418" spans="1:10" x14ac:dyDescent="0.2">
      <c r="A2418" s="55"/>
      <c r="B2418" s="55"/>
      <c r="C2418" s="65"/>
      <c r="D2418" s="65"/>
      <c r="E2418" s="65"/>
      <c r="F2418" s="65"/>
      <c r="G2418" s="65"/>
      <c r="I2418" s="5"/>
      <c r="J2418" s="5"/>
    </row>
    <row r="2419" spans="1:10" x14ac:dyDescent="0.2">
      <c r="A2419" s="55"/>
      <c r="B2419" s="55"/>
      <c r="C2419" s="65"/>
      <c r="D2419" s="65"/>
      <c r="E2419" s="65"/>
      <c r="F2419" s="65"/>
      <c r="G2419" s="65"/>
      <c r="I2419" s="5"/>
      <c r="J2419" s="5"/>
    </row>
    <row r="2420" spans="1:10" x14ac:dyDescent="0.2">
      <c r="A2420" s="55"/>
      <c r="B2420" s="55"/>
      <c r="C2420" s="65"/>
      <c r="D2420" s="65"/>
      <c r="E2420" s="65"/>
      <c r="F2420" s="65"/>
      <c r="G2420" s="65"/>
      <c r="I2420" s="5"/>
      <c r="J2420" s="5"/>
    </row>
    <row r="2421" spans="1:10" x14ac:dyDescent="0.2">
      <c r="A2421" s="55"/>
      <c r="B2421" s="55"/>
      <c r="C2421" s="65"/>
      <c r="D2421" s="65"/>
      <c r="E2421" s="65"/>
      <c r="F2421" s="65"/>
      <c r="G2421" s="65"/>
      <c r="I2421" s="5"/>
      <c r="J2421" s="5"/>
    </row>
    <row r="2422" spans="1:10" x14ac:dyDescent="0.2">
      <c r="A2422" s="55"/>
      <c r="B2422" s="55"/>
      <c r="C2422" s="65"/>
      <c r="D2422" s="65"/>
      <c r="E2422" s="65"/>
      <c r="F2422" s="65"/>
      <c r="G2422" s="65"/>
      <c r="I2422" s="5"/>
      <c r="J2422" s="5"/>
    </row>
    <row r="2423" spans="1:10" x14ac:dyDescent="0.2">
      <c r="A2423" s="55"/>
      <c r="B2423" s="55"/>
      <c r="C2423" s="65"/>
      <c r="D2423" s="65"/>
      <c r="E2423" s="65"/>
      <c r="F2423" s="65"/>
      <c r="G2423" s="65"/>
      <c r="I2423" s="5"/>
      <c r="J2423" s="5"/>
    </row>
    <row r="2424" spans="1:10" x14ac:dyDescent="0.2">
      <c r="A2424" s="55"/>
      <c r="B2424" s="55"/>
      <c r="C2424" s="65"/>
      <c r="D2424" s="65"/>
      <c r="E2424" s="65"/>
      <c r="F2424" s="65"/>
      <c r="G2424" s="65"/>
      <c r="I2424" s="5"/>
      <c r="J2424" s="5"/>
    </row>
    <row r="2425" spans="1:10" x14ac:dyDescent="0.2">
      <c r="A2425" s="55"/>
      <c r="B2425" s="55"/>
      <c r="C2425" s="65"/>
      <c r="D2425" s="65"/>
      <c r="E2425" s="65"/>
      <c r="F2425" s="65"/>
      <c r="G2425" s="65"/>
      <c r="I2425" s="5"/>
      <c r="J2425" s="5"/>
    </row>
    <row r="2426" spans="1:10" x14ac:dyDescent="0.2">
      <c r="A2426" s="55"/>
      <c r="B2426" s="55"/>
      <c r="C2426" s="65"/>
      <c r="D2426" s="65"/>
      <c r="E2426" s="65"/>
      <c r="F2426" s="65"/>
      <c r="G2426" s="65"/>
      <c r="I2426" s="5"/>
      <c r="J2426" s="5"/>
    </row>
    <row r="2427" spans="1:10" x14ac:dyDescent="0.2">
      <c r="A2427" s="55"/>
      <c r="B2427" s="55"/>
      <c r="C2427" s="65"/>
      <c r="D2427" s="65"/>
      <c r="E2427" s="65"/>
      <c r="F2427" s="65"/>
      <c r="G2427" s="65"/>
      <c r="I2427" s="5"/>
      <c r="J2427" s="5"/>
    </row>
    <row r="2428" spans="1:10" x14ac:dyDescent="0.2">
      <c r="A2428" s="55"/>
      <c r="B2428" s="55"/>
      <c r="C2428" s="65"/>
      <c r="D2428" s="65"/>
      <c r="E2428" s="65"/>
      <c r="F2428" s="65"/>
      <c r="G2428" s="65"/>
      <c r="I2428" s="5"/>
      <c r="J2428" s="5"/>
    </row>
    <row r="2429" spans="1:10" x14ac:dyDescent="0.2">
      <c r="A2429" s="55"/>
      <c r="B2429" s="55"/>
      <c r="C2429" s="65"/>
      <c r="D2429" s="65"/>
      <c r="E2429" s="65"/>
      <c r="F2429" s="65"/>
      <c r="G2429" s="65"/>
      <c r="I2429" s="5"/>
      <c r="J2429" s="5"/>
    </row>
    <row r="2430" spans="1:10" x14ac:dyDescent="0.2">
      <c r="A2430" s="55"/>
      <c r="B2430" s="55"/>
      <c r="C2430" s="65"/>
      <c r="D2430" s="65"/>
      <c r="E2430" s="65"/>
      <c r="F2430" s="65"/>
      <c r="G2430" s="65"/>
      <c r="I2430" s="5"/>
      <c r="J2430" s="5"/>
    </row>
    <row r="2431" spans="1:10" x14ac:dyDescent="0.2">
      <c r="A2431" s="55"/>
      <c r="B2431" s="55"/>
      <c r="C2431" s="65"/>
      <c r="D2431" s="65"/>
      <c r="E2431" s="65"/>
      <c r="F2431" s="65"/>
      <c r="G2431" s="65"/>
      <c r="I2431" s="5"/>
      <c r="J2431" s="5"/>
    </row>
    <row r="2432" spans="1:10" x14ac:dyDescent="0.2">
      <c r="A2432" s="55"/>
      <c r="B2432" s="55"/>
      <c r="C2432" s="65"/>
      <c r="D2432" s="65"/>
      <c r="E2432" s="65"/>
      <c r="F2432" s="65"/>
      <c r="G2432" s="65"/>
      <c r="I2432" s="5"/>
      <c r="J2432" s="5"/>
    </row>
    <row r="2433" spans="1:10" x14ac:dyDescent="0.2">
      <c r="A2433" s="55"/>
      <c r="B2433" s="55"/>
      <c r="C2433" s="65"/>
      <c r="D2433" s="65"/>
      <c r="E2433" s="65"/>
      <c r="F2433" s="65"/>
      <c r="G2433" s="65"/>
      <c r="I2433" s="5"/>
      <c r="J2433" s="5"/>
    </row>
    <row r="2434" spans="1:10" x14ac:dyDescent="0.2">
      <c r="A2434" s="55"/>
      <c r="B2434" s="55"/>
      <c r="C2434" s="65"/>
      <c r="D2434" s="65"/>
      <c r="E2434" s="65"/>
      <c r="F2434" s="65"/>
      <c r="G2434" s="65"/>
      <c r="I2434" s="5"/>
      <c r="J2434" s="5"/>
    </row>
    <row r="2435" spans="1:10" x14ac:dyDescent="0.2">
      <c r="A2435" s="55"/>
      <c r="B2435" s="55"/>
      <c r="C2435" s="65"/>
      <c r="D2435" s="65"/>
      <c r="E2435" s="65"/>
      <c r="F2435" s="65"/>
      <c r="G2435" s="65"/>
      <c r="I2435" s="5"/>
      <c r="J2435" s="5"/>
    </row>
    <row r="2436" spans="1:10" x14ac:dyDescent="0.2">
      <c r="A2436" s="55"/>
      <c r="B2436" s="55"/>
      <c r="C2436" s="65"/>
      <c r="D2436" s="65"/>
      <c r="E2436" s="65"/>
      <c r="F2436" s="65"/>
      <c r="G2436" s="65"/>
      <c r="I2436" s="5"/>
      <c r="J2436" s="5"/>
    </row>
    <row r="2437" spans="1:10" x14ac:dyDescent="0.2">
      <c r="A2437" s="55"/>
      <c r="B2437" s="55"/>
      <c r="C2437" s="65"/>
      <c r="D2437" s="65"/>
      <c r="E2437" s="65"/>
      <c r="F2437" s="65"/>
      <c r="G2437" s="65"/>
      <c r="I2437" s="5"/>
      <c r="J2437" s="5"/>
    </row>
    <row r="2438" spans="1:10" x14ac:dyDescent="0.2">
      <c r="A2438" s="55"/>
      <c r="B2438" s="55"/>
      <c r="C2438" s="65"/>
      <c r="D2438" s="65"/>
      <c r="E2438" s="65"/>
      <c r="F2438" s="65"/>
      <c r="G2438" s="65"/>
      <c r="I2438" s="5"/>
      <c r="J2438" s="5"/>
    </row>
    <row r="2439" spans="1:10" x14ac:dyDescent="0.2">
      <c r="A2439" s="55"/>
      <c r="B2439" s="55"/>
      <c r="C2439" s="65"/>
      <c r="D2439" s="65"/>
      <c r="E2439" s="65"/>
      <c r="F2439" s="65"/>
      <c r="G2439" s="65"/>
      <c r="I2439" s="5"/>
      <c r="J2439" s="5"/>
    </row>
    <row r="2440" spans="1:10" x14ac:dyDescent="0.2">
      <c r="A2440" s="55"/>
      <c r="B2440" s="55"/>
      <c r="C2440" s="65"/>
      <c r="D2440" s="65"/>
      <c r="E2440" s="65"/>
      <c r="F2440" s="65"/>
      <c r="G2440" s="65"/>
      <c r="I2440" s="5"/>
      <c r="J2440" s="5"/>
    </row>
    <row r="2441" spans="1:10" x14ac:dyDescent="0.2">
      <c r="A2441" s="55"/>
      <c r="B2441" s="55"/>
      <c r="C2441" s="65"/>
      <c r="D2441" s="65"/>
      <c r="E2441" s="65"/>
      <c r="F2441" s="65"/>
      <c r="G2441" s="65"/>
      <c r="I2441" s="5"/>
      <c r="J2441" s="5"/>
    </row>
    <row r="2442" spans="1:10" x14ac:dyDescent="0.2">
      <c r="A2442" s="55"/>
      <c r="B2442" s="55"/>
      <c r="C2442" s="65"/>
      <c r="D2442" s="65"/>
      <c r="E2442" s="65"/>
      <c r="F2442" s="65"/>
      <c r="G2442" s="65"/>
      <c r="I2442" s="5"/>
      <c r="J2442" s="5"/>
    </row>
    <row r="2443" spans="1:10" x14ac:dyDescent="0.2">
      <c r="A2443" s="55"/>
      <c r="B2443" s="55"/>
      <c r="C2443" s="65"/>
      <c r="D2443" s="65"/>
      <c r="E2443" s="65"/>
      <c r="F2443" s="65"/>
      <c r="G2443" s="65"/>
      <c r="I2443" s="5"/>
      <c r="J2443" s="5"/>
    </row>
    <row r="2444" spans="1:10" x14ac:dyDescent="0.2">
      <c r="A2444" s="55"/>
      <c r="B2444" s="55"/>
      <c r="C2444" s="65"/>
      <c r="D2444" s="65"/>
      <c r="E2444" s="65"/>
      <c r="F2444" s="65"/>
      <c r="G2444" s="65"/>
      <c r="I2444" s="5"/>
      <c r="J2444" s="5"/>
    </row>
    <row r="2445" spans="1:10" x14ac:dyDescent="0.2">
      <c r="A2445" s="55"/>
      <c r="B2445" s="55"/>
      <c r="C2445" s="65"/>
      <c r="D2445" s="65"/>
      <c r="E2445" s="65"/>
      <c r="F2445" s="65"/>
      <c r="G2445" s="65"/>
      <c r="I2445" s="5"/>
      <c r="J2445" s="5"/>
    </row>
    <row r="2446" spans="1:10" x14ac:dyDescent="0.2">
      <c r="A2446" s="55"/>
      <c r="B2446" s="55"/>
      <c r="C2446" s="65"/>
      <c r="D2446" s="65"/>
      <c r="E2446" s="65"/>
      <c r="F2446" s="65"/>
      <c r="G2446" s="65"/>
      <c r="I2446" s="5"/>
      <c r="J2446" s="5"/>
    </row>
    <row r="2447" spans="1:10" x14ac:dyDescent="0.2">
      <c r="A2447" s="55"/>
      <c r="B2447" s="55"/>
      <c r="C2447" s="65"/>
      <c r="D2447" s="65"/>
      <c r="E2447" s="65"/>
      <c r="F2447" s="65"/>
      <c r="G2447" s="65"/>
      <c r="I2447" s="5"/>
      <c r="J2447" s="5"/>
    </row>
    <row r="2448" spans="1:10" x14ac:dyDescent="0.2">
      <c r="A2448" s="55"/>
      <c r="B2448" s="55"/>
      <c r="C2448" s="65"/>
      <c r="D2448" s="65"/>
      <c r="E2448" s="65"/>
      <c r="F2448" s="65"/>
      <c r="G2448" s="65"/>
      <c r="I2448" s="5"/>
      <c r="J2448" s="5"/>
    </row>
    <row r="2449" spans="1:10" x14ac:dyDescent="0.2">
      <c r="A2449" s="55"/>
      <c r="B2449" s="55"/>
      <c r="C2449" s="65"/>
      <c r="D2449" s="65"/>
      <c r="E2449" s="65"/>
      <c r="F2449" s="65"/>
      <c r="G2449" s="65"/>
      <c r="I2449" s="5"/>
      <c r="J2449" s="5"/>
    </row>
    <row r="2450" spans="1:10" x14ac:dyDescent="0.2">
      <c r="A2450" s="55"/>
      <c r="B2450" s="55"/>
      <c r="C2450" s="65"/>
      <c r="D2450" s="65"/>
      <c r="E2450" s="65"/>
      <c r="F2450" s="65"/>
      <c r="G2450" s="65"/>
      <c r="I2450" s="5"/>
      <c r="J2450" s="5"/>
    </row>
    <row r="2451" spans="1:10" x14ac:dyDescent="0.2">
      <c r="A2451" s="55"/>
      <c r="B2451" s="55"/>
      <c r="C2451" s="65"/>
      <c r="D2451" s="65"/>
      <c r="E2451" s="65"/>
      <c r="F2451" s="65"/>
      <c r="G2451" s="65"/>
      <c r="I2451" s="5"/>
      <c r="J2451" s="5"/>
    </row>
    <row r="2452" spans="1:10" x14ac:dyDescent="0.2">
      <c r="A2452" s="55"/>
      <c r="B2452" s="55"/>
      <c r="C2452" s="65"/>
      <c r="D2452" s="65"/>
      <c r="E2452" s="65"/>
      <c r="F2452" s="65"/>
      <c r="G2452" s="65"/>
      <c r="I2452" s="5"/>
      <c r="J2452" s="5"/>
    </row>
    <row r="2453" spans="1:10" x14ac:dyDescent="0.2">
      <c r="A2453" s="55"/>
      <c r="B2453" s="55"/>
      <c r="C2453" s="65"/>
      <c r="D2453" s="65"/>
      <c r="E2453" s="65"/>
      <c r="F2453" s="65"/>
      <c r="G2453" s="65"/>
      <c r="I2453" s="5"/>
      <c r="J2453" s="5"/>
    </row>
    <row r="2454" spans="1:10" x14ac:dyDescent="0.2">
      <c r="A2454" s="55"/>
      <c r="B2454" s="55"/>
      <c r="C2454" s="65"/>
      <c r="D2454" s="65"/>
      <c r="E2454" s="65"/>
      <c r="F2454" s="65"/>
      <c r="G2454" s="65"/>
      <c r="I2454" s="5"/>
      <c r="J2454" s="5"/>
    </row>
    <row r="2455" spans="1:10" x14ac:dyDescent="0.2">
      <c r="A2455" s="55"/>
      <c r="B2455" s="55"/>
      <c r="C2455" s="65"/>
      <c r="D2455" s="65"/>
      <c r="E2455" s="65"/>
      <c r="F2455" s="65"/>
      <c r="G2455" s="65"/>
      <c r="I2455" s="5"/>
      <c r="J2455" s="5"/>
    </row>
    <row r="2456" spans="1:10" x14ac:dyDescent="0.2">
      <c r="A2456" s="55"/>
      <c r="B2456" s="55"/>
      <c r="C2456" s="65"/>
      <c r="D2456" s="65"/>
      <c r="E2456" s="65"/>
      <c r="F2456" s="65"/>
      <c r="G2456" s="65"/>
      <c r="I2456" s="5"/>
      <c r="J2456" s="5"/>
    </row>
    <row r="2457" spans="1:10" x14ac:dyDescent="0.2">
      <c r="A2457" s="55"/>
      <c r="B2457" s="55"/>
      <c r="C2457" s="65"/>
      <c r="D2457" s="65"/>
      <c r="E2457" s="65"/>
      <c r="F2457" s="65"/>
      <c r="G2457" s="65"/>
      <c r="I2457" s="5"/>
      <c r="J2457" s="5"/>
    </row>
    <row r="2458" spans="1:10" x14ac:dyDescent="0.2">
      <c r="A2458" s="55"/>
      <c r="B2458" s="55"/>
      <c r="C2458" s="65"/>
      <c r="D2458" s="65"/>
      <c r="E2458" s="65"/>
      <c r="F2458" s="65"/>
      <c r="G2458" s="65"/>
      <c r="I2458" s="5"/>
      <c r="J2458" s="5"/>
    </row>
    <row r="2459" spans="1:10" x14ac:dyDescent="0.2">
      <c r="A2459" s="55"/>
      <c r="B2459" s="55"/>
      <c r="C2459" s="65"/>
      <c r="D2459" s="65"/>
      <c r="E2459" s="65"/>
      <c r="F2459" s="65"/>
      <c r="G2459" s="65"/>
      <c r="I2459" s="5"/>
      <c r="J2459" s="5"/>
    </row>
    <row r="2460" spans="1:10" x14ac:dyDescent="0.2">
      <c r="A2460" s="55"/>
      <c r="B2460" s="55"/>
      <c r="C2460" s="65"/>
      <c r="D2460" s="65"/>
      <c r="E2460" s="65"/>
      <c r="F2460" s="65"/>
      <c r="G2460" s="65"/>
      <c r="I2460" s="5"/>
      <c r="J2460" s="5"/>
    </row>
    <row r="2461" spans="1:10" x14ac:dyDescent="0.2">
      <c r="A2461" s="55"/>
      <c r="B2461" s="55"/>
      <c r="C2461" s="65"/>
      <c r="D2461" s="65"/>
      <c r="E2461" s="65"/>
      <c r="F2461" s="65"/>
      <c r="G2461" s="65"/>
      <c r="I2461" s="5"/>
      <c r="J2461" s="5"/>
    </row>
    <row r="2462" spans="1:10" x14ac:dyDescent="0.2">
      <c r="A2462" s="55"/>
      <c r="B2462" s="55"/>
      <c r="C2462" s="65"/>
      <c r="D2462" s="65"/>
      <c r="E2462" s="65"/>
      <c r="F2462" s="65"/>
      <c r="G2462" s="65"/>
      <c r="I2462" s="5"/>
      <c r="J2462" s="5"/>
    </row>
    <row r="2463" spans="1:10" x14ac:dyDescent="0.2">
      <c r="A2463" s="55"/>
      <c r="B2463" s="55"/>
      <c r="C2463" s="65"/>
      <c r="D2463" s="65"/>
      <c r="E2463" s="65"/>
      <c r="F2463" s="65"/>
      <c r="G2463" s="65"/>
      <c r="I2463" s="5"/>
      <c r="J2463" s="5"/>
    </row>
    <row r="2464" spans="1:10" x14ac:dyDescent="0.2">
      <c r="A2464" s="55"/>
      <c r="B2464" s="55"/>
      <c r="C2464" s="65"/>
      <c r="D2464" s="65"/>
      <c r="E2464" s="65"/>
      <c r="F2464" s="65"/>
      <c r="G2464" s="65"/>
      <c r="I2464" s="5"/>
      <c r="J2464" s="5"/>
    </row>
    <row r="2465" spans="1:10" x14ac:dyDescent="0.2">
      <c r="A2465" s="55"/>
      <c r="B2465" s="55"/>
      <c r="C2465" s="65"/>
      <c r="D2465" s="65"/>
      <c r="E2465" s="65"/>
      <c r="F2465" s="65"/>
      <c r="G2465" s="65"/>
      <c r="I2465" s="5"/>
      <c r="J2465" s="5"/>
    </row>
    <row r="2466" spans="1:10" x14ac:dyDescent="0.2">
      <c r="A2466" s="55"/>
      <c r="B2466" s="55"/>
      <c r="C2466" s="65"/>
      <c r="D2466" s="65"/>
      <c r="E2466" s="65"/>
      <c r="F2466" s="65"/>
      <c r="G2466" s="65"/>
      <c r="I2466" s="5"/>
      <c r="J2466" s="5"/>
    </row>
    <row r="2467" spans="1:10" x14ac:dyDescent="0.2">
      <c r="A2467" s="55"/>
      <c r="B2467" s="55"/>
      <c r="C2467" s="65"/>
      <c r="D2467" s="65"/>
      <c r="E2467" s="65"/>
      <c r="F2467" s="65"/>
      <c r="G2467" s="65"/>
      <c r="I2467" s="5"/>
      <c r="J2467" s="5"/>
    </row>
    <row r="2468" spans="1:10" x14ac:dyDescent="0.2">
      <c r="A2468" s="55"/>
      <c r="B2468" s="55"/>
      <c r="C2468" s="65"/>
      <c r="D2468" s="65"/>
      <c r="E2468" s="65"/>
      <c r="F2468" s="65"/>
      <c r="G2468" s="65"/>
      <c r="I2468" s="5"/>
      <c r="J2468" s="5"/>
    </row>
    <row r="2469" spans="1:10" x14ac:dyDescent="0.2">
      <c r="A2469" s="55"/>
      <c r="B2469" s="55"/>
      <c r="C2469" s="65"/>
      <c r="D2469" s="65"/>
      <c r="E2469" s="65"/>
      <c r="F2469" s="65"/>
      <c r="G2469" s="65"/>
      <c r="I2469" s="5"/>
      <c r="J2469" s="5"/>
    </row>
    <row r="2470" spans="1:10" x14ac:dyDescent="0.2">
      <c r="A2470" s="55"/>
      <c r="B2470" s="55"/>
      <c r="C2470" s="65"/>
      <c r="D2470" s="65"/>
      <c r="E2470" s="65"/>
      <c r="F2470" s="65"/>
      <c r="G2470" s="65"/>
      <c r="I2470" s="5"/>
      <c r="J2470" s="5"/>
    </row>
    <row r="2471" spans="1:10" x14ac:dyDescent="0.2">
      <c r="A2471" s="55"/>
      <c r="B2471" s="55"/>
      <c r="C2471" s="65"/>
      <c r="D2471" s="65"/>
      <c r="E2471" s="65"/>
      <c r="F2471" s="65"/>
      <c r="G2471" s="65"/>
      <c r="I2471" s="5"/>
      <c r="J2471" s="5"/>
    </row>
    <row r="2472" spans="1:10" x14ac:dyDescent="0.2">
      <c r="A2472" s="55"/>
      <c r="B2472" s="55"/>
      <c r="C2472" s="65"/>
      <c r="D2472" s="65"/>
      <c r="E2472" s="65"/>
      <c r="F2472" s="65"/>
      <c r="G2472" s="65"/>
      <c r="I2472" s="5"/>
      <c r="J2472" s="5"/>
    </row>
    <row r="2473" spans="1:10" x14ac:dyDescent="0.2">
      <c r="A2473" s="55"/>
      <c r="B2473" s="55"/>
      <c r="C2473" s="65"/>
      <c r="D2473" s="65"/>
      <c r="E2473" s="65"/>
      <c r="F2473" s="65"/>
      <c r="G2473" s="65"/>
      <c r="I2473" s="5"/>
      <c r="J2473" s="5"/>
    </row>
    <row r="2474" spans="1:10" x14ac:dyDescent="0.2">
      <c r="A2474" s="55"/>
      <c r="B2474" s="55"/>
      <c r="C2474" s="65"/>
      <c r="D2474" s="65"/>
      <c r="E2474" s="65"/>
      <c r="F2474" s="65"/>
      <c r="G2474" s="65"/>
      <c r="I2474" s="5"/>
      <c r="J2474" s="5"/>
    </row>
    <row r="2475" spans="1:10" x14ac:dyDescent="0.2">
      <c r="A2475" s="55"/>
      <c r="B2475" s="55"/>
      <c r="C2475" s="65"/>
      <c r="D2475" s="65"/>
      <c r="E2475" s="65"/>
      <c r="F2475" s="65"/>
      <c r="G2475" s="65"/>
      <c r="I2475" s="5"/>
      <c r="J2475" s="5"/>
    </row>
    <row r="2476" spans="1:10" x14ac:dyDescent="0.2">
      <c r="A2476" s="55"/>
      <c r="B2476" s="55"/>
      <c r="C2476" s="65"/>
      <c r="D2476" s="65"/>
      <c r="E2476" s="65"/>
      <c r="F2476" s="65"/>
      <c r="G2476" s="65"/>
      <c r="I2476" s="5"/>
      <c r="J2476" s="5"/>
    </row>
    <row r="2477" spans="1:10" x14ac:dyDescent="0.2">
      <c r="A2477" s="55"/>
      <c r="B2477" s="55"/>
      <c r="C2477" s="65"/>
      <c r="D2477" s="65"/>
      <c r="E2477" s="65"/>
      <c r="F2477" s="65"/>
      <c r="G2477" s="65"/>
      <c r="I2477" s="5"/>
      <c r="J2477" s="5"/>
    </row>
    <row r="2478" spans="1:10" x14ac:dyDescent="0.2">
      <c r="A2478" s="55"/>
      <c r="B2478" s="55"/>
      <c r="C2478" s="65"/>
      <c r="D2478" s="65"/>
      <c r="E2478" s="65"/>
      <c r="F2478" s="65"/>
      <c r="G2478" s="65"/>
      <c r="I2478" s="5"/>
      <c r="J2478" s="5"/>
    </row>
    <row r="2479" spans="1:10" x14ac:dyDescent="0.2">
      <c r="A2479" s="55"/>
      <c r="B2479" s="55"/>
      <c r="C2479" s="65"/>
      <c r="D2479" s="65"/>
      <c r="E2479" s="65"/>
      <c r="F2479" s="65"/>
      <c r="G2479" s="65"/>
      <c r="I2479" s="5"/>
      <c r="J2479" s="5"/>
    </row>
    <row r="2480" spans="1:10" x14ac:dyDescent="0.2">
      <c r="A2480" s="55"/>
      <c r="B2480" s="55"/>
      <c r="C2480" s="65"/>
      <c r="D2480" s="65"/>
      <c r="E2480" s="65"/>
      <c r="F2480" s="65"/>
      <c r="G2480" s="65"/>
      <c r="I2480" s="5"/>
      <c r="J2480" s="5"/>
    </row>
    <row r="2481" spans="1:10" x14ac:dyDescent="0.2">
      <c r="A2481" s="55"/>
      <c r="B2481" s="55"/>
      <c r="C2481" s="65"/>
      <c r="D2481" s="65"/>
      <c r="E2481" s="65"/>
      <c r="F2481" s="65"/>
      <c r="G2481" s="65"/>
      <c r="I2481" s="5"/>
      <c r="J2481" s="5"/>
    </row>
    <row r="2482" spans="1:10" x14ac:dyDescent="0.2">
      <c r="A2482" s="55"/>
      <c r="B2482" s="55"/>
      <c r="C2482" s="65"/>
      <c r="D2482" s="65"/>
      <c r="E2482" s="65"/>
      <c r="F2482" s="65"/>
      <c r="G2482" s="65"/>
      <c r="I2482" s="5"/>
      <c r="J2482" s="5"/>
    </row>
    <row r="2483" spans="1:10" x14ac:dyDescent="0.2">
      <c r="A2483" s="55"/>
      <c r="B2483" s="55"/>
      <c r="C2483" s="65"/>
      <c r="D2483" s="65"/>
      <c r="E2483" s="65"/>
      <c r="F2483" s="65"/>
      <c r="G2483" s="65"/>
      <c r="I2483" s="5"/>
      <c r="J2483" s="5"/>
    </row>
    <row r="2484" spans="1:10" x14ac:dyDescent="0.2">
      <c r="A2484" s="55"/>
      <c r="B2484" s="55"/>
      <c r="C2484" s="65"/>
      <c r="D2484" s="65"/>
      <c r="E2484" s="65"/>
      <c r="F2484" s="65"/>
      <c r="G2484" s="65"/>
      <c r="I2484" s="5"/>
      <c r="J2484" s="5"/>
    </row>
    <row r="2485" spans="1:10" x14ac:dyDescent="0.2">
      <c r="A2485" s="55"/>
      <c r="B2485" s="55"/>
      <c r="C2485" s="65"/>
      <c r="D2485" s="65"/>
      <c r="E2485" s="65"/>
      <c r="F2485" s="65"/>
      <c r="G2485" s="65"/>
      <c r="I2485" s="5"/>
      <c r="J2485" s="5"/>
    </row>
    <row r="2486" spans="1:10" x14ac:dyDescent="0.2">
      <c r="A2486" s="55"/>
      <c r="B2486" s="55"/>
      <c r="C2486" s="65"/>
      <c r="D2486" s="65"/>
      <c r="E2486" s="65"/>
      <c r="F2486" s="65"/>
      <c r="G2486" s="65"/>
      <c r="I2486" s="5"/>
      <c r="J2486" s="5"/>
    </row>
    <row r="2487" spans="1:10" x14ac:dyDescent="0.2">
      <c r="A2487" s="55"/>
      <c r="B2487" s="55"/>
      <c r="C2487" s="65"/>
      <c r="D2487" s="65"/>
      <c r="E2487" s="65"/>
      <c r="F2487" s="65"/>
      <c r="G2487" s="65"/>
      <c r="I2487" s="5"/>
      <c r="J2487" s="5"/>
    </row>
    <row r="2488" spans="1:10" x14ac:dyDescent="0.2">
      <c r="A2488" s="55"/>
      <c r="B2488" s="55"/>
      <c r="C2488" s="65"/>
      <c r="D2488" s="65"/>
      <c r="E2488" s="65"/>
      <c r="F2488" s="65"/>
      <c r="G2488" s="65"/>
      <c r="I2488" s="5"/>
      <c r="J2488" s="5"/>
    </row>
    <row r="2489" spans="1:10" x14ac:dyDescent="0.2">
      <c r="A2489" s="55"/>
      <c r="B2489" s="55"/>
      <c r="C2489" s="65"/>
      <c r="D2489" s="65"/>
      <c r="E2489" s="65"/>
      <c r="F2489" s="65"/>
      <c r="G2489" s="65"/>
      <c r="I2489" s="5"/>
      <c r="J2489" s="5"/>
    </row>
    <row r="2490" spans="1:10" x14ac:dyDescent="0.2">
      <c r="A2490" s="55"/>
      <c r="B2490" s="55"/>
      <c r="C2490" s="65"/>
      <c r="D2490" s="65"/>
      <c r="E2490" s="65"/>
      <c r="F2490" s="65"/>
      <c r="G2490" s="65"/>
      <c r="I2490" s="5"/>
      <c r="J2490" s="5"/>
    </row>
    <row r="2491" spans="1:10" x14ac:dyDescent="0.2">
      <c r="A2491" s="55"/>
      <c r="B2491" s="55"/>
      <c r="C2491" s="65"/>
      <c r="D2491" s="65"/>
      <c r="E2491" s="65"/>
      <c r="F2491" s="65"/>
      <c r="G2491" s="65"/>
      <c r="I2491" s="5"/>
      <c r="J2491" s="5"/>
    </row>
    <row r="2492" spans="1:10" x14ac:dyDescent="0.2">
      <c r="A2492" s="55"/>
      <c r="B2492" s="55"/>
      <c r="C2492" s="65"/>
      <c r="D2492" s="65"/>
      <c r="E2492" s="65"/>
      <c r="F2492" s="65"/>
      <c r="G2492" s="65"/>
      <c r="I2492" s="5"/>
      <c r="J2492" s="5"/>
    </row>
    <row r="2493" spans="1:10" x14ac:dyDescent="0.2">
      <c r="A2493" s="55"/>
      <c r="B2493" s="55"/>
      <c r="C2493" s="65"/>
      <c r="D2493" s="65"/>
      <c r="E2493" s="65"/>
      <c r="F2493" s="65"/>
      <c r="G2493" s="65"/>
      <c r="I2493" s="5"/>
      <c r="J2493" s="5"/>
    </row>
    <row r="2494" spans="1:10" x14ac:dyDescent="0.2">
      <c r="A2494" s="55"/>
      <c r="B2494" s="55"/>
      <c r="C2494" s="65"/>
      <c r="D2494" s="65"/>
      <c r="E2494" s="65"/>
      <c r="F2494" s="65"/>
      <c r="G2494" s="65"/>
      <c r="I2494" s="5"/>
      <c r="J2494" s="5"/>
    </row>
    <row r="2495" spans="1:10" x14ac:dyDescent="0.2">
      <c r="A2495" s="55"/>
      <c r="B2495" s="55"/>
      <c r="C2495" s="65"/>
      <c r="D2495" s="65"/>
      <c r="E2495" s="65"/>
      <c r="F2495" s="65"/>
      <c r="G2495" s="65"/>
      <c r="I2495" s="5"/>
      <c r="J2495" s="5"/>
    </row>
    <row r="2496" spans="1:10" x14ac:dyDescent="0.2">
      <c r="A2496" s="55"/>
      <c r="B2496" s="55"/>
      <c r="C2496" s="65"/>
      <c r="D2496" s="65"/>
      <c r="E2496" s="65"/>
      <c r="F2496" s="65"/>
      <c r="G2496" s="65"/>
      <c r="I2496" s="5"/>
      <c r="J2496" s="5"/>
    </row>
    <row r="2497" spans="1:10" x14ac:dyDescent="0.2">
      <c r="A2497" s="55"/>
      <c r="B2497" s="55"/>
      <c r="C2497" s="65"/>
      <c r="D2497" s="65"/>
      <c r="E2497" s="65"/>
      <c r="F2497" s="65"/>
      <c r="G2497" s="65"/>
      <c r="I2497" s="5"/>
      <c r="J2497" s="5"/>
    </row>
    <row r="2498" spans="1:10" x14ac:dyDescent="0.2">
      <c r="A2498" s="55"/>
      <c r="B2498" s="55"/>
      <c r="C2498" s="65"/>
      <c r="D2498" s="65"/>
      <c r="E2498" s="65"/>
      <c r="F2498" s="65"/>
      <c r="G2498" s="65"/>
      <c r="I2498" s="5"/>
      <c r="J2498" s="5"/>
    </row>
    <row r="2499" spans="1:10" x14ac:dyDescent="0.2">
      <c r="A2499" s="55"/>
      <c r="B2499" s="55"/>
      <c r="C2499" s="65"/>
      <c r="D2499" s="65"/>
      <c r="E2499" s="65"/>
      <c r="F2499" s="65"/>
      <c r="G2499" s="65"/>
      <c r="I2499" s="5"/>
      <c r="J2499" s="5"/>
    </row>
    <row r="2500" spans="1:10" x14ac:dyDescent="0.2">
      <c r="A2500" s="55"/>
      <c r="B2500" s="55"/>
      <c r="C2500" s="65"/>
      <c r="D2500" s="65"/>
      <c r="E2500" s="65"/>
      <c r="F2500" s="65"/>
      <c r="G2500" s="65"/>
      <c r="I2500" s="5"/>
      <c r="J2500" s="5"/>
    </row>
    <row r="2501" spans="1:10" x14ac:dyDescent="0.2">
      <c r="A2501" s="55"/>
      <c r="B2501" s="55"/>
      <c r="C2501" s="65"/>
      <c r="D2501" s="65"/>
      <c r="E2501" s="65"/>
      <c r="F2501" s="65"/>
      <c r="G2501" s="65"/>
      <c r="I2501" s="5"/>
      <c r="J2501" s="5"/>
    </row>
    <row r="2502" spans="1:10" x14ac:dyDescent="0.2">
      <c r="A2502" s="55"/>
      <c r="B2502" s="55"/>
      <c r="C2502" s="65"/>
      <c r="D2502" s="65"/>
      <c r="E2502" s="65"/>
      <c r="F2502" s="65"/>
      <c r="G2502" s="65"/>
      <c r="I2502" s="5"/>
      <c r="J2502" s="5"/>
    </row>
    <row r="2503" spans="1:10" x14ac:dyDescent="0.2">
      <c r="A2503" s="55"/>
      <c r="B2503" s="55"/>
      <c r="C2503" s="65"/>
      <c r="D2503" s="65"/>
      <c r="E2503" s="65"/>
      <c r="F2503" s="65"/>
      <c r="G2503" s="65"/>
      <c r="I2503" s="5"/>
      <c r="J2503" s="5"/>
    </row>
    <row r="2504" spans="1:10" x14ac:dyDescent="0.2">
      <c r="A2504" s="55"/>
      <c r="B2504" s="55"/>
      <c r="C2504" s="65"/>
      <c r="D2504" s="65"/>
      <c r="E2504" s="65"/>
      <c r="F2504" s="65"/>
      <c r="G2504" s="65"/>
      <c r="I2504" s="5"/>
      <c r="J2504" s="5"/>
    </row>
    <row r="2505" spans="1:10" x14ac:dyDescent="0.2">
      <c r="A2505" s="55"/>
      <c r="B2505" s="55"/>
      <c r="C2505" s="65"/>
      <c r="D2505" s="65"/>
      <c r="E2505" s="65"/>
      <c r="F2505" s="65"/>
      <c r="G2505" s="65"/>
      <c r="I2505" s="5"/>
      <c r="J2505" s="5"/>
    </row>
    <row r="2506" spans="1:10" x14ac:dyDescent="0.2">
      <c r="A2506" s="55"/>
      <c r="B2506" s="55"/>
      <c r="C2506" s="65"/>
      <c r="D2506" s="65"/>
      <c r="E2506" s="65"/>
      <c r="F2506" s="65"/>
      <c r="G2506" s="65"/>
      <c r="I2506" s="5"/>
      <c r="J2506" s="5"/>
    </row>
    <row r="2507" spans="1:10" x14ac:dyDescent="0.2">
      <c r="A2507" s="55"/>
      <c r="B2507" s="55"/>
      <c r="C2507" s="65"/>
      <c r="D2507" s="65"/>
      <c r="E2507" s="65"/>
      <c r="F2507" s="65"/>
      <c r="G2507" s="65"/>
      <c r="I2507" s="5"/>
      <c r="J2507" s="5"/>
    </row>
    <row r="2508" spans="1:10" x14ac:dyDescent="0.2">
      <c r="A2508" s="55"/>
      <c r="B2508" s="55"/>
      <c r="C2508" s="65"/>
      <c r="D2508" s="65"/>
      <c r="E2508" s="65"/>
      <c r="F2508" s="65"/>
      <c r="G2508" s="65"/>
      <c r="I2508" s="5"/>
      <c r="J2508" s="5"/>
    </row>
    <row r="2509" spans="1:10" x14ac:dyDescent="0.2">
      <c r="A2509" s="55"/>
      <c r="B2509" s="55"/>
      <c r="C2509" s="65"/>
      <c r="D2509" s="65"/>
      <c r="E2509" s="65"/>
      <c r="F2509" s="65"/>
      <c r="G2509" s="65"/>
      <c r="I2509" s="5"/>
      <c r="J2509" s="5"/>
    </row>
    <row r="2510" spans="1:10" x14ac:dyDescent="0.2">
      <c r="A2510" s="55"/>
      <c r="B2510" s="55"/>
      <c r="C2510" s="65"/>
      <c r="D2510" s="65"/>
      <c r="E2510" s="65"/>
      <c r="F2510" s="65"/>
      <c r="G2510" s="65"/>
      <c r="I2510" s="5"/>
      <c r="J2510" s="5"/>
    </row>
    <row r="2511" spans="1:10" x14ac:dyDescent="0.2">
      <c r="A2511" s="55"/>
      <c r="B2511" s="55"/>
      <c r="C2511" s="65"/>
      <c r="D2511" s="65"/>
      <c r="E2511" s="65"/>
      <c r="F2511" s="65"/>
      <c r="G2511" s="65"/>
      <c r="I2511" s="5"/>
      <c r="J2511" s="5"/>
    </row>
    <row r="2512" spans="1:10" x14ac:dyDescent="0.2">
      <c r="A2512" s="55"/>
      <c r="B2512" s="55"/>
      <c r="C2512" s="65"/>
      <c r="D2512" s="65"/>
      <c r="E2512" s="65"/>
      <c r="F2512" s="65"/>
      <c r="G2512" s="65"/>
      <c r="I2512" s="5"/>
      <c r="J2512" s="5"/>
    </row>
    <row r="2513" spans="1:10" x14ac:dyDescent="0.2">
      <c r="A2513" s="55"/>
      <c r="B2513" s="55"/>
      <c r="C2513" s="65"/>
      <c r="D2513" s="65"/>
      <c r="E2513" s="65"/>
      <c r="F2513" s="65"/>
      <c r="G2513" s="65"/>
      <c r="I2513" s="5"/>
      <c r="J2513" s="5"/>
    </row>
    <row r="2514" spans="1:10" x14ac:dyDescent="0.2">
      <c r="A2514" s="55"/>
      <c r="B2514" s="55"/>
      <c r="C2514" s="65"/>
      <c r="D2514" s="65"/>
      <c r="E2514" s="65"/>
      <c r="F2514" s="65"/>
      <c r="G2514" s="65"/>
      <c r="I2514" s="5"/>
      <c r="J2514" s="5"/>
    </row>
    <row r="2515" spans="1:10" x14ac:dyDescent="0.2">
      <c r="A2515" s="55"/>
      <c r="B2515" s="55"/>
      <c r="C2515" s="65"/>
      <c r="D2515" s="65"/>
      <c r="E2515" s="65"/>
      <c r="F2515" s="65"/>
      <c r="G2515" s="65"/>
      <c r="I2515" s="5"/>
      <c r="J2515" s="5"/>
    </row>
    <row r="2516" spans="1:10" x14ac:dyDescent="0.2">
      <c r="A2516" s="55"/>
      <c r="B2516" s="55"/>
      <c r="C2516" s="65"/>
      <c r="D2516" s="65"/>
      <c r="E2516" s="65"/>
      <c r="F2516" s="65"/>
      <c r="G2516" s="65"/>
      <c r="I2516" s="5"/>
      <c r="J2516" s="5"/>
    </row>
    <row r="2517" spans="1:10" x14ac:dyDescent="0.2">
      <c r="A2517" s="55"/>
      <c r="B2517" s="55"/>
      <c r="C2517" s="65"/>
      <c r="D2517" s="65"/>
      <c r="E2517" s="65"/>
      <c r="F2517" s="65"/>
      <c r="G2517" s="65"/>
      <c r="I2517" s="5"/>
      <c r="J2517" s="5"/>
    </row>
    <row r="2518" spans="1:10" x14ac:dyDescent="0.2">
      <c r="A2518" s="55"/>
      <c r="B2518" s="55"/>
      <c r="C2518" s="65"/>
      <c r="D2518" s="65"/>
      <c r="E2518" s="65"/>
      <c r="F2518" s="65"/>
      <c r="G2518" s="65"/>
      <c r="I2518" s="5"/>
      <c r="J2518" s="5"/>
    </row>
    <row r="2519" spans="1:10" x14ac:dyDescent="0.2">
      <c r="A2519" s="55"/>
      <c r="B2519" s="55"/>
      <c r="C2519" s="65"/>
      <c r="D2519" s="65"/>
      <c r="E2519" s="65"/>
      <c r="F2519" s="65"/>
      <c r="G2519" s="65"/>
      <c r="I2519" s="5"/>
      <c r="J2519" s="5"/>
    </row>
    <row r="2520" spans="1:10" x14ac:dyDescent="0.2">
      <c r="A2520" s="55"/>
      <c r="B2520" s="55"/>
      <c r="C2520" s="65"/>
      <c r="D2520" s="65"/>
      <c r="E2520" s="65"/>
      <c r="F2520" s="65"/>
      <c r="G2520" s="65"/>
      <c r="I2520" s="5"/>
      <c r="J2520" s="5"/>
    </row>
    <row r="2521" spans="1:10" x14ac:dyDescent="0.2">
      <c r="A2521" s="55"/>
      <c r="B2521" s="55"/>
      <c r="C2521" s="65"/>
      <c r="D2521" s="65"/>
      <c r="E2521" s="65"/>
      <c r="F2521" s="65"/>
      <c r="G2521" s="65"/>
      <c r="I2521" s="5"/>
      <c r="J2521" s="5"/>
    </row>
    <row r="2522" spans="1:10" x14ac:dyDescent="0.2">
      <c r="A2522" s="55"/>
      <c r="B2522" s="55"/>
      <c r="C2522" s="65"/>
      <c r="D2522" s="65"/>
      <c r="E2522" s="65"/>
      <c r="F2522" s="65"/>
      <c r="G2522" s="65"/>
      <c r="I2522" s="5"/>
      <c r="J2522" s="5"/>
    </row>
    <row r="2523" spans="1:10" x14ac:dyDescent="0.2">
      <c r="A2523" s="55"/>
      <c r="B2523" s="55"/>
      <c r="C2523" s="65"/>
      <c r="D2523" s="65"/>
      <c r="E2523" s="65"/>
      <c r="F2523" s="65"/>
      <c r="G2523" s="65"/>
      <c r="I2523" s="5"/>
      <c r="J2523" s="5"/>
    </row>
    <row r="2524" spans="1:10" x14ac:dyDescent="0.2">
      <c r="A2524" s="55"/>
      <c r="B2524" s="55"/>
      <c r="C2524" s="65"/>
      <c r="D2524" s="65"/>
      <c r="E2524" s="65"/>
      <c r="F2524" s="65"/>
      <c r="G2524" s="65"/>
      <c r="I2524" s="5"/>
      <c r="J2524" s="5"/>
    </row>
    <row r="2525" spans="1:10" x14ac:dyDescent="0.2">
      <c r="A2525" s="55"/>
      <c r="B2525" s="55"/>
      <c r="C2525" s="65"/>
      <c r="D2525" s="65"/>
      <c r="E2525" s="65"/>
      <c r="F2525" s="65"/>
      <c r="G2525" s="65"/>
      <c r="I2525" s="5"/>
      <c r="J2525" s="5"/>
    </row>
    <row r="2526" spans="1:10" x14ac:dyDescent="0.2">
      <c r="A2526" s="55"/>
      <c r="B2526" s="55"/>
      <c r="C2526" s="65"/>
      <c r="D2526" s="65"/>
      <c r="E2526" s="65"/>
      <c r="F2526" s="65"/>
      <c r="G2526" s="65"/>
      <c r="I2526" s="5"/>
      <c r="J2526" s="5"/>
    </row>
    <row r="2527" spans="1:10" x14ac:dyDescent="0.2">
      <c r="A2527" s="55"/>
      <c r="B2527" s="55"/>
      <c r="C2527" s="65"/>
      <c r="D2527" s="65"/>
      <c r="E2527" s="65"/>
      <c r="F2527" s="65"/>
      <c r="G2527" s="65"/>
      <c r="I2527" s="5"/>
      <c r="J2527" s="5"/>
    </row>
    <row r="2528" spans="1:10" x14ac:dyDescent="0.2">
      <c r="A2528" s="55"/>
      <c r="B2528" s="55"/>
      <c r="C2528" s="65"/>
      <c r="D2528" s="65"/>
      <c r="E2528" s="65"/>
      <c r="F2528" s="65"/>
      <c r="G2528" s="65"/>
      <c r="I2528" s="5"/>
      <c r="J2528" s="5"/>
    </row>
    <row r="2529" spans="1:10" x14ac:dyDescent="0.2">
      <c r="A2529" s="55"/>
      <c r="B2529" s="55"/>
      <c r="C2529" s="65"/>
      <c r="D2529" s="65"/>
      <c r="E2529" s="65"/>
      <c r="F2529" s="65"/>
      <c r="G2529" s="65"/>
      <c r="I2529" s="5"/>
      <c r="J2529" s="5"/>
    </row>
    <row r="2530" spans="1:10" x14ac:dyDescent="0.2">
      <c r="A2530" s="55"/>
      <c r="B2530" s="55"/>
      <c r="C2530" s="65"/>
      <c r="D2530" s="65"/>
      <c r="E2530" s="65"/>
      <c r="F2530" s="65"/>
      <c r="G2530" s="65"/>
      <c r="I2530" s="5"/>
      <c r="J2530" s="5"/>
    </row>
    <row r="2531" spans="1:10" x14ac:dyDescent="0.2">
      <c r="A2531" s="55"/>
      <c r="B2531" s="55"/>
      <c r="C2531" s="65"/>
      <c r="D2531" s="65"/>
      <c r="E2531" s="65"/>
      <c r="F2531" s="65"/>
      <c r="G2531" s="65"/>
      <c r="I2531" s="5"/>
      <c r="J2531" s="5"/>
    </row>
    <row r="2532" spans="1:10" x14ac:dyDescent="0.2">
      <c r="A2532" s="55"/>
      <c r="B2532" s="55"/>
      <c r="C2532" s="65"/>
      <c r="D2532" s="65"/>
      <c r="E2532" s="65"/>
      <c r="F2532" s="65"/>
      <c r="G2532" s="65"/>
      <c r="I2532" s="5"/>
      <c r="J2532" s="5"/>
    </row>
    <row r="2533" spans="1:10" x14ac:dyDescent="0.2">
      <c r="A2533" s="55"/>
      <c r="B2533" s="55"/>
      <c r="C2533" s="65"/>
      <c r="D2533" s="65"/>
      <c r="E2533" s="65"/>
      <c r="F2533" s="65"/>
      <c r="G2533" s="65"/>
      <c r="I2533" s="5"/>
      <c r="J2533" s="5"/>
    </row>
    <row r="2534" spans="1:10" x14ac:dyDescent="0.2">
      <c r="A2534" s="55"/>
      <c r="B2534" s="55"/>
      <c r="C2534" s="65"/>
      <c r="D2534" s="65"/>
      <c r="E2534" s="65"/>
      <c r="F2534" s="65"/>
      <c r="G2534" s="65"/>
      <c r="I2534" s="5"/>
      <c r="J2534" s="5"/>
    </row>
    <row r="2535" spans="1:10" x14ac:dyDescent="0.2">
      <c r="A2535" s="55"/>
      <c r="B2535" s="55"/>
      <c r="C2535" s="65"/>
      <c r="D2535" s="65"/>
      <c r="E2535" s="65"/>
      <c r="F2535" s="65"/>
      <c r="G2535" s="65"/>
      <c r="I2535" s="5"/>
      <c r="J2535" s="5"/>
    </row>
    <row r="2536" spans="1:10" x14ac:dyDescent="0.2">
      <c r="A2536" s="55"/>
      <c r="B2536" s="55"/>
      <c r="C2536" s="65"/>
      <c r="D2536" s="65"/>
      <c r="E2536" s="65"/>
      <c r="F2536" s="65"/>
      <c r="G2536" s="65"/>
      <c r="I2536" s="5"/>
      <c r="J2536" s="5"/>
    </row>
    <row r="2537" spans="1:10" x14ac:dyDescent="0.2">
      <c r="A2537" s="55"/>
      <c r="B2537" s="55"/>
      <c r="C2537" s="65"/>
      <c r="D2537" s="65"/>
      <c r="E2537" s="65"/>
      <c r="F2537" s="65"/>
      <c r="G2537" s="65"/>
      <c r="I2537" s="5"/>
      <c r="J2537" s="5"/>
    </row>
    <row r="2538" spans="1:10" x14ac:dyDescent="0.2">
      <c r="A2538" s="55"/>
      <c r="B2538" s="55"/>
      <c r="C2538" s="65"/>
      <c r="D2538" s="65"/>
      <c r="E2538" s="65"/>
      <c r="F2538" s="65"/>
      <c r="G2538" s="65"/>
      <c r="I2538" s="5"/>
      <c r="J2538" s="5"/>
    </row>
    <row r="2539" spans="1:10" x14ac:dyDescent="0.2">
      <c r="A2539" s="55"/>
      <c r="B2539" s="55"/>
      <c r="C2539" s="65"/>
      <c r="D2539" s="65"/>
      <c r="E2539" s="65"/>
      <c r="F2539" s="65"/>
      <c r="G2539" s="65"/>
      <c r="I2539" s="5"/>
      <c r="J2539" s="5"/>
    </row>
    <row r="2540" spans="1:10" x14ac:dyDescent="0.2">
      <c r="A2540" s="55"/>
      <c r="B2540" s="55"/>
      <c r="C2540" s="65"/>
      <c r="D2540" s="65"/>
      <c r="E2540" s="65"/>
      <c r="F2540" s="65"/>
      <c r="G2540" s="65"/>
      <c r="I2540" s="5"/>
      <c r="J2540" s="5"/>
    </row>
    <row r="2541" spans="1:10" x14ac:dyDescent="0.2">
      <c r="A2541" s="55"/>
      <c r="B2541" s="55"/>
      <c r="C2541" s="65"/>
      <c r="D2541" s="65"/>
      <c r="E2541" s="65"/>
      <c r="F2541" s="65"/>
      <c r="G2541" s="65"/>
      <c r="I2541" s="5"/>
      <c r="J2541" s="5"/>
    </row>
    <row r="2542" spans="1:10" x14ac:dyDescent="0.2">
      <c r="A2542" s="55"/>
      <c r="B2542" s="55"/>
      <c r="C2542" s="65"/>
      <c r="D2542" s="65"/>
      <c r="E2542" s="65"/>
      <c r="F2542" s="65"/>
      <c r="G2542" s="65"/>
      <c r="I2542" s="5"/>
      <c r="J2542" s="5"/>
    </row>
    <row r="2543" spans="1:10" x14ac:dyDescent="0.2">
      <c r="A2543" s="55"/>
      <c r="B2543" s="55"/>
      <c r="C2543" s="65"/>
      <c r="D2543" s="65"/>
      <c r="E2543" s="65"/>
      <c r="F2543" s="65"/>
      <c r="G2543" s="65"/>
      <c r="I2543" s="5"/>
      <c r="J2543" s="5"/>
    </row>
    <row r="2544" spans="1:10" x14ac:dyDescent="0.2">
      <c r="A2544" s="55"/>
      <c r="B2544" s="55"/>
      <c r="C2544" s="65"/>
      <c r="D2544" s="65"/>
      <c r="E2544" s="65"/>
      <c r="F2544" s="65"/>
      <c r="G2544" s="65"/>
      <c r="I2544" s="5"/>
      <c r="J2544" s="5"/>
    </row>
    <row r="2545" spans="1:10" x14ac:dyDescent="0.2">
      <c r="A2545" s="55"/>
      <c r="B2545" s="55"/>
      <c r="C2545" s="65"/>
      <c r="D2545" s="65"/>
      <c r="E2545" s="65"/>
      <c r="F2545" s="65"/>
      <c r="G2545" s="65"/>
      <c r="I2545" s="5"/>
      <c r="J2545" s="5"/>
    </row>
    <row r="2546" spans="1:10" x14ac:dyDescent="0.2">
      <c r="A2546" s="55"/>
      <c r="B2546" s="55"/>
      <c r="C2546" s="65"/>
      <c r="D2546" s="65"/>
      <c r="E2546" s="65"/>
      <c r="F2546" s="65"/>
      <c r="G2546" s="65"/>
      <c r="I2546" s="5"/>
      <c r="J2546" s="5"/>
    </row>
    <row r="2547" spans="1:10" x14ac:dyDescent="0.2">
      <c r="A2547" s="55"/>
      <c r="B2547" s="55"/>
      <c r="C2547" s="65"/>
      <c r="D2547" s="65"/>
      <c r="E2547" s="65"/>
      <c r="F2547" s="65"/>
      <c r="G2547" s="65"/>
      <c r="I2547" s="5"/>
      <c r="J2547" s="5"/>
    </row>
    <row r="2548" spans="1:10" x14ac:dyDescent="0.2">
      <c r="A2548" s="55"/>
      <c r="B2548" s="55"/>
      <c r="C2548" s="65"/>
      <c r="D2548" s="65"/>
      <c r="E2548" s="65"/>
      <c r="F2548" s="65"/>
      <c r="G2548" s="65"/>
      <c r="I2548" s="5"/>
      <c r="J2548" s="5"/>
    </row>
    <row r="2549" spans="1:10" x14ac:dyDescent="0.2">
      <c r="A2549" s="55"/>
      <c r="B2549" s="55"/>
      <c r="C2549" s="65"/>
      <c r="D2549" s="65"/>
      <c r="E2549" s="65"/>
      <c r="F2549" s="65"/>
      <c r="G2549" s="65"/>
      <c r="I2549" s="5"/>
      <c r="J2549" s="5"/>
    </row>
    <row r="2550" spans="1:10" x14ac:dyDescent="0.2">
      <c r="A2550" s="55"/>
      <c r="B2550" s="55"/>
      <c r="C2550" s="65"/>
      <c r="D2550" s="65"/>
      <c r="E2550" s="65"/>
      <c r="F2550" s="65"/>
      <c r="G2550" s="65"/>
      <c r="I2550" s="5"/>
      <c r="J2550" s="5"/>
    </row>
    <row r="2551" spans="1:10" x14ac:dyDescent="0.2">
      <c r="A2551" s="55"/>
      <c r="B2551" s="55"/>
      <c r="C2551" s="65"/>
      <c r="D2551" s="65"/>
      <c r="E2551" s="65"/>
      <c r="F2551" s="65"/>
      <c r="G2551" s="65"/>
      <c r="I2551" s="5"/>
      <c r="J2551" s="5"/>
    </row>
    <row r="2552" spans="1:10" x14ac:dyDescent="0.2">
      <c r="A2552" s="55"/>
      <c r="B2552" s="55"/>
      <c r="C2552" s="65"/>
      <c r="D2552" s="65"/>
      <c r="E2552" s="65"/>
      <c r="F2552" s="65"/>
      <c r="G2552" s="65"/>
      <c r="I2552" s="5"/>
      <c r="J2552" s="5"/>
    </row>
    <row r="2553" spans="1:10" x14ac:dyDescent="0.2">
      <c r="A2553" s="55"/>
      <c r="B2553" s="55"/>
      <c r="C2553" s="65"/>
      <c r="D2553" s="65"/>
      <c r="E2553" s="65"/>
      <c r="F2553" s="65"/>
      <c r="G2553" s="65"/>
      <c r="I2553" s="5"/>
      <c r="J2553" s="5"/>
    </row>
    <row r="2554" spans="1:10" x14ac:dyDescent="0.2">
      <c r="A2554" s="55"/>
      <c r="B2554" s="55"/>
      <c r="C2554" s="65"/>
      <c r="D2554" s="65"/>
      <c r="E2554" s="65"/>
      <c r="F2554" s="65"/>
      <c r="G2554" s="65"/>
      <c r="I2554" s="5"/>
      <c r="J2554" s="5"/>
    </row>
    <row r="2555" spans="1:10" x14ac:dyDescent="0.2">
      <c r="A2555" s="55"/>
      <c r="B2555" s="55"/>
      <c r="C2555" s="65"/>
      <c r="D2555" s="65"/>
      <c r="E2555" s="65"/>
      <c r="F2555" s="65"/>
      <c r="G2555" s="65"/>
      <c r="I2555" s="5"/>
      <c r="J2555" s="5"/>
    </row>
    <row r="2556" spans="1:10" x14ac:dyDescent="0.2">
      <c r="A2556" s="55"/>
      <c r="B2556" s="55"/>
      <c r="C2556" s="65"/>
      <c r="D2556" s="65"/>
      <c r="E2556" s="65"/>
      <c r="F2556" s="65"/>
      <c r="G2556" s="65"/>
      <c r="I2556" s="5"/>
      <c r="J2556" s="5"/>
    </row>
    <row r="2557" spans="1:10" x14ac:dyDescent="0.2">
      <c r="A2557" s="55"/>
      <c r="B2557" s="55"/>
      <c r="C2557" s="65"/>
      <c r="D2557" s="65"/>
      <c r="E2557" s="65"/>
      <c r="F2557" s="65"/>
      <c r="G2557" s="65"/>
      <c r="I2557" s="5"/>
      <c r="J2557" s="5"/>
    </row>
    <row r="2558" spans="1:10" x14ac:dyDescent="0.2">
      <c r="A2558" s="55"/>
      <c r="B2558" s="55"/>
      <c r="C2558" s="65"/>
      <c r="D2558" s="65"/>
      <c r="E2558" s="65"/>
      <c r="F2558" s="65"/>
      <c r="G2558" s="65"/>
      <c r="I2558" s="5"/>
      <c r="J2558" s="5"/>
    </row>
    <row r="2559" spans="1:10" x14ac:dyDescent="0.2">
      <c r="A2559" s="55"/>
      <c r="B2559" s="55"/>
      <c r="C2559" s="65"/>
      <c r="D2559" s="65"/>
      <c r="E2559" s="65"/>
      <c r="F2559" s="65"/>
      <c r="G2559" s="65"/>
      <c r="I2559" s="5"/>
      <c r="J2559" s="5"/>
    </row>
    <row r="2560" spans="1:10" x14ac:dyDescent="0.2">
      <c r="A2560" s="55"/>
      <c r="B2560" s="55"/>
      <c r="C2560" s="65"/>
      <c r="D2560" s="65"/>
      <c r="E2560" s="65"/>
      <c r="F2560" s="65"/>
      <c r="G2560" s="65"/>
      <c r="I2560" s="5"/>
      <c r="J2560" s="5"/>
    </row>
    <row r="2561" spans="1:10" x14ac:dyDescent="0.2">
      <c r="A2561" s="55"/>
      <c r="B2561" s="55"/>
      <c r="C2561" s="65"/>
      <c r="D2561" s="65"/>
      <c r="E2561" s="65"/>
      <c r="F2561" s="65"/>
      <c r="G2561" s="65"/>
      <c r="I2561" s="5"/>
      <c r="J2561" s="5"/>
    </row>
    <row r="2562" spans="1:10" x14ac:dyDescent="0.2">
      <c r="A2562" s="55"/>
      <c r="B2562" s="55"/>
      <c r="C2562" s="65"/>
      <c r="D2562" s="65"/>
      <c r="E2562" s="65"/>
      <c r="F2562" s="65"/>
      <c r="G2562" s="65"/>
      <c r="I2562" s="5"/>
      <c r="J2562" s="5"/>
    </row>
    <row r="2563" spans="1:10" x14ac:dyDescent="0.2">
      <c r="A2563" s="55"/>
      <c r="B2563" s="55"/>
      <c r="C2563" s="65"/>
      <c r="D2563" s="65"/>
      <c r="E2563" s="65"/>
      <c r="F2563" s="65"/>
      <c r="G2563" s="65"/>
      <c r="I2563" s="5"/>
      <c r="J2563" s="5"/>
    </row>
    <row r="2564" spans="1:10" x14ac:dyDescent="0.2">
      <c r="A2564" s="55"/>
      <c r="B2564" s="55"/>
      <c r="C2564" s="65"/>
      <c r="D2564" s="65"/>
      <c r="E2564" s="65"/>
      <c r="F2564" s="65"/>
      <c r="G2564" s="65"/>
      <c r="I2564" s="5"/>
      <c r="J2564" s="5"/>
    </row>
    <row r="2565" spans="1:10" x14ac:dyDescent="0.2">
      <c r="A2565" s="55"/>
      <c r="B2565" s="55"/>
      <c r="C2565" s="65"/>
      <c r="D2565" s="65"/>
      <c r="E2565" s="65"/>
      <c r="F2565" s="65"/>
      <c r="G2565" s="65"/>
      <c r="I2565" s="5"/>
      <c r="J2565" s="5"/>
    </row>
    <row r="2566" spans="1:10" x14ac:dyDescent="0.2">
      <c r="A2566" s="55"/>
      <c r="B2566" s="55"/>
      <c r="C2566" s="65"/>
      <c r="D2566" s="65"/>
      <c r="E2566" s="65"/>
      <c r="F2566" s="65"/>
      <c r="G2566" s="65"/>
      <c r="I2566" s="5"/>
      <c r="J2566" s="5"/>
    </row>
    <row r="2567" spans="1:10" x14ac:dyDescent="0.2">
      <c r="A2567" s="55"/>
      <c r="B2567" s="55"/>
      <c r="C2567" s="65"/>
      <c r="D2567" s="65"/>
      <c r="E2567" s="65"/>
      <c r="F2567" s="65"/>
      <c r="G2567" s="65"/>
      <c r="I2567" s="5"/>
      <c r="J2567" s="5"/>
    </row>
    <row r="2568" spans="1:10" x14ac:dyDescent="0.2">
      <c r="A2568" s="55"/>
      <c r="B2568" s="55"/>
      <c r="C2568" s="65"/>
      <c r="D2568" s="65"/>
      <c r="E2568" s="65"/>
      <c r="F2568" s="65"/>
      <c r="G2568" s="65"/>
      <c r="I2568" s="5"/>
      <c r="J2568" s="5"/>
    </row>
    <row r="2569" spans="1:10" x14ac:dyDescent="0.2">
      <c r="A2569" s="55"/>
      <c r="B2569" s="55"/>
      <c r="C2569" s="65"/>
      <c r="D2569" s="65"/>
      <c r="E2569" s="65"/>
      <c r="F2569" s="65"/>
      <c r="G2569" s="65"/>
      <c r="I2569" s="5"/>
      <c r="J2569" s="5"/>
    </row>
    <row r="2570" spans="1:10" x14ac:dyDescent="0.2">
      <c r="A2570" s="55"/>
      <c r="B2570" s="55"/>
      <c r="C2570" s="65"/>
      <c r="D2570" s="65"/>
      <c r="E2570" s="65"/>
      <c r="F2570" s="65"/>
      <c r="G2570" s="65"/>
      <c r="I2570" s="5"/>
      <c r="J2570" s="5"/>
    </row>
    <row r="2571" spans="1:10" x14ac:dyDescent="0.2">
      <c r="A2571" s="55"/>
      <c r="B2571" s="55"/>
      <c r="C2571" s="65"/>
      <c r="D2571" s="65"/>
      <c r="E2571" s="65"/>
      <c r="F2571" s="65"/>
      <c r="G2571" s="65"/>
      <c r="I2571" s="5"/>
      <c r="J2571" s="5"/>
    </row>
    <row r="2572" spans="1:10" x14ac:dyDescent="0.2">
      <c r="A2572" s="55"/>
      <c r="B2572" s="55"/>
      <c r="C2572" s="65"/>
      <c r="D2572" s="65"/>
      <c r="E2572" s="65"/>
      <c r="F2572" s="65"/>
      <c r="G2572" s="65"/>
      <c r="I2572" s="5"/>
      <c r="J2572" s="5"/>
    </row>
    <row r="2573" spans="1:10" x14ac:dyDescent="0.2">
      <c r="A2573" s="55"/>
      <c r="B2573" s="55"/>
      <c r="C2573" s="65"/>
      <c r="D2573" s="65"/>
      <c r="E2573" s="65"/>
      <c r="F2573" s="65"/>
      <c r="G2573" s="65"/>
      <c r="I2573" s="5"/>
      <c r="J2573" s="5"/>
    </row>
    <row r="2574" spans="1:10" x14ac:dyDescent="0.2">
      <c r="A2574" s="55"/>
      <c r="B2574" s="55"/>
      <c r="C2574" s="65"/>
      <c r="D2574" s="65"/>
      <c r="E2574" s="65"/>
      <c r="F2574" s="65"/>
      <c r="G2574" s="65"/>
      <c r="I2574" s="5"/>
      <c r="J2574" s="5"/>
    </row>
    <row r="2575" spans="1:10" x14ac:dyDescent="0.2">
      <c r="A2575" s="55"/>
      <c r="B2575" s="55"/>
      <c r="C2575" s="65"/>
      <c r="D2575" s="65"/>
      <c r="E2575" s="65"/>
      <c r="F2575" s="65"/>
      <c r="G2575" s="65"/>
      <c r="I2575" s="5"/>
      <c r="J2575" s="5"/>
    </row>
    <row r="2576" spans="1:10" x14ac:dyDescent="0.2">
      <c r="A2576" s="55"/>
      <c r="B2576" s="55"/>
      <c r="C2576" s="65"/>
      <c r="D2576" s="65"/>
      <c r="E2576" s="65"/>
      <c r="F2576" s="65"/>
      <c r="G2576" s="65"/>
      <c r="I2576" s="5"/>
      <c r="J2576" s="5"/>
    </row>
    <row r="2577" spans="1:10" x14ac:dyDescent="0.2">
      <c r="A2577" s="55"/>
      <c r="B2577" s="55"/>
      <c r="C2577" s="65"/>
      <c r="D2577" s="65"/>
      <c r="E2577" s="65"/>
      <c r="F2577" s="65"/>
      <c r="G2577" s="65"/>
      <c r="I2577" s="5"/>
      <c r="J2577" s="5"/>
    </row>
    <row r="2578" spans="1:10" x14ac:dyDescent="0.2">
      <c r="A2578" s="55"/>
      <c r="B2578" s="55"/>
      <c r="C2578" s="65"/>
      <c r="D2578" s="65"/>
      <c r="E2578" s="65"/>
      <c r="F2578" s="65"/>
      <c r="G2578" s="65"/>
      <c r="I2578" s="5"/>
      <c r="J2578" s="5"/>
    </row>
    <row r="2579" spans="1:10" x14ac:dyDescent="0.2">
      <c r="A2579" s="55"/>
      <c r="B2579" s="55"/>
      <c r="C2579" s="65"/>
      <c r="D2579" s="65"/>
      <c r="E2579" s="65"/>
      <c r="F2579" s="65"/>
      <c r="G2579" s="65"/>
      <c r="I2579" s="5"/>
      <c r="J2579" s="5"/>
    </row>
    <row r="2580" spans="1:10" x14ac:dyDescent="0.2">
      <c r="A2580" s="55"/>
      <c r="B2580" s="55"/>
      <c r="C2580" s="65"/>
      <c r="D2580" s="65"/>
      <c r="E2580" s="65"/>
      <c r="F2580" s="65"/>
      <c r="G2580" s="65"/>
      <c r="I2580" s="5"/>
      <c r="J2580" s="5"/>
    </row>
    <row r="2581" spans="1:10" x14ac:dyDescent="0.2">
      <c r="A2581" s="55"/>
      <c r="B2581" s="55"/>
      <c r="C2581" s="65"/>
      <c r="D2581" s="65"/>
      <c r="E2581" s="65"/>
      <c r="F2581" s="65"/>
      <c r="G2581" s="65"/>
      <c r="I2581" s="5"/>
      <c r="J2581" s="5"/>
    </row>
    <row r="2582" spans="1:10" x14ac:dyDescent="0.2">
      <c r="A2582" s="55"/>
      <c r="B2582" s="55"/>
      <c r="C2582" s="65"/>
      <c r="D2582" s="65"/>
      <c r="E2582" s="65"/>
      <c r="F2582" s="65"/>
      <c r="G2582" s="65"/>
      <c r="I2582" s="5"/>
      <c r="J2582" s="5"/>
    </row>
    <row r="2583" spans="1:10" x14ac:dyDescent="0.2">
      <c r="A2583" s="55"/>
      <c r="B2583" s="55"/>
      <c r="C2583" s="65"/>
      <c r="D2583" s="65"/>
      <c r="E2583" s="65"/>
      <c r="F2583" s="65"/>
      <c r="G2583" s="65"/>
      <c r="I2583" s="5"/>
      <c r="J2583" s="5"/>
    </row>
    <row r="2584" spans="1:10" x14ac:dyDescent="0.2">
      <c r="A2584" s="55"/>
      <c r="B2584" s="55"/>
      <c r="C2584" s="65"/>
      <c r="D2584" s="65"/>
      <c r="E2584" s="65"/>
      <c r="F2584" s="65"/>
      <c r="G2584" s="65"/>
      <c r="I2584" s="5"/>
      <c r="J2584" s="5"/>
    </row>
    <row r="2585" spans="1:10" x14ac:dyDescent="0.2">
      <c r="A2585" s="55"/>
      <c r="B2585" s="55"/>
      <c r="C2585" s="65"/>
      <c r="D2585" s="65"/>
      <c r="E2585" s="65"/>
      <c r="F2585" s="65"/>
      <c r="G2585" s="65"/>
      <c r="I2585" s="5"/>
      <c r="J2585" s="5"/>
    </row>
    <row r="2586" spans="1:10" x14ac:dyDescent="0.2">
      <c r="A2586" s="55"/>
      <c r="B2586" s="55"/>
      <c r="C2586" s="65"/>
      <c r="D2586" s="65"/>
      <c r="E2586" s="65"/>
      <c r="F2586" s="65"/>
      <c r="G2586" s="65"/>
      <c r="I2586" s="5"/>
      <c r="J2586" s="5"/>
    </row>
    <row r="2587" spans="1:10" x14ac:dyDescent="0.2">
      <c r="A2587" s="55"/>
      <c r="B2587" s="55"/>
      <c r="C2587" s="65"/>
      <c r="D2587" s="65"/>
      <c r="E2587" s="65"/>
      <c r="F2587" s="65"/>
      <c r="G2587" s="65"/>
      <c r="I2587" s="5"/>
      <c r="J2587" s="5"/>
    </row>
    <row r="2588" spans="1:10" x14ac:dyDescent="0.2">
      <c r="A2588" s="55"/>
      <c r="B2588" s="55"/>
      <c r="C2588" s="65"/>
      <c r="D2588" s="65"/>
      <c r="E2588" s="65"/>
      <c r="F2588" s="65"/>
      <c r="G2588" s="65"/>
      <c r="I2588" s="5"/>
      <c r="J2588" s="5"/>
    </row>
    <row r="2589" spans="1:10" x14ac:dyDescent="0.2">
      <c r="A2589" s="55"/>
      <c r="B2589" s="55"/>
      <c r="C2589" s="65"/>
      <c r="D2589" s="65"/>
      <c r="E2589" s="65"/>
      <c r="F2589" s="65"/>
      <c r="G2589" s="65"/>
      <c r="I2589" s="5"/>
      <c r="J2589" s="5"/>
    </row>
    <row r="2590" spans="1:10" x14ac:dyDescent="0.2">
      <c r="A2590" s="55"/>
      <c r="B2590" s="55"/>
      <c r="C2590" s="65"/>
      <c r="D2590" s="65"/>
      <c r="E2590" s="65"/>
      <c r="F2590" s="65"/>
      <c r="G2590" s="65"/>
      <c r="I2590" s="5"/>
      <c r="J2590" s="5"/>
    </row>
    <row r="2591" spans="1:10" x14ac:dyDescent="0.2">
      <c r="A2591" s="55"/>
      <c r="B2591" s="55"/>
      <c r="C2591" s="65"/>
      <c r="D2591" s="65"/>
      <c r="E2591" s="65"/>
      <c r="F2591" s="65"/>
      <c r="G2591" s="65"/>
      <c r="I2591" s="5"/>
      <c r="J2591" s="5"/>
    </row>
    <row r="2592" spans="1:10" x14ac:dyDescent="0.2">
      <c r="A2592" s="55"/>
      <c r="B2592" s="55"/>
      <c r="C2592" s="65"/>
      <c r="D2592" s="65"/>
      <c r="E2592" s="65"/>
      <c r="F2592" s="65"/>
      <c r="G2592" s="65"/>
      <c r="I2592" s="5"/>
      <c r="J2592" s="5"/>
    </row>
    <row r="2593" spans="1:10" x14ac:dyDescent="0.2">
      <c r="A2593" s="55"/>
      <c r="B2593" s="55"/>
      <c r="C2593" s="65"/>
      <c r="D2593" s="65"/>
      <c r="E2593" s="65"/>
      <c r="F2593" s="65"/>
      <c r="G2593" s="65"/>
      <c r="I2593" s="5"/>
      <c r="J2593" s="5"/>
    </row>
    <row r="2594" spans="1:10" x14ac:dyDescent="0.2">
      <c r="A2594" s="55"/>
      <c r="B2594" s="55"/>
      <c r="C2594" s="65"/>
      <c r="D2594" s="65"/>
      <c r="E2594" s="65"/>
      <c r="F2594" s="65"/>
      <c r="G2594" s="65"/>
      <c r="I2594" s="5"/>
      <c r="J2594" s="5"/>
    </row>
    <row r="2595" spans="1:10" x14ac:dyDescent="0.2">
      <c r="A2595" s="55"/>
      <c r="B2595" s="55"/>
      <c r="C2595" s="65"/>
      <c r="D2595" s="65"/>
      <c r="E2595" s="65"/>
      <c r="F2595" s="65"/>
      <c r="G2595" s="65"/>
      <c r="I2595" s="5"/>
      <c r="J2595" s="5"/>
    </row>
    <row r="2596" spans="1:10" x14ac:dyDescent="0.2">
      <c r="A2596" s="55"/>
      <c r="B2596" s="55"/>
      <c r="C2596" s="65"/>
      <c r="D2596" s="65"/>
      <c r="E2596" s="65"/>
      <c r="F2596" s="65"/>
      <c r="G2596" s="65"/>
      <c r="I2596" s="5"/>
      <c r="J2596" s="5"/>
    </row>
    <row r="2597" spans="1:10" x14ac:dyDescent="0.2">
      <c r="A2597" s="55"/>
      <c r="B2597" s="55"/>
      <c r="C2597" s="65"/>
      <c r="D2597" s="65"/>
      <c r="E2597" s="65"/>
      <c r="F2597" s="65"/>
      <c r="G2597" s="65"/>
      <c r="I2597" s="5"/>
      <c r="J2597" s="5"/>
    </row>
    <row r="2598" spans="1:10" x14ac:dyDescent="0.2">
      <c r="A2598" s="55"/>
      <c r="B2598" s="55"/>
      <c r="C2598" s="65"/>
      <c r="D2598" s="65"/>
      <c r="E2598" s="65"/>
      <c r="F2598" s="65"/>
      <c r="G2598" s="65"/>
      <c r="I2598" s="5"/>
      <c r="J2598" s="5"/>
    </row>
    <row r="2599" spans="1:10" x14ac:dyDescent="0.2">
      <c r="A2599" s="55"/>
      <c r="B2599" s="55"/>
      <c r="C2599" s="65"/>
      <c r="D2599" s="65"/>
      <c r="E2599" s="65"/>
      <c r="F2599" s="65"/>
      <c r="G2599" s="65"/>
      <c r="I2599" s="5"/>
      <c r="J2599" s="5"/>
    </row>
    <row r="2600" spans="1:10" x14ac:dyDescent="0.2">
      <c r="A2600" s="55"/>
      <c r="B2600" s="55"/>
      <c r="C2600" s="65"/>
      <c r="D2600" s="65"/>
      <c r="E2600" s="65"/>
      <c r="F2600" s="65"/>
      <c r="G2600" s="65"/>
      <c r="I2600" s="5"/>
      <c r="J2600" s="5"/>
    </row>
    <row r="2601" spans="1:10" x14ac:dyDescent="0.2">
      <c r="A2601" s="55"/>
      <c r="B2601" s="55"/>
      <c r="C2601" s="65"/>
      <c r="D2601" s="65"/>
      <c r="E2601" s="65"/>
      <c r="F2601" s="65"/>
      <c r="G2601" s="65"/>
      <c r="I2601" s="5"/>
      <c r="J2601" s="5"/>
    </row>
    <row r="2602" spans="1:10" x14ac:dyDescent="0.2">
      <c r="A2602" s="55"/>
      <c r="B2602" s="55"/>
      <c r="C2602" s="65"/>
      <c r="D2602" s="65"/>
      <c r="E2602" s="65"/>
      <c r="F2602" s="65"/>
      <c r="G2602" s="65"/>
      <c r="I2602" s="5"/>
      <c r="J2602" s="5"/>
    </row>
    <row r="2603" spans="1:10" x14ac:dyDescent="0.2">
      <c r="A2603" s="55"/>
      <c r="B2603" s="55"/>
      <c r="C2603" s="65"/>
      <c r="D2603" s="65"/>
      <c r="E2603" s="65"/>
      <c r="F2603" s="65"/>
      <c r="G2603" s="65"/>
      <c r="I2603" s="5"/>
      <c r="J2603" s="5"/>
    </row>
    <row r="2604" spans="1:10" x14ac:dyDescent="0.2">
      <c r="A2604" s="55"/>
      <c r="B2604" s="55"/>
      <c r="C2604" s="65"/>
      <c r="D2604" s="65"/>
      <c r="E2604" s="65"/>
      <c r="F2604" s="65"/>
      <c r="G2604" s="65"/>
      <c r="I2604" s="5"/>
      <c r="J2604" s="5"/>
    </row>
    <row r="2605" spans="1:10" x14ac:dyDescent="0.2">
      <c r="A2605" s="55"/>
      <c r="B2605" s="55"/>
      <c r="C2605" s="65"/>
      <c r="D2605" s="65"/>
      <c r="E2605" s="65"/>
      <c r="F2605" s="65"/>
      <c r="G2605" s="65"/>
      <c r="I2605" s="5"/>
      <c r="J2605" s="5"/>
    </row>
    <row r="2606" spans="1:10" x14ac:dyDescent="0.2">
      <c r="A2606" s="55"/>
      <c r="B2606" s="55"/>
      <c r="C2606" s="65"/>
      <c r="D2606" s="65"/>
      <c r="E2606" s="65"/>
      <c r="F2606" s="65"/>
      <c r="G2606" s="65"/>
      <c r="I2606" s="5"/>
      <c r="J2606" s="5"/>
    </row>
    <row r="2607" spans="1:10" x14ac:dyDescent="0.2">
      <c r="A2607" s="55"/>
      <c r="B2607" s="55"/>
      <c r="C2607" s="65"/>
      <c r="D2607" s="65"/>
      <c r="E2607" s="65"/>
      <c r="F2607" s="65"/>
      <c r="G2607" s="65"/>
      <c r="I2607" s="5"/>
      <c r="J2607" s="5"/>
    </row>
    <row r="2608" spans="1:10" x14ac:dyDescent="0.2">
      <c r="A2608" s="55"/>
      <c r="B2608" s="55"/>
      <c r="C2608" s="65"/>
      <c r="D2608" s="65"/>
      <c r="E2608" s="65"/>
      <c r="F2608" s="65"/>
      <c r="G2608" s="65"/>
      <c r="I2608" s="5"/>
      <c r="J2608" s="5"/>
    </row>
    <row r="2609" spans="1:10" x14ac:dyDescent="0.2">
      <c r="A2609" s="55"/>
      <c r="B2609" s="55"/>
      <c r="C2609" s="65"/>
      <c r="D2609" s="65"/>
      <c r="E2609" s="65"/>
      <c r="F2609" s="65"/>
      <c r="G2609" s="65"/>
      <c r="I2609" s="5"/>
      <c r="J2609" s="5"/>
    </row>
    <row r="2610" spans="1:10" x14ac:dyDescent="0.2">
      <c r="A2610" s="55"/>
      <c r="B2610" s="55"/>
      <c r="C2610" s="65"/>
      <c r="D2610" s="65"/>
      <c r="E2610" s="65"/>
      <c r="F2610" s="65"/>
      <c r="G2610" s="65"/>
      <c r="I2610" s="5"/>
      <c r="J2610" s="5"/>
    </row>
    <row r="2611" spans="1:10" x14ac:dyDescent="0.2">
      <c r="A2611" s="55"/>
      <c r="B2611" s="55"/>
      <c r="C2611" s="65"/>
      <c r="D2611" s="65"/>
      <c r="E2611" s="65"/>
      <c r="F2611" s="65"/>
      <c r="G2611" s="65"/>
      <c r="I2611" s="5"/>
      <c r="J2611" s="5"/>
    </row>
    <row r="2612" spans="1:10" x14ac:dyDescent="0.2">
      <c r="A2612" s="55"/>
      <c r="B2612" s="55"/>
      <c r="C2612" s="65"/>
      <c r="D2612" s="65"/>
      <c r="E2612" s="65"/>
      <c r="F2612" s="65"/>
      <c r="G2612" s="65"/>
      <c r="I2612" s="5"/>
      <c r="J2612" s="5"/>
    </row>
    <row r="2613" spans="1:10" x14ac:dyDescent="0.2">
      <c r="A2613" s="55"/>
      <c r="B2613" s="55"/>
      <c r="C2613" s="65"/>
      <c r="D2613" s="65"/>
      <c r="E2613" s="65"/>
      <c r="F2613" s="65"/>
      <c r="G2613" s="65"/>
      <c r="I2613" s="5"/>
      <c r="J2613" s="5"/>
    </row>
    <row r="2614" spans="1:10" x14ac:dyDescent="0.2">
      <c r="A2614" s="55"/>
      <c r="B2614" s="55"/>
      <c r="C2614" s="65"/>
      <c r="D2614" s="65"/>
      <c r="E2614" s="65"/>
      <c r="F2614" s="65"/>
      <c r="G2614" s="65"/>
      <c r="I2614" s="5"/>
      <c r="J2614" s="5"/>
    </row>
    <row r="2615" spans="1:10" x14ac:dyDescent="0.2">
      <c r="A2615" s="55"/>
      <c r="B2615" s="55"/>
      <c r="C2615" s="65"/>
      <c r="D2615" s="65"/>
      <c r="E2615" s="65"/>
      <c r="F2615" s="65"/>
      <c r="G2615" s="65"/>
      <c r="I2615" s="5"/>
      <c r="J2615" s="5"/>
    </row>
    <row r="2616" spans="1:10" x14ac:dyDescent="0.2">
      <c r="A2616" s="55"/>
      <c r="B2616" s="55"/>
      <c r="C2616" s="65"/>
      <c r="D2616" s="65"/>
      <c r="E2616" s="65"/>
      <c r="F2616" s="65"/>
      <c r="G2616" s="65"/>
      <c r="I2616" s="5"/>
      <c r="J2616" s="5"/>
    </row>
    <row r="2617" spans="1:10" x14ac:dyDescent="0.2">
      <c r="A2617" s="55"/>
      <c r="B2617" s="55"/>
      <c r="C2617" s="65"/>
      <c r="D2617" s="65"/>
      <c r="E2617" s="65"/>
      <c r="F2617" s="65"/>
      <c r="G2617" s="65"/>
      <c r="I2617" s="5"/>
      <c r="J2617" s="5"/>
    </row>
    <row r="2618" spans="1:10" x14ac:dyDescent="0.2">
      <c r="A2618" s="55"/>
      <c r="B2618" s="55"/>
      <c r="C2618" s="65"/>
      <c r="D2618" s="65"/>
      <c r="E2618" s="65"/>
      <c r="F2618" s="65"/>
      <c r="G2618" s="65"/>
      <c r="I2618" s="5"/>
      <c r="J2618" s="5"/>
    </row>
    <row r="2619" spans="1:10" x14ac:dyDescent="0.2">
      <c r="A2619" s="55"/>
      <c r="B2619" s="55"/>
      <c r="C2619" s="65"/>
      <c r="D2619" s="65"/>
      <c r="E2619" s="65"/>
      <c r="F2619" s="65"/>
      <c r="G2619" s="65"/>
      <c r="I2619" s="5"/>
      <c r="J2619" s="5"/>
    </row>
    <row r="2620" spans="1:10" x14ac:dyDescent="0.2">
      <c r="A2620" s="55"/>
      <c r="B2620" s="55"/>
      <c r="C2620" s="65"/>
      <c r="D2620" s="65"/>
      <c r="E2620" s="65"/>
      <c r="F2620" s="65"/>
      <c r="G2620" s="65"/>
      <c r="I2620" s="5"/>
      <c r="J2620" s="5"/>
    </row>
    <row r="2621" spans="1:10" x14ac:dyDescent="0.2">
      <c r="A2621" s="55"/>
      <c r="B2621" s="55"/>
      <c r="C2621" s="65"/>
      <c r="D2621" s="65"/>
      <c r="E2621" s="65"/>
      <c r="F2621" s="65"/>
      <c r="G2621" s="65"/>
      <c r="I2621" s="5"/>
      <c r="J2621" s="5"/>
    </row>
    <row r="2622" spans="1:10" x14ac:dyDescent="0.2">
      <c r="A2622" s="55"/>
      <c r="B2622" s="55"/>
      <c r="C2622" s="65"/>
      <c r="D2622" s="65"/>
      <c r="E2622" s="65"/>
      <c r="F2622" s="65"/>
      <c r="G2622" s="65"/>
      <c r="I2622" s="5"/>
      <c r="J2622" s="5"/>
    </row>
    <row r="2623" spans="1:10" x14ac:dyDescent="0.2">
      <c r="A2623" s="55"/>
      <c r="B2623" s="55"/>
      <c r="C2623" s="65"/>
      <c r="D2623" s="65"/>
      <c r="E2623" s="65"/>
      <c r="F2623" s="65"/>
      <c r="G2623" s="65"/>
      <c r="I2623" s="5"/>
      <c r="J2623" s="5"/>
    </row>
    <row r="2624" spans="1:10" x14ac:dyDescent="0.2">
      <c r="A2624" s="55"/>
      <c r="B2624" s="55"/>
      <c r="C2624" s="65"/>
      <c r="D2624" s="65"/>
      <c r="E2624" s="65"/>
      <c r="F2624" s="65"/>
      <c r="G2624" s="65"/>
      <c r="I2624" s="5"/>
      <c r="J2624" s="5"/>
    </row>
    <row r="2625" spans="1:10" x14ac:dyDescent="0.2">
      <c r="A2625" s="55"/>
      <c r="B2625" s="55"/>
      <c r="C2625" s="65"/>
      <c r="D2625" s="65"/>
      <c r="E2625" s="65"/>
      <c r="F2625" s="65"/>
      <c r="G2625" s="65"/>
      <c r="I2625" s="5"/>
      <c r="J2625" s="5"/>
    </row>
    <row r="2626" spans="1:10" x14ac:dyDescent="0.2">
      <c r="A2626" s="55"/>
      <c r="B2626" s="55"/>
      <c r="C2626" s="65"/>
      <c r="D2626" s="65"/>
      <c r="E2626" s="65"/>
      <c r="F2626" s="65"/>
      <c r="G2626" s="65"/>
      <c r="I2626" s="5"/>
      <c r="J2626" s="5"/>
    </row>
    <row r="2627" spans="1:10" x14ac:dyDescent="0.2">
      <c r="A2627" s="55"/>
      <c r="B2627" s="55"/>
      <c r="C2627" s="65"/>
      <c r="D2627" s="65"/>
      <c r="E2627" s="65"/>
      <c r="F2627" s="65"/>
      <c r="G2627" s="65"/>
      <c r="I2627" s="5"/>
      <c r="J2627" s="5"/>
    </row>
    <row r="2628" spans="1:10" x14ac:dyDescent="0.2">
      <c r="A2628" s="55"/>
      <c r="B2628" s="55"/>
      <c r="C2628" s="65"/>
      <c r="D2628" s="65"/>
      <c r="E2628" s="65"/>
      <c r="F2628" s="65"/>
      <c r="G2628" s="65"/>
      <c r="I2628" s="5"/>
      <c r="J2628" s="5"/>
    </row>
    <row r="2629" spans="1:10" x14ac:dyDescent="0.2">
      <c r="A2629" s="55"/>
      <c r="B2629" s="55"/>
      <c r="C2629" s="65"/>
      <c r="D2629" s="65"/>
      <c r="E2629" s="65"/>
      <c r="F2629" s="65"/>
      <c r="G2629" s="65"/>
      <c r="I2629" s="5"/>
      <c r="J2629" s="5"/>
    </row>
    <row r="2630" spans="1:10" x14ac:dyDescent="0.2">
      <c r="A2630" s="55"/>
      <c r="B2630" s="55"/>
      <c r="C2630" s="65"/>
      <c r="D2630" s="65"/>
      <c r="E2630" s="65"/>
      <c r="F2630" s="65"/>
      <c r="G2630" s="65"/>
      <c r="I2630" s="5"/>
      <c r="J2630" s="5"/>
    </row>
    <row r="2631" spans="1:10" x14ac:dyDescent="0.2">
      <c r="A2631" s="55"/>
      <c r="B2631" s="55"/>
      <c r="C2631" s="65"/>
      <c r="D2631" s="65"/>
      <c r="E2631" s="65"/>
      <c r="F2631" s="65"/>
      <c r="G2631" s="65"/>
      <c r="I2631" s="5"/>
      <c r="J2631" s="5"/>
    </row>
    <row r="2632" spans="1:10" x14ac:dyDescent="0.2">
      <c r="A2632" s="55"/>
      <c r="B2632" s="55"/>
      <c r="C2632" s="65"/>
      <c r="D2632" s="65"/>
      <c r="E2632" s="65"/>
      <c r="F2632" s="65"/>
      <c r="G2632" s="65"/>
      <c r="I2632" s="5"/>
      <c r="J2632" s="5"/>
    </row>
    <row r="2633" spans="1:10" x14ac:dyDescent="0.2">
      <c r="A2633" s="55"/>
      <c r="B2633" s="55"/>
      <c r="C2633" s="65"/>
      <c r="D2633" s="65"/>
      <c r="E2633" s="65"/>
      <c r="F2633" s="65"/>
      <c r="G2633" s="65"/>
      <c r="I2633" s="5"/>
      <c r="J2633" s="5"/>
    </row>
    <row r="2634" spans="1:10" x14ac:dyDescent="0.2">
      <c r="A2634" s="55"/>
      <c r="B2634" s="55"/>
      <c r="C2634" s="65"/>
      <c r="D2634" s="65"/>
      <c r="E2634" s="65"/>
      <c r="F2634" s="65"/>
      <c r="G2634" s="65"/>
      <c r="I2634" s="5"/>
      <c r="J2634" s="5"/>
    </row>
    <row r="2635" spans="1:10" x14ac:dyDescent="0.2">
      <c r="A2635" s="55"/>
      <c r="B2635" s="55"/>
      <c r="C2635" s="65"/>
      <c r="D2635" s="65"/>
      <c r="E2635" s="65"/>
      <c r="F2635" s="65"/>
      <c r="G2635" s="65"/>
      <c r="I2635" s="5"/>
      <c r="J2635" s="5"/>
    </row>
    <row r="2636" spans="1:10" x14ac:dyDescent="0.2">
      <c r="A2636" s="55"/>
      <c r="B2636" s="55"/>
      <c r="C2636" s="65"/>
      <c r="D2636" s="65"/>
      <c r="E2636" s="65"/>
      <c r="F2636" s="65"/>
      <c r="G2636" s="65"/>
      <c r="I2636" s="5"/>
      <c r="J2636" s="5"/>
    </row>
    <row r="2637" spans="1:10" x14ac:dyDescent="0.2">
      <c r="A2637" s="55"/>
      <c r="B2637" s="55"/>
      <c r="C2637" s="65"/>
      <c r="D2637" s="65"/>
      <c r="E2637" s="65"/>
      <c r="F2637" s="65"/>
      <c r="G2637" s="65"/>
      <c r="I2637" s="5"/>
      <c r="J2637" s="5"/>
    </row>
    <row r="2638" spans="1:10" x14ac:dyDescent="0.2">
      <c r="A2638" s="55"/>
      <c r="B2638" s="55"/>
      <c r="C2638" s="65"/>
      <c r="D2638" s="65"/>
      <c r="E2638" s="65"/>
      <c r="F2638" s="65"/>
      <c r="G2638" s="65"/>
      <c r="I2638" s="5"/>
      <c r="J2638" s="5"/>
    </row>
    <row r="2639" spans="1:10" x14ac:dyDescent="0.2">
      <c r="A2639" s="55"/>
      <c r="B2639" s="55"/>
      <c r="C2639" s="65"/>
      <c r="D2639" s="65"/>
      <c r="E2639" s="65"/>
      <c r="F2639" s="65"/>
      <c r="G2639" s="65"/>
      <c r="I2639" s="5"/>
      <c r="J2639" s="5"/>
    </row>
    <row r="2640" spans="1:10" x14ac:dyDescent="0.2">
      <c r="A2640" s="55"/>
      <c r="B2640" s="55"/>
      <c r="C2640" s="65"/>
      <c r="D2640" s="65"/>
      <c r="E2640" s="65"/>
      <c r="F2640" s="65"/>
      <c r="G2640" s="65"/>
      <c r="I2640" s="5"/>
      <c r="J2640" s="5"/>
    </row>
    <row r="2641" spans="1:10" x14ac:dyDescent="0.2">
      <c r="A2641" s="55"/>
      <c r="B2641" s="55"/>
      <c r="C2641" s="65"/>
      <c r="D2641" s="65"/>
      <c r="E2641" s="65"/>
      <c r="F2641" s="65"/>
      <c r="G2641" s="65"/>
      <c r="I2641" s="5"/>
      <c r="J2641" s="5"/>
    </row>
    <row r="2642" spans="1:10" x14ac:dyDescent="0.2">
      <c r="A2642" s="55"/>
      <c r="B2642" s="55"/>
      <c r="C2642" s="65"/>
      <c r="D2642" s="65"/>
      <c r="E2642" s="65"/>
      <c r="F2642" s="65"/>
      <c r="G2642" s="65"/>
      <c r="I2642" s="5"/>
      <c r="J2642" s="5"/>
    </row>
    <row r="2643" spans="1:10" x14ac:dyDescent="0.2">
      <c r="A2643" s="55"/>
      <c r="B2643" s="55"/>
      <c r="C2643" s="65"/>
      <c r="D2643" s="65"/>
      <c r="E2643" s="65"/>
      <c r="F2643" s="65"/>
      <c r="G2643" s="65"/>
      <c r="I2643" s="5"/>
      <c r="J2643" s="5"/>
    </row>
    <row r="2644" spans="1:10" x14ac:dyDescent="0.2">
      <c r="A2644" s="55"/>
      <c r="B2644" s="55"/>
      <c r="C2644" s="65"/>
      <c r="D2644" s="65"/>
      <c r="E2644" s="65"/>
      <c r="F2644" s="65"/>
      <c r="G2644" s="65"/>
      <c r="I2644" s="5"/>
      <c r="J2644" s="5"/>
    </row>
    <row r="2645" spans="1:10" x14ac:dyDescent="0.2">
      <c r="A2645" s="55"/>
      <c r="B2645" s="55"/>
      <c r="C2645" s="65"/>
      <c r="D2645" s="65"/>
      <c r="E2645" s="65"/>
      <c r="F2645" s="65"/>
      <c r="G2645" s="65"/>
      <c r="I2645" s="5"/>
      <c r="J2645" s="5"/>
    </row>
    <row r="2646" spans="1:10" x14ac:dyDescent="0.2">
      <c r="A2646" s="55"/>
      <c r="B2646" s="55"/>
      <c r="C2646" s="65"/>
      <c r="D2646" s="65"/>
      <c r="E2646" s="65"/>
      <c r="F2646" s="65"/>
      <c r="G2646" s="65"/>
      <c r="I2646" s="5"/>
      <c r="J2646" s="5"/>
    </row>
    <row r="2647" spans="1:10" x14ac:dyDescent="0.2">
      <c r="A2647" s="55"/>
      <c r="B2647" s="55"/>
      <c r="C2647" s="65"/>
      <c r="D2647" s="65"/>
      <c r="E2647" s="65"/>
      <c r="F2647" s="65"/>
      <c r="G2647" s="65"/>
      <c r="I2647" s="5"/>
      <c r="J2647" s="5"/>
    </row>
    <row r="2648" spans="1:10" x14ac:dyDescent="0.2">
      <c r="A2648" s="55"/>
      <c r="B2648" s="55"/>
      <c r="C2648" s="65"/>
      <c r="D2648" s="65"/>
      <c r="E2648" s="65"/>
      <c r="F2648" s="65"/>
      <c r="G2648" s="65"/>
      <c r="I2648" s="5"/>
      <c r="J2648" s="5"/>
    </row>
    <row r="2649" spans="1:10" x14ac:dyDescent="0.2">
      <c r="A2649" s="55"/>
      <c r="B2649" s="55"/>
      <c r="C2649" s="65"/>
      <c r="D2649" s="65"/>
      <c r="E2649" s="65"/>
      <c r="F2649" s="65"/>
      <c r="G2649" s="65"/>
      <c r="I2649" s="5"/>
      <c r="J2649" s="5"/>
    </row>
    <row r="2650" spans="1:10" x14ac:dyDescent="0.2">
      <c r="A2650" s="55"/>
      <c r="B2650" s="55"/>
      <c r="C2650" s="65"/>
      <c r="D2650" s="65"/>
      <c r="E2650" s="65"/>
      <c r="F2650" s="65"/>
      <c r="G2650" s="65"/>
      <c r="I2650" s="5"/>
      <c r="J2650" s="5"/>
    </row>
    <row r="2651" spans="1:10" x14ac:dyDescent="0.2">
      <c r="A2651" s="55"/>
      <c r="B2651" s="55"/>
      <c r="C2651" s="65"/>
      <c r="D2651" s="65"/>
      <c r="E2651" s="65"/>
      <c r="F2651" s="65"/>
      <c r="G2651" s="65"/>
      <c r="I2651" s="5"/>
      <c r="J2651" s="5"/>
    </row>
    <row r="2652" spans="1:10" x14ac:dyDescent="0.2">
      <c r="A2652" s="55"/>
      <c r="B2652" s="55"/>
      <c r="C2652" s="65"/>
      <c r="D2652" s="65"/>
      <c r="E2652" s="65"/>
      <c r="F2652" s="65"/>
      <c r="G2652" s="65"/>
      <c r="I2652" s="5"/>
      <c r="J2652" s="5"/>
    </row>
    <row r="2653" spans="1:10" x14ac:dyDescent="0.2">
      <c r="A2653" s="55"/>
      <c r="B2653" s="55"/>
      <c r="C2653" s="65"/>
      <c r="D2653" s="65"/>
      <c r="E2653" s="65"/>
      <c r="F2653" s="65"/>
      <c r="G2653" s="65"/>
      <c r="I2653" s="5"/>
      <c r="J2653" s="5"/>
    </row>
    <row r="2654" spans="1:10" x14ac:dyDescent="0.2">
      <c r="A2654" s="55"/>
      <c r="B2654" s="55"/>
      <c r="C2654" s="65"/>
      <c r="D2654" s="65"/>
      <c r="E2654" s="65"/>
      <c r="F2654" s="65"/>
      <c r="G2654" s="65"/>
      <c r="I2654" s="5"/>
      <c r="J2654" s="5"/>
    </row>
    <row r="2655" spans="1:10" x14ac:dyDescent="0.2">
      <c r="A2655" s="55"/>
      <c r="B2655" s="55"/>
      <c r="C2655" s="65"/>
      <c r="D2655" s="65"/>
      <c r="E2655" s="65"/>
      <c r="F2655" s="65"/>
      <c r="G2655" s="65"/>
      <c r="I2655" s="5"/>
      <c r="J2655" s="5"/>
    </row>
    <row r="2656" spans="1:10" x14ac:dyDescent="0.2">
      <c r="A2656" s="55"/>
      <c r="B2656" s="55"/>
      <c r="C2656" s="65"/>
      <c r="D2656" s="65"/>
      <c r="E2656" s="65"/>
      <c r="F2656" s="65"/>
      <c r="G2656" s="65"/>
      <c r="I2656" s="5"/>
      <c r="J2656" s="5"/>
    </row>
    <row r="2657" spans="1:10" x14ac:dyDescent="0.2">
      <c r="A2657" s="55"/>
      <c r="B2657" s="55"/>
      <c r="C2657" s="65"/>
      <c r="D2657" s="65"/>
      <c r="E2657" s="65"/>
      <c r="F2657" s="65"/>
      <c r="G2657" s="65"/>
      <c r="I2657" s="5"/>
      <c r="J2657" s="5"/>
    </row>
    <row r="2658" spans="1:10" x14ac:dyDescent="0.2">
      <c r="A2658" s="55"/>
      <c r="B2658" s="55"/>
      <c r="C2658" s="65"/>
      <c r="D2658" s="65"/>
      <c r="E2658" s="65"/>
      <c r="F2658" s="65"/>
      <c r="G2658" s="65"/>
      <c r="I2658" s="5"/>
      <c r="J2658" s="5"/>
    </row>
    <row r="2659" spans="1:10" x14ac:dyDescent="0.2">
      <c r="A2659" s="55"/>
      <c r="B2659" s="55"/>
      <c r="C2659" s="65"/>
      <c r="D2659" s="65"/>
      <c r="E2659" s="65"/>
      <c r="F2659" s="65"/>
      <c r="G2659" s="65"/>
      <c r="I2659" s="5"/>
      <c r="J2659" s="5"/>
    </row>
    <row r="2660" spans="1:10" x14ac:dyDescent="0.2">
      <c r="A2660" s="55"/>
      <c r="B2660" s="55"/>
      <c r="C2660" s="65"/>
      <c r="D2660" s="65"/>
      <c r="E2660" s="65"/>
      <c r="F2660" s="65"/>
      <c r="G2660" s="65"/>
      <c r="I2660" s="5"/>
      <c r="J2660" s="5"/>
    </row>
    <row r="2661" spans="1:10" x14ac:dyDescent="0.2">
      <c r="A2661" s="55"/>
      <c r="B2661" s="55"/>
      <c r="C2661" s="65"/>
      <c r="D2661" s="65"/>
      <c r="E2661" s="65"/>
      <c r="F2661" s="65"/>
      <c r="G2661" s="65"/>
      <c r="I2661" s="5"/>
      <c r="J2661" s="5"/>
    </row>
    <row r="2662" spans="1:10" x14ac:dyDescent="0.2">
      <c r="A2662" s="55"/>
      <c r="B2662" s="55"/>
      <c r="C2662" s="65"/>
      <c r="D2662" s="65"/>
      <c r="E2662" s="65"/>
      <c r="F2662" s="65"/>
      <c r="G2662" s="65"/>
      <c r="I2662" s="5"/>
      <c r="J2662" s="5"/>
    </row>
    <row r="2663" spans="1:10" x14ac:dyDescent="0.2">
      <c r="A2663" s="55"/>
      <c r="B2663" s="55"/>
      <c r="C2663" s="65"/>
      <c r="D2663" s="65"/>
      <c r="E2663" s="65"/>
      <c r="F2663" s="65"/>
      <c r="G2663" s="65"/>
      <c r="I2663" s="5"/>
      <c r="J2663" s="5"/>
    </row>
    <row r="2664" spans="1:10" x14ac:dyDescent="0.2">
      <c r="A2664" s="55"/>
      <c r="B2664" s="55"/>
      <c r="C2664" s="65"/>
      <c r="D2664" s="65"/>
      <c r="E2664" s="65"/>
      <c r="F2664" s="65"/>
      <c r="G2664" s="65"/>
      <c r="I2664" s="5"/>
      <c r="J2664" s="5"/>
    </row>
    <row r="2665" spans="1:10" x14ac:dyDescent="0.2">
      <c r="A2665" s="55"/>
      <c r="B2665" s="55"/>
      <c r="C2665" s="65"/>
      <c r="D2665" s="65"/>
      <c r="E2665" s="65"/>
      <c r="F2665" s="65"/>
      <c r="G2665" s="65"/>
      <c r="I2665" s="5"/>
      <c r="J2665" s="5"/>
    </row>
    <row r="2666" spans="1:10" x14ac:dyDescent="0.2">
      <c r="A2666" s="55"/>
      <c r="B2666" s="55"/>
      <c r="C2666" s="65"/>
      <c r="D2666" s="65"/>
      <c r="E2666" s="65"/>
      <c r="F2666" s="65"/>
      <c r="G2666" s="65"/>
      <c r="I2666" s="5"/>
      <c r="J2666" s="5"/>
    </row>
    <row r="2667" spans="1:10" x14ac:dyDescent="0.2">
      <c r="A2667" s="55"/>
      <c r="B2667" s="55"/>
      <c r="C2667" s="65"/>
      <c r="D2667" s="65"/>
      <c r="E2667" s="65"/>
      <c r="F2667" s="65"/>
      <c r="G2667" s="65"/>
      <c r="I2667" s="5"/>
      <c r="J2667" s="5"/>
    </row>
    <row r="2668" spans="1:10" x14ac:dyDescent="0.2">
      <c r="A2668" s="55"/>
      <c r="B2668" s="55"/>
      <c r="C2668" s="65"/>
      <c r="D2668" s="65"/>
      <c r="E2668" s="65"/>
      <c r="F2668" s="65"/>
      <c r="G2668" s="65"/>
      <c r="I2668" s="5"/>
      <c r="J2668" s="5"/>
    </row>
    <row r="2669" spans="1:10" x14ac:dyDescent="0.2">
      <c r="A2669" s="55"/>
      <c r="B2669" s="55"/>
      <c r="C2669" s="65"/>
      <c r="D2669" s="65"/>
      <c r="E2669" s="65"/>
      <c r="F2669" s="65"/>
      <c r="G2669" s="65"/>
      <c r="I2669" s="5"/>
      <c r="J2669" s="5"/>
    </row>
    <row r="2670" spans="1:10" x14ac:dyDescent="0.2">
      <c r="A2670" s="55"/>
      <c r="B2670" s="55"/>
      <c r="C2670" s="65"/>
      <c r="D2670" s="65"/>
      <c r="E2670" s="65"/>
      <c r="F2670" s="65"/>
      <c r="G2670" s="65"/>
      <c r="I2670" s="5"/>
      <c r="J2670" s="5"/>
    </row>
    <row r="2671" spans="1:10" x14ac:dyDescent="0.2">
      <c r="A2671" s="55"/>
      <c r="B2671" s="55"/>
      <c r="C2671" s="65"/>
      <c r="D2671" s="65"/>
      <c r="E2671" s="65"/>
      <c r="F2671" s="65"/>
      <c r="G2671" s="65"/>
      <c r="I2671" s="5"/>
      <c r="J2671" s="5"/>
    </row>
    <row r="2672" spans="1:10" x14ac:dyDescent="0.2">
      <c r="A2672" s="55"/>
      <c r="B2672" s="55"/>
      <c r="C2672" s="65"/>
      <c r="D2672" s="65"/>
      <c r="E2672" s="65"/>
      <c r="F2672" s="65"/>
      <c r="G2672" s="65"/>
      <c r="I2672" s="5"/>
      <c r="J2672" s="5"/>
    </row>
    <row r="2673" spans="1:10" x14ac:dyDescent="0.2">
      <c r="A2673" s="55"/>
      <c r="B2673" s="55"/>
      <c r="C2673" s="65"/>
      <c r="D2673" s="65"/>
      <c r="E2673" s="65"/>
      <c r="F2673" s="65"/>
      <c r="G2673" s="65"/>
      <c r="I2673" s="5"/>
      <c r="J2673" s="5"/>
    </row>
    <row r="2674" spans="1:10" x14ac:dyDescent="0.2">
      <c r="A2674" s="55"/>
      <c r="B2674" s="55"/>
      <c r="C2674" s="65"/>
      <c r="D2674" s="65"/>
      <c r="E2674" s="65"/>
      <c r="F2674" s="65"/>
      <c r="G2674" s="65"/>
      <c r="I2674" s="5"/>
      <c r="J2674" s="5"/>
    </row>
    <row r="2675" spans="1:10" x14ac:dyDescent="0.2">
      <c r="A2675" s="55"/>
      <c r="B2675" s="55"/>
      <c r="C2675" s="65"/>
      <c r="D2675" s="65"/>
      <c r="E2675" s="65"/>
      <c r="F2675" s="65"/>
      <c r="G2675" s="65"/>
      <c r="I2675" s="5"/>
      <c r="J2675" s="5"/>
    </row>
    <row r="2676" spans="1:10" x14ac:dyDescent="0.2">
      <c r="A2676" s="55"/>
      <c r="B2676" s="55"/>
      <c r="C2676" s="65"/>
      <c r="D2676" s="65"/>
      <c r="E2676" s="65"/>
      <c r="F2676" s="65"/>
      <c r="G2676" s="65"/>
      <c r="I2676" s="5"/>
      <c r="J2676" s="5"/>
    </row>
    <row r="2677" spans="1:10" x14ac:dyDescent="0.2">
      <c r="A2677" s="55"/>
      <c r="B2677" s="55"/>
      <c r="C2677" s="65"/>
      <c r="D2677" s="65"/>
      <c r="E2677" s="65"/>
      <c r="F2677" s="65"/>
      <c r="G2677" s="65"/>
      <c r="I2677" s="5"/>
      <c r="J2677" s="5"/>
    </row>
    <row r="2678" spans="1:10" x14ac:dyDescent="0.2">
      <c r="A2678" s="55"/>
      <c r="B2678" s="55"/>
      <c r="C2678" s="65"/>
      <c r="D2678" s="65"/>
      <c r="E2678" s="65"/>
      <c r="F2678" s="65"/>
      <c r="G2678" s="65"/>
      <c r="I2678" s="5"/>
      <c r="J2678" s="5"/>
    </row>
    <row r="2679" spans="1:10" x14ac:dyDescent="0.2">
      <c r="A2679" s="55"/>
      <c r="B2679" s="55"/>
      <c r="C2679" s="65"/>
      <c r="D2679" s="65"/>
      <c r="E2679" s="65"/>
      <c r="F2679" s="65"/>
      <c r="G2679" s="65"/>
      <c r="I2679" s="5"/>
      <c r="J2679" s="5"/>
    </row>
    <row r="2680" spans="1:10" x14ac:dyDescent="0.2">
      <c r="A2680" s="55"/>
      <c r="B2680" s="55"/>
      <c r="C2680" s="65"/>
      <c r="D2680" s="65"/>
      <c r="E2680" s="65"/>
      <c r="F2680" s="65"/>
      <c r="G2680" s="65"/>
      <c r="I2680" s="5"/>
      <c r="J2680" s="5"/>
    </row>
    <row r="2681" spans="1:10" x14ac:dyDescent="0.2">
      <c r="A2681" s="55"/>
      <c r="B2681" s="55"/>
      <c r="C2681" s="65"/>
      <c r="D2681" s="65"/>
      <c r="E2681" s="65"/>
      <c r="F2681" s="65"/>
      <c r="G2681" s="65"/>
      <c r="I2681" s="5"/>
      <c r="J2681" s="5"/>
    </row>
    <row r="2682" spans="1:10" x14ac:dyDescent="0.2">
      <c r="A2682" s="55"/>
      <c r="B2682" s="55"/>
      <c r="C2682" s="65"/>
      <c r="D2682" s="65"/>
      <c r="E2682" s="65"/>
      <c r="F2682" s="65"/>
      <c r="G2682" s="65"/>
      <c r="I2682" s="5"/>
      <c r="J2682" s="5"/>
    </row>
    <row r="2683" spans="1:10" x14ac:dyDescent="0.2">
      <c r="A2683" s="55"/>
      <c r="B2683" s="55"/>
      <c r="C2683" s="65"/>
      <c r="D2683" s="65"/>
      <c r="E2683" s="65"/>
      <c r="F2683" s="65"/>
      <c r="G2683" s="65"/>
      <c r="I2683" s="5"/>
      <c r="J2683" s="5"/>
    </row>
    <row r="2684" spans="1:10" x14ac:dyDescent="0.2">
      <c r="A2684" s="55"/>
      <c r="B2684" s="55"/>
      <c r="C2684" s="65"/>
      <c r="D2684" s="65"/>
      <c r="E2684" s="65"/>
      <c r="F2684" s="65"/>
      <c r="G2684" s="65"/>
      <c r="I2684" s="5"/>
      <c r="J2684" s="5"/>
    </row>
    <row r="2685" spans="1:10" x14ac:dyDescent="0.2">
      <c r="A2685" s="55"/>
      <c r="B2685" s="55"/>
      <c r="C2685" s="65"/>
      <c r="D2685" s="65"/>
      <c r="E2685" s="65"/>
      <c r="F2685" s="65"/>
      <c r="G2685" s="65"/>
      <c r="I2685" s="5"/>
      <c r="J2685" s="5"/>
    </row>
    <row r="2686" spans="1:10" x14ac:dyDescent="0.2">
      <c r="A2686" s="55"/>
      <c r="B2686" s="55"/>
      <c r="C2686" s="65"/>
      <c r="D2686" s="65"/>
      <c r="E2686" s="65"/>
      <c r="F2686" s="65"/>
      <c r="G2686" s="65"/>
      <c r="I2686" s="5"/>
      <c r="J2686" s="5"/>
    </row>
    <row r="2687" spans="1:10" x14ac:dyDescent="0.2">
      <c r="A2687" s="55"/>
      <c r="B2687" s="55"/>
      <c r="C2687" s="65"/>
      <c r="D2687" s="65"/>
      <c r="E2687" s="65"/>
      <c r="F2687" s="65"/>
      <c r="G2687" s="65"/>
      <c r="I2687" s="5"/>
      <c r="J2687" s="5"/>
    </row>
    <row r="2688" spans="1:10" x14ac:dyDescent="0.2">
      <c r="A2688" s="55"/>
      <c r="B2688" s="55"/>
      <c r="C2688" s="65"/>
      <c r="D2688" s="65"/>
      <c r="E2688" s="65"/>
      <c r="F2688" s="65"/>
      <c r="G2688" s="65"/>
      <c r="I2688" s="5"/>
      <c r="J2688" s="5"/>
    </row>
    <row r="2689" spans="1:10" x14ac:dyDescent="0.2">
      <c r="A2689" s="55"/>
      <c r="B2689" s="55"/>
      <c r="C2689" s="65"/>
      <c r="D2689" s="65"/>
      <c r="E2689" s="65"/>
      <c r="F2689" s="65"/>
      <c r="G2689" s="65"/>
      <c r="I2689" s="5"/>
      <c r="J2689" s="5"/>
    </row>
    <row r="2690" spans="1:10" x14ac:dyDescent="0.2">
      <c r="A2690" s="55"/>
      <c r="B2690" s="55"/>
      <c r="C2690" s="65"/>
      <c r="D2690" s="65"/>
      <c r="E2690" s="65"/>
      <c r="F2690" s="65"/>
      <c r="G2690" s="65"/>
      <c r="I2690" s="5"/>
      <c r="J2690" s="5"/>
    </row>
    <row r="2691" spans="1:10" x14ac:dyDescent="0.2">
      <c r="A2691" s="55"/>
      <c r="B2691" s="55"/>
      <c r="C2691" s="65"/>
      <c r="D2691" s="65"/>
      <c r="E2691" s="65"/>
      <c r="F2691" s="65"/>
      <c r="G2691" s="65"/>
      <c r="I2691" s="5"/>
      <c r="J2691" s="5"/>
    </row>
    <row r="2692" spans="1:10" x14ac:dyDescent="0.2">
      <c r="A2692" s="55"/>
      <c r="B2692" s="55"/>
      <c r="C2692" s="65"/>
      <c r="D2692" s="65"/>
      <c r="E2692" s="65"/>
      <c r="F2692" s="65"/>
      <c r="G2692" s="65"/>
      <c r="I2692" s="5"/>
      <c r="J2692" s="5"/>
    </row>
    <row r="2693" spans="1:10" x14ac:dyDescent="0.2">
      <c r="A2693" s="55"/>
      <c r="B2693" s="55"/>
      <c r="C2693" s="65"/>
      <c r="D2693" s="65"/>
      <c r="E2693" s="65"/>
      <c r="F2693" s="65"/>
      <c r="G2693" s="65"/>
      <c r="I2693" s="5"/>
      <c r="J2693" s="5"/>
    </row>
    <row r="2694" spans="1:10" x14ac:dyDescent="0.2">
      <c r="A2694" s="55"/>
      <c r="B2694" s="55"/>
      <c r="C2694" s="65"/>
      <c r="D2694" s="65"/>
      <c r="E2694" s="65"/>
      <c r="F2694" s="65"/>
      <c r="G2694" s="65"/>
      <c r="I2694" s="5"/>
      <c r="J2694" s="5"/>
    </row>
    <row r="2695" spans="1:10" x14ac:dyDescent="0.2">
      <c r="A2695" s="55"/>
      <c r="B2695" s="55"/>
      <c r="C2695" s="65"/>
      <c r="D2695" s="65"/>
      <c r="E2695" s="65"/>
      <c r="F2695" s="65"/>
      <c r="G2695" s="65"/>
      <c r="I2695" s="5"/>
      <c r="J2695" s="5"/>
    </row>
    <row r="2696" spans="1:10" x14ac:dyDescent="0.2">
      <c r="A2696" s="55"/>
      <c r="B2696" s="55"/>
      <c r="C2696" s="65"/>
      <c r="D2696" s="65"/>
      <c r="E2696" s="65"/>
      <c r="F2696" s="65"/>
      <c r="G2696" s="65"/>
      <c r="I2696" s="5"/>
      <c r="J2696" s="5"/>
    </row>
    <row r="2697" spans="1:10" x14ac:dyDescent="0.2">
      <c r="A2697" s="55"/>
      <c r="B2697" s="55"/>
      <c r="C2697" s="65"/>
      <c r="D2697" s="65"/>
      <c r="E2697" s="65"/>
      <c r="F2697" s="65"/>
      <c r="G2697" s="65"/>
      <c r="I2697" s="5"/>
      <c r="J2697" s="5"/>
    </row>
    <row r="2698" spans="1:10" x14ac:dyDescent="0.2">
      <c r="A2698" s="55"/>
      <c r="B2698" s="55"/>
      <c r="C2698" s="65"/>
      <c r="D2698" s="65"/>
      <c r="E2698" s="65"/>
      <c r="F2698" s="65"/>
      <c r="G2698" s="65"/>
      <c r="I2698" s="5"/>
      <c r="J2698" s="5"/>
    </row>
    <row r="2699" spans="1:10" x14ac:dyDescent="0.2">
      <c r="A2699" s="55"/>
      <c r="B2699" s="55"/>
      <c r="C2699" s="65"/>
      <c r="D2699" s="65"/>
      <c r="E2699" s="65"/>
      <c r="F2699" s="65"/>
      <c r="G2699" s="65"/>
      <c r="I2699" s="5"/>
      <c r="J2699" s="5"/>
    </row>
    <row r="2700" spans="1:10" x14ac:dyDescent="0.2">
      <c r="A2700" s="55"/>
      <c r="B2700" s="55"/>
      <c r="C2700" s="65"/>
      <c r="D2700" s="65"/>
      <c r="E2700" s="65"/>
      <c r="F2700" s="65"/>
      <c r="G2700" s="65"/>
      <c r="I2700" s="5"/>
      <c r="J2700" s="5"/>
    </row>
    <row r="2701" spans="1:10" x14ac:dyDescent="0.2">
      <c r="A2701" s="55"/>
      <c r="B2701" s="55"/>
      <c r="C2701" s="65"/>
      <c r="D2701" s="65"/>
      <c r="E2701" s="65"/>
      <c r="F2701" s="65"/>
      <c r="G2701" s="65"/>
      <c r="I2701" s="5"/>
      <c r="J2701" s="5"/>
    </row>
    <row r="2702" spans="1:10" x14ac:dyDescent="0.2">
      <c r="A2702" s="55"/>
      <c r="B2702" s="55"/>
      <c r="C2702" s="65"/>
      <c r="D2702" s="65"/>
      <c r="E2702" s="65"/>
      <c r="F2702" s="65"/>
      <c r="G2702" s="65"/>
      <c r="I2702" s="5"/>
      <c r="J2702" s="5"/>
    </row>
    <row r="2703" spans="1:10" x14ac:dyDescent="0.2">
      <c r="A2703" s="55"/>
      <c r="B2703" s="55"/>
      <c r="C2703" s="65"/>
      <c r="D2703" s="65"/>
      <c r="E2703" s="65"/>
      <c r="F2703" s="65"/>
      <c r="G2703" s="65"/>
      <c r="I2703" s="5"/>
      <c r="J2703" s="5"/>
    </row>
    <row r="2704" spans="1:10" x14ac:dyDescent="0.2">
      <c r="A2704" s="55"/>
      <c r="B2704" s="55"/>
      <c r="C2704" s="65"/>
      <c r="D2704" s="65"/>
      <c r="E2704" s="65"/>
      <c r="F2704" s="65"/>
      <c r="G2704" s="65"/>
      <c r="I2704" s="5"/>
      <c r="J2704" s="5"/>
    </row>
    <row r="2705" spans="1:10" x14ac:dyDescent="0.2">
      <c r="A2705" s="55"/>
      <c r="B2705" s="55"/>
      <c r="C2705" s="65"/>
      <c r="D2705" s="65"/>
      <c r="E2705" s="65"/>
      <c r="F2705" s="65"/>
      <c r="G2705" s="65"/>
      <c r="I2705" s="5"/>
      <c r="J2705" s="5"/>
    </row>
    <row r="2706" spans="1:10" x14ac:dyDescent="0.2">
      <c r="A2706" s="55"/>
      <c r="B2706" s="55"/>
      <c r="C2706" s="65"/>
      <c r="D2706" s="65"/>
      <c r="E2706" s="65"/>
      <c r="F2706" s="65"/>
      <c r="G2706" s="65"/>
      <c r="I2706" s="5"/>
      <c r="J2706" s="5"/>
    </row>
    <row r="2707" spans="1:10" x14ac:dyDescent="0.2">
      <c r="A2707" s="55"/>
      <c r="B2707" s="55"/>
      <c r="C2707" s="65"/>
      <c r="D2707" s="65"/>
      <c r="E2707" s="65"/>
      <c r="F2707" s="65"/>
      <c r="G2707" s="65"/>
      <c r="I2707" s="5"/>
      <c r="J2707" s="5"/>
    </row>
    <row r="2708" spans="1:10" x14ac:dyDescent="0.2">
      <c r="A2708" s="55"/>
      <c r="B2708" s="55"/>
      <c r="C2708" s="65"/>
      <c r="D2708" s="65"/>
      <c r="E2708" s="65"/>
      <c r="F2708" s="65"/>
      <c r="G2708" s="65"/>
      <c r="I2708" s="5"/>
      <c r="J2708" s="5"/>
    </row>
    <row r="2709" spans="1:10" x14ac:dyDescent="0.2">
      <c r="A2709" s="55"/>
      <c r="B2709" s="55"/>
      <c r="C2709" s="65"/>
      <c r="D2709" s="65"/>
      <c r="E2709" s="65"/>
      <c r="F2709" s="65"/>
      <c r="G2709" s="65"/>
      <c r="I2709" s="5"/>
      <c r="J2709" s="5"/>
    </row>
    <row r="2710" spans="1:10" x14ac:dyDescent="0.2">
      <c r="A2710" s="55"/>
      <c r="B2710" s="55"/>
      <c r="C2710" s="65"/>
      <c r="D2710" s="65"/>
      <c r="E2710" s="65"/>
      <c r="F2710" s="65"/>
      <c r="G2710" s="65"/>
      <c r="I2710" s="5"/>
      <c r="J2710" s="5"/>
    </row>
    <row r="2711" spans="1:10" x14ac:dyDescent="0.2">
      <c r="A2711" s="55"/>
      <c r="B2711" s="55"/>
      <c r="C2711" s="65"/>
      <c r="D2711" s="65"/>
      <c r="E2711" s="65"/>
      <c r="F2711" s="65"/>
      <c r="G2711" s="65"/>
      <c r="I2711" s="5"/>
      <c r="J2711" s="5"/>
    </row>
    <row r="2712" spans="1:10" x14ac:dyDescent="0.2">
      <c r="A2712" s="55"/>
      <c r="B2712" s="55"/>
      <c r="C2712" s="65"/>
      <c r="D2712" s="65"/>
      <c r="E2712" s="65"/>
      <c r="F2712" s="65"/>
      <c r="G2712" s="65"/>
      <c r="I2712" s="5"/>
      <c r="J2712" s="5"/>
    </row>
    <row r="2713" spans="1:10" x14ac:dyDescent="0.2">
      <c r="A2713" s="55"/>
      <c r="B2713" s="55"/>
      <c r="C2713" s="65"/>
      <c r="D2713" s="65"/>
      <c r="E2713" s="65"/>
      <c r="F2713" s="65"/>
      <c r="G2713" s="65"/>
      <c r="I2713" s="5"/>
      <c r="J2713" s="5"/>
    </row>
    <row r="2714" spans="1:10" x14ac:dyDescent="0.2">
      <c r="A2714" s="55"/>
      <c r="B2714" s="55"/>
      <c r="C2714" s="65"/>
      <c r="D2714" s="65"/>
      <c r="E2714" s="65"/>
      <c r="F2714" s="65"/>
      <c r="G2714" s="65"/>
      <c r="I2714" s="5"/>
      <c r="J2714" s="5"/>
    </row>
    <row r="2715" spans="1:10" x14ac:dyDescent="0.2">
      <c r="A2715" s="55"/>
      <c r="B2715" s="55"/>
      <c r="C2715" s="65"/>
      <c r="D2715" s="65"/>
      <c r="E2715" s="65"/>
      <c r="F2715" s="65"/>
      <c r="G2715" s="65"/>
      <c r="I2715" s="5"/>
      <c r="J2715" s="5"/>
    </row>
    <row r="2716" spans="1:10" x14ac:dyDescent="0.2">
      <c r="A2716" s="55"/>
      <c r="B2716" s="55"/>
      <c r="C2716" s="65"/>
      <c r="D2716" s="65"/>
      <c r="E2716" s="65"/>
      <c r="F2716" s="65"/>
      <c r="G2716" s="65"/>
      <c r="I2716" s="5"/>
      <c r="J2716" s="5"/>
    </row>
    <row r="2717" spans="1:10" x14ac:dyDescent="0.2">
      <c r="A2717" s="55"/>
      <c r="B2717" s="55"/>
      <c r="C2717" s="65"/>
      <c r="D2717" s="65"/>
      <c r="E2717" s="65"/>
      <c r="F2717" s="65"/>
      <c r="G2717" s="65"/>
      <c r="I2717" s="5"/>
      <c r="J2717" s="5"/>
    </row>
    <row r="2718" spans="1:10" x14ac:dyDescent="0.2">
      <c r="A2718" s="55"/>
      <c r="B2718" s="55"/>
      <c r="C2718" s="65"/>
      <c r="D2718" s="65"/>
      <c r="E2718" s="65"/>
      <c r="F2718" s="65"/>
      <c r="G2718" s="65"/>
      <c r="I2718" s="5"/>
      <c r="J2718" s="5"/>
    </row>
    <row r="2719" spans="1:10" x14ac:dyDescent="0.2">
      <c r="A2719" s="55"/>
      <c r="B2719" s="55"/>
      <c r="C2719" s="65"/>
      <c r="D2719" s="65"/>
      <c r="E2719" s="65"/>
      <c r="F2719" s="65"/>
      <c r="G2719" s="65"/>
      <c r="I2719" s="5"/>
      <c r="J2719" s="5"/>
    </row>
    <row r="2720" spans="1:10" x14ac:dyDescent="0.2">
      <c r="A2720" s="55"/>
      <c r="B2720" s="55"/>
      <c r="C2720" s="65"/>
      <c r="D2720" s="65"/>
      <c r="E2720" s="65"/>
      <c r="F2720" s="65"/>
      <c r="G2720" s="65"/>
      <c r="I2720" s="5"/>
      <c r="J2720" s="5"/>
    </row>
    <row r="2721" spans="1:10" x14ac:dyDescent="0.2">
      <c r="A2721" s="55"/>
      <c r="B2721" s="55"/>
      <c r="C2721" s="65"/>
      <c r="D2721" s="65"/>
      <c r="E2721" s="65"/>
      <c r="F2721" s="65"/>
      <c r="G2721" s="65"/>
      <c r="I2721" s="5"/>
      <c r="J2721" s="5"/>
    </row>
    <row r="2722" spans="1:10" x14ac:dyDescent="0.2">
      <c r="A2722" s="55"/>
      <c r="B2722" s="55"/>
      <c r="C2722" s="65"/>
      <c r="D2722" s="65"/>
      <c r="E2722" s="65"/>
      <c r="F2722" s="65"/>
      <c r="G2722" s="65"/>
      <c r="I2722" s="5"/>
      <c r="J2722" s="5"/>
    </row>
    <row r="2723" spans="1:10" x14ac:dyDescent="0.2">
      <c r="A2723" s="55"/>
      <c r="B2723" s="55"/>
      <c r="C2723" s="65"/>
      <c r="D2723" s="65"/>
      <c r="E2723" s="65"/>
      <c r="F2723" s="65"/>
      <c r="G2723" s="65"/>
      <c r="I2723" s="5"/>
      <c r="J2723" s="5"/>
    </row>
    <row r="2724" spans="1:10" x14ac:dyDescent="0.2">
      <c r="A2724" s="55"/>
      <c r="B2724" s="55"/>
      <c r="C2724" s="65"/>
      <c r="D2724" s="65"/>
      <c r="E2724" s="65"/>
      <c r="F2724" s="65"/>
      <c r="G2724" s="65"/>
      <c r="I2724" s="5"/>
      <c r="J2724" s="5"/>
    </row>
    <row r="2725" spans="1:10" x14ac:dyDescent="0.2">
      <c r="A2725" s="55"/>
      <c r="B2725" s="55"/>
      <c r="C2725" s="65"/>
      <c r="D2725" s="65"/>
      <c r="E2725" s="65"/>
      <c r="F2725" s="65"/>
      <c r="G2725" s="65"/>
      <c r="I2725" s="5"/>
      <c r="J2725" s="5"/>
    </row>
    <row r="2726" spans="1:10" x14ac:dyDescent="0.2">
      <c r="A2726" s="55"/>
      <c r="B2726" s="55"/>
      <c r="C2726" s="65"/>
      <c r="D2726" s="65"/>
      <c r="E2726" s="65"/>
      <c r="F2726" s="65"/>
      <c r="G2726" s="65"/>
      <c r="I2726" s="5"/>
      <c r="J2726" s="5"/>
    </row>
    <row r="2727" spans="1:10" x14ac:dyDescent="0.2">
      <c r="A2727" s="55"/>
      <c r="B2727" s="55"/>
      <c r="C2727" s="65"/>
      <c r="D2727" s="65"/>
      <c r="E2727" s="65"/>
      <c r="F2727" s="65"/>
      <c r="G2727" s="65"/>
      <c r="I2727" s="5"/>
      <c r="J2727" s="5"/>
    </row>
    <row r="2728" spans="1:10" x14ac:dyDescent="0.2">
      <c r="A2728" s="55"/>
      <c r="B2728" s="55"/>
      <c r="C2728" s="65"/>
      <c r="D2728" s="65"/>
      <c r="E2728" s="65"/>
      <c r="F2728" s="65"/>
      <c r="G2728" s="65"/>
      <c r="I2728" s="5"/>
      <c r="J2728" s="5"/>
    </row>
    <row r="2729" spans="1:10" x14ac:dyDescent="0.2">
      <c r="A2729" s="55"/>
      <c r="B2729" s="55"/>
      <c r="C2729" s="65"/>
      <c r="D2729" s="65"/>
      <c r="E2729" s="65"/>
      <c r="F2729" s="65"/>
      <c r="G2729" s="65"/>
      <c r="I2729" s="5"/>
      <c r="J2729" s="5"/>
    </row>
    <row r="2730" spans="1:10" x14ac:dyDescent="0.2">
      <c r="A2730" s="55"/>
      <c r="B2730" s="55"/>
      <c r="C2730" s="65"/>
      <c r="D2730" s="65"/>
      <c r="E2730" s="65"/>
      <c r="F2730" s="65"/>
      <c r="G2730" s="65"/>
      <c r="I2730" s="5"/>
      <c r="J2730" s="5"/>
    </row>
    <row r="2731" spans="1:10" x14ac:dyDescent="0.2">
      <c r="A2731" s="55"/>
      <c r="B2731" s="55"/>
      <c r="C2731" s="65"/>
      <c r="D2731" s="65"/>
      <c r="E2731" s="65"/>
      <c r="F2731" s="65"/>
      <c r="G2731" s="65"/>
      <c r="I2731" s="5"/>
      <c r="J2731" s="5"/>
    </row>
    <row r="2732" spans="1:10" x14ac:dyDescent="0.2">
      <c r="A2732" s="55"/>
      <c r="B2732" s="55"/>
      <c r="C2732" s="65"/>
      <c r="D2732" s="65"/>
      <c r="E2732" s="65"/>
      <c r="F2732" s="65"/>
      <c r="G2732" s="65"/>
      <c r="I2732" s="5"/>
      <c r="J2732" s="5"/>
    </row>
    <row r="2733" spans="1:10" x14ac:dyDescent="0.2">
      <c r="A2733" s="55"/>
      <c r="B2733" s="55"/>
      <c r="C2733" s="65"/>
      <c r="D2733" s="65"/>
      <c r="E2733" s="65"/>
      <c r="F2733" s="65"/>
      <c r="G2733" s="65"/>
      <c r="I2733" s="5"/>
      <c r="J2733" s="5"/>
    </row>
    <row r="2734" spans="1:10" x14ac:dyDescent="0.2">
      <c r="A2734" s="55"/>
      <c r="B2734" s="55"/>
      <c r="C2734" s="65"/>
      <c r="D2734" s="65"/>
      <c r="E2734" s="65"/>
      <c r="F2734" s="65"/>
      <c r="G2734" s="65"/>
      <c r="I2734" s="5"/>
      <c r="J2734" s="5"/>
    </row>
    <row r="2735" spans="1:10" x14ac:dyDescent="0.2">
      <c r="A2735" s="55"/>
      <c r="B2735" s="55"/>
      <c r="C2735" s="65"/>
      <c r="D2735" s="65"/>
      <c r="E2735" s="65"/>
      <c r="F2735" s="65"/>
      <c r="G2735" s="65"/>
      <c r="I2735" s="5"/>
      <c r="J2735" s="5"/>
    </row>
    <row r="2736" spans="1:10" x14ac:dyDescent="0.2">
      <c r="A2736" s="55"/>
      <c r="B2736" s="55"/>
      <c r="C2736" s="65"/>
      <c r="D2736" s="65"/>
      <c r="E2736" s="65"/>
      <c r="F2736" s="65"/>
      <c r="G2736" s="65"/>
      <c r="I2736" s="5"/>
      <c r="J2736" s="5"/>
    </row>
    <row r="2737" spans="1:10" x14ac:dyDescent="0.2">
      <c r="A2737" s="55"/>
      <c r="B2737" s="55"/>
      <c r="C2737" s="65"/>
      <c r="D2737" s="65"/>
      <c r="E2737" s="65"/>
      <c r="F2737" s="65"/>
      <c r="G2737" s="65"/>
      <c r="I2737" s="5"/>
      <c r="J2737" s="5"/>
    </row>
    <row r="2738" spans="1:10" x14ac:dyDescent="0.2">
      <c r="A2738" s="55"/>
      <c r="B2738" s="55"/>
      <c r="C2738" s="65"/>
      <c r="D2738" s="65"/>
      <c r="E2738" s="65"/>
      <c r="F2738" s="65"/>
      <c r="G2738" s="65"/>
      <c r="I2738" s="5"/>
      <c r="J2738" s="5"/>
    </row>
    <row r="2739" spans="1:10" x14ac:dyDescent="0.2">
      <c r="A2739" s="55"/>
      <c r="B2739" s="55"/>
      <c r="C2739" s="65"/>
      <c r="D2739" s="65"/>
      <c r="E2739" s="65"/>
      <c r="F2739" s="65"/>
      <c r="G2739" s="65"/>
      <c r="I2739" s="5"/>
      <c r="J2739" s="5"/>
    </row>
    <row r="2740" spans="1:10" x14ac:dyDescent="0.2">
      <c r="A2740" s="55"/>
      <c r="B2740" s="55"/>
      <c r="C2740" s="65"/>
      <c r="D2740" s="65"/>
      <c r="E2740" s="65"/>
      <c r="F2740" s="65"/>
      <c r="G2740" s="65"/>
      <c r="I2740" s="5"/>
      <c r="J2740" s="5"/>
    </row>
    <row r="2741" spans="1:10" x14ac:dyDescent="0.2">
      <c r="A2741" s="55"/>
      <c r="B2741" s="55"/>
      <c r="C2741" s="65"/>
      <c r="D2741" s="65"/>
      <c r="E2741" s="65"/>
      <c r="F2741" s="65"/>
      <c r="G2741" s="65"/>
      <c r="I2741" s="5"/>
      <c r="J2741" s="5"/>
    </row>
    <row r="2742" spans="1:10" x14ac:dyDescent="0.2">
      <c r="A2742" s="55"/>
      <c r="B2742" s="55"/>
      <c r="C2742" s="65"/>
      <c r="D2742" s="65"/>
      <c r="E2742" s="65"/>
      <c r="F2742" s="65"/>
      <c r="G2742" s="65"/>
      <c r="I2742" s="5"/>
      <c r="J2742" s="5"/>
    </row>
    <row r="2743" spans="1:10" x14ac:dyDescent="0.2">
      <c r="A2743" s="55"/>
      <c r="B2743" s="55"/>
      <c r="C2743" s="65"/>
      <c r="D2743" s="65"/>
      <c r="E2743" s="65"/>
      <c r="F2743" s="65"/>
      <c r="G2743" s="65"/>
      <c r="I2743" s="5"/>
      <c r="J2743" s="5"/>
    </row>
    <row r="2744" spans="1:10" x14ac:dyDescent="0.2">
      <c r="A2744" s="55"/>
      <c r="B2744" s="55"/>
      <c r="C2744" s="65"/>
      <c r="D2744" s="65"/>
      <c r="E2744" s="65"/>
      <c r="F2744" s="65"/>
      <c r="G2744" s="65"/>
      <c r="I2744" s="5"/>
      <c r="J2744" s="5"/>
    </row>
    <row r="2745" spans="1:10" x14ac:dyDescent="0.2">
      <c r="A2745" s="55"/>
      <c r="B2745" s="55"/>
      <c r="C2745" s="65"/>
      <c r="D2745" s="65"/>
      <c r="E2745" s="65"/>
      <c r="F2745" s="65"/>
      <c r="G2745" s="65"/>
      <c r="I2745" s="5"/>
      <c r="J2745" s="5"/>
    </row>
    <row r="2746" spans="1:10" x14ac:dyDescent="0.2">
      <c r="A2746" s="55"/>
      <c r="B2746" s="55"/>
      <c r="C2746" s="65"/>
      <c r="D2746" s="65"/>
      <c r="E2746" s="65"/>
      <c r="F2746" s="65"/>
      <c r="G2746" s="65"/>
      <c r="I2746" s="5"/>
      <c r="J2746" s="5"/>
    </row>
    <row r="2747" spans="1:10" x14ac:dyDescent="0.2">
      <c r="A2747" s="55"/>
      <c r="B2747" s="55"/>
      <c r="C2747" s="65"/>
      <c r="D2747" s="65"/>
      <c r="E2747" s="65"/>
      <c r="F2747" s="65"/>
      <c r="G2747" s="65"/>
      <c r="I2747" s="5"/>
      <c r="J2747" s="5"/>
    </row>
    <row r="2748" spans="1:10" x14ac:dyDescent="0.2">
      <c r="A2748" s="55"/>
      <c r="B2748" s="55"/>
      <c r="C2748" s="65"/>
      <c r="D2748" s="65"/>
      <c r="E2748" s="65"/>
      <c r="F2748" s="65"/>
      <c r="G2748" s="65"/>
      <c r="I2748" s="5"/>
      <c r="J2748" s="5"/>
    </row>
    <row r="2749" spans="1:10" x14ac:dyDescent="0.2">
      <c r="A2749" s="55"/>
      <c r="B2749" s="55"/>
      <c r="C2749" s="65"/>
      <c r="D2749" s="65"/>
      <c r="E2749" s="65"/>
      <c r="F2749" s="65"/>
      <c r="G2749" s="65"/>
      <c r="I2749" s="5"/>
      <c r="J2749" s="5"/>
    </row>
    <row r="2750" spans="1:10" x14ac:dyDescent="0.2">
      <c r="A2750" s="55"/>
      <c r="B2750" s="55"/>
      <c r="C2750" s="65"/>
      <c r="D2750" s="65"/>
      <c r="E2750" s="65"/>
      <c r="F2750" s="65"/>
      <c r="G2750" s="65"/>
      <c r="I2750" s="5"/>
      <c r="J2750" s="5"/>
    </row>
    <row r="2751" spans="1:10" x14ac:dyDescent="0.2">
      <c r="A2751" s="55"/>
      <c r="B2751" s="55"/>
      <c r="C2751" s="65"/>
      <c r="D2751" s="65"/>
      <c r="E2751" s="65"/>
      <c r="F2751" s="65"/>
      <c r="G2751" s="65"/>
      <c r="I2751" s="5"/>
      <c r="J2751" s="5"/>
    </row>
    <row r="2752" spans="1:10" x14ac:dyDescent="0.2">
      <c r="A2752" s="55"/>
      <c r="B2752" s="55"/>
      <c r="C2752" s="65"/>
      <c r="D2752" s="65"/>
      <c r="E2752" s="65"/>
      <c r="F2752" s="65"/>
      <c r="G2752" s="65"/>
      <c r="I2752" s="5"/>
      <c r="J2752" s="5"/>
    </row>
    <row r="2753" spans="1:10" x14ac:dyDescent="0.2">
      <c r="A2753" s="55"/>
      <c r="B2753" s="55"/>
      <c r="C2753" s="65"/>
      <c r="D2753" s="65"/>
      <c r="E2753" s="65"/>
      <c r="F2753" s="65"/>
      <c r="G2753" s="65"/>
      <c r="I2753" s="5"/>
      <c r="J2753" s="5"/>
    </row>
    <row r="2754" spans="1:10" x14ac:dyDescent="0.2">
      <c r="A2754" s="55"/>
      <c r="B2754" s="55"/>
      <c r="C2754" s="65"/>
      <c r="D2754" s="65"/>
      <c r="E2754" s="65"/>
      <c r="F2754" s="65"/>
      <c r="G2754" s="65"/>
      <c r="I2754" s="5"/>
      <c r="J2754" s="5"/>
    </row>
    <row r="2755" spans="1:10" x14ac:dyDescent="0.2">
      <c r="A2755" s="55"/>
      <c r="B2755" s="55"/>
      <c r="C2755" s="65"/>
      <c r="D2755" s="65"/>
      <c r="E2755" s="65"/>
      <c r="F2755" s="65"/>
      <c r="G2755" s="65"/>
      <c r="I2755" s="5"/>
      <c r="J2755" s="5"/>
    </row>
    <row r="2756" spans="1:10" x14ac:dyDescent="0.2">
      <c r="A2756" s="55"/>
      <c r="B2756" s="55"/>
      <c r="C2756" s="65"/>
      <c r="D2756" s="65"/>
      <c r="E2756" s="65"/>
      <c r="F2756" s="65"/>
      <c r="G2756" s="65"/>
      <c r="I2756" s="5"/>
      <c r="J2756" s="5"/>
    </row>
    <row r="2757" spans="1:10" x14ac:dyDescent="0.2">
      <c r="A2757" s="55"/>
      <c r="B2757" s="55"/>
      <c r="C2757" s="65"/>
      <c r="D2757" s="65"/>
      <c r="E2757" s="65"/>
      <c r="F2757" s="65"/>
      <c r="G2757" s="65"/>
      <c r="I2757" s="5"/>
      <c r="J2757" s="5"/>
    </row>
    <row r="2758" spans="1:10" x14ac:dyDescent="0.2">
      <c r="A2758" s="55"/>
      <c r="B2758" s="55"/>
      <c r="C2758" s="65"/>
      <c r="D2758" s="65"/>
      <c r="E2758" s="65"/>
      <c r="F2758" s="65"/>
      <c r="G2758" s="65"/>
      <c r="I2758" s="5"/>
      <c r="J2758" s="5"/>
    </row>
    <row r="2759" spans="1:10" x14ac:dyDescent="0.2">
      <c r="A2759" s="55"/>
      <c r="B2759" s="55"/>
      <c r="C2759" s="65"/>
      <c r="D2759" s="65"/>
      <c r="E2759" s="65"/>
      <c r="F2759" s="65"/>
      <c r="G2759" s="65"/>
      <c r="I2759" s="5"/>
      <c r="J2759" s="5"/>
    </row>
    <row r="2760" spans="1:10" x14ac:dyDescent="0.2">
      <c r="A2760" s="55"/>
      <c r="B2760" s="55"/>
      <c r="C2760" s="65"/>
      <c r="D2760" s="65"/>
      <c r="E2760" s="65"/>
      <c r="F2760" s="65"/>
      <c r="G2760" s="65"/>
      <c r="I2760" s="5"/>
      <c r="J2760" s="5"/>
    </row>
    <row r="2761" spans="1:10" x14ac:dyDescent="0.2">
      <c r="A2761" s="55"/>
      <c r="B2761" s="55"/>
      <c r="C2761" s="65"/>
      <c r="D2761" s="65"/>
      <c r="E2761" s="65"/>
      <c r="F2761" s="65"/>
      <c r="G2761" s="65"/>
      <c r="I2761" s="5"/>
      <c r="J2761" s="5"/>
    </row>
    <row r="2762" spans="1:10" x14ac:dyDescent="0.2">
      <c r="A2762" s="55"/>
      <c r="B2762" s="55"/>
      <c r="C2762" s="65"/>
      <c r="D2762" s="65"/>
      <c r="E2762" s="65"/>
      <c r="F2762" s="65"/>
      <c r="G2762" s="65"/>
      <c r="I2762" s="5"/>
      <c r="J2762" s="5"/>
    </row>
    <row r="2763" spans="1:10" x14ac:dyDescent="0.2">
      <c r="A2763" s="55"/>
      <c r="B2763" s="55"/>
      <c r="C2763" s="65"/>
      <c r="D2763" s="65"/>
      <c r="E2763" s="65"/>
      <c r="F2763" s="65"/>
      <c r="G2763" s="65"/>
      <c r="I2763" s="5"/>
      <c r="J2763" s="5"/>
    </row>
    <row r="2764" spans="1:10" x14ac:dyDescent="0.2">
      <c r="A2764" s="55"/>
      <c r="B2764" s="55"/>
      <c r="C2764" s="65"/>
      <c r="D2764" s="65"/>
      <c r="E2764" s="65"/>
      <c r="F2764" s="65"/>
      <c r="G2764" s="65"/>
      <c r="I2764" s="5"/>
      <c r="J2764" s="5"/>
    </row>
    <row r="2765" spans="1:10" x14ac:dyDescent="0.2">
      <c r="A2765" s="55"/>
      <c r="B2765" s="55"/>
      <c r="C2765" s="65"/>
      <c r="D2765" s="65"/>
      <c r="E2765" s="65"/>
      <c r="F2765" s="65"/>
      <c r="G2765" s="65"/>
      <c r="I2765" s="5"/>
      <c r="J2765" s="5"/>
    </row>
    <row r="2766" spans="1:10" x14ac:dyDescent="0.2">
      <c r="A2766" s="55"/>
      <c r="B2766" s="55"/>
      <c r="C2766" s="65"/>
      <c r="D2766" s="65"/>
      <c r="E2766" s="65"/>
      <c r="F2766" s="65"/>
      <c r="G2766" s="65"/>
      <c r="I2766" s="5"/>
      <c r="J2766" s="5"/>
    </row>
    <row r="2767" spans="1:10" x14ac:dyDescent="0.2">
      <c r="A2767" s="55"/>
      <c r="B2767" s="55"/>
      <c r="C2767" s="65"/>
      <c r="D2767" s="65"/>
      <c r="E2767" s="65"/>
      <c r="F2767" s="65"/>
      <c r="G2767" s="65"/>
      <c r="I2767" s="5"/>
      <c r="J2767" s="5"/>
    </row>
    <row r="2768" spans="1:10" x14ac:dyDescent="0.2">
      <c r="A2768" s="55"/>
      <c r="B2768" s="55"/>
      <c r="C2768" s="65"/>
      <c r="D2768" s="65"/>
      <c r="E2768" s="65"/>
      <c r="F2768" s="65"/>
      <c r="G2768" s="65"/>
      <c r="I2768" s="5"/>
      <c r="J2768" s="5"/>
    </row>
    <row r="2769" spans="1:10" x14ac:dyDescent="0.2">
      <c r="A2769" s="55"/>
      <c r="B2769" s="55"/>
      <c r="C2769" s="65"/>
      <c r="D2769" s="65"/>
      <c r="E2769" s="65"/>
      <c r="F2769" s="65"/>
      <c r="G2769" s="65"/>
      <c r="I2769" s="5"/>
      <c r="J2769" s="5"/>
    </row>
    <row r="2770" spans="1:10" x14ac:dyDescent="0.2">
      <c r="A2770" s="55"/>
      <c r="B2770" s="55"/>
      <c r="C2770" s="65"/>
      <c r="D2770" s="65"/>
      <c r="E2770" s="65"/>
      <c r="F2770" s="65"/>
      <c r="G2770" s="65"/>
      <c r="I2770" s="5"/>
      <c r="J2770" s="5"/>
    </row>
    <row r="2771" spans="1:10" x14ac:dyDescent="0.2">
      <c r="A2771" s="55"/>
      <c r="B2771" s="55"/>
      <c r="C2771" s="65"/>
      <c r="D2771" s="65"/>
      <c r="E2771" s="65"/>
      <c r="F2771" s="65"/>
      <c r="G2771" s="65"/>
      <c r="I2771" s="5"/>
      <c r="J2771" s="5"/>
    </row>
    <row r="2772" spans="1:10" x14ac:dyDescent="0.2">
      <c r="A2772" s="55"/>
      <c r="B2772" s="55"/>
      <c r="C2772" s="65"/>
      <c r="D2772" s="65"/>
      <c r="E2772" s="65"/>
      <c r="F2772" s="65"/>
      <c r="G2772" s="65"/>
      <c r="I2772" s="5"/>
      <c r="J2772" s="5"/>
    </row>
    <row r="2773" spans="1:10" x14ac:dyDescent="0.2">
      <c r="A2773" s="55"/>
      <c r="B2773" s="55"/>
      <c r="C2773" s="65"/>
      <c r="D2773" s="65"/>
      <c r="E2773" s="65"/>
      <c r="F2773" s="65"/>
      <c r="G2773" s="65"/>
      <c r="I2773" s="5"/>
      <c r="J2773" s="5"/>
    </row>
    <row r="2774" spans="1:10" x14ac:dyDescent="0.2">
      <c r="A2774" s="55"/>
      <c r="B2774" s="55"/>
      <c r="C2774" s="65"/>
      <c r="D2774" s="65"/>
      <c r="E2774" s="65"/>
      <c r="F2774" s="65"/>
      <c r="G2774" s="65"/>
      <c r="I2774" s="5"/>
      <c r="J2774" s="5"/>
    </row>
    <row r="2775" spans="1:10" x14ac:dyDescent="0.2">
      <c r="A2775" s="55"/>
      <c r="B2775" s="55"/>
      <c r="C2775" s="65"/>
      <c r="D2775" s="65"/>
      <c r="E2775" s="65"/>
      <c r="F2775" s="65"/>
      <c r="G2775" s="65"/>
      <c r="I2775" s="5"/>
      <c r="J2775" s="5"/>
    </row>
    <row r="2776" spans="1:10" x14ac:dyDescent="0.2">
      <c r="A2776" s="55"/>
      <c r="B2776" s="55"/>
      <c r="C2776" s="65"/>
      <c r="D2776" s="65"/>
      <c r="E2776" s="65"/>
      <c r="F2776" s="65"/>
      <c r="G2776" s="65"/>
      <c r="I2776" s="5"/>
      <c r="J2776" s="5"/>
    </row>
    <row r="2777" spans="1:10" x14ac:dyDescent="0.2">
      <c r="A2777" s="55"/>
      <c r="B2777" s="55"/>
      <c r="C2777" s="65"/>
      <c r="D2777" s="65"/>
      <c r="E2777" s="65"/>
      <c r="F2777" s="65"/>
      <c r="G2777" s="65"/>
      <c r="I2777" s="5"/>
      <c r="J2777" s="5"/>
    </row>
    <row r="2778" spans="1:10" x14ac:dyDescent="0.2">
      <c r="A2778" s="55"/>
      <c r="B2778" s="55"/>
      <c r="C2778" s="65"/>
      <c r="D2778" s="65"/>
      <c r="E2778" s="65"/>
      <c r="F2778" s="65"/>
      <c r="G2778" s="65"/>
      <c r="I2778" s="5"/>
      <c r="J2778" s="5"/>
    </row>
    <row r="2779" spans="1:10" x14ac:dyDescent="0.2">
      <c r="A2779" s="55"/>
      <c r="B2779" s="55"/>
      <c r="C2779" s="65"/>
      <c r="D2779" s="65"/>
      <c r="E2779" s="65"/>
      <c r="F2779" s="65"/>
      <c r="G2779" s="65"/>
      <c r="I2779" s="5"/>
      <c r="J2779" s="5"/>
    </row>
    <row r="2780" spans="1:10" x14ac:dyDescent="0.2">
      <c r="A2780" s="55"/>
      <c r="B2780" s="55"/>
      <c r="C2780" s="65"/>
      <c r="D2780" s="65"/>
      <c r="E2780" s="65"/>
      <c r="F2780" s="65"/>
      <c r="G2780" s="65"/>
      <c r="I2780" s="5"/>
      <c r="J2780" s="5"/>
    </row>
    <row r="2781" spans="1:10" x14ac:dyDescent="0.2">
      <c r="A2781" s="55"/>
      <c r="B2781" s="55"/>
      <c r="C2781" s="65"/>
      <c r="D2781" s="65"/>
      <c r="E2781" s="65"/>
      <c r="F2781" s="65"/>
      <c r="G2781" s="65"/>
      <c r="I2781" s="5"/>
      <c r="J2781" s="5"/>
    </row>
    <row r="2782" spans="1:10" x14ac:dyDescent="0.2">
      <c r="A2782" s="55"/>
      <c r="B2782" s="55"/>
      <c r="C2782" s="65"/>
      <c r="D2782" s="65"/>
      <c r="E2782" s="65"/>
      <c r="F2782" s="65"/>
      <c r="G2782" s="65"/>
      <c r="I2782" s="5"/>
      <c r="J2782" s="5"/>
    </row>
    <row r="2783" spans="1:10" x14ac:dyDescent="0.2">
      <c r="A2783" s="55"/>
      <c r="B2783" s="55"/>
      <c r="C2783" s="65"/>
      <c r="D2783" s="65"/>
      <c r="E2783" s="65"/>
      <c r="F2783" s="65"/>
      <c r="G2783" s="65"/>
      <c r="I2783" s="5"/>
      <c r="J2783" s="5"/>
    </row>
    <row r="2784" spans="1:10" x14ac:dyDescent="0.2">
      <c r="A2784" s="55"/>
      <c r="B2784" s="55"/>
      <c r="C2784" s="65"/>
      <c r="D2784" s="65"/>
      <c r="E2784" s="65"/>
      <c r="F2784" s="65"/>
      <c r="G2784" s="65"/>
      <c r="I2784" s="5"/>
      <c r="J2784" s="5"/>
    </row>
    <row r="2785" spans="1:10" x14ac:dyDescent="0.2">
      <c r="A2785" s="55"/>
      <c r="B2785" s="55"/>
      <c r="C2785" s="65"/>
      <c r="D2785" s="65"/>
      <c r="E2785" s="65"/>
      <c r="F2785" s="65"/>
      <c r="G2785" s="65"/>
      <c r="I2785" s="5"/>
      <c r="J2785" s="5"/>
    </row>
    <row r="2786" spans="1:10" x14ac:dyDescent="0.2">
      <c r="A2786" s="55"/>
      <c r="B2786" s="55"/>
      <c r="C2786" s="65"/>
      <c r="D2786" s="65"/>
      <c r="E2786" s="65"/>
      <c r="F2786" s="65"/>
      <c r="G2786" s="65"/>
      <c r="I2786" s="5"/>
      <c r="J2786" s="5"/>
    </row>
    <row r="2787" spans="1:10" x14ac:dyDescent="0.2">
      <c r="A2787" s="55"/>
      <c r="B2787" s="55"/>
      <c r="C2787" s="65"/>
      <c r="D2787" s="65"/>
      <c r="E2787" s="65"/>
      <c r="F2787" s="65"/>
      <c r="G2787" s="65"/>
      <c r="I2787" s="5"/>
      <c r="J2787" s="5"/>
    </row>
    <row r="2788" spans="1:10" x14ac:dyDescent="0.2">
      <c r="A2788" s="55"/>
      <c r="B2788" s="55"/>
      <c r="C2788" s="65"/>
      <c r="D2788" s="65"/>
      <c r="E2788" s="65"/>
      <c r="F2788" s="65"/>
      <c r="G2788" s="65"/>
      <c r="I2788" s="5"/>
      <c r="J2788" s="5"/>
    </row>
    <row r="2789" spans="1:10" x14ac:dyDescent="0.2">
      <c r="A2789" s="55"/>
      <c r="B2789" s="55"/>
      <c r="C2789" s="65"/>
      <c r="D2789" s="65"/>
      <c r="E2789" s="65"/>
      <c r="F2789" s="65"/>
      <c r="G2789" s="65"/>
      <c r="I2789" s="5"/>
      <c r="J2789" s="5"/>
    </row>
    <row r="2790" spans="1:10" x14ac:dyDescent="0.2">
      <c r="A2790" s="55"/>
      <c r="B2790" s="55"/>
      <c r="C2790" s="65"/>
      <c r="D2790" s="65"/>
      <c r="E2790" s="65"/>
      <c r="F2790" s="65"/>
      <c r="G2790" s="65"/>
      <c r="I2790" s="5"/>
      <c r="J2790" s="5"/>
    </row>
    <row r="2791" spans="1:10" x14ac:dyDescent="0.2">
      <c r="A2791" s="55"/>
      <c r="B2791" s="55"/>
      <c r="C2791" s="65"/>
      <c r="D2791" s="65"/>
      <c r="E2791" s="65"/>
      <c r="F2791" s="65"/>
      <c r="G2791" s="65"/>
      <c r="I2791" s="5"/>
      <c r="J2791" s="5"/>
    </row>
    <row r="2792" spans="1:10" x14ac:dyDescent="0.2">
      <c r="A2792" s="55"/>
      <c r="B2792" s="55"/>
      <c r="C2792" s="65"/>
      <c r="D2792" s="65"/>
      <c r="E2792" s="65"/>
      <c r="F2792" s="65"/>
      <c r="G2792" s="65"/>
      <c r="I2792" s="5"/>
      <c r="J2792" s="5"/>
    </row>
    <row r="2793" spans="1:10" x14ac:dyDescent="0.2">
      <c r="A2793" s="55"/>
      <c r="B2793" s="55"/>
      <c r="C2793" s="65"/>
      <c r="D2793" s="65"/>
      <c r="E2793" s="65"/>
      <c r="F2793" s="65"/>
      <c r="G2793" s="65"/>
      <c r="I2793" s="5"/>
      <c r="J2793" s="5"/>
    </row>
    <row r="2794" spans="1:10" x14ac:dyDescent="0.2">
      <c r="A2794" s="55"/>
      <c r="B2794" s="55"/>
      <c r="C2794" s="65"/>
      <c r="D2794" s="65"/>
      <c r="E2794" s="65"/>
      <c r="F2794" s="65"/>
      <c r="G2794" s="65"/>
      <c r="I2794" s="5"/>
      <c r="J2794" s="5"/>
    </row>
    <row r="2795" spans="1:10" x14ac:dyDescent="0.2">
      <c r="A2795" s="55"/>
      <c r="B2795" s="55"/>
      <c r="C2795" s="65"/>
      <c r="D2795" s="65"/>
      <c r="E2795" s="65"/>
      <c r="F2795" s="65"/>
      <c r="G2795" s="65"/>
      <c r="I2795" s="5"/>
      <c r="J2795" s="5"/>
    </row>
    <row r="2796" spans="1:10" x14ac:dyDescent="0.2">
      <c r="A2796" s="55"/>
      <c r="B2796" s="55"/>
      <c r="C2796" s="65"/>
      <c r="D2796" s="65"/>
      <c r="E2796" s="65"/>
      <c r="F2796" s="65"/>
      <c r="G2796" s="65"/>
      <c r="I2796" s="5"/>
      <c r="J2796" s="5"/>
    </row>
    <row r="2797" spans="1:10" x14ac:dyDescent="0.2">
      <c r="A2797" s="55"/>
      <c r="B2797" s="55"/>
      <c r="C2797" s="65"/>
      <c r="D2797" s="65"/>
      <c r="E2797" s="65"/>
      <c r="F2797" s="65"/>
      <c r="G2797" s="65"/>
      <c r="I2797" s="5"/>
      <c r="J2797" s="5"/>
    </row>
    <row r="2798" spans="1:10" x14ac:dyDescent="0.2">
      <c r="A2798" s="55"/>
      <c r="B2798" s="55"/>
      <c r="C2798" s="65"/>
      <c r="D2798" s="65"/>
      <c r="E2798" s="65"/>
      <c r="F2798" s="65"/>
      <c r="G2798" s="65"/>
      <c r="I2798" s="5"/>
      <c r="J2798" s="5"/>
    </row>
    <row r="2799" spans="1:10" x14ac:dyDescent="0.2">
      <c r="A2799" s="55"/>
      <c r="B2799" s="55"/>
      <c r="C2799" s="65"/>
      <c r="D2799" s="65"/>
      <c r="E2799" s="65"/>
      <c r="F2799" s="65"/>
      <c r="G2799" s="65"/>
      <c r="I2799" s="5"/>
      <c r="J2799" s="5"/>
    </row>
    <row r="2800" spans="1:10" x14ac:dyDescent="0.2">
      <c r="A2800" s="55"/>
      <c r="B2800" s="55"/>
      <c r="C2800" s="65"/>
      <c r="D2800" s="65"/>
      <c r="E2800" s="65"/>
      <c r="F2800" s="65"/>
      <c r="G2800" s="65"/>
      <c r="I2800" s="5"/>
      <c r="J2800" s="5"/>
    </row>
    <row r="2801" spans="1:10" x14ac:dyDescent="0.2">
      <c r="A2801" s="55"/>
      <c r="B2801" s="55"/>
      <c r="C2801" s="65"/>
      <c r="D2801" s="65"/>
      <c r="E2801" s="65"/>
      <c r="F2801" s="65"/>
      <c r="G2801" s="65"/>
      <c r="I2801" s="5"/>
      <c r="J2801" s="5"/>
    </row>
    <row r="2802" spans="1:10" x14ac:dyDescent="0.2">
      <c r="A2802" s="55"/>
      <c r="B2802" s="55"/>
      <c r="C2802" s="65"/>
      <c r="D2802" s="65"/>
      <c r="E2802" s="65"/>
      <c r="F2802" s="65"/>
      <c r="G2802" s="65"/>
      <c r="I2802" s="5"/>
      <c r="J2802" s="5"/>
    </row>
    <row r="2803" spans="1:10" x14ac:dyDescent="0.2">
      <c r="A2803" s="55"/>
      <c r="B2803" s="55"/>
      <c r="C2803" s="65"/>
      <c r="D2803" s="65"/>
      <c r="E2803" s="65"/>
      <c r="F2803" s="65"/>
      <c r="G2803" s="65"/>
      <c r="I2803" s="5"/>
      <c r="J2803" s="5"/>
    </row>
    <row r="2804" spans="1:10" x14ac:dyDescent="0.2">
      <c r="A2804" s="55"/>
      <c r="B2804" s="55"/>
      <c r="C2804" s="65"/>
      <c r="D2804" s="65"/>
      <c r="E2804" s="65"/>
      <c r="F2804" s="65"/>
      <c r="G2804" s="65"/>
      <c r="I2804" s="5"/>
      <c r="J2804" s="5"/>
    </row>
    <row r="2805" spans="1:10" x14ac:dyDescent="0.2">
      <c r="A2805" s="55"/>
      <c r="B2805" s="55"/>
      <c r="C2805" s="65"/>
      <c r="D2805" s="65"/>
      <c r="E2805" s="65"/>
      <c r="F2805" s="65"/>
      <c r="G2805" s="65"/>
      <c r="I2805" s="5"/>
      <c r="J2805" s="5"/>
    </row>
    <row r="2806" spans="1:10" x14ac:dyDescent="0.2">
      <c r="A2806" s="55"/>
      <c r="B2806" s="55"/>
      <c r="C2806" s="65"/>
      <c r="D2806" s="65"/>
      <c r="E2806" s="65"/>
      <c r="F2806" s="65"/>
      <c r="G2806" s="65"/>
      <c r="I2806" s="5"/>
      <c r="J2806" s="5"/>
    </row>
    <row r="2807" spans="1:10" x14ac:dyDescent="0.2">
      <c r="A2807" s="55"/>
      <c r="B2807" s="55"/>
      <c r="C2807" s="65"/>
      <c r="D2807" s="65"/>
      <c r="E2807" s="65"/>
      <c r="F2807" s="65"/>
      <c r="G2807" s="65"/>
      <c r="I2807" s="5"/>
      <c r="J2807" s="5"/>
    </row>
    <row r="2808" spans="1:10" x14ac:dyDescent="0.2">
      <c r="A2808" s="55"/>
      <c r="B2808" s="55"/>
      <c r="C2808" s="65"/>
      <c r="D2808" s="65"/>
      <c r="E2808" s="65"/>
      <c r="F2808" s="65"/>
      <c r="G2808" s="65"/>
      <c r="I2808" s="5"/>
      <c r="J2808" s="5"/>
    </row>
    <row r="2809" spans="1:10" x14ac:dyDescent="0.2">
      <c r="A2809" s="55"/>
      <c r="B2809" s="55"/>
      <c r="C2809" s="65"/>
      <c r="D2809" s="65"/>
      <c r="E2809" s="65"/>
      <c r="F2809" s="65"/>
      <c r="G2809" s="65"/>
      <c r="I2809" s="5"/>
      <c r="J2809" s="5"/>
    </row>
    <row r="2810" spans="1:10" x14ac:dyDescent="0.2">
      <c r="A2810" s="55"/>
      <c r="B2810" s="55"/>
      <c r="C2810" s="65"/>
      <c r="D2810" s="65"/>
      <c r="E2810" s="65"/>
      <c r="F2810" s="65"/>
      <c r="G2810" s="65"/>
      <c r="I2810" s="5"/>
      <c r="J2810" s="5"/>
    </row>
    <row r="2811" spans="1:10" x14ac:dyDescent="0.2">
      <c r="A2811" s="55"/>
      <c r="B2811" s="55"/>
      <c r="C2811" s="65"/>
      <c r="D2811" s="65"/>
      <c r="E2811" s="65"/>
      <c r="F2811" s="65"/>
      <c r="G2811" s="65"/>
      <c r="I2811" s="5"/>
      <c r="J2811" s="5"/>
    </row>
    <row r="2812" spans="1:10" x14ac:dyDescent="0.2">
      <c r="A2812" s="55"/>
      <c r="B2812" s="55"/>
      <c r="C2812" s="65"/>
      <c r="D2812" s="65"/>
      <c r="E2812" s="65"/>
      <c r="F2812" s="65"/>
      <c r="G2812" s="65"/>
      <c r="I2812" s="5"/>
      <c r="J2812" s="5"/>
    </row>
    <row r="2813" spans="1:10" x14ac:dyDescent="0.2">
      <c r="A2813" s="55"/>
      <c r="B2813" s="55"/>
      <c r="C2813" s="65"/>
      <c r="D2813" s="65"/>
      <c r="E2813" s="65"/>
      <c r="F2813" s="65"/>
      <c r="G2813" s="65"/>
      <c r="I2813" s="5"/>
      <c r="J2813" s="5"/>
    </row>
    <row r="2814" spans="1:10" x14ac:dyDescent="0.2">
      <c r="A2814" s="55"/>
      <c r="B2814" s="55"/>
      <c r="C2814" s="65"/>
      <c r="D2814" s="65"/>
      <c r="E2814" s="65"/>
      <c r="F2814" s="65"/>
      <c r="G2814" s="65"/>
      <c r="I2814" s="5"/>
      <c r="J2814" s="5"/>
    </row>
    <row r="2815" spans="1:10" x14ac:dyDescent="0.2">
      <c r="A2815" s="55"/>
      <c r="B2815" s="55"/>
      <c r="C2815" s="65"/>
      <c r="D2815" s="65"/>
      <c r="E2815" s="65"/>
      <c r="F2815" s="65"/>
      <c r="G2815" s="65"/>
      <c r="I2815" s="5"/>
      <c r="J2815" s="5"/>
    </row>
    <row r="2816" spans="1:10" x14ac:dyDescent="0.2">
      <c r="A2816" s="55"/>
      <c r="B2816" s="55"/>
      <c r="C2816" s="65"/>
      <c r="D2816" s="65"/>
      <c r="E2816" s="65"/>
      <c r="F2816" s="65"/>
      <c r="G2816" s="65"/>
      <c r="I2816" s="5"/>
      <c r="J2816" s="5"/>
    </row>
    <row r="2817" spans="1:10" x14ac:dyDescent="0.2">
      <c r="A2817" s="55"/>
      <c r="B2817" s="55"/>
      <c r="C2817" s="65"/>
      <c r="D2817" s="65"/>
      <c r="E2817" s="65"/>
      <c r="F2817" s="65"/>
      <c r="G2817" s="65"/>
      <c r="I2817" s="5"/>
      <c r="J2817" s="5"/>
    </row>
    <row r="2818" spans="1:10" x14ac:dyDescent="0.2">
      <c r="A2818" s="55"/>
      <c r="B2818" s="55"/>
      <c r="C2818" s="65"/>
      <c r="D2818" s="65"/>
      <c r="E2818" s="65"/>
      <c r="F2818" s="65"/>
      <c r="G2818" s="65"/>
      <c r="I2818" s="5"/>
      <c r="J2818" s="5"/>
    </row>
    <row r="2819" spans="1:10" x14ac:dyDescent="0.2">
      <c r="A2819" s="55"/>
      <c r="B2819" s="55"/>
      <c r="C2819" s="65"/>
      <c r="D2819" s="65"/>
      <c r="E2819" s="65"/>
      <c r="F2819" s="65"/>
      <c r="G2819" s="65"/>
      <c r="I2819" s="5"/>
      <c r="J2819" s="5"/>
    </row>
    <row r="2820" spans="1:10" x14ac:dyDescent="0.2">
      <c r="A2820" s="55"/>
      <c r="B2820" s="55"/>
      <c r="C2820" s="65"/>
      <c r="D2820" s="65"/>
      <c r="E2820" s="65"/>
      <c r="F2820" s="65"/>
      <c r="G2820" s="65"/>
      <c r="I2820" s="5"/>
      <c r="J2820" s="5"/>
    </row>
    <row r="2821" spans="1:10" x14ac:dyDescent="0.2">
      <c r="A2821" s="55"/>
      <c r="B2821" s="55"/>
      <c r="C2821" s="65"/>
      <c r="D2821" s="65"/>
      <c r="E2821" s="65"/>
      <c r="F2821" s="65"/>
      <c r="G2821" s="65"/>
      <c r="I2821" s="5"/>
      <c r="J2821" s="5"/>
    </row>
    <row r="2822" spans="1:10" x14ac:dyDescent="0.2">
      <c r="A2822" s="55"/>
      <c r="B2822" s="55"/>
      <c r="C2822" s="65"/>
      <c r="D2822" s="65"/>
      <c r="E2822" s="65"/>
      <c r="F2822" s="65"/>
      <c r="G2822" s="65"/>
      <c r="I2822" s="5"/>
      <c r="J2822" s="5"/>
    </row>
    <row r="2823" spans="1:10" x14ac:dyDescent="0.2">
      <c r="A2823" s="55"/>
      <c r="B2823" s="55"/>
      <c r="C2823" s="65"/>
      <c r="D2823" s="65"/>
      <c r="E2823" s="65"/>
      <c r="F2823" s="65"/>
      <c r="G2823" s="65"/>
      <c r="I2823" s="5"/>
      <c r="J2823" s="5"/>
    </row>
    <row r="2824" spans="1:10" x14ac:dyDescent="0.2">
      <c r="A2824" s="55"/>
      <c r="B2824" s="55"/>
      <c r="C2824" s="65"/>
      <c r="D2824" s="65"/>
      <c r="E2824" s="65"/>
      <c r="F2824" s="65"/>
      <c r="G2824" s="65"/>
      <c r="I2824" s="5"/>
      <c r="J2824" s="5"/>
    </row>
    <row r="2825" spans="1:10" x14ac:dyDescent="0.2">
      <c r="A2825" s="55"/>
      <c r="B2825" s="55"/>
      <c r="C2825" s="65"/>
      <c r="D2825" s="65"/>
      <c r="E2825" s="65"/>
      <c r="F2825" s="65"/>
      <c r="G2825" s="65"/>
      <c r="I2825" s="5"/>
      <c r="J2825" s="5"/>
    </row>
    <row r="2826" spans="1:10" x14ac:dyDescent="0.2">
      <c r="A2826" s="55"/>
      <c r="B2826" s="55"/>
      <c r="C2826" s="65"/>
      <c r="D2826" s="65"/>
      <c r="E2826" s="65"/>
      <c r="F2826" s="65"/>
      <c r="G2826" s="65"/>
      <c r="I2826" s="5"/>
      <c r="J2826" s="5"/>
    </row>
    <row r="2827" spans="1:10" x14ac:dyDescent="0.2">
      <c r="A2827" s="55"/>
      <c r="B2827" s="55"/>
      <c r="C2827" s="65"/>
      <c r="D2827" s="65"/>
      <c r="E2827" s="65"/>
      <c r="F2827" s="65"/>
      <c r="G2827" s="65"/>
      <c r="I2827" s="5"/>
      <c r="J2827" s="5"/>
    </row>
    <row r="2828" spans="1:10" x14ac:dyDescent="0.2">
      <c r="A2828" s="55"/>
      <c r="B2828" s="55"/>
      <c r="C2828" s="65"/>
      <c r="D2828" s="65"/>
      <c r="E2828" s="65"/>
      <c r="F2828" s="65"/>
      <c r="G2828" s="65"/>
      <c r="I2828" s="5"/>
      <c r="J2828" s="5"/>
    </row>
    <row r="2829" spans="1:10" x14ac:dyDescent="0.2">
      <c r="A2829" s="55"/>
      <c r="B2829" s="55"/>
      <c r="C2829" s="65"/>
      <c r="D2829" s="65"/>
      <c r="E2829" s="65"/>
      <c r="F2829" s="65"/>
      <c r="G2829" s="65"/>
      <c r="I2829" s="5"/>
      <c r="J2829" s="5"/>
    </row>
    <row r="2830" spans="1:10" x14ac:dyDescent="0.2">
      <c r="A2830" s="55"/>
      <c r="B2830" s="55"/>
      <c r="C2830" s="65"/>
      <c r="D2830" s="65"/>
      <c r="E2830" s="65"/>
      <c r="F2830" s="65"/>
      <c r="G2830" s="65"/>
      <c r="I2830" s="5"/>
      <c r="J2830" s="5"/>
    </row>
    <row r="2831" spans="1:10" x14ac:dyDescent="0.2">
      <c r="A2831" s="55"/>
      <c r="B2831" s="55"/>
      <c r="C2831" s="65"/>
      <c r="D2831" s="65"/>
      <c r="E2831" s="65"/>
      <c r="F2831" s="65"/>
      <c r="G2831" s="65"/>
      <c r="I2831" s="5"/>
      <c r="J2831" s="5"/>
    </row>
    <row r="2832" spans="1:10" x14ac:dyDescent="0.2">
      <c r="A2832" s="55"/>
      <c r="B2832" s="55"/>
      <c r="C2832" s="65"/>
      <c r="D2832" s="65"/>
      <c r="E2832" s="65"/>
      <c r="F2832" s="65"/>
      <c r="G2832" s="65"/>
      <c r="I2832" s="5"/>
      <c r="J2832" s="5"/>
    </row>
    <row r="2833" spans="1:10" x14ac:dyDescent="0.2">
      <c r="A2833" s="55"/>
      <c r="B2833" s="55"/>
      <c r="C2833" s="65"/>
      <c r="D2833" s="65"/>
      <c r="E2833" s="65"/>
      <c r="F2833" s="65"/>
      <c r="G2833" s="65"/>
      <c r="I2833" s="5"/>
      <c r="J2833" s="5"/>
    </row>
    <row r="2834" spans="1:10" x14ac:dyDescent="0.2">
      <c r="A2834" s="55"/>
      <c r="B2834" s="55"/>
      <c r="C2834" s="65"/>
      <c r="D2834" s="65"/>
      <c r="E2834" s="65"/>
      <c r="F2834" s="65"/>
      <c r="G2834" s="65"/>
      <c r="I2834" s="5"/>
      <c r="J2834" s="5"/>
    </row>
    <row r="2835" spans="1:10" x14ac:dyDescent="0.2">
      <c r="A2835" s="55"/>
      <c r="B2835" s="55"/>
      <c r="C2835" s="65"/>
      <c r="D2835" s="65"/>
      <c r="E2835" s="65"/>
      <c r="F2835" s="65"/>
      <c r="G2835" s="65"/>
      <c r="I2835" s="5"/>
      <c r="J2835" s="5"/>
    </row>
    <row r="2836" spans="1:10" x14ac:dyDescent="0.2">
      <c r="A2836" s="55"/>
      <c r="B2836" s="55"/>
      <c r="C2836" s="65"/>
      <c r="D2836" s="65"/>
      <c r="E2836" s="65"/>
      <c r="F2836" s="65"/>
      <c r="G2836" s="65"/>
      <c r="I2836" s="5"/>
      <c r="J2836" s="5"/>
    </row>
    <row r="2837" spans="1:10" x14ac:dyDescent="0.2">
      <c r="A2837" s="55"/>
      <c r="B2837" s="55"/>
      <c r="C2837" s="65"/>
      <c r="D2837" s="65"/>
      <c r="E2837" s="65"/>
      <c r="F2837" s="65"/>
      <c r="G2837" s="65"/>
      <c r="I2837" s="5"/>
      <c r="J2837" s="5"/>
    </row>
    <row r="2838" spans="1:10" x14ac:dyDescent="0.2">
      <c r="A2838" s="55"/>
      <c r="B2838" s="55"/>
      <c r="C2838" s="65"/>
      <c r="D2838" s="65"/>
      <c r="E2838" s="65"/>
      <c r="F2838" s="65"/>
      <c r="G2838" s="65"/>
      <c r="I2838" s="5"/>
      <c r="J2838" s="5"/>
    </row>
    <row r="2839" spans="1:10" x14ac:dyDescent="0.2">
      <c r="A2839" s="55"/>
      <c r="B2839" s="55"/>
      <c r="C2839" s="65"/>
      <c r="D2839" s="65"/>
      <c r="E2839" s="65"/>
      <c r="F2839" s="65"/>
      <c r="G2839" s="65"/>
      <c r="I2839" s="5"/>
      <c r="J2839" s="5"/>
    </row>
    <row r="2840" spans="1:10" x14ac:dyDescent="0.2">
      <c r="A2840" s="55"/>
      <c r="B2840" s="55"/>
      <c r="C2840" s="65"/>
      <c r="D2840" s="65"/>
      <c r="E2840" s="65"/>
      <c r="F2840" s="65"/>
      <c r="G2840" s="65"/>
      <c r="I2840" s="5"/>
      <c r="J2840" s="5"/>
    </row>
    <row r="2841" spans="1:10" x14ac:dyDescent="0.2">
      <c r="A2841" s="55"/>
      <c r="B2841" s="55"/>
      <c r="C2841" s="65"/>
      <c r="D2841" s="65"/>
      <c r="E2841" s="65"/>
      <c r="F2841" s="65"/>
      <c r="G2841" s="65"/>
      <c r="I2841" s="5"/>
      <c r="J2841" s="5"/>
    </row>
    <row r="2842" spans="1:10" x14ac:dyDescent="0.2">
      <c r="A2842" s="55"/>
      <c r="B2842" s="55"/>
      <c r="C2842" s="65"/>
      <c r="D2842" s="65"/>
      <c r="E2842" s="65"/>
      <c r="F2842" s="65"/>
      <c r="G2842" s="65"/>
      <c r="I2842" s="5"/>
      <c r="J2842" s="5"/>
    </row>
    <row r="2843" spans="1:10" x14ac:dyDescent="0.2">
      <c r="A2843" s="55"/>
      <c r="B2843" s="55"/>
      <c r="C2843" s="65"/>
      <c r="D2843" s="65"/>
      <c r="E2843" s="65"/>
      <c r="F2843" s="65"/>
      <c r="G2843" s="65"/>
      <c r="I2843" s="5"/>
      <c r="J2843" s="5"/>
    </row>
    <row r="2844" spans="1:10" x14ac:dyDescent="0.2">
      <c r="A2844" s="55"/>
      <c r="B2844" s="55"/>
      <c r="C2844" s="65"/>
      <c r="D2844" s="65"/>
      <c r="E2844" s="65"/>
      <c r="F2844" s="65"/>
      <c r="G2844" s="65"/>
      <c r="I2844" s="5"/>
      <c r="J2844" s="5"/>
    </row>
    <row r="2845" spans="1:10" x14ac:dyDescent="0.2">
      <c r="A2845" s="55"/>
      <c r="B2845" s="55"/>
      <c r="C2845" s="65"/>
      <c r="D2845" s="65"/>
      <c r="E2845" s="65"/>
      <c r="F2845" s="65"/>
      <c r="G2845" s="65"/>
      <c r="I2845" s="5"/>
      <c r="J2845" s="5"/>
    </row>
    <row r="2846" spans="1:10" x14ac:dyDescent="0.2">
      <c r="A2846" s="55"/>
      <c r="B2846" s="55"/>
      <c r="C2846" s="65"/>
      <c r="D2846" s="65"/>
      <c r="E2846" s="65"/>
      <c r="F2846" s="65"/>
      <c r="G2846" s="65"/>
      <c r="I2846" s="5"/>
      <c r="J2846" s="5"/>
    </row>
    <row r="2847" spans="1:10" x14ac:dyDescent="0.2">
      <c r="A2847" s="55"/>
      <c r="B2847" s="55"/>
      <c r="C2847" s="65"/>
      <c r="D2847" s="65"/>
      <c r="E2847" s="65"/>
      <c r="F2847" s="65"/>
      <c r="G2847" s="65"/>
      <c r="I2847" s="5"/>
      <c r="J2847" s="5"/>
    </row>
    <row r="2848" spans="1:10" x14ac:dyDescent="0.2">
      <c r="A2848" s="55"/>
      <c r="B2848" s="55"/>
      <c r="C2848" s="65"/>
      <c r="D2848" s="65"/>
      <c r="E2848" s="65"/>
      <c r="F2848" s="65"/>
      <c r="G2848" s="65"/>
      <c r="I2848" s="5"/>
      <c r="J2848" s="5"/>
    </row>
    <row r="2849" spans="1:10" x14ac:dyDescent="0.2">
      <c r="A2849" s="55"/>
      <c r="B2849" s="55"/>
      <c r="C2849" s="65"/>
      <c r="D2849" s="65"/>
      <c r="E2849" s="65"/>
      <c r="F2849" s="65"/>
      <c r="G2849" s="65"/>
      <c r="I2849" s="5"/>
      <c r="J2849" s="5"/>
    </row>
    <row r="2850" spans="1:10" x14ac:dyDescent="0.2">
      <c r="A2850" s="55"/>
      <c r="B2850" s="55"/>
      <c r="C2850" s="65"/>
      <c r="D2850" s="65"/>
      <c r="E2850" s="65"/>
      <c r="F2850" s="65"/>
      <c r="G2850" s="65"/>
      <c r="I2850" s="5"/>
      <c r="J2850" s="5"/>
    </row>
    <row r="2851" spans="1:10" x14ac:dyDescent="0.2">
      <c r="A2851" s="55"/>
      <c r="B2851" s="55"/>
      <c r="C2851" s="65"/>
      <c r="D2851" s="65"/>
      <c r="E2851" s="65"/>
      <c r="F2851" s="65"/>
      <c r="G2851" s="65"/>
      <c r="I2851" s="5"/>
      <c r="J2851" s="5"/>
    </row>
    <row r="2852" spans="1:10" x14ac:dyDescent="0.2">
      <c r="A2852" s="55"/>
      <c r="B2852" s="55"/>
      <c r="C2852" s="65"/>
      <c r="D2852" s="65"/>
      <c r="E2852" s="65"/>
      <c r="F2852" s="65"/>
      <c r="G2852" s="65"/>
      <c r="I2852" s="5"/>
      <c r="J2852" s="5"/>
    </row>
    <row r="2853" spans="1:10" x14ac:dyDescent="0.2">
      <c r="A2853" s="55"/>
      <c r="B2853" s="55"/>
      <c r="C2853" s="65"/>
      <c r="D2853" s="65"/>
      <c r="E2853" s="65"/>
      <c r="F2853" s="65"/>
      <c r="G2853" s="65"/>
      <c r="I2853" s="5"/>
      <c r="J2853" s="5"/>
    </row>
    <row r="2854" spans="1:10" x14ac:dyDescent="0.2">
      <c r="A2854" s="55"/>
      <c r="B2854" s="55"/>
      <c r="C2854" s="65"/>
      <c r="D2854" s="65"/>
      <c r="E2854" s="65"/>
      <c r="F2854" s="65"/>
      <c r="G2854" s="65"/>
      <c r="I2854" s="5"/>
      <c r="J2854" s="5"/>
    </row>
    <row r="2855" spans="1:10" x14ac:dyDescent="0.2">
      <c r="A2855" s="55"/>
      <c r="B2855" s="55"/>
      <c r="C2855" s="65"/>
      <c r="D2855" s="65"/>
      <c r="E2855" s="65"/>
      <c r="F2855" s="65"/>
      <c r="G2855" s="65"/>
      <c r="I2855" s="5"/>
      <c r="J2855" s="5"/>
    </row>
    <row r="2856" spans="1:10" x14ac:dyDescent="0.2">
      <c r="A2856" s="55"/>
      <c r="B2856" s="55"/>
      <c r="C2856" s="65"/>
      <c r="D2856" s="65"/>
      <c r="E2856" s="65"/>
      <c r="F2856" s="65"/>
      <c r="G2856" s="65"/>
      <c r="I2856" s="5"/>
      <c r="J2856" s="5"/>
    </row>
    <row r="2857" spans="1:10" x14ac:dyDescent="0.2">
      <c r="A2857" s="55"/>
      <c r="B2857" s="55"/>
      <c r="C2857" s="65"/>
      <c r="D2857" s="65"/>
      <c r="E2857" s="65"/>
      <c r="F2857" s="65"/>
      <c r="G2857" s="65"/>
      <c r="I2857" s="5"/>
      <c r="J2857" s="5"/>
    </row>
    <row r="2858" spans="1:10" x14ac:dyDescent="0.2">
      <c r="A2858" s="55"/>
      <c r="B2858" s="55"/>
      <c r="C2858" s="65"/>
      <c r="D2858" s="65"/>
      <c r="E2858" s="65"/>
      <c r="F2858" s="65"/>
      <c r="G2858" s="65"/>
      <c r="I2858" s="5"/>
      <c r="J2858" s="5"/>
    </row>
    <row r="2859" spans="1:10" x14ac:dyDescent="0.2">
      <c r="A2859" s="55"/>
      <c r="B2859" s="55"/>
      <c r="C2859" s="65"/>
      <c r="D2859" s="65"/>
      <c r="E2859" s="65"/>
      <c r="F2859" s="65"/>
      <c r="G2859" s="65"/>
      <c r="I2859" s="5"/>
      <c r="J2859" s="5"/>
    </row>
    <row r="2860" spans="1:10" x14ac:dyDescent="0.2">
      <c r="A2860" s="55"/>
      <c r="B2860" s="55"/>
      <c r="C2860" s="65"/>
      <c r="D2860" s="65"/>
      <c r="E2860" s="65"/>
      <c r="F2860" s="65"/>
      <c r="G2860" s="65"/>
      <c r="I2860" s="5"/>
      <c r="J2860" s="5"/>
    </row>
    <row r="2861" spans="1:10" x14ac:dyDescent="0.2">
      <c r="A2861" s="55"/>
      <c r="B2861" s="55"/>
      <c r="C2861" s="65"/>
      <c r="D2861" s="65"/>
      <c r="E2861" s="65"/>
      <c r="F2861" s="65"/>
      <c r="G2861" s="65"/>
      <c r="I2861" s="5"/>
      <c r="J2861" s="5"/>
    </row>
    <row r="2862" spans="1:10" x14ac:dyDescent="0.2">
      <c r="A2862" s="55"/>
      <c r="B2862" s="55"/>
      <c r="C2862" s="65"/>
      <c r="D2862" s="65"/>
      <c r="E2862" s="65"/>
      <c r="F2862" s="65"/>
      <c r="G2862" s="65"/>
      <c r="I2862" s="5"/>
      <c r="J2862" s="5"/>
    </row>
    <row r="2863" spans="1:10" x14ac:dyDescent="0.2">
      <c r="A2863" s="55"/>
      <c r="B2863" s="55"/>
      <c r="C2863" s="65"/>
      <c r="D2863" s="65"/>
      <c r="E2863" s="65"/>
      <c r="F2863" s="65"/>
      <c r="G2863" s="65"/>
      <c r="I2863" s="5"/>
      <c r="J2863" s="5"/>
    </row>
    <row r="2864" spans="1:10" x14ac:dyDescent="0.2">
      <c r="A2864" s="55"/>
      <c r="B2864" s="55"/>
      <c r="C2864" s="65"/>
      <c r="D2864" s="65"/>
      <c r="E2864" s="65"/>
      <c r="F2864" s="65"/>
      <c r="G2864" s="65"/>
      <c r="I2864" s="5"/>
      <c r="J2864" s="5"/>
    </row>
    <row r="2865" spans="1:10" x14ac:dyDescent="0.2">
      <c r="A2865" s="55"/>
      <c r="B2865" s="55"/>
      <c r="C2865" s="65"/>
      <c r="D2865" s="65"/>
      <c r="E2865" s="65"/>
      <c r="F2865" s="65"/>
      <c r="G2865" s="65"/>
      <c r="I2865" s="5"/>
      <c r="J2865" s="5"/>
    </row>
    <row r="2866" spans="1:10" x14ac:dyDescent="0.2">
      <c r="A2866" s="55"/>
      <c r="B2866" s="55"/>
      <c r="C2866" s="65"/>
      <c r="D2866" s="65"/>
      <c r="E2866" s="65"/>
      <c r="F2866" s="65"/>
      <c r="G2866" s="65"/>
      <c r="I2866" s="5"/>
      <c r="J2866" s="5"/>
    </row>
    <row r="2867" spans="1:10" x14ac:dyDescent="0.2">
      <c r="A2867" s="55"/>
      <c r="B2867" s="55"/>
      <c r="C2867" s="65"/>
      <c r="D2867" s="65"/>
      <c r="E2867" s="65"/>
      <c r="F2867" s="65"/>
      <c r="G2867" s="65"/>
      <c r="I2867" s="5"/>
      <c r="J2867" s="5"/>
    </row>
    <row r="2868" spans="1:10" x14ac:dyDescent="0.2">
      <c r="A2868" s="55"/>
      <c r="B2868" s="55"/>
      <c r="C2868" s="65"/>
      <c r="D2868" s="65"/>
      <c r="E2868" s="65"/>
      <c r="F2868" s="65"/>
      <c r="G2868" s="65"/>
      <c r="I2868" s="5"/>
      <c r="J2868" s="5"/>
    </row>
    <row r="2869" spans="1:10" x14ac:dyDescent="0.2">
      <c r="A2869" s="55"/>
      <c r="B2869" s="55"/>
      <c r="C2869" s="65"/>
      <c r="D2869" s="65"/>
      <c r="E2869" s="65"/>
      <c r="F2869" s="65"/>
      <c r="G2869" s="65"/>
      <c r="I2869" s="5"/>
      <c r="J2869" s="5"/>
    </row>
    <row r="2870" spans="1:10" x14ac:dyDescent="0.2">
      <c r="A2870" s="55"/>
      <c r="B2870" s="55"/>
      <c r="C2870" s="65"/>
      <c r="D2870" s="65"/>
      <c r="E2870" s="65"/>
      <c r="F2870" s="65"/>
      <c r="G2870" s="65"/>
      <c r="I2870" s="5"/>
      <c r="J2870" s="5"/>
    </row>
    <row r="2871" spans="1:10" x14ac:dyDescent="0.2">
      <c r="A2871" s="55"/>
      <c r="B2871" s="55"/>
      <c r="C2871" s="65"/>
      <c r="D2871" s="65"/>
      <c r="E2871" s="65"/>
      <c r="F2871" s="65"/>
      <c r="G2871" s="65"/>
      <c r="I2871" s="5"/>
      <c r="J2871" s="5"/>
    </row>
    <row r="2872" spans="1:10" x14ac:dyDescent="0.2">
      <c r="A2872" s="55"/>
      <c r="B2872" s="55"/>
      <c r="C2872" s="65"/>
      <c r="D2872" s="65"/>
      <c r="E2872" s="65"/>
      <c r="F2872" s="65"/>
      <c r="G2872" s="65"/>
      <c r="I2872" s="5"/>
      <c r="J2872" s="5"/>
    </row>
    <row r="2873" spans="1:10" x14ac:dyDescent="0.2">
      <c r="A2873" s="55"/>
      <c r="B2873" s="55"/>
      <c r="C2873" s="65"/>
      <c r="D2873" s="65"/>
      <c r="E2873" s="65"/>
      <c r="F2873" s="65"/>
      <c r="G2873" s="65"/>
      <c r="I2873" s="5"/>
      <c r="J2873" s="5"/>
    </row>
    <row r="2874" spans="1:10" x14ac:dyDescent="0.2">
      <c r="A2874" s="55"/>
      <c r="B2874" s="55"/>
      <c r="C2874" s="65"/>
      <c r="D2874" s="65"/>
      <c r="E2874" s="65"/>
      <c r="F2874" s="65"/>
      <c r="G2874" s="65"/>
      <c r="I2874" s="5"/>
      <c r="J2874" s="5"/>
    </row>
    <row r="2875" spans="1:10" x14ac:dyDescent="0.2">
      <c r="A2875" s="55"/>
      <c r="B2875" s="55"/>
      <c r="C2875" s="65"/>
      <c r="D2875" s="65"/>
      <c r="E2875" s="65"/>
      <c r="F2875" s="65"/>
      <c r="G2875" s="65"/>
      <c r="I2875" s="5"/>
      <c r="J2875" s="5"/>
    </row>
    <row r="2876" spans="1:10" x14ac:dyDescent="0.2">
      <c r="A2876" s="55"/>
      <c r="B2876" s="55"/>
      <c r="C2876" s="65"/>
      <c r="D2876" s="65"/>
      <c r="E2876" s="65"/>
      <c r="F2876" s="65"/>
      <c r="G2876" s="65"/>
      <c r="I2876" s="5"/>
      <c r="J2876" s="5"/>
    </row>
    <row r="2877" spans="1:10" x14ac:dyDescent="0.2">
      <c r="A2877" s="55"/>
      <c r="B2877" s="55"/>
      <c r="C2877" s="65"/>
      <c r="D2877" s="65"/>
      <c r="E2877" s="65"/>
      <c r="F2877" s="65"/>
      <c r="G2877" s="65"/>
      <c r="I2877" s="5"/>
      <c r="J2877" s="5"/>
    </row>
    <row r="2878" spans="1:10" x14ac:dyDescent="0.2">
      <c r="A2878" s="55"/>
      <c r="B2878" s="55"/>
      <c r="C2878" s="65"/>
      <c r="D2878" s="65"/>
      <c r="E2878" s="65"/>
      <c r="F2878" s="65"/>
      <c r="G2878" s="65"/>
      <c r="I2878" s="5"/>
      <c r="J2878" s="5"/>
    </row>
    <row r="2879" spans="1:10" x14ac:dyDescent="0.2">
      <c r="A2879" s="55"/>
      <c r="B2879" s="55"/>
      <c r="C2879" s="65"/>
      <c r="D2879" s="65"/>
      <c r="E2879" s="65"/>
      <c r="F2879" s="65"/>
      <c r="G2879" s="65"/>
      <c r="I2879" s="5"/>
      <c r="J2879" s="5"/>
    </row>
    <row r="2880" spans="1:10" x14ac:dyDescent="0.2">
      <c r="A2880" s="55"/>
      <c r="B2880" s="55"/>
      <c r="C2880" s="65"/>
      <c r="D2880" s="65"/>
      <c r="E2880" s="65"/>
      <c r="F2880" s="65"/>
      <c r="G2880" s="65"/>
      <c r="I2880" s="5"/>
      <c r="J2880" s="5"/>
    </row>
    <row r="2881" spans="1:10" x14ac:dyDescent="0.2">
      <c r="A2881" s="55"/>
      <c r="B2881" s="55"/>
      <c r="C2881" s="65"/>
      <c r="D2881" s="65"/>
      <c r="E2881" s="65"/>
      <c r="F2881" s="65"/>
      <c r="G2881" s="65"/>
      <c r="I2881" s="5"/>
      <c r="J2881" s="5"/>
    </row>
    <row r="2882" spans="1:10" x14ac:dyDescent="0.2">
      <c r="A2882" s="55"/>
      <c r="B2882" s="55"/>
      <c r="C2882" s="65"/>
      <c r="D2882" s="65"/>
      <c r="E2882" s="65"/>
      <c r="F2882" s="65"/>
      <c r="G2882" s="65"/>
      <c r="I2882" s="5"/>
      <c r="J2882" s="5"/>
    </row>
    <row r="2883" spans="1:10" x14ac:dyDescent="0.2">
      <c r="A2883" s="55"/>
      <c r="B2883" s="55"/>
      <c r="C2883" s="65"/>
      <c r="D2883" s="65"/>
      <c r="E2883" s="65"/>
      <c r="F2883" s="65"/>
      <c r="G2883" s="65"/>
      <c r="I2883" s="5"/>
      <c r="J2883" s="5"/>
    </row>
    <row r="2884" spans="1:10" x14ac:dyDescent="0.2">
      <c r="A2884" s="55"/>
      <c r="B2884" s="55"/>
      <c r="C2884" s="65"/>
      <c r="D2884" s="65"/>
      <c r="E2884" s="65"/>
      <c r="F2884" s="65"/>
      <c r="G2884" s="65"/>
      <c r="I2884" s="5"/>
      <c r="J2884" s="5"/>
    </row>
    <row r="2885" spans="1:10" x14ac:dyDescent="0.2">
      <c r="A2885" s="55"/>
      <c r="B2885" s="55"/>
      <c r="C2885" s="65"/>
      <c r="D2885" s="65"/>
      <c r="E2885" s="65"/>
      <c r="F2885" s="65"/>
      <c r="G2885" s="65"/>
      <c r="I2885" s="5"/>
      <c r="J2885"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773"/>
  <sheetViews>
    <sheetView workbookViewId="0"/>
  </sheetViews>
  <sheetFormatPr defaultColWidth="12.5703125" defaultRowHeight="15.75" customHeight="1" x14ac:dyDescent="0.2"/>
  <cols>
    <col min="2" max="2" width="19" customWidth="1"/>
    <col min="3" max="3" width="34.42578125" customWidth="1"/>
    <col min="4" max="4" width="48.85546875" customWidth="1"/>
    <col min="5" max="5" width="11.5703125" customWidth="1"/>
    <col min="6" max="6" width="9.85546875" customWidth="1"/>
    <col min="7" max="7" width="11.5703125" customWidth="1"/>
    <col min="8" max="8" width="16.140625" customWidth="1"/>
  </cols>
  <sheetData>
    <row r="1" spans="1:9" x14ac:dyDescent="0.2">
      <c r="A1" s="67" t="s">
        <v>15716</v>
      </c>
      <c r="B1" s="67" t="s">
        <v>0</v>
      </c>
      <c r="C1" s="67" t="s">
        <v>1</v>
      </c>
      <c r="D1" s="67" t="s">
        <v>2</v>
      </c>
      <c r="E1" s="67" t="s">
        <v>3</v>
      </c>
      <c r="F1" s="67" t="s">
        <v>4</v>
      </c>
      <c r="G1" s="67" t="s">
        <v>5</v>
      </c>
      <c r="H1" s="68" t="s">
        <v>6</v>
      </c>
      <c r="I1" s="66" t="s">
        <v>7</v>
      </c>
    </row>
    <row r="2" spans="1:9" x14ac:dyDescent="0.2">
      <c r="A2" s="67"/>
      <c r="B2" s="67"/>
      <c r="C2" s="67"/>
      <c r="D2" s="67"/>
      <c r="E2" s="67"/>
      <c r="F2" s="67"/>
      <c r="G2" s="67"/>
      <c r="H2" s="68"/>
      <c r="I2" s="66"/>
    </row>
    <row r="3" spans="1:9" x14ac:dyDescent="0.2">
      <c r="A3" s="67"/>
      <c r="B3" s="67"/>
      <c r="C3" s="67"/>
      <c r="D3" s="67"/>
      <c r="E3" s="67"/>
      <c r="F3" s="67"/>
      <c r="G3" s="67"/>
      <c r="H3" s="68"/>
      <c r="I3" s="66"/>
    </row>
    <row r="4" spans="1:9" x14ac:dyDescent="0.2">
      <c r="A4" s="67"/>
      <c r="B4" s="67"/>
      <c r="C4" s="67"/>
      <c r="D4" s="67"/>
      <c r="E4" s="67"/>
      <c r="F4" s="67"/>
      <c r="G4" s="67"/>
      <c r="H4" s="68"/>
      <c r="I4" s="66"/>
    </row>
    <row r="5" spans="1:9" x14ac:dyDescent="0.2">
      <c r="A5" s="67"/>
      <c r="B5" s="67"/>
      <c r="C5" s="67"/>
      <c r="D5" s="67"/>
      <c r="E5" s="67"/>
      <c r="F5" s="67"/>
      <c r="G5" s="67"/>
      <c r="H5" s="68"/>
      <c r="I5" s="66"/>
    </row>
    <row r="6" spans="1:9" x14ac:dyDescent="0.2">
      <c r="A6" s="67"/>
      <c r="B6" s="67"/>
      <c r="C6" s="67"/>
      <c r="D6" s="67"/>
      <c r="E6" s="67"/>
      <c r="F6" s="67"/>
      <c r="G6" s="67"/>
      <c r="H6" s="68"/>
      <c r="I6" s="66"/>
    </row>
    <row r="7" spans="1:9" x14ac:dyDescent="0.2">
      <c r="A7" s="67"/>
      <c r="B7" s="67"/>
      <c r="C7" s="67"/>
      <c r="D7" s="67"/>
      <c r="E7" s="67"/>
      <c r="F7" s="67"/>
      <c r="G7" s="67"/>
      <c r="H7" s="68"/>
      <c r="I7" s="66"/>
    </row>
    <row r="8" spans="1:9" x14ac:dyDescent="0.2">
      <c r="A8" s="67"/>
      <c r="B8" s="67"/>
      <c r="C8" s="67"/>
      <c r="D8" s="67"/>
      <c r="E8" s="67"/>
      <c r="F8" s="67"/>
      <c r="G8" s="67"/>
      <c r="H8" s="68"/>
      <c r="I8" s="66"/>
    </row>
    <row r="9" spans="1:9" x14ac:dyDescent="0.2">
      <c r="A9" s="67"/>
      <c r="B9" s="67"/>
      <c r="C9" s="67"/>
      <c r="D9" s="67"/>
      <c r="E9" s="67"/>
      <c r="F9" s="67"/>
      <c r="G9" s="67"/>
      <c r="H9" s="68"/>
      <c r="I9" s="66"/>
    </row>
    <row r="10" spans="1:9" x14ac:dyDescent="0.2">
      <c r="A10" s="67"/>
      <c r="B10" s="67"/>
      <c r="C10" s="67"/>
      <c r="D10" s="67"/>
      <c r="E10" s="67"/>
      <c r="F10" s="67"/>
      <c r="G10" s="67"/>
      <c r="H10" s="68"/>
      <c r="I10" s="66"/>
    </row>
    <row r="11" spans="1:9" x14ac:dyDescent="0.2">
      <c r="A11" s="67"/>
      <c r="B11" s="67"/>
      <c r="C11" s="67"/>
      <c r="D11" s="67"/>
      <c r="E11" s="67"/>
      <c r="F11" s="67"/>
      <c r="G11" s="67"/>
      <c r="H11" s="68"/>
      <c r="I11" s="66"/>
    </row>
    <row r="12" spans="1:9" x14ac:dyDescent="0.2">
      <c r="A12" s="67"/>
      <c r="B12" s="67"/>
      <c r="C12" s="67"/>
      <c r="D12" s="67"/>
      <c r="E12" s="67"/>
      <c r="F12" s="67"/>
      <c r="G12" s="67"/>
      <c r="H12" s="68"/>
      <c r="I12" s="66"/>
    </row>
    <row r="13" spans="1:9" x14ac:dyDescent="0.2">
      <c r="A13" s="67"/>
      <c r="B13" s="67"/>
      <c r="C13" s="67"/>
      <c r="D13" s="67"/>
      <c r="E13" s="67"/>
      <c r="F13" s="67"/>
      <c r="G13" s="67"/>
      <c r="H13" s="68"/>
      <c r="I13" s="66"/>
    </row>
    <row r="14" spans="1:9" x14ac:dyDescent="0.2">
      <c r="A14" s="67"/>
      <c r="B14" s="67"/>
      <c r="C14" s="67"/>
      <c r="D14" s="67"/>
      <c r="E14" s="67"/>
      <c r="F14" s="67"/>
      <c r="G14" s="67"/>
      <c r="H14" s="68"/>
      <c r="I14" s="66"/>
    </row>
    <row r="15" spans="1:9" x14ac:dyDescent="0.2">
      <c r="A15" s="67"/>
      <c r="B15" s="67"/>
      <c r="C15" s="67"/>
      <c r="D15" s="67"/>
      <c r="E15" s="67"/>
      <c r="F15" s="67"/>
      <c r="G15" s="67"/>
      <c r="H15" s="68"/>
      <c r="I15" s="66"/>
    </row>
    <row r="16" spans="1:9" x14ac:dyDescent="0.2">
      <c r="A16" s="67"/>
      <c r="B16" s="67"/>
      <c r="C16" s="67"/>
      <c r="D16" s="67"/>
      <c r="E16" s="67"/>
      <c r="F16" s="67"/>
      <c r="G16" s="67"/>
      <c r="H16" s="68"/>
      <c r="I16" s="66"/>
    </row>
    <row r="17" spans="1:9" x14ac:dyDescent="0.2">
      <c r="A17" s="67"/>
      <c r="B17" s="67"/>
      <c r="C17" s="67"/>
      <c r="D17" s="67"/>
      <c r="E17" s="67"/>
      <c r="F17" s="67"/>
      <c r="G17" s="67"/>
      <c r="H17" s="68"/>
      <c r="I17" s="66"/>
    </row>
    <row r="18" spans="1:9" x14ac:dyDescent="0.2">
      <c r="A18" s="67"/>
      <c r="B18" s="67"/>
      <c r="C18" s="67"/>
      <c r="D18" s="67"/>
      <c r="E18" s="67"/>
      <c r="F18" s="67"/>
      <c r="G18" s="67"/>
      <c r="H18" s="68"/>
      <c r="I18" s="66"/>
    </row>
    <row r="19" spans="1:9" x14ac:dyDescent="0.2">
      <c r="A19" s="67"/>
      <c r="B19" s="67"/>
      <c r="C19" s="67"/>
      <c r="D19" s="67"/>
      <c r="E19" s="67"/>
      <c r="F19" s="67"/>
      <c r="G19" s="67"/>
      <c r="H19" s="68"/>
      <c r="I19" s="66"/>
    </row>
    <row r="20" spans="1:9" x14ac:dyDescent="0.2">
      <c r="A20" s="67"/>
      <c r="B20" s="67"/>
      <c r="C20" s="67"/>
      <c r="D20" s="67"/>
      <c r="E20" s="67"/>
      <c r="F20" s="67"/>
      <c r="G20" s="67"/>
      <c r="H20" s="68"/>
      <c r="I20" s="66"/>
    </row>
    <row r="21" spans="1:9" x14ac:dyDescent="0.2">
      <c r="A21" s="67"/>
      <c r="B21" s="67"/>
      <c r="C21" s="67"/>
      <c r="D21" s="67"/>
      <c r="E21" s="67"/>
      <c r="F21" s="67"/>
      <c r="G21" s="67"/>
      <c r="H21" s="68"/>
      <c r="I21" s="66"/>
    </row>
    <row r="22" spans="1:9" x14ac:dyDescent="0.2">
      <c r="A22" s="67"/>
      <c r="B22" s="67"/>
      <c r="C22" s="67"/>
      <c r="D22" s="67"/>
      <c r="E22" s="67"/>
      <c r="F22" s="67"/>
      <c r="G22" s="67"/>
      <c r="H22" s="68"/>
      <c r="I22" s="66"/>
    </row>
    <row r="23" spans="1:9" x14ac:dyDescent="0.2">
      <c r="A23" s="67"/>
      <c r="B23" s="67"/>
      <c r="C23" s="67"/>
      <c r="D23" s="67"/>
      <c r="E23" s="67"/>
      <c r="F23" s="67"/>
      <c r="G23" s="67"/>
      <c r="H23" s="68"/>
      <c r="I23" s="66"/>
    </row>
    <row r="24" spans="1:9" x14ac:dyDescent="0.2">
      <c r="A24" s="67"/>
      <c r="B24" s="67"/>
      <c r="C24" s="67"/>
      <c r="D24" s="67"/>
      <c r="E24" s="67"/>
      <c r="F24" s="67"/>
      <c r="G24" s="67"/>
      <c r="H24" s="68"/>
      <c r="I24" s="66"/>
    </row>
    <row r="25" spans="1:9" x14ac:dyDescent="0.2">
      <c r="A25" s="67"/>
      <c r="B25" s="67"/>
      <c r="C25" s="67"/>
      <c r="D25" s="67"/>
      <c r="E25" s="67"/>
      <c r="F25" s="67"/>
      <c r="G25" s="67"/>
      <c r="H25" s="68"/>
      <c r="I25" s="66"/>
    </row>
    <row r="26" spans="1:9" x14ac:dyDescent="0.2">
      <c r="A26" s="67"/>
      <c r="B26" s="67"/>
      <c r="C26" s="67"/>
      <c r="D26" s="67"/>
      <c r="E26" s="67"/>
      <c r="F26" s="67"/>
      <c r="G26" s="67"/>
      <c r="H26" s="68"/>
      <c r="I26" s="66"/>
    </row>
    <row r="27" spans="1:9" x14ac:dyDescent="0.2">
      <c r="A27" s="67"/>
      <c r="B27" s="67"/>
      <c r="C27" s="67"/>
      <c r="D27" s="67"/>
      <c r="E27" s="67"/>
      <c r="F27" s="67"/>
      <c r="G27" s="67"/>
      <c r="H27" s="68"/>
      <c r="I27" s="66"/>
    </row>
    <row r="28" spans="1:9" x14ac:dyDescent="0.2">
      <c r="A28" s="67"/>
      <c r="B28" s="67"/>
      <c r="C28" s="67"/>
      <c r="D28" s="67"/>
      <c r="E28" s="67"/>
      <c r="F28" s="67"/>
      <c r="G28" s="67"/>
      <c r="H28" s="68"/>
      <c r="I28" s="66"/>
    </row>
    <row r="29" spans="1:9" x14ac:dyDescent="0.2">
      <c r="A29" s="67"/>
      <c r="B29" s="67"/>
      <c r="C29" s="67"/>
      <c r="D29" s="67"/>
      <c r="E29" s="67"/>
      <c r="F29" s="67"/>
      <c r="G29" s="67"/>
      <c r="H29" s="68"/>
      <c r="I29" s="66"/>
    </row>
    <row r="30" spans="1:9" x14ac:dyDescent="0.2">
      <c r="A30" s="67"/>
      <c r="B30" s="67"/>
      <c r="C30" s="67"/>
      <c r="D30" s="67"/>
      <c r="E30" s="67"/>
      <c r="F30" s="67"/>
      <c r="G30" s="67"/>
      <c r="H30" s="68"/>
      <c r="I30" s="66"/>
    </row>
    <row r="31" spans="1:9" x14ac:dyDescent="0.2">
      <c r="A31" s="67"/>
      <c r="B31" s="67"/>
      <c r="C31" s="67"/>
      <c r="D31" s="67"/>
      <c r="E31" s="67"/>
      <c r="F31" s="67"/>
      <c r="G31" s="67"/>
      <c r="H31" s="68"/>
      <c r="I31" s="66"/>
    </row>
    <row r="32" spans="1:9" x14ac:dyDescent="0.2">
      <c r="A32" s="67"/>
      <c r="B32" s="67"/>
      <c r="C32" s="67"/>
      <c r="D32" s="67"/>
      <c r="E32" s="67"/>
      <c r="F32" s="67"/>
      <c r="G32" s="67"/>
      <c r="H32" s="68"/>
      <c r="I32" s="66"/>
    </row>
    <row r="33" spans="1:9" x14ac:dyDescent="0.2">
      <c r="A33" s="67"/>
      <c r="B33" s="67"/>
      <c r="C33" s="67"/>
      <c r="D33" s="67"/>
      <c r="E33" s="67"/>
      <c r="F33" s="67"/>
      <c r="G33" s="67"/>
      <c r="H33" s="68"/>
      <c r="I33" s="66"/>
    </row>
    <row r="34" spans="1:9" x14ac:dyDescent="0.2">
      <c r="A34" s="67"/>
      <c r="B34" s="67"/>
      <c r="C34" s="67"/>
      <c r="D34" s="67"/>
      <c r="E34" s="67"/>
      <c r="F34" s="67"/>
      <c r="G34" s="67"/>
      <c r="H34" s="68"/>
      <c r="I34" s="66"/>
    </row>
    <row r="35" spans="1:9" x14ac:dyDescent="0.2">
      <c r="A35" s="67"/>
      <c r="B35" s="67"/>
      <c r="C35" s="67"/>
      <c r="D35" s="67"/>
      <c r="E35" s="67"/>
      <c r="F35" s="67"/>
      <c r="G35" s="67"/>
      <c r="H35" s="68"/>
      <c r="I35" s="66"/>
    </row>
    <row r="36" spans="1:9" x14ac:dyDescent="0.2">
      <c r="A36" s="67"/>
      <c r="B36" s="67"/>
      <c r="C36" s="67"/>
      <c r="D36" s="67"/>
      <c r="E36" s="67"/>
      <c r="F36" s="67"/>
      <c r="G36" s="67"/>
      <c r="H36" s="68"/>
      <c r="I36" s="66"/>
    </row>
    <row r="37" spans="1:9" x14ac:dyDescent="0.2">
      <c r="A37" s="67"/>
      <c r="B37" s="67"/>
      <c r="C37" s="67"/>
      <c r="D37" s="67"/>
      <c r="E37" s="67"/>
      <c r="F37" s="67"/>
      <c r="G37" s="67"/>
      <c r="H37" s="68"/>
      <c r="I37" s="66"/>
    </row>
    <row r="38" spans="1:9" x14ac:dyDescent="0.2">
      <c r="A38" s="67"/>
      <c r="B38" s="67"/>
      <c r="C38" s="67"/>
      <c r="D38" s="67"/>
      <c r="E38" s="67"/>
      <c r="F38" s="67"/>
      <c r="G38" s="67"/>
      <c r="H38" s="68"/>
      <c r="I38" s="66"/>
    </row>
    <row r="39" spans="1:9" x14ac:dyDescent="0.2">
      <c r="A39" s="67"/>
      <c r="B39" s="67"/>
      <c r="C39" s="67"/>
      <c r="D39" s="67"/>
      <c r="E39" s="67"/>
      <c r="F39" s="67"/>
      <c r="G39" s="67"/>
      <c r="H39" s="68"/>
      <c r="I39" s="66"/>
    </row>
    <row r="40" spans="1:9" x14ac:dyDescent="0.2">
      <c r="A40" s="67"/>
      <c r="B40" s="67"/>
      <c r="C40" s="67"/>
      <c r="D40" s="67"/>
      <c r="E40" s="67"/>
      <c r="F40" s="67"/>
      <c r="G40" s="67"/>
      <c r="H40" s="68"/>
      <c r="I40" s="66"/>
    </row>
    <row r="41" spans="1:9" x14ac:dyDescent="0.2">
      <c r="A41" s="67"/>
      <c r="B41" s="67"/>
      <c r="C41" s="67"/>
      <c r="D41" s="67"/>
      <c r="E41" s="67"/>
      <c r="F41" s="67"/>
      <c r="G41" s="67"/>
      <c r="H41" s="68"/>
      <c r="I41" s="66"/>
    </row>
    <row r="42" spans="1:9" x14ac:dyDescent="0.2">
      <c r="A42" s="67"/>
      <c r="B42" s="67"/>
      <c r="C42" s="67"/>
      <c r="D42" s="67"/>
      <c r="E42" s="67"/>
      <c r="F42" s="67"/>
      <c r="G42" s="67"/>
      <c r="H42" s="68"/>
      <c r="I42" s="66"/>
    </row>
    <row r="43" spans="1:9" x14ac:dyDescent="0.2">
      <c r="A43" s="67"/>
      <c r="B43" s="67"/>
      <c r="C43" s="67"/>
      <c r="D43" s="67"/>
      <c r="E43" s="67"/>
      <c r="F43" s="67"/>
      <c r="G43" s="67"/>
      <c r="H43" s="68"/>
      <c r="I43" s="66"/>
    </row>
    <row r="44" spans="1:9" x14ac:dyDescent="0.2">
      <c r="A44" s="67"/>
      <c r="B44" s="67"/>
      <c r="C44" s="67"/>
      <c r="D44" s="67"/>
      <c r="E44" s="67"/>
      <c r="F44" s="67"/>
      <c r="G44" s="67"/>
      <c r="H44" s="68"/>
      <c r="I44" s="66"/>
    </row>
    <row r="45" spans="1:9" x14ac:dyDescent="0.2">
      <c r="A45" s="67"/>
      <c r="B45" s="67"/>
      <c r="C45" s="67"/>
      <c r="D45" s="67"/>
      <c r="E45" s="67"/>
      <c r="F45" s="67"/>
      <c r="G45" s="67"/>
      <c r="H45" s="68"/>
      <c r="I45" s="66"/>
    </row>
    <row r="46" spans="1:9" x14ac:dyDescent="0.2">
      <c r="A46" s="67"/>
      <c r="B46" s="67"/>
      <c r="C46" s="67"/>
      <c r="D46" s="67"/>
      <c r="E46" s="67"/>
      <c r="F46" s="67"/>
      <c r="G46" s="67"/>
      <c r="H46" s="68"/>
      <c r="I46" s="66"/>
    </row>
    <row r="47" spans="1:9" x14ac:dyDescent="0.2">
      <c r="A47" s="67"/>
      <c r="B47" s="67"/>
      <c r="C47" s="67"/>
      <c r="D47" s="67"/>
      <c r="E47" s="67"/>
      <c r="F47" s="67"/>
      <c r="G47" s="67"/>
      <c r="H47" s="68"/>
      <c r="I47" s="66"/>
    </row>
    <row r="48" spans="1:9" x14ac:dyDescent="0.2">
      <c r="A48" s="67"/>
      <c r="B48" s="67"/>
      <c r="C48" s="67"/>
      <c r="D48" s="67"/>
      <c r="E48" s="67"/>
      <c r="F48" s="67"/>
      <c r="G48" s="67"/>
      <c r="H48" s="68"/>
      <c r="I48" s="66"/>
    </row>
    <row r="49" spans="1:9" x14ac:dyDescent="0.2">
      <c r="A49" s="67"/>
      <c r="B49" s="67"/>
      <c r="C49" s="67"/>
      <c r="D49" s="67"/>
      <c r="E49" s="67"/>
      <c r="F49" s="67"/>
      <c r="G49" s="67"/>
      <c r="H49" s="68"/>
      <c r="I49" s="66"/>
    </row>
    <row r="50" spans="1:9" x14ac:dyDescent="0.2">
      <c r="A50" s="67"/>
      <c r="B50" s="67"/>
      <c r="C50" s="67"/>
      <c r="D50" s="67"/>
      <c r="E50" s="67"/>
      <c r="F50" s="67"/>
      <c r="G50" s="67"/>
      <c r="H50" s="68"/>
      <c r="I50" s="66"/>
    </row>
    <row r="51" spans="1:9" x14ac:dyDescent="0.2">
      <c r="A51" s="67"/>
      <c r="B51" s="67"/>
      <c r="C51" s="67"/>
      <c r="D51" s="67"/>
      <c r="E51" s="67"/>
      <c r="F51" s="67"/>
      <c r="G51" s="67"/>
      <c r="H51" s="68"/>
      <c r="I51" s="66"/>
    </row>
    <row r="52" spans="1:9" x14ac:dyDescent="0.2">
      <c r="A52" s="67"/>
      <c r="B52" s="67"/>
      <c r="C52" s="67"/>
      <c r="D52" s="67"/>
      <c r="E52" s="67"/>
      <c r="F52" s="67"/>
      <c r="G52" s="67"/>
      <c r="H52" s="68"/>
      <c r="I52" s="66"/>
    </row>
    <row r="53" spans="1:9" x14ac:dyDescent="0.2">
      <c r="A53" s="67"/>
      <c r="B53" s="67"/>
      <c r="C53" s="67"/>
      <c r="D53" s="67"/>
      <c r="E53" s="67"/>
      <c r="F53" s="67"/>
      <c r="G53" s="67"/>
      <c r="H53" s="68"/>
      <c r="I53" s="66"/>
    </row>
    <row r="54" spans="1:9" x14ac:dyDescent="0.2">
      <c r="A54" s="67"/>
      <c r="B54" s="67"/>
      <c r="C54" s="67"/>
      <c r="D54" s="67"/>
      <c r="E54" s="67"/>
      <c r="F54" s="67"/>
      <c r="G54" s="67"/>
      <c r="H54" s="68"/>
      <c r="I54" s="66"/>
    </row>
    <row r="55" spans="1:9" x14ac:dyDescent="0.2">
      <c r="A55" s="67"/>
      <c r="B55" s="67"/>
      <c r="C55" s="67"/>
      <c r="D55" s="67"/>
      <c r="E55" s="67"/>
      <c r="F55" s="67"/>
      <c r="G55" s="67"/>
      <c r="H55" s="68"/>
      <c r="I55" s="66"/>
    </row>
    <row r="56" spans="1:9" x14ac:dyDescent="0.2">
      <c r="A56" s="67"/>
      <c r="B56" s="67"/>
      <c r="C56" s="67"/>
      <c r="D56" s="67"/>
      <c r="E56" s="67"/>
      <c r="F56" s="67"/>
      <c r="G56" s="67"/>
      <c r="H56" s="68"/>
      <c r="I56" s="66"/>
    </row>
    <row r="57" spans="1:9" x14ac:dyDescent="0.2">
      <c r="A57" s="67"/>
      <c r="B57" s="67"/>
      <c r="C57" s="67"/>
      <c r="D57" s="67"/>
      <c r="E57" s="67"/>
      <c r="F57" s="67"/>
      <c r="G57" s="67"/>
      <c r="H57" s="68"/>
      <c r="I57" s="66"/>
    </row>
    <row r="58" spans="1:9" x14ac:dyDescent="0.2">
      <c r="A58" s="67"/>
      <c r="B58" s="67"/>
      <c r="C58" s="67"/>
      <c r="D58" s="67"/>
      <c r="E58" s="67"/>
      <c r="F58" s="67"/>
      <c r="G58" s="67"/>
      <c r="H58" s="68"/>
      <c r="I58" s="66"/>
    </row>
    <row r="59" spans="1:9" x14ac:dyDescent="0.2">
      <c r="A59" s="67"/>
      <c r="B59" s="67"/>
      <c r="C59" s="67"/>
      <c r="D59" s="67"/>
      <c r="E59" s="67"/>
      <c r="F59" s="67"/>
      <c r="G59" s="67"/>
      <c r="H59" s="68"/>
      <c r="I59" s="66"/>
    </row>
    <row r="60" spans="1:9" x14ac:dyDescent="0.2">
      <c r="A60" s="67"/>
      <c r="B60" s="67"/>
      <c r="C60" s="67"/>
      <c r="D60" s="67"/>
      <c r="E60" s="67"/>
      <c r="F60" s="67"/>
      <c r="G60" s="67"/>
      <c r="H60" s="68"/>
      <c r="I60" s="66"/>
    </row>
    <row r="61" spans="1:9" x14ac:dyDescent="0.2">
      <c r="A61" s="67"/>
      <c r="B61" s="67"/>
      <c r="C61" s="67"/>
      <c r="D61" s="67"/>
      <c r="E61" s="67"/>
      <c r="F61" s="67"/>
      <c r="G61" s="67"/>
      <c r="H61" s="68"/>
      <c r="I61" s="66"/>
    </row>
    <row r="62" spans="1:9" x14ac:dyDescent="0.2">
      <c r="A62" s="67"/>
      <c r="B62" s="67"/>
      <c r="C62" s="67"/>
      <c r="D62" s="67"/>
      <c r="E62" s="67"/>
      <c r="F62" s="67"/>
      <c r="G62" s="67"/>
      <c r="H62" s="68"/>
      <c r="I62" s="66"/>
    </row>
    <row r="63" spans="1:9" x14ac:dyDescent="0.2">
      <c r="A63" s="67"/>
      <c r="B63" s="67"/>
      <c r="C63" s="67"/>
      <c r="D63" s="67"/>
      <c r="E63" s="67"/>
      <c r="F63" s="67"/>
      <c r="G63" s="67"/>
      <c r="H63" s="68"/>
      <c r="I63" s="66"/>
    </row>
    <row r="64" spans="1:9" x14ac:dyDescent="0.2">
      <c r="A64" s="67"/>
      <c r="B64" s="67"/>
      <c r="C64" s="67"/>
      <c r="D64" s="67"/>
      <c r="E64" s="67"/>
      <c r="F64" s="67"/>
      <c r="G64" s="67"/>
      <c r="H64" s="68"/>
      <c r="I64" s="66"/>
    </row>
    <row r="65" spans="1:9" x14ac:dyDescent="0.2">
      <c r="A65" s="67"/>
      <c r="B65" s="67"/>
      <c r="C65" s="67"/>
      <c r="D65" s="67"/>
      <c r="E65" s="67"/>
      <c r="F65" s="67"/>
      <c r="G65" s="67"/>
      <c r="H65" s="68"/>
      <c r="I65" s="66"/>
    </row>
    <row r="66" spans="1:9" x14ac:dyDescent="0.2">
      <c r="A66" s="67"/>
      <c r="B66" s="67"/>
      <c r="C66" s="67"/>
      <c r="D66" s="67"/>
      <c r="E66" s="67"/>
      <c r="F66" s="67"/>
      <c r="G66" s="67"/>
      <c r="H66" s="68"/>
      <c r="I66" s="66"/>
    </row>
    <row r="67" spans="1:9" x14ac:dyDescent="0.2">
      <c r="A67" s="67"/>
      <c r="B67" s="67"/>
      <c r="C67" s="67"/>
      <c r="D67" s="67"/>
      <c r="E67" s="67"/>
      <c r="F67" s="67"/>
      <c r="G67" s="67"/>
      <c r="H67" s="68"/>
      <c r="I67" s="66"/>
    </row>
    <row r="68" spans="1:9" x14ac:dyDescent="0.2">
      <c r="A68" s="67"/>
      <c r="B68" s="67"/>
      <c r="C68" s="67"/>
      <c r="D68" s="67"/>
      <c r="E68" s="67"/>
      <c r="F68" s="67"/>
      <c r="G68" s="67"/>
      <c r="H68" s="68"/>
      <c r="I68" s="66"/>
    </row>
    <row r="69" spans="1:9" x14ac:dyDescent="0.2">
      <c r="A69" s="67"/>
      <c r="B69" s="67"/>
      <c r="C69" s="67"/>
      <c r="D69" s="67"/>
      <c r="E69" s="67"/>
      <c r="F69" s="67"/>
      <c r="G69" s="67"/>
      <c r="H69" s="68"/>
      <c r="I69" s="66"/>
    </row>
    <row r="70" spans="1:9" x14ac:dyDescent="0.2">
      <c r="A70" s="67"/>
      <c r="B70" s="67"/>
      <c r="C70" s="67"/>
      <c r="D70" s="67"/>
      <c r="E70" s="67"/>
      <c r="F70" s="67"/>
      <c r="G70" s="67"/>
      <c r="H70" s="68"/>
      <c r="I70" s="66"/>
    </row>
    <row r="71" spans="1:9" x14ac:dyDescent="0.2">
      <c r="A71" s="67"/>
      <c r="B71" s="67"/>
      <c r="C71" s="67"/>
      <c r="D71" s="67"/>
      <c r="E71" s="67"/>
      <c r="F71" s="67"/>
      <c r="G71" s="67"/>
      <c r="H71" s="68"/>
      <c r="I71" s="66"/>
    </row>
    <row r="72" spans="1:9" x14ac:dyDescent="0.2">
      <c r="A72" s="67"/>
      <c r="B72" s="67"/>
      <c r="C72" s="67"/>
      <c r="D72" s="67"/>
      <c r="E72" s="67"/>
      <c r="F72" s="67"/>
      <c r="G72" s="67"/>
      <c r="H72" s="68"/>
      <c r="I72" s="66"/>
    </row>
    <row r="73" spans="1:9" x14ac:dyDescent="0.2">
      <c r="A73" s="67"/>
      <c r="B73" s="67"/>
      <c r="C73" s="67"/>
      <c r="D73" s="67"/>
      <c r="E73" s="67"/>
      <c r="F73" s="67"/>
      <c r="G73" s="67"/>
      <c r="H73" s="68"/>
      <c r="I73" s="66"/>
    </row>
    <row r="74" spans="1:9" x14ac:dyDescent="0.2">
      <c r="A74" s="67"/>
      <c r="B74" s="67"/>
      <c r="C74" s="67"/>
      <c r="D74" s="67"/>
      <c r="E74" s="67"/>
      <c r="F74" s="67"/>
      <c r="G74" s="67"/>
      <c r="H74" s="68"/>
      <c r="I74" s="66"/>
    </row>
    <row r="75" spans="1:9" x14ac:dyDescent="0.2">
      <c r="A75" s="67"/>
      <c r="B75" s="67"/>
      <c r="C75" s="67"/>
      <c r="D75" s="67"/>
      <c r="E75" s="67"/>
      <c r="F75" s="67"/>
      <c r="G75" s="67"/>
      <c r="H75" s="68"/>
      <c r="I75" s="66"/>
    </row>
    <row r="76" spans="1:9" x14ac:dyDescent="0.2">
      <c r="A76" s="67"/>
      <c r="B76" s="67"/>
      <c r="C76" s="67"/>
      <c r="D76" s="67"/>
      <c r="E76" s="67"/>
      <c r="F76" s="67"/>
      <c r="G76" s="67"/>
      <c r="H76" s="68"/>
      <c r="I76" s="66"/>
    </row>
    <row r="77" spans="1:9" x14ac:dyDescent="0.2">
      <c r="A77" s="67"/>
      <c r="B77" s="67"/>
      <c r="C77" s="67"/>
      <c r="D77" s="67"/>
      <c r="E77" s="67"/>
      <c r="F77" s="67"/>
      <c r="G77" s="67"/>
      <c r="H77" s="68"/>
      <c r="I77" s="66"/>
    </row>
    <row r="78" spans="1:9" x14ac:dyDescent="0.2">
      <c r="A78" s="67"/>
      <c r="B78" s="67"/>
      <c r="C78" s="67"/>
      <c r="D78" s="67"/>
      <c r="E78" s="67"/>
      <c r="F78" s="67"/>
      <c r="G78" s="67"/>
      <c r="H78" s="68"/>
      <c r="I78" s="66"/>
    </row>
    <row r="79" spans="1:9" x14ac:dyDescent="0.2">
      <c r="A79" s="67"/>
      <c r="B79" s="67"/>
      <c r="C79" s="67"/>
      <c r="D79" s="67"/>
      <c r="E79" s="67"/>
      <c r="F79" s="67"/>
      <c r="G79" s="67"/>
      <c r="H79" s="68"/>
      <c r="I79" s="66"/>
    </row>
    <row r="80" spans="1:9" x14ac:dyDescent="0.2">
      <c r="A80" s="67"/>
      <c r="B80" s="67"/>
      <c r="C80" s="67"/>
      <c r="D80" s="67"/>
      <c r="E80" s="67"/>
      <c r="F80" s="67"/>
      <c r="G80" s="67"/>
      <c r="H80" s="68"/>
      <c r="I80" s="66"/>
    </row>
    <row r="81" spans="1:9" x14ac:dyDescent="0.2">
      <c r="A81" s="67"/>
      <c r="B81" s="67"/>
      <c r="C81" s="67"/>
      <c r="D81" s="67"/>
      <c r="E81" s="67"/>
      <c r="F81" s="67"/>
      <c r="G81" s="67"/>
      <c r="H81" s="68"/>
      <c r="I81" s="66"/>
    </row>
    <row r="82" spans="1:9" x14ac:dyDescent="0.2">
      <c r="A82" s="67"/>
      <c r="B82" s="67"/>
      <c r="C82" s="67"/>
      <c r="D82" s="67"/>
      <c r="E82" s="67"/>
      <c r="F82" s="67"/>
      <c r="G82" s="67"/>
      <c r="H82" s="68"/>
      <c r="I82" s="66"/>
    </row>
    <row r="83" spans="1:9" x14ac:dyDescent="0.2">
      <c r="A83" s="67"/>
      <c r="B83" s="67"/>
      <c r="C83" s="67"/>
      <c r="D83" s="67"/>
      <c r="E83" s="67"/>
      <c r="F83" s="67"/>
      <c r="G83" s="67"/>
      <c r="H83" s="68"/>
      <c r="I83" s="66"/>
    </row>
    <row r="84" spans="1:9" x14ac:dyDescent="0.2">
      <c r="A84" s="67"/>
      <c r="B84" s="67"/>
      <c r="C84" s="67"/>
      <c r="D84" s="67"/>
      <c r="E84" s="67"/>
      <c r="F84" s="67"/>
      <c r="G84" s="67"/>
      <c r="H84" s="68"/>
      <c r="I84" s="66"/>
    </row>
    <row r="85" spans="1:9" x14ac:dyDescent="0.2">
      <c r="A85" s="67"/>
      <c r="B85" s="67"/>
      <c r="C85" s="67"/>
      <c r="D85" s="67"/>
      <c r="E85" s="67"/>
      <c r="F85" s="67"/>
      <c r="G85" s="67"/>
      <c r="H85" s="68"/>
      <c r="I85" s="66"/>
    </row>
    <row r="86" spans="1:9" x14ac:dyDescent="0.2">
      <c r="A86" s="67"/>
      <c r="B86" s="67"/>
      <c r="C86" s="67"/>
      <c r="D86" s="67"/>
      <c r="E86" s="67"/>
      <c r="F86" s="67"/>
      <c r="G86" s="67"/>
      <c r="H86" s="68"/>
      <c r="I86" s="66"/>
    </row>
    <row r="87" spans="1:9" x14ac:dyDescent="0.2">
      <c r="A87" s="67"/>
      <c r="B87" s="67"/>
      <c r="C87" s="67"/>
      <c r="D87" s="67"/>
      <c r="E87" s="67"/>
      <c r="F87" s="67"/>
      <c r="G87" s="67"/>
      <c r="H87" s="68"/>
      <c r="I87" s="66"/>
    </row>
    <row r="88" spans="1:9" x14ac:dyDescent="0.2">
      <c r="A88" s="67"/>
      <c r="B88" s="67"/>
      <c r="C88" s="67"/>
      <c r="D88" s="67"/>
      <c r="E88" s="67"/>
      <c r="F88" s="67"/>
      <c r="G88" s="67"/>
      <c r="H88" s="68"/>
      <c r="I88" s="66"/>
    </row>
    <row r="89" spans="1:9" x14ac:dyDescent="0.2">
      <c r="A89" s="67"/>
      <c r="B89" s="67"/>
      <c r="C89" s="67"/>
      <c r="D89" s="67"/>
      <c r="E89" s="67"/>
      <c r="F89" s="67"/>
      <c r="G89" s="67"/>
      <c r="H89" s="68"/>
      <c r="I89" s="66"/>
    </row>
    <row r="90" spans="1:9" x14ac:dyDescent="0.2">
      <c r="A90" s="67"/>
      <c r="B90" s="67"/>
      <c r="C90" s="67"/>
      <c r="D90" s="67"/>
      <c r="E90" s="67"/>
      <c r="F90" s="67"/>
      <c r="G90" s="67"/>
      <c r="H90" s="68"/>
      <c r="I90" s="66"/>
    </row>
    <row r="91" spans="1:9" x14ac:dyDescent="0.2">
      <c r="A91" s="67"/>
      <c r="B91" s="67"/>
      <c r="C91" s="67"/>
      <c r="D91" s="67"/>
      <c r="E91" s="67"/>
      <c r="F91" s="67"/>
      <c r="G91" s="67"/>
      <c r="H91" s="68"/>
      <c r="I91" s="66"/>
    </row>
    <row r="92" spans="1:9" x14ac:dyDescent="0.2">
      <c r="A92" s="67"/>
      <c r="B92" s="67"/>
      <c r="C92" s="67"/>
      <c r="D92" s="67"/>
      <c r="E92" s="67"/>
      <c r="F92" s="67"/>
      <c r="G92" s="67"/>
      <c r="H92" s="68"/>
      <c r="I92" s="66"/>
    </row>
    <row r="93" spans="1:9" x14ac:dyDescent="0.2">
      <c r="A93" s="67"/>
      <c r="B93" s="67"/>
      <c r="C93" s="67"/>
      <c r="D93" s="67"/>
      <c r="E93" s="67"/>
      <c r="F93" s="67"/>
      <c r="G93" s="67"/>
      <c r="H93" s="68"/>
      <c r="I93" s="66"/>
    </row>
    <row r="94" spans="1:9" x14ac:dyDescent="0.2">
      <c r="A94" s="67"/>
      <c r="B94" s="67"/>
      <c r="C94" s="67"/>
      <c r="D94" s="67"/>
      <c r="E94" s="67"/>
      <c r="F94" s="67"/>
      <c r="G94" s="67"/>
      <c r="H94" s="68"/>
      <c r="I94" s="66"/>
    </row>
    <row r="95" spans="1:9" x14ac:dyDescent="0.2">
      <c r="A95" s="67"/>
      <c r="B95" s="67"/>
      <c r="C95" s="67"/>
      <c r="D95" s="67"/>
      <c r="E95" s="67"/>
      <c r="F95" s="67"/>
      <c r="G95" s="67"/>
      <c r="H95" s="68"/>
      <c r="I95" s="66"/>
    </row>
    <row r="96" spans="1:9" x14ac:dyDescent="0.2">
      <c r="A96" s="67"/>
      <c r="B96" s="67"/>
      <c r="C96" s="67"/>
      <c r="D96" s="67"/>
      <c r="E96" s="67"/>
      <c r="F96" s="67"/>
      <c r="G96" s="67"/>
      <c r="H96" s="68"/>
      <c r="I96" s="66"/>
    </row>
    <row r="97" spans="1:9" x14ac:dyDescent="0.2">
      <c r="A97" s="67"/>
      <c r="B97" s="67"/>
      <c r="C97" s="67"/>
      <c r="D97" s="67"/>
      <c r="E97" s="67"/>
      <c r="F97" s="67"/>
      <c r="G97" s="67"/>
      <c r="H97" s="68"/>
      <c r="I97" s="66"/>
    </row>
    <row r="98" spans="1:9" x14ac:dyDescent="0.2">
      <c r="A98" s="67"/>
      <c r="B98" s="67"/>
      <c r="C98" s="67"/>
      <c r="D98" s="67"/>
      <c r="E98" s="67"/>
      <c r="F98" s="67"/>
      <c r="G98" s="67"/>
      <c r="H98" s="68"/>
      <c r="I98" s="66"/>
    </row>
    <row r="99" spans="1:9" x14ac:dyDescent="0.2">
      <c r="A99" s="67"/>
      <c r="B99" s="67"/>
      <c r="C99" s="67"/>
      <c r="D99" s="67"/>
      <c r="E99" s="67"/>
      <c r="F99" s="67"/>
      <c r="G99" s="67"/>
      <c r="H99" s="68"/>
      <c r="I99" s="66"/>
    </row>
    <row r="100" spans="1:9" x14ac:dyDescent="0.2">
      <c r="A100" s="67"/>
      <c r="B100" s="67"/>
      <c r="C100" s="67"/>
      <c r="D100" s="67"/>
      <c r="E100" s="67"/>
      <c r="F100" s="67"/>
      <c r="G100" s="67"/>
      <c r="H100" s="68"/>
      <c r="I100" s="66"/>
    </row>
    <row r="101" spans="1:9" x14ac:dyDescent="0.2">
      <c r="A101" s="67"/>
      <c r="B101" s="67"/>
      <c r="C101" s="67"/>
      <c r="D101" s="67"/>
      <c r="E101" s="67"/>
      <c r="F101" s="67"/>
      <c r="G101" s="67"/>
      <c r="H101" s="68"/>
      <c r="I101" s="66"/>
    </row>
    <row r="102" spans="1:9" x14ac:dyDescent="0.2">
      <c r="A102" s="67"/>
      <c r="B102" s="67"/>
      <c r="C102" s="67"/>
      <c r="D102" s="67"/>
      <c r="E102" s="67"/>
      <c r="F102" s="67"/>
      <c r="G102" s="67"/>
      <c r="H102" s="68"/>
      <c r="I102" s="66"/>
    </row>
    <row r="103" spans="1:9" x14ac:dyDescent="0.2">
      <c r="A103" s="67"/>
      <c r="B103" s="67"/>
      <c r="C103" s="67"/>
      <c r="D103" s="67"/>
      <c r="E103" s="67"/>
      <c r="F103" s="67"/>
      <c r="G103" s="67"/>
      <c r="H103" s="68"/>
      <c r="I103" s="66"/>
    </row>
    <row r="104" spans="1:9" x14ac:dyDescent="0.2">
      <c r="A104" s="67"/>
      <c r="B104" s="67"/>
      <c r="C104" s="67"/>
      <c r="D104" s="67"/>
      <c r="E104" s="67"/>
      <c r="F104" s="67"/>
      <c r="G104" s="67"/>
      <c r="H104" s="68"/>
      <c r="I104" s="66"/>
    </row>
    <row r="105" spans="1:9" x14ac:dyDescent="0.2">
      <c r="A105" s="67"/>
      <c r="B105" s="67"/>
      <c r="C105" s="67"/>
      <c r="D105" s="67"/>
      <c r="E105" s="67"/>
      <c r="F105" s="67"/>
      <c r="G105" s="67"/>
      <c r="H105" s="68"/>
    </row>
    <row r="106" spans="1:9" x14ac:dyDescent="0.2">
      <c r="A106" s="67"/>
      <c r="B106" s="67"/>
      <c r="C106" s="67"/>
      <c r="D106" s="67"/>
      <c r="E106" s="67"/>
      <c r="F106" s="67"/>
      <c r="G106" s="67"/>
      <c r="H106" s="68"/>
    </row>
    <row r="107" spans="1:9" x14ac:dyDescent="0.2">
      <c r="A107" s="67"/>
      <c r="B107" s="67"/>
      <c r="C107" s="67"/>
      <c r="D107" s="67"/>
      <c r="E107" s="67"/>
      <c r="F107" s="67"/>
      <c r="G107" s="67"/>
      <c r="H107" s="68"/>
    </row>
    <row r="108" spans="1:9" x14ac:dyDescent="0.2">
      <c r="A108" s="67"/>
      <c r="B108" s="67"/>
      <c r="C108" s="67"/>
      <c r="D108" s="67"/>
      <c r="E108" s="67"/>
      <c r="F108" s="67"/>
      <c r="G108" s="67"/>
      <c r="H108" s="68"/>
    </row>
    <row r="109" spans="1:9" x14ac:dyDescent="0.2">
      <c r="A109" s="67"/>
      <c r="B109" s="67"/>
      <c r="C109" s="67"/>
      <c r="D109" s="67"/>
      <c r="E109" s="67"/>
      <c r="F109" s="67"/>
      <c r="G109" s="67"/>
      <c r="H109" s="68"/>
    </row>
    <row r="110" spans="1:9" x14ac:dyDescent="0.2">
      <c r="A110" s="67"/>
      <c r="B110" s="67"/>
      <c r="C110" s="67"/>
      <c r="D110" s="67"/>
      <c r="E110" s="67"/>
      <c r="F110" s="67"/>
      <c r="G110" s="67"/>
      <c r="H110" s="68"/>
    </row>
    <row r="111" spans="1:9" x14ac:dyDescent="0.2">
      <c r="A111" s="67"/>
      <c r="B111" s="67"/>
      <c r="C111" s="67"/>
      <c r="D111" s="67"/>
      <c r="E111" s="67"/>
      <c r="F111" s="67"/>
      <c r="G111" s="67"/>
      <c r="H111" s="68"/>
    </row>
    <row r="112" spans="1:9" x14ac:dyDescent="0.2">
      <c r="A112" s="67"/>
      <c r="B112" s="67"/>
      <c r="C112" s="67"/>
      <c r="D112" s="67"/>
      <c r="E112" s="67"/>
      <c r="F112" s="67"/>
      <c r="G112" s="67"/>
      <c r="H112" s="68"/>
    </row>
    <row r="113" spans="1:8" x14ac:dyDescent="0.2">
      <c r="A113" s="67"/>
      <c r="B113" s="67"/>
      <c r="C113" s="67"/>
      <c r="D113" s="67"/>
      <c r="E113" s="67"/>
      <c r="F113" s="67"/>
      <c r="G113" s="67"/>
      <c r="H113" s="68"/>
    </row>
    <row r="114" spans="1:8" x14ac:dyDescent="0.2">
      <c r="A114" s="67"/>
      <c r="B114" s="67"/>
      <c r="C114" s="67"/>
      <c r="D114" s="67"/>
      <c r="E114" s="67"/>
      <c r="F114" s="67"/>
      <c r="G114" s="67"/>
      <c r="H114" s="68"/>
    </row>
    <row r="115" spans="1:8" x14ac:dyDescent="0.2">
      <c r="A115" s="67"/>
      <c r="B115" s="67"/>
      <c r="C115" s="67"/>
      <c r="D115" s="67"/>
      <c r="E115" s="67"/>
      <c r="F115" s="67"/>
      <c r="G115" s="67"/>
      <c r="H115" s="68"/>
    </row>
    <row r="116" spans="1:8" x14ac:dyDescent="0.2">
      <c r="A116" s="67"/>
      <c r="B116" s="67"/>
      <c r="C116" s="67"/>
      <c r="D116" s="67"/>
      <c r="E116" s="67"/>
      <c r="F116" s="67"/>
      <c r="G116" s="67"/>
      <c r="H116" s="68"/>
    </row>
    <row r="117" spans="1:8" x14ac:dyDescent="0.2">
      <c r="A117" s="67"/>
      <c r="B117" s="67"/>
      <c r="C117" s="67"/>
      <c r="D117" s="67"/>
      <c r="E117" s="67"/>
      <c r="F117" s="67"/>
      <c r="G117" s="67"/>
      <c r="H117" s="68"/>
    </row>
    <row r="118" spans="1:8" x14ac:dyDescent="0.2">
      <c r="A118" s="67"/>
      <c r="B118" s="67"/>
      <c r="C118" s="67"/>
      <c r="D118" s="67"/>
      <c r="E118" s="67"/>
      <c r="F118" s="67"/>
      <c r="G118" s="67"/>
      <c r="H118" s="68"/>
    </row>
    <row r="119" spans="1:8" x14ac:dyDescent="0.2">
      <c r="A119" s="67"/>
      <c r="B119" s="67"/>
      <c r="C119" s="67"/>
      <c r="D119" s="67"/>
      <c r="E119" s="67"/>
      <c r="F119" s="67"/>
      <c r="G119" s="67"/>
      <c r="H119" s="68"/>
    </row>
    <row r="120" spans="1:8" x14ac:dyDescent="0.2">
      <c r="A120" s="67"/>
      <c r="B120" s="67"/>
      <c r="C120" s="67"/>
      <c r="D120" s="67"/>
      <c r="E120" s="67"/>
      <c r="F120" s="67"/>
      <c r="G120" s="67"/>
      <c r="H120" s="68"/>
    </row>
    <row r="121" spans="1:8" x14ac:dyDescent="0.2">
      <c r="A121" s="67"/>
      <c r="B121" s="67"/>
      <c r="C121" s="67"/>
      <c r="D121" s="67"/>
      <c r="E121" s="67"/>
      <c r="F121" s="67"/>
      <c r="G121" s="67"/>
      <c r="H121" s="68"/>
    </row>
    <row r="122" spans="1:8" x14ac:dyDescent="0.2">
      <c r="A122" s="67"/>
      <c r="B122" s="67"/>
      <c r="C122" s="67"/>
      <c r="D122" s="67"/>
      <c r="E122" s="67"/>
      <c r="F122" s="67"/>
      <c r="G122" s="67"/>
      <c r="H122" s="68"/>
    </row>
    <row r="123" spans="1:8" x14ac:dyDescent="0.2">
      <c r="A123" s="67"/>
      <c r="B123" s="67"/>
      <c r="C123" s="67"/>
      <c r="D123" s="67"/>
      <c r="E123" s="67"/>
      <c r="F123" s="67"/>
      <c r="G123" s="67"/>
      <c r="H123" s="68"/>
    </row>
    <row r="124" spans="1:8" x14ac:dyDescent="0.2">
      <c r="A124" s="67"/>
      <c r="B124" s="67"/>
      <c r="C124" s="67"/>
      <c r="D124" s="67"/>
      <c r="E124" s="67"/>
      <c r="F124" s="67"/>
      <c r="G124" s="67"/>
      <c r="H124" s="68"/>
    </row>
    <row r="125" spans="1:8" x14ac:dyDescent="0.2">
      <c r="A125" s="67"/>
      <c r="B125" s="67"/>
      <c r="C125" s="67"/>
      <c r="D125" s="67"/>
      <c r="E125" s="67"/>
      <c r="F125" s="67"/>
      <c r="G125" s="67"/>
      <c r="H125" s="68"/>
    </row>
    <row r="126" spans="1:8" x14ac:dyDescent="0.2">
      <c r="A126" s="67"/>
      <c r="B126" s="67"/>
      <c r="C126" s="67"/>
      <c r="D126" s="67"/>
      <c r="E126" s="67"/>
      <c r="F126" s="67"/>
      <c r="G126" s="67"/>
      <c r="H126" s="68"/>
    </row>
    <row r="127" spans="1:8" x14ac:dyDescent="0.2">
      <c r="A127" s="67"/>
      <c r="B127" s="67"/>
      <c r="C127" s="67"/>
      <c r="D127" s="67"/>
      <c r="E127" s="67"/>
      <c r="F127" s="67"/>
      <c r="G127" s="67"/>
      <c r="H127" s="68"/>
    </row>
    <row r="128" spans="1:8" x14ac:dyDescent="0.2">
      <c r="A128" s="67"/>
      <c r="B128" s="67"/>
      <c r="C128" s="67"/>
      <c r="D128" s="67"/>
      <c r="E128" s="67"/>
      <c r="F128" s="67"/>
      <c r="G128" s="67"/>
      <c r="H128" s="68"/>
    </row>
    <row r="129" spans="1:8" x14ac:dyDescent="0.2">
      <c r="A129" s="67"/>
      <c r="B129" s="67"/>
      <c r="C129" s="67"/>
      <c r="D129" s="67"/>
      <c r="E129" s="67"/>
      <c r="F129" s="67"/>
      <c r="G129" s="67"/>
      <c r="H129" s="68"/>
    </row>
    <row r="130" spans="1:8" x14ac:dyDescent="0.2">
      <c r="A130" s="67"/>
      <c r="B130" s="67"/>
      <c r="C130" s="67"/>
      <c r="D130" s="67"/>
      <c r="E130" s="67"/>
      <c r="F130" s="67"/>
      <c r="G130" s="67"/>
      <c r="H130" s="68"/>
    </row>
    <row r="131" spans="1:8" x14ac:dyDescent="0.2">
      <c r="A131" s="67"/>
      <c r="B131" s="67"/>
      <c r="C131" s="67"/>
      <c r="D131" s="67"/>
      <c r="E131" s="67"/>
      <c r="F131" s="67"/>
      <c r="G131" s="67"/>
      <c r="H131" s="68"/>
    </row>
    <row r="132" spans="1:8" x14ac:dyDescent="0.2">
      <c r="A132" s="67"/>
      <c r="B132" s="67"/>
      <c r="C132" s="67"/>
      <c r="D132" s="67"/>
      <c r="E132" s="67"/>
      <c r="F132" s="67"/>
      <c r="G132" s="67"/>
      <c r="H132" s="68"/>
    </row>
    <row r="133" spans="1:8" x14ac:dyDescent="0.2">
      <c r="A133" s="67"/>
      <c r="B133" s="67"/>
      <c r="C133" s="67"/>
      <c r="D133" s="67"/>
      <c r="E133" s="67"/>
      <c r="F133" s="67"/>
      <c r="G133" s="67"/>
      <c r="H133" s="68"/>
    </row>
    <row r="134" spans="1:8" x14ac:dyDescent="0.2">
      <c r="A134" s="67"/>
      <c r="B134" s="67"/>
      <c r="C134" s="67"/>
      <c r="D134" s="67"/>
      <c r="E134" s="67"/>
      <c r="F134" s="67"/>
      <c r="G134" s="67"/>
      <c r="H134" s="68"/>
    </row>
    <row r="135" spans="1:8" x14ac:dyDescent="0.2">
      <c r="A135" s="67"/>
      <c r="B135" s="67"/>
      <c r="C135" s="67"/>
      <c r="D135" s="67"/>
      <c r="E135" s="67"/>
      <c r="F135" s="67"/>
      <c r="G135" s="67"/>
      <c r="H135" s="68"/>
    </row>
    <row r="136" spans="1:8" x14ac:dyDescent="0.2">
      <c r="A136" s="67"/>
      <c r="B136" s="67"/>
      <c r="C136" s="67"/>
      <c r="D136" s="67"/>
      <c r="E136" s="67"/>
      <c r="F136" s="67"/>
      <c r="G136" s="67"/>
      <c r="H136" s="68"/>
    </row>
    <row r="137" spans="1:8" x14ac:dyDescent="0.2">
      <c r="A137" s="67"/>
      <c r="B137" s="67"/>
      <c r="C137" s="67"/>
      <c r="D137" s="67"/>
      <c r="E137" s="67"/>
      <c r="F137" s="67"/>
      <c r="G137" s="67"/>
      <c r="H137" s="68"/>
    </row>
    <row r="138" spans="1:8" x14ac:dyDescent="0.2">
      <c r="A138" s="67"/>
      <c r="B138" s="67"/>
      <c r="C138" s="67"/>
      <c r="D138" s="67"/>
      <c r="E138" s="67"/>
      <c r="F138" s="67"/>
      <c r="G138" s="67"/>
      <c r="H138" s="68"/>
    </row>
    <row r="139" spans="1:8" x14ac:dyDescent="0.2">
      <c r="A139" s="67"/>
      <c r="B139" s="67"/>
      <c r="C139" s="67"/>
      <c r="D139" s="67"/>
      <c r="E139" s="67"/>
      <c r="F139" s="67"/>
      <c r="G139" s="67"/>
      <c r="H139" s="68"/>
    </row>
    <row r="140" spans="1:8" x14ac:dyDescent="0.2">
      <c r="A140" s="67"/>
      <c r="B140" s="67"/>
      <c r="C140" s="67"/>
      <c r="D140" s="67"/>
      <c r="E140" s="67"/>
      <c r="F140" s="67"/>
      <c r="G140" s="67"/>
      <c r="H140" s="68"/>
    </row>
    <row r="141" spans="1:8" x14ac:dyDescent="0.2">
      <c r="A141" s="67"/>
      <c r="B141" s="67"/>
      <c r="C141" s="67"/>
      <c r="D141" s="67"/>
      <c r="E141" s="67"/>
      <c r="F141" s="67"/>
      <c r="G141" s="67"/>
      <c r="H141" s="68"/>
    </row>
    <row r="142" spans="1:8" x14ac:dyDescent="0.2">
      <c r="A142" s="67"/>
      <c r="B142" s="67"/>
      <c r="C142" s="67"/>
      <c r="D142" s="67"/>
      <c r="E142" s="67"/>
      <c r="F142" s="67"/>
      <c r="G142" s="67"/>
      <c r="H142" s="68"/>
    </row>
    <row r="143" spans="1:8" x14ac:dyDescent="0.2">
      <c r="A143" s="67"/>
      <c r="B143" s="67"/>
      <c r="C143" s="67"/>
      <c r="D143" s="67"/>
      <c r="E143" s="67"/>
      <c r="F143" s="67"/>
      <c r="G143" s="67"/>
      <c r="H143" s="68"/>
    </row>
    <row r="144" spans="1:8" x14ac:dyDescent="0.2">
      <c r="A144" s="67"/>
      <c r="B144" s="67"/>
      <c r="C144" s="67"/>
      <c r="D144" s="67"/>
      <c r="E144" s="67"/>
      <c r="F144" s="67"/>
      <c r="G144" s="67"/>
      <c r="H144" s="68"/>
    </row>
    <row r="145" spans="1:8" x14ac:dyDescent="0.2">
      <c r="A145" s="67"/>
      <c r="B145" s="67"/>
      <c r="C145" s="67"/>
      <c r="D145" s="67"/>
      <c r="E145" s="67"/>
      <c r="F145" s="67"/>
      <c r="G145" s="67"/>
      <c r="H145" s="68"/>
    </row>
    <row r="146" spans="1:8" x14ac:dyDescent="0.2">
      <c r="A146" s="67"/>
      <c r="B146" s="67"/>
      <c r="C146" s="67"/>
      <c r="D146" s="67"/>
      <c r="E146" s="67"/>
      <c r="F146" s="67"/>
      <c r="G146" s="67"/>
      <c r="H146" s="68"/>
    </row>
    <row r="147" spans="1:8" x14ac:dyDescent="0.2">
      <c r="A147" s="67"/>
      <c r="B147" s="67"/>
      <c r="C147" s="67"/>
      <c r="D147" s="67"/>
      <c r="E147" s="67"/>
      <c r="F147" s="67"/>
      <c r="G147" s="67"/>
      <c r="H147" s="68"/>
    </row>
    <row r="148" spans="1:8" x14ac:dyDescent="0.2">
      <c r="A148" s="67"/>
      <c r="B148" s="67"/>
      <c r="C148" s="67"/>
      <c r="D148" s="67"/>
      <c r="E148" s="67"/>
      <c r="F148" s="67"/>
      <c r="G148" s="67"/>
      <c r="H148" s="68"/>
    </row>
    <row r="149" spans="1:8" x14ac:dyDescent="0.2">
      <c r="A149" s="67"/>
      <c r="B149" s="67"/>
      <c r="C149" s="67"/>
      <c r="D149" s="67"/>
      <c r="E149" s="67"/>
      <c r="F149" s="67"/>
      <c r="G149" s="67"/>
      <c r="H149" s="68"/>
    </row>
    <row r="150" spans="1:8" x14ac:dyDescent="0.2">
      <c r="A150" s="67"/>
      <c r="B150" s="67"/>
      <c r="C150" s="67"/>
      <c r="D150" s="67"/>
      <c r="E150" s="67"/>
      <c r="F150" s="67"/>
      <c r="G150" s="67"/>
      <c r="H150" s="68"/>
    </row>
    <row r="151" spans="1:8" x14ac:dyDescent="0.2">
      <c r="A151" s="67"/>
      <c r="B151" s="67"/>
      <c r="C151" s="67"/>
      <c r="D151" s="67"/>
      <c r="E151" s="67"/>
      <c r="F151" s="67"/>
      <c r="G151" s="67"/>
      <c r="H151" s="68"/>
    </row>
    <row r="152" spans="1:8" x14ac:dyDescent="0.2">
      <c r="A152" s="67"/>
      <c r="B152" s="67"/>
      <c r="C152" s="67"/>
      <c r="D152" s="67"/>
      <c r="E152" s="67"/>
      <c r="F152" s="67"/>
      <c r="G152" s="67"/>
      <c r="H152" s="68"/>
    </row>
    <row r="153" spans="1:8" x14ac:dyDescent="0.2">
      <c r="A153" s="67"/>
      <c r="B153" s="67"/>
      <c r="C153" s="67"/>
      <c r="D153" s="67"/>
      <c r="E153" s="67"/>
      <c r="F153" s="67"/>
      <c r="G153" s="67"/>
      <c r="H153" s="68"/>
    </row>
    <row r="154" spans="1:8" x14ac:dyDescent="0.2">
      <c r="A154" s="67"/>
      <c r="B154" s="67"/>
      <c r="C154" s="67"/>
      <c r="D154" s="67"/>
      <c r="E154" s="67"/>
      <c r="F154" s="67"/>
      <c r="G154" s="67"/>
      <c r="H154" s="68"/>
    </row>
    <row r="155" spans="1:8" x14ac:dyDescent="0.2">
      <c r="A155" s="67"/>
      <c r="B155" s="67"/>
      <c r="C155" s="67"/>
      <c r="D155" s="67"/>
      <c r="E155" s="67"/>
      <c r="F155" s="67"/>
      <c r="G155" s="67"/>
      <c r="H155" s="68"/>
    </row>
    <row r="156" spans="1:8" x14ac:dyDescent="0.2">
      <c r="A156" s="67"/>
      <c r="B156" s="67"/>
      <c r="C156" s="67"/>
      <c r="D156" s="67"/>
      <c r="E156" s="67"/>
      <c r="F156" s="67"/>
      <c r="G156" s="67"/>
      <c r="H156" s="68"/>
    </row>
    <row r="157" spans="1:8" x14ac:dyDescent="0.2">
      <c r="A157" s="67"/>
      <c r="B157" s="67"/>
      <c r="C157" s="67"/>
      <c r="D157" s="67"/>
      <c r="E157" s="67"/>
      <c r="F157" s="67"/>
      <c r="G157" s="67"/>
      <c r="H157" s="68"/>
    </row>
    <row r="158" spans="1:8" x14ac:dyDescent="0.2">
      <c r="A158" s="67"/>
      <c r="B158" s="67"/>
      <c r="C158" s="67"/>
      <c r="D158" s="67"/>
      <c r="E158" s="67"/>
      <c r="F158" s="67"/>
      <c r="G158" s="67"/>
      <c r="H158" s="68"/>
    </row>
    <row r="159" spans="1:8" x14ac:dyDescent="0.2">
      <c r="A159" s="67"/>
      <c r="B159" s="67"/>
      <c r="C159" s="67"/>
      <c r="D159" s="67"/>
      <c r="E159" s="67"/>
      <c r="F159" s="67"/>
      <c r="G159" s="67"/>
      <c r="H159" s="68"/>
    </row>
    <row r="160" spans="1:8" x14ac:dyDescent="0.2">
      <c r="A160" s="67"/>
      <c r="B160" s="67"/>
      <c r="C160" s="67"/>
      <c r="D160" s="67"/>
      <c r="E160" s="67"/>
      <c r="F160" s="67"/>
      <c r="G160" s="67"/>
      <c r="H160" s="68"/>
    </row>
    <row r="161" spans="1:8" x14ac:dyDescent="0.2">
      <c r="A161" s="67"/>
      <c r="B161" s="67"/>
      <c r="C161" s="67"/>
      <c r="D161" s="67"/>
      <c r="E161" s="67"/>
      <c r="F161" s="67"/>
      <c r="G161" s="67"/>
      <c r="H161" s="68"/>
    </row>
    <row r="162" spans="1:8" x14ac:dyDescent="0.2">
      <c r="A162" s="67"/>
      <c r="B162" s="67"/>
      <c r="C162" s="67"/>
      <c r="D162" s="67"/>
      <c r="E162" s="67"/>
      <c r="F162" s="67"/>
      <c r="G162" s="67"/>
      <c r="H162" s="68"/>
    </row>
    <row r="163" spans="1:8" x14ac:dyDescent="0.2">
      <c r="A163" s="67"/>
      <c r="B163" s="67"/>
      <c r="C163" s="67"/>
      <c r="D163" s="67"/>
      <c r="E163" s="67"/>
      <c r="F163" s="67"/>
      <c r="G163" s="67"/>
      <c r="H163" s="68"/>
    </row>
    <row r="164" spans="1:8" x14ac:dyDescent="0.2">
      <c r="A164" s="67"/>
      <c r="B164" s="67"/>
      <c r="C164" s="67"/>
      <c r="D164" s="67"/>
      <c r="E164" s="67"/>
      <c r="F164" s="67"/>
      <c r="G164" s="67"/>
      <c r="H164" s="68"/>
    </row>
    <row r="165" spans="1:8" x14ac:dyDescent="0.2">
      <c r="A165" s="67"/>
      <c r="B165" s="67"/>
      <c r="C165" s="67"/>
      <c r="D165" s="67"/>
      <c r="E165" s="67"/>
      <c r="F165" s="67"/>
      <c r="G165" s="67"/>
      <c r="H165" s="68"/>
    </row>
    <row r="166" spans="1:8" x14ac:dyDescent="0.2">
      <c r="A166" s="67"/>
      <c r="B166" s="67"/>
      <c r="C166" s="67"/>
      <c r="D166" s="67"/>
      <c r="E166" s="67"/>
      <c r="F166" s="67"/>
      <c r="G166" s="67"/>
      <c r="H166" s="68"/>
    </row>
    <row r="167" spans="1:8" x14ac:dyDescent="0.2">
      <c r="A167" s="67"/>
      <c r="B167" s="67"/>
      <c r="C167" s="67"/>
      <c r="D167" s="67"/>
      <c r="E167" s="67"/>
      <c r="F167" s="67"/>
      <c r="G167" s="67"/>
      <c r="H167" s="68"/>
    </row>
    <row r="168" spans="1:8" x14ac:dyDescent="0.2">
      <c r="A168" s="67"/>
      <c r="B168" s="67"/>
      <c r="C168" s="67"/>
      <c r="D168" s="67"/>
      <c r="E168" s="67"/>
      <c r="F168" s="67"/>
      <c r="G168" s="67"/>
      <c r="H168" s="68"/>
    </row>
    <row r="169" spans="1:8" x14ac:dyDescent="0.2">
      <c r="A169" s="67"/>
      <c r="B169" s="67"/>
      <c r="C169" s="67"/>
      <c r="D169" s="67"/>
      <c r="E169" s="67"/>
      <c r="F169" s="67"/>
      <c r="G169" s="67"/>
      <c r="H169" s="68"/>
    </row>
    <row r="170" spans="1:8" x14ac:dyDescent="0.2">
      <c r="A170" s="67"/>
      <c r="B170" s="67"/>
      <c r="C170" s="67"/>
      <c r="D170" s="67"/>
      <c r="E170" s="67"/>
      <c r="F170" s="67"/>
      <c r="G170" s="67"/>
      <c r="H170" s="68"/>
    </row>
    <row r="171" spans="1:8" x14ac:dyDescent="0.2">
      <c r="A171" s="67"/>
      <c r="B171" s="67"/>
      <c r="C171" s="67"/>
      <c r="D171" s="67"/>
      <c r="E171" s="67"/>
      <c r="F171" s="67"/>
      <c r="G171" s="67"/>
      <c r="H171" s="68"/>
    </row>
    <row r="172" spans="1:8" x14ac:dyDescent="0.2">
      <c r="A172" s="67"/>
      <c r="B172" s="67"/>
      <c r="C172" s="67"/>
      <c r="D172" s="67"/>
      <c r="E172" s="67"/>
      <c r="F172" s="67"/>
      <c r="G172" s="67"/>
      <c r="H172" s="68"/>
    </row>
    <row r="173" spans="1:8" x14ac:dyDescent="0.2">
      <c r="A173" s="67"/>
      <c r="B173" s="67"/>
      <c r="C173" s="67"/>
      <c r="D173" s="67"/>
      <c r="E173" s="67"/>
      <c r="F173" s="67"/>
      <c r="G173" s="67"/>
      <c r="H173" s="68"/>
    </row>
    <row r="174" spans="1:8" x14ac:dyDescent="0.2">
      <c r="A174" s="67"/>
      <c r="B174" s="67"/>
      <c r="C174" s="67"/>
      <c r="D174" s="67"/>
      <c r="E174" s="67"/>
      <c r="F174" s="67"/>
      <c r="G174" s="67"/>
      <c r="H174" s="68"/>
    </row>
    <row r="175" spans="1:8" x14ac:dyDescent="0.2">
      <c r="A175" s="67"/>
      <c r="B175" s="67"/>
      <c r="C175" s="67"/>
      <c r="D175" s="67"/>
      <c r="E175" s="67"/>
      <c r="F175" s="67"/>
      <c r="G175" s="67"/>
      <c r="H175" s="68"/>
    </row>
    <row r="176" spans="1:8" x14ac:dyDescent="0.2">
      <c r="A176" s="67"/>
      <c r="B176" s="67"/>
      <c r="C176" s="67"/>
      <c r="D176" s="67"/>
      <c r="E176" s="67"/>
      <c r="F176" s="67"/>
      <c r="G176" s="67"/>
      <c r="H176" s="68"/>
    </row>
    <row r="177" spans="1:8" x14ac:dyDescent="0.2">
      <c r="A177" s="67"/>
      <c r="B177" s="67"/>
      <c r="C177" s="67"/>
      <c r="D177" s="67"/>
      <c r="E177" s="67"/>
      <c r="F177" s="67"/>
      <c r="G177" s="67"/>
      <c r="H177" s="68"/>
    </row>
    <row r="178" spans="1:8" x14ac:dyDescent="0.2">
      <c r="A178" s="67"/>
      <c r="B178" s="67"/>
      <c r="C178" s="67"/>
      <c r="D178" s="67"/>
      <c r="E178" s="67"/>
      <c r="F178" s="67"/>
      <c r="G178" s="67"/>
      <c r="H178" s="68"/>
    </row>
    <row r="179" spans="1:8" x14ac:dyDescent="0.2">
      <c r="A179" s="67"/>
      <c r="B179" s="67"/>
      <c r="C179" s="67"/>
      <c r="D179" s="67"/>
      <c r="E179" s="67"/>
      <c r="F179" s="67"/>
      <c r="G179" s="67"/>
      <c r="H179" s="68"/>
    </row>
    <row r="180" spans="1:8" x14ac:dyDescent="0.2">
      <c r="A180" s="67"/>
      <c r="B180" s="67"/>
      <c r="C180" s="67"/>
      <c r="D180" s="67"/>
      <c r="E180" s="67"/>
      <c r="F180" s="67"/>
      <c r="G180" s="67"/>
      <c r="H180" s="68"/>
    </row>
    <row r="181" spans="1:8" x14ac:dyDescent="0.2">
      <c r="A181" s="67"/>
      <c r="B181" s="67"/>
      <c r="C181" s="67"/>
      <c r="D181" s="67"/>
      <c r="E181" s="67"/>
      <c r="F181" s="67"/>
      <c r="G181" s="67"/>
      <c r="H181" s="68"/>
    </row>
    <row r="182" spans="1:8" x14ac:dyDescent="0.2">
      <c r="A182" s="67"/>
      <c r="B182" s="67"/>
      <c r="C182" s="67"/>
      <c r="D182" s="67"/>
      <c r="E182" s="67"/>
      <c r="F182" s="67"/>
      <c r="G182" s="67"/>
      <c r="H182" s="68"/>
    </row>
    <row r="183" spans="1:8" x14ac:dyDescent="0.2">
      <c r="A183" s="67"/>
      <c r="B183" s="67"/>
      <c r="C183" s="67"/>
      <c r="D183" s="67"/>
      <c r="E183" s="67"/>
      <c r="F183" s="67"/>
      <c r="G183" s="67"/>
      <c r="H183" s="68"/>
    </row>
    <row r="184" spans="1:8" x14ac:dyDescent="0.2">
      <c r="A184" s="67"/>
      <c r="B184" s="67"/>
      <c r="C184" s="67"/>
      <c r="D184" s="67"/>
      <c r="E184" s="67"/>
      <c r="F184" s="67"/>
      <c r="G184" s="67"/>
      <c r="H184" s="68"/>
    </row>
    <row r="185" spans="1:8" x14ac:dyDescent="0.2">
      <c r="A185" s="67"/>
      <c r="B185" s="67"/>
      <c r="C185" s="67"/>
      <c r="D185" s="67"/>
      <c r="E185" s="67"/>
      <c r="F185" s="67"/>
      <c r="G185" s="67"/>
      <c r="H185" s="68"/>
    </row>
    <row r="186" spans="1:8" x14ac:dyDescent="0.2">
      <c r="A186" s="67"/>
      <c r="B186" s="67"/>
      <c r="C186" s="67"/>
      <c r="D186" s="67"/>
      <c r="E186" s="67"/>
      <c r="F186" s="67"/>
      <c r="G186" s="67"/>
      <c r="H186" s="68"/>
    </row>
    <row r="187" spans="1:8" x14ac:dyDescent="0.2">
      <c r="A187" s="67"/>
      <c r="B187" s="67"/>
      <c r="C187" s="67"/>
      <c r="D187" s="67"/>
      <c r="E187" s="67"/>
      <c r="F187" s="67"/>
      <c r="G187" s="67"/>
      <c r="H187" s="68"/>
    </row>
    <row r="188" spans="1:8" x14ac:dyDescent="0.2">
      <c r="A188" s="67"/>
      <c r="B188" s="67"/>
      <c r="C188" s="67"/>
      <c r="D188" s="67"/>
      <c r="E188" s="67"/>
      <c r="F188" s="67"/>
      <c r="G188" s="67"/>
      <c r="H188" s="68"/>
    </row>
    <row r="189" spans="1:8" x14ac:dyDescent="0.2">
      <c r="A189" s="67"/>
      <c r="B189" s="67"/>
      <c r="C189" s="67"/>
      <c r="D189" s="67"/>
      <c r="E189" s="67"/>
      <c r="F189" s="67"/>
      <c r="G189" s="67"/>
      <c r="H189" s="68"/>
    </row>
    <row r="190" spans="1:8" x14ac:dyDescent="0.2">
      <c r="A190" s="67"/>
      <c r="B190" s="67"/>
      <c r="C190" s="67"/>
      <c r="D190" s="67"/>
      <c r="E190" s="67"/>
      <c r="F190" s="67"/>
      <c r="G190" s="67"/>
      <c r="H190" s="68"/>
    </row>
    <row r="191" spans="1:8" x14ac:dyDescent="0.2">
      <c r="A191" s="67"/>
      <c r="B191" s="67"/>
      <c r="C191" s="67"/>
      <c r="D191" s="67"/>
      <c r="E191" s="67"/>
      <c r="F191" s="67"/>
      <c r="G191" s="67"/>
      <c r="H191" s="68"/>
    </row>
    <row r="192" spans="1:8" x14ac:dyDescent="0.2">
      <c r="A192" s="67"/>
      <c r="B192" s="67"/>
      <c r="C192" s="67"/>
      <c r="D192" s="67"/>
      <c r="E192" s="67"/>
      <c r="F192" s="67"/>
      <c r="G192" s="67"/>
      <c r="H192" s="68"/>
    </row>
    <row r="193" spans="1:8" x14ac:dyDescent="0.2">
      <c r="A193" s="67"/>
      <c r="B193" s="67"/>
      <c r="C193" s="67"/>
      <c r="D193" s="67"/>
      <c r="E193" s="67"/>
      <c r="F193" s="67"/>
      <c r="G193" s="67"/>
      <c r="H193" s="68"/>
    </row>
    <row r="194" spans="1:8" x14ac:dyDescent="0.2">
      <c r="A194" s="67"/>
      <c r="B194" s="67"/>
      <c r="C194" s="67"/>
      <c r="D194" s="67"/>
      <c r="E194" s="67"/>
      <c r="F194" s="67"/>
      <c r="G194" s="67"/>
      <c r="H194" s="68"/>
    </row>
    <row r="195" spans="1:8" x14ac:dyDescent="0.2">
      <c r="A195" s="67"/>
      <c r="B195" s="67"/>
      <c r="C195" s="67"/>
      <c r="D195" s="67"/>
      <c r="E195" s="67"/>
      <c r="F195" s="67"/>
      <c r="G195" s="67"/>
      <c r="H195" s="68"/>
    </row>
    <row r="196" spans="1:8" x14ac:dyDescent="0.2">
      <c r="A196" s="67"/>
      <c r="B196" s="67"/>
      <c r="C196" s="67"/>
      <c r="D196" s="67"/>
      <c r="E196" s="67"/>
      <c r="F196" s="67"/>
      <c r="G196" s="67"/>
      <c r="H196" s="68"/>
    </row>
    <row r="197" spans="1:8" x14ac:dyDescent="0.2">
      <c r="A197" s="67"/>
      <c r="B197" s="67"/>
      <c r="C197" s="67"/>
      <c r="D197" s="67"/>
      <c r="E197" s="67"/>
      <c r="F197" s="67"/>
      <c r="G197" s="67"/>
      <c r="H197" s="68"/>
    </row>
    <row r="198" spans="1:8" x14ac:dyDescent="0.2">
      <c r="A198" s="67"/>
      <c r="B198" s="67"/>
      <c r="C198" s="67"/>
      <c r="D198" s="67"/>
      <c r="E198" s="67"/>
      <c r="F198" s="67"/>
      <c r="G198" s="67"/>
      <c r="H198" s="68"/>
    </row>
    <row r="199" spans="1:8" x14ac:dyDescent="0.2">
      <c r="A199" s="67"/>
      <c r="B199" s="67"/>
      <c r="C199" s="67"/>
      <c r="D199" s="67"/>
      <c r="E199" s="67"/>
      <c r="F199" s="67"/>
      <c r="G199" s="67"/>
      <c r="H199" s="68"/>
    </row>
    <row r="200" spans="1:8" x14ac:dyDescent="0.2">
      <c r="A200" s="67"/>
      <c r="B200" s="67"/>
      <c r="C200" s="67"/>
      <c r="D200" s="67"/>
      <c r="E200" s="67"/>
      <c r="F200" s="67"/>
      <c r="G200" s="67"/>
      <c r="H200" s="68"/>
    </row>
    <row r="201" spans="1:8" x14ac:dyDescent="0.2">
      <c r="A201" s="67"/>
      <c r="B201" s="67"/>
      <c r="C201" s="67"/>
      <c r="D201" s="67"/>
      <c r="E201" s="67"/>
      <c r="F201" s="67"/>
      <c r="G201" s="67"/>
      <c r="H201" s="68"/>
    </row>
    <row r="202" spans="1:8" x14ac:dyDescent="0.2">
      <c r="A202" s="67"/>
      <c r="B202" s="67"/>
      <c r="C202" s="67"/>
      <c r="D202" s="67"/>
      <c r="E202" s="67"/>
      <c r="F202" s="67"/>
      <c r="G202" s="67"/>
      <c r="H202" s="68"/>
    </row>
    <row r="203" spans="1:8" x14ac:dyDescent="0.2">
      <c r="A203" s="67"/>
      <c r="B203" s="67"/>
      <c r="C203" s="67"/>
      <c r="D203" s="67"/>
      <c r="E203" s="67"/>
      <c r="F203" s="67"/>
      <c r="G203" s="67"/>
      <c r="H203" s="68"/>
    </row>
    <row r="204" spans="1:8" x14ac:dyDescent="0.2">
      <c r="A204" s="67"/>
      <c r="B204" s="67"/>
      <c r="C204" s="67"/>
      <c r="D204" s="67"/>
      <c r="E204" s="67"/>
      <c r="F204" s="67"/>
      <c r="G204" s="67"/>
      <c r="H204" s="68"/>
    </row>
    <row r="205" spans="1:8" x14ac:dyDescent="0.2">
      <c r="A205" s="67"/>
      <c r="B205" s="67"/>
      <c r="C205" s="67"/>
      <c r="D205" s="67"/>
      <c r="E205" s="67"/>
      <c r="F205" s="67"/>
      <c r="G205" s="67"/>
      <c r="H205" s="68"/>
    </row>
    <row r="206" spans="1:8" x14ac:dyDescent="0.2">
      <c r="A206" s="67"/>
      <c r="B206" s="67"/>
      <c r="C206" s="67"/>
      <c r="D206" s="67"/>
      <c r="E206" s="67"/>
      <c r="F206" s="67"/>
      <c r="G206" s="67"/>
      <c r="H206" s="68"/>
    </row>
    <row r="207" spans="1:8" x14ac:dyDescent="0.2">
      <c r="A207" s="67"/>
      <c r="B207" s="67"/>
      <c r="C207" s="67"/>
      <c r="D207" s="67"/>
      <c r="E207" s="67"/>
      <c r="F207" s="67"/>
      <c r="G207" s="67"/>
      <c r="H207" s="68"/>
    </row>
    <row r="208" spans="1:8" x14ac:dyDescent="0.2">
      <c r="A208" s="67"/>
      <c r="B208" s="67"/>
      <c r="C208" s="67"/>
      <c r="D208" s="67"/>
      <c r="E208" s="67"/>
      <c r="F208" s="67"/>
      <c r="G208" s="67"/>
      <c r="H208" s="68"/>
    </row>
    <row r="209" spans="1:8" x14ac:dyDescent="0.2">
      <c r="A209" s="67"/>
      <c r="B209" s="67"/>
      <c r="C209" s="67"/>
      <c r="D209" s="67"/>
      <c r="E209" s="67"/>
      <c r="F209" s="67"/>
      <c r="G209" s="67"/>
      <c r="H209" s="68"/>
    </row>
    <row r="210" spans="1:8" x14ac:dyDescent="0.2">
      <c r="A210" s="67"/>
      <c r="B210" s="67"/>
      <c r="C210" s="67"/>
      <c r="D210" s="67"/>
      <c r="E210" s="67"/>
      <c r="F210" s="67"/>
      <c r="G210" s="67"/>
      <c r="H210" s="68"/>
    </row>
    <row r="211" spans="1:8" x14ac:dyDescent="0.2">
      <c r="A211" s="67"/>
      <c r="B211" s="67"/>
      <c r="C211" s="67"/>
      <c r="D211" s="67"/>
      <c r="E211" s="67"/>
      <c r="F211" s="67"/>
      <c r="G211" s="67"/>
      <c r="H211" s="68"/>
    </row>
    <row r="212" spans="1:8" x14ac:dyDescent="0.2">
      <c r="A212" s="67"/>
      <c r="B212" s="67"/>
      <c r="C212" s="67"/>
      <c r="D212" s="67"/>
      <c r="E212" s="67"/>
      <c r="F212" s="67"/>
      <c r="G212" s="67"/>
      <c r="H212" s="68"/>
    </row>
    <row r="213" spans="1:8" x14ac:dyDescent="0.2">
      <c r="A213" s="67"/>
      <c r="B213" s="67"/>
      <c r="C213" s="67"/>
      <c r="D213" s="67"/>
      <c r="E213" s="67"/>
      <c r="F213" s="67"/>
      <c r="G213" s="67"/>
      <c r="H213" s="68"/>
    </row>
    <row r="214" spans="1:8" x14ac:dyDescent="0.2">
      <c r="A214" s="67"/>
      <c r="B214" s="67"/>
      <c r="C214" s="67"/>
      <c r="D214" s="67"/>
      <c r="E214" s="67"/>
      <c r="F214" s="67"/>
      <c r="G214" s="67"/>
      <c r="H214" s="68"/>
    </row>
    <row r="215" spans="1:8" x14ac:dyDescent="0.2">
      <c r="A215" s="67"/>
      <c r="B215" s="67"/>
      <c r="C215" s="67"/>
      <c r="D215" s="67"/>
      <c r="E215" s="67"/>
      <c r="F215" s="67"/>
      <c r="G215" s="67"/>
      <c r="H215" s="68"/>
    </row>
    <row r="216" spans="1:8" x14ac:dyDescent="0.2">
      <c r="A216" s="67"/>
      <c r="B216" s="67"/>
      <c r="C216" s="67"/>
      <c r="D216" s="67"/>
      <c r="E216" s="67"/>
      <c r="F216" s="67"/>
      <c r="G216" s="67"/>
      <c r="H216" s="68"/>
    </row>
    <row r="217" spans="1:8" x14ac:dyDescent="0.2">
      <c r="A217" s="67"/>
      <c r="B217" s="67"/>
      <c r="C217" s="67"/>
      <c r="D217" s="67"/>
      <c r="E217" s="67"/>
      <c r="F217" s="67"/>
      <c r="G217" s="67"/>
      <c r="H217" s="68"/>
    </row>
    <row r="218" spans="1:8" x14ac:dyDescent="0.2">
      <c r="A218" s="67"/>
      <c r="B218" s="67"/>
      <c r="C218" s="67"/>
      <c r="D218" s="67"/>
      <c r="E218" s="67"/>
      <c r="F218" s="67"/>
      <c r="G218" s="67"/>
      <c r="H218" s="68"/>
    </row>
    <row r="219" spans="1:8" x14ac:dyDescent="0.2">
      <c r="A219" s="67"/>
      <c r="B219" s="67"/>
      <c r="C219" s="67"/>
      <c r="D219" s="67"/>
      <c r="E219" s="67"/>
      <c r="F219" s="67"/>
      <c r="G219" s="67"/>
      <c r="H219" s="68"/>
    </row>
    <row r="220" spans="1:8" x14ac:dyDescent="0.2">
      <c r="A220" s="67"/>
      <c r="B220" s="67"/>
      <c r="C220" s="67"/>
      <c r="D220" s="67"/>
      <c r="E220" s="67"/>
      <c r="F220" s="67"/>
      <c r="G220" s="67"/>
      <c r="H220" s="68"/>
    </row>
    <row r="221" spans="1:8" x14ac:dyDescent="0.2">
      <c r="A221" s="67"/>
      <c r="B221" s="67"/>
      <c r="C221" s="67"/>
      <c r="D221" s="67"/>
      <c r="E221" s="67"/>
      <c r="F221" s="67"/>
      <c r="G221" s="67"/>
      <c r="H221" s="68"/>
    </row>
    <row r="222" spans="1:8" x14ac:dyDescent="0.2">
      <c r="A222" s="67"/>
      <c r="B222" s="67"/>
      <c r="C222" s="67"/>
      <c r="D222" s="67"/>
      <c r="E222" s="67"/>
      <c r="F222" s="67"/>
      <c r="G222" s="67"/>
      <c r="H222" s="68"/>
    </row>
    <row r="223" spans="1:8" x14ac:dyDescent="0.2">
      <c r="A223" s="67"/>
      <c r="B223" s="67"/>
      <c r="C223" s="67"/>
      <c r="D223" s="67"/>
      <c r="E223" s="67"/>
      <c r="F223" s="67"/>
      <c r="G223" s="67"/>
      <c r="H223" s="68"/>
    </row>
    <row r="224" spans="1:8" x14ac:dyDescent="0.2">
      <c r="A224" s="67"/>
      <c r="B224" s="67"/>
      <c r="C224" s="67"/>
      <c r="D224" s="67"/>
      <c r="E224" s="67"/>
      <c r="F224" s="67"/>
      <c r="G224" s="67"/>
      <c r="H224" s="68"/>
    </row>
    <row r="225" spans="1:8" x14ac:dyDescent="0.2">
      <c r="A225" s="67"/>
      <c r="B225" s="67"/>
      <c r="C225" s="67"/>
      <c r="D225" s="67"/>
      <c r="E225" s="67"/>
      <c r="F225" s="67"/>
      <c r="G225" s="67"/>
      <c r="H225" s="68"/>
    </row>
    <row r="226" spans="1:8" x14ac:dyDescent="0.2">
      <c r="A226" s="67"/>
      <c r="B226" s="67"/>
      <c r="C226" s="67"/>
      <c r="D226" s="67"/>
      <c r="E226" s="67"/>
      <c r="F226" s="67"/>
      <c r="G226" s="67"/>
      <c r="H226" s="68"/>
    </row>
    <row r="227" spans="1:8" x14ac:dyDescent="0.2">
      <c r="A227" s="67"/>
      <c r="B227" s="67"/>
      <c r="C227" s="67"/>
      <c r="D227" s="67"/>
      <c r="E227" s="67"/>
      <c r="F227" s="67"/>
      <c r="G227" s="67"/>
      <c r="H227" s="68"/>
    </row>
    <row r="228" spans="1:8" x14ac:dyDescent="0.2">
      <c r="A228" s="67"/>
      <c r="B228" s="67"/>
      <c r="C228" s="67"/>
      <c r="D228" s="67"/>
      <c r="E228" s="67"/>
      <c r="F228" s="67"/>
      <c r="G228" s="67"/>
      <c r="H228" s="68"/>
    </row>
    <row r="229" spans="1:8" x14ac:dyDescent="0.2">
      <c r="A229" s="67"/>
      <c r="B229" s="67"/>
      <c r="C229" s="67"/>
      <c r="D229" s="67"/>
      <c r="E229" s="67"/>
      <c r="F229" s="67"/>
      <c r="G229" s="67"/>
      <c r="H229" s="68"/>
    </row>
    <row r="230" spans="1:8" x14ac:dyDescent="0.2">
      <c r="A230" s="67"/>
      <c r="B230" s="67"/>
      <c r="C230" s="67"/>
      <c r="D230" s="67"/>
      <c r="E230" s="67"/>
      <c r="F230" s="67"/>
      <c r="G230" s="67"/>
      <c r="H230" s="68"/>
    </row>
    <row r="231" spans="1:8" x14ac:dyDescent="0.2">
      <c r="A231" s="67"/>
      <c r="B231" s="67"/>
      <c r="C231" s="67"/>
      <c r="D231" s="67"/>
      <c r="E231" s="67"/>
      <c r="F231" s="67"/>
      <c r="G231" s="67"/>
      <c r="H231" s="68"/>
    </row>
    <row r="232" spans="1:8" x14ac:dyDescent="0.2">
      <c r="A232" s="67"/>
      <c r="B232" s="67"/>
      <c r="C232" s="67"/>
      <c r="D232" s="67"/>
      <c r="E232" s="67"/>
      <c r="F232" s="67"/>
      <c r="G232" s="67"/>
      <c r="H232" s="68"/>
    </row>
    <row r="233" spans="1:8" x14ac:dyDescent="0.2">
      <c r="A233" s="67"/>
      <c r="B233" s="67"/>
      <c r="C233" s="67"/>
      <c r="D233" s="67"/>
      <c r="E233" s="67"/>
      <c r="F233" s="67"/>
      <c r="G233" s="67"/>
      <c r="H233" s="68"/>
    </row>
    <row r="234" spans="1:8" x14ac:dyDescent="0.2">
      <c r="A234" s="67"/>
      <c r="B234" s="67"/>
      <c r="C234" s="67"/>
      <c r="D234" s="67"/>
      <c r="E234" s="67"/>
      <c r="F234" s="67"/>
      <c r="G234" s="67"/>
      <c r="H234" s="68"/>
    </row>
    <row r="235" spans="1:8" x14ac:dyDescent="0.2">
      <c r="A235" s="67"/>
      <c r="B235" s="67"/>
      <c r="C235" s="67"/>
      <c r="D235" s="67"/>
      <c r="E235" s="67"/>
      <c r="F235" s="67"/>
      <c r="G235" s="67"/>
      <c r="H235" s="68"/>
    </row>
    <row r="236" spans="1:8" x14ac:dyDescent="0.2">
      <c r="A236" s="67"/>
      <c r="B236" s="67"/>
      <c r="C236" s="67"/>
      <c r="D236" s="67"/>
      <c r="E236" s="67"/>
      <c r="F236" s="67"/>
      <c r="G236" s="67"/>
      <c r="H236" s="68"/>
    </row>
    <row r="237" spans="1:8" x14ac:dyDescent="0.2">
      <c r="A237" s="67"/>
      <c r="B237" s="67"/>
      <c r="C237" s="67"/>
      <c r="D237" s="67"/>
      <c r="E237" s="67"/>
      <c r="F237" s="67"/>
      <c r="G237" s="67"/>
      <c r="H237" s="68"/>
    </row>
    <row r="238" spans="1:8" x14ac:dyDescent="0.2">
      <c r="A238" s="67"/>
      <c r="B238" s="67"/>
      <c r="C238" s="67"/>
      <c r="D238" s="67"/>
      <c r="E238" s="67"/>
      <c r="F238" s="67"/>
      <c r="G238" s="67"/>
      <c r="H238" s="68"/>
    </row>
    <row r="239" spans="1:8" x14ac:dyDescent="0.2">
      <c r="A239" s="67"/>
      <c r="B239" s="67"/>
      <c r="C239" s="67"/>
      <c r="D239" s="67"/>
      <c r="E239" s="67"/>
      <c r="F239" s="67"/>
      <c r="G239" s="67"/>
      <c r="H239" s="68"/>
    </row>
    <row r="240" spans="1:8" x14ac:dyDescent="0.2">
      <c r="A240" s="67"/>
      <c r="B240" s="67"/>
      <c r="C240" s="67"/>
      <c r="D240" s="67"/>
      <c r="E240" s="67"/>
      <c r="F240" s="67"/>
      <c r="G240" s="67"/>
      <c r="H240" s="68"/>
    </row>
    <row r="241" spans="1:8" x14ac:dyDescent="0.2">
      <c r="A241" s="67"/>
      <c r="B241" s="67"/>
      <c r="C241" s="67"/>
      <c r="D241" s="67"/>
      <c r="E241" s="67"/>
      <c r="F241" s="67"/>
      <c r="G241" s="67"/>
      <c r="H241" s="68"/>
    </row>
    <row r="242" spans="1:8" x14ac:dyDescent="0.2">
      <c r="A242" s="67"/>
      <c r="B242" s="67"/>
      <c r="C242" s="67"/>
      <c r="D242" s="67"/>
      <c r="E242" s="67"/>
      <c r="F242" s="67"/>
      <c r="G242" s="67"/>
      <c r="H242" s="68"/>
    </row>
    <row r="243" spans="1:8" x14ac:dyDescent="0.2">
      <c r="A243" s="67"/>
      <c r="B243" s="67"/>
      <c r="C243" s="67"/>
      <c r="D243" s="67"/>
      <c r="E243" s="67"/>
      <c r="F243" s="67"/>
      <c r="G243" s="67"/>
      <c r="H243" s="68"/>
    </row>
    <row r="244" spans="1:8" x14ac:dyDescent="0.2">
      <c r="A244" s="67"/>
      <c r="B244" s="67"/>
      <c r="C244" s="67"/>
      <c r="D244" s="67"/>
      <c r="E244" s="67"/>
      <c r="F244" s="67"/>
      <c r="G244" s="67"/>
      <c r="H244" s="68"/>
    </row>
    <row r="245" spans="1:8" x14ac:dyDescent="0.2">
      <c r="A245" s="67"/>
      <c r="B245" s="67"/>
      <c r="C245" s="67"/>
      <c r="D245" s="67"/>
      <c r="E245" s="67"/>
      <c r="F245" s="67"/>
      <c r="G245" s="67"/>
      <c r="H245" s="68"/>
    </row>
    <row r="246" spans="1:8" x14ac:dyDescent="0.2">
      <c r="A246" s="67"/>
      <c r="B246" s="67"/>
      <c r="C246" s="67"/>
      <c r="D246" s="67"/>
      <c r="E246" s="67"/>
      <c r="F246" s="67"/>
      <c r="G246" s="67"/>
      <c r="H246" s="68"/>
    </row>
    <row r="247" spans="1:8" x14ac:dyDescent="0.2">
      <c r="A247" s="67"/>
      <c r="B247" s="67"/>
      <c r="C247" s="67"/>
      <c r="D247" s="67"/>
      <c r="E247" s="67"/>
      <c r="F247" s="67"/>
      <c r="G247" s="67"/>
      <c r="H247" s="68"/>
    </row>
    <row r="248" spans="1:8" x14ac:dyDescent="0.2">
      <c r="A248" s="67"/>
      <c r="B248" s="67"/>
      <c r="C248" s="67"/>
      <c r="D248" s="67"/>
      <c r="E248" s="67"/>
      <c r="F248" s="67"/>
      <c r="G248" s="67"/>
      <c r="H248" s="68"/>
    </row>
    <row r="249" spans="1:8" x14ac:dyDescent="0.2">
      <c r="A249" s="67"/>
      <c r="B249" s="67"/>
      <c r="C249" s="67"/>
      <c r="D249" s="67"/>
      <c r="E249" s="67"/>
      <c r="F249" s="67"/>
      <c r="G249" s="67"/>
      <c r="H249" s="68"/>
    </row>
    <row r="250" spans="1:8" x14ac:dyDescent="0.2">
      <c r="A250" s="67"/>
      <c r="B250" s="67"/>
      <c r="C250" s="67"/>
      <c r="D250" s="67"/>
      <c r="E250" s="67"/>
      <c r="F250" s="67"/>
      <c r="G250" s="67"/>
      <c r="H250" s="68"/>
    </row>
    <row r="251" spans="1:8" x14ac:dyDescent="0.2">
      <c r="A251" s="67"/>
      <c r="B251" s="67"/>
      <c r="C251" s="67"/>
      <c r="D251" s="67"/>
      <c r="E251" s="67"/>
      <c r="F251" s="67"/>
      <c r="G251" s="67"/>
      <c r="H251" s="68"/>
    </row>
    <row r="252" spans="1:8" x14ac:dyDescent="0.2">
      <c r="A252" s="67"/>
      <c r="B252" s="67"/>
      <c r="C252" s="67"/>
      <c r="D252" s="67"/>
      <c r="E252" s="67"/>
      <c r="F252" s="67"/>
      <c r="G252" s="67"/>
      <c r="H252" s="68"/>
    </row>
    <row r="253" spans="1:8" x14ac:dyDescent="0.2">
      <c r="A253" s="67"/>
      <c r="B253" s="67"/>
      <c r="C253" s="67"/>
      <c r="D253" s="67"/>
      <c r="E253" s="67"/>
      <c r="F253" s="67"/>
      <c r="G253" s="67"/>
      <c r="H253" s="68"/>
    </row>
    <row r="254" spans="1:8" x14ac:dyDescent="0.2">
      <c r="A254" s="67"/>
      <c r="B254" s="67"/>
      <c r="C254" s="67"/>
      <c r="D254" s="67"/>
      <c r="E254" s="67"/>
      <c r="F254" s="67"/>
      <c r="G254" s="67"/>
      <c r="H254" s="68"/>
    </row>
    <row r="255" spans="1:8" x14ac:dyDescent="0.2">
      <c r="A255" s="67"/>
      <c r="B255" s="67"/>
      <c r="C255" s="67"/>
      <c r="D255" s="67"/>
      <c r="E255" s="67"/>
      <c r="F255" s="67"/>
      <c r="G255" s="67"/>
      <c r="H255" s="68"/>
    </row>
    <row r="256" spans="1:8" x14ac:dyDescent="0.2">
      <c r="A256" s="67"/>
      <c r="B256" s="67"/>
      <c r="C256" s="67"/>
      <c r="D256" s="67"/>
      <c r="E256" s="67"/>
      <c r="F256" s="67"/>
      <c r="G256" s="67"/>
      <c r="H256" s="68"/>
    </row>
    <row r="257" spans="1:8" x14ac:dyDescent="0.2">
      <c r="A257" s="67"/>
      <c r="B257" s="67"/>
      <c r="C257" s="67"/>
      <c r="D257" s="67"/>
      <c r="E257" s="67"/>
      <c r="F257" s="67"/>
      <c r="G257" s="67"/>
      <c r="H257" s="68"/>
    </row>
    <row r="258" spans="1:8" x14ac:dyDescent="0.2">
      <c r="A258" s="67"/>
      <c r="B258" s="67"/>
      <c r="C258" s="67"/>
      <c r="D258" s="67"/>
      <c r="E258" s="67"/>
      <c r="F258" s="67"/>
      <c r="G258" s="67"/>
      <c r="H258" s="68"/>
    </row>
    <row r="259" spans="1:8" x14ac:dyDescent="0.2">
      <c r="A259" s="67"/>
      <c r="B259" s="67"/>
      <c r="C259" s="67"/>
      <c r="D259" s="67"/>
      <c r="E259" s="67"/>
      <c r="F259" s="67"/>
      <c r="G259" s="67"/>
      <c r="H259" s="68"/>
    </row>
    <row r="260" spans="1:8" x14ac:dyDescent="0.2">
      <c r="A260" s="67"/>
      <c r="B260" s="67"/>
      <c r="C260" s="67"/>
      <c r="D260" s="67"/>
      <c r="E260" s="67"/>
      <c r="F260" s="67"/>
      <c r="G260" s="67"/>
      <c r="H260" s="68"/>
    </row>
    <row r="261" spans="1:8" x14ac:dyDescent="0.2">
      <c r="A261" s="67"/>
      <c r="B261" s="67"/>
      <c r="C261" s="67"/>
      <c r="D261" s="67"/>
      <c r="E261" s="67"/>
      <c r="F261" s="67"/>
      <c r="G261" s="67"/>
      <c r="H261" s="68"/>
    </row>
    <row r="262" spans="1:8" x14ac:dyDescent="0.2">
      <c r="A262" s="67"/>
      <c r="B262" s="67"/>
      <c r="C262" s="67"/>
      <c r="D262" s="67"/>
      <c r="E262" s="67"/>
      <c r="F262" s="67"/>
      <c r="G262" s="67"/>
      <c r="H262" s="68"/>
    </row>
    <row r="263" spans="1:8" x14ac:dyDescent="0.2">
      <c r="A263" s="67"/>
      <c r="B263" s="67"/>
      <c r="C263" s="67"/>
      <c r="D263" s="67"/>
      <c r="E263" s="67"/>
      <c r="F263" s="67"/>
      <c r="G263" s="67"/>
      <c r="H263" s="68"/>
    </row>
    <row r="264" spans="1:8" x14ac:dyDescent="0.2">
      <c r="A264" s="67"/>
      <c r="B264" s="67"/>
      <c r="C264" s="67"/>
      <c r="D264" s="67"/>
      <c r="E264" s="67"/>
      <c r="F264" s="67"/>
      <c r="G264" s="67"/>
      <c r="H264" s="68"/>
    </row>
    <row r="265" spans="1:8" x14ac:dyDescent="0.2">
      <c r="A265" s="67"/>
      <c r="B265" s="67"/>
      <c r="C265" s="67"/>
      <c r="D265" s="67"/>
      <c r="E265" s="67"/>
      <c r="F265" s="67"/>
      <c r="G265" s="67"/>
      <c r="H265" s="68"/>
    </row>
    <row r="266" spans="1:8" x14ac:dyDescent="0.2">
      <c r="A266" s="67"/>
      <c r="B266" s="67"/>
      <c r="C266" s="67"/>
      <c r="D266" s="67"/>
      <c r="E266" s="67"/>
      <c r="F266" s="67"/>
      <c r="G266" s="67"/>
      <c r="H266" s="68"/>
    </row>
    <row r="267" spans="1:8" x14ac:dyDescent="0.2">
      <c r="A267" s="67"/>
      <c r="B267" s="67"/>
      <c r="C267" s="67"/>
      <c r="D267" s="67"/>
      <c r="E267" s="67"/>
      <c r="F267" s="67"/>
      <c r="G267" s="67"/>
      <c r="H267" s="68"/>
    </row>
    <row r="268" spans="1:8" x14ac:dyDescent="0.2">
      <c r="A268" s="67"/>
      <c r="B268" s="67"/>
      <c r="C268" s="67"/>
      <c r="D268" s="67"/>
      <c r="E268" s="67"/>
      <c r="F268" s="67"/>
      <c r="G268" s="67"/>
      <c r="H268" s="68"/>
    </row>
    <row r="269" spans="1:8" x14ac:dyDescent="0.2">
      <c r="A269" s="67"/>
      <c r="B269" s="67"/>
      <c r="C269" s="67"/>
      <c r="D269" s="67"/>
      <c r="E269" s="67"/>
      <c r="F269" s="67"/>
      <c r="G269" s="67"/>
      <c r="H269" s="68"/>
    </row>
    <row r="270" spans="1:8" x14ac:dyDescent="0.2">
      <c r="A270" s="67"/>
      <c r="B270" s="67"/>
      <c r="C270" s="67"/>
      <c r="D270" s="67"/>
      <c r="E270" s="67"/>
      <c r="F270" s="67"/>
      <c r="G270" s="67"/>
      <c r="H270" s="68"/>
    </row>
    <row r="271" spans="1:8" x14ac:dyDescent="0.2">
      <c r="A271" s="67"/>
      <c r="B271" s="67"/>
      <c r="C271" s="67"/>
      <c r="D271" s="67"/>
      <c r="E271" s="67"/>
      <c r="F271" s="67"/>
      <c r="G271" s="67"/>
      <c r="H271" s="68"/>
    </row>
    <row r="272" spans="1:8" x14ac:dyDescent="0.2">
      <c r="A272" s="67"/>
      <c r="B272" s="67"/>
      <c r="C272" s="67"/>
      <c r="D272" s="67"/>
      <c r="E272" s="67"/>
      <c r="F272" s="67"/>
      <c r="G272" s="67"/>
      <c r="H272" s="68"/>
    </row>
    <row r="273" spans="1:8" x14ac:dyDescent="0.2">
      <c r="A273" s="67"/>
      <c r="B273" s="67"/>
      <c r="C273" s="67"/>
      <c r="D273" s="67"/>
      <c r="E273" s="67"/>
      <c r="F273" s="67"/>
      <c r="G273" s="67"/>
      <c r="H273" s="68"/>
    </row>
    <row r="274" spans="1:8" x14ac:dyDescent="0.2">
      <c r="A274" s="67"/>
      <c r="B274" s="67"/>
      <c r="C274" s="67"/>
      <c r="D274" s="67"/>
      <c r="E274" s="67"/>
      <c r="F274" s="67"/>
      <c r="G274" s="67"/>
      <c r="H274" s="68"/>
    </row>
    <row r="275" spans="1:8" x14ac:dyDescent="0.2">
      <c r="A275" s="67"/>
      <c r="B275" s="67"/>
      <c r="C275" s="67"/>
      <c r="D275" s="67"/>
      <c r="E275" s="67"/>
      <c r="F275" s="67"/>
      <c r="G275" s="67"/>
      <c r="H275" s="68"/>
    </row>
    <row r="276" spans="1:8" x14ac:dyDescent="0.2">
      <c r="A276" s="67"/>
      <c r="B276" s="67"/>
      <c r="C276" s="67"/>
      <c r="D276" s="67"/>
      <c r="E276" s="67"/>
      <c r="F276" s="67"/>
      <c r="G276" s="67"/>
      <c r="H276" s="68"/>
    </row>
    <row r="277" spans="1:8" x14ac:dyDescent="0.2">
      <c r="A277" s="67"/>
      <c r="B277" s="67"/>
      <c r="C277" s="67"/>
      <c r="D277" s="67"/>
      <c r="E277" s="67"/>
      <c r="F277" s="67"/>
      <c r="G277" s="67"/>
      <c r="H277" s="68"/>
    </row>
    <row r="278" spans="1:8" x14ac:dyDescent="0.2">
      <c r="A278" s="67"/>
      <c r="B278" s="67"/>
      <c r="C278" s="67"/>
      <c r="D278" s="67"/>
      <c r="E278" s="67"/>
      <c r="F278" s="67"/>
      <c r="G278" s="67"/>
      <c r="H278" s="68"/>
    </row>
    <row r="279" spans="1:8" x14ac:dyDescent="0.2">
      <c r="A279" s="67"/>
      <c r="B279" s="67"/>
      <c r="C279" s="67"/>
      <c r="D279" s="67"/>
      <c r="E279" s="67"/>
      <c r="F279" s="67"/>
      <c r="G279" s="67"/>
      <c r="H279" s="68"/>
    </row>
    <row r="280" spans="1:8" x14ac:dyDescent="0.2">
      <c r="A280" s="67"/>
      <c r="B280" s="67"/>
      <c r="C280" s="67"/>
      <c r="D280" s="67"/>
      <c r="E280" s="67"/>
      <c r="F280" s="67"/>
      <c r="G280" s="67"/>
      <c r="H280" s="68"/>
    </row>
    <row r="281" spans="1:8" x14ac:dyDescent="0.2">
      <c r="A281" s="67"/>
      <c r="B281" s="67"/>
      <c r="C281" s="67"/>
      <c r="D281" s="67"/>
      <c r="E281" s="67"/>
      <c r="F281" s="67"/>
      <c r="G281" s="67"/>
      <c r="H281" s="68"/>
    </row>
    <row r="282" spans="1:8" x14ac:dyDescent="0.2">
      <c r="A282" s="67"/>
      <c r="B282" s="67"/>
      <c r="C282" s="67"/>
      <c r="D282" s="67"/>
      <c r="E282" s="67"/>
      <c r="F282" s="67"/>
      <c r="G282" s="67"/>
      <c r="H282" s="68"/>
    </row>
    <row r="283" spans="1:8" x14ac:dyDescent="0.2">
      <c r="A283" s="67"/>
      <c r="B283" s="67"/>
      <c r="C283" s="67"/>
      <c r="D283" s="67"/>
      <c r="E283" s="67"/>
      <c r="F283" s="67"/>
      <c r="G283" s="67"/>
      <c r="H283" s="68"/>
    </row>
    <row r="284" spans="1:8" x14ac:dyDescent="0.2">
      <c r="A284" s="67"/>
      <c r="B284" s="67"/>
      <c r="C284" s="67"/>
      <c r="D284" s="67"/>
      <c r="E284" s="67"/>
      <c r="F284" s="67"/>
      <c r="G284" s="67"/>
      <c r="H284" s="68"/>
    </row>
    <row r="285" spans="1:8" x14ac:dyDescent="0.2">
      <c r="A285" s="67"/>
      <c r="B285" s="67"/>
      <c r="C285" s="67"/>
      <c r="D285" s="67"/>
      <c r="E285" s="67"/>
      <c r="F285" s="67"/>
      <c r="G285" s="67"/>
      <c r="H285" s="68"/>
    </row>
    <row r="286" spans="1:8" x14ac:dyDescent="0.2">
      <c r="A286" s="67"/>
      <c r="B286" s="67"/>
      <c r="C286" s="67"/>
      <c r="D286" s="67"/>
      <c r="E286" s="67"/>
      <c r="F286" s="67"/>
      <c r="G286" s="67"/>
      <c r="H286" s="68"/>
    </row>
    <row r="287" spans="1:8" x14ac:dyDescent="0.2">
      <c r="A287" s="67"/>
      <c r="B287" s="67"/>
      <c r="C287" s="67"/>
      <c r="D287" s="67"/>
      <c r="E287" s="67"/>
      <c r="F287" s="67"/>
      <c r="G287" s="67"/>
      <c r="H287" s="68"/>
    </row>
    <row r="288" spans="1:8" x14ac:dyDescent="0.2">
      <c r="A288" s="67"/>
      <c r="B288" s="67"/>
      <c r="C288" s="67"/>
      <c r="D288" s="67"/>
      <c r="E288" s="67"/>
      <c r="F288" s="67"/>
      <c r="G288" s="67"/>
      <c r="H288" s="68"/>
    </row>
    <row r="289" spans="1:8" x14ac:dyDescent="0.2">
      <c r="A289" s="67"/>
      <c r="B289" s="67"/>
      <c r="C289" s="67"/>
      <c r="D289" s="67"/>
      <c r="E289" s="67"/>
      <c r="F289" s="67"/>
      <c r="G289" s="67"/>
      <c r="H289" s="68"/>
    </row>
    <row r="290" spans="1:8" x14ac:dyDescent="0.2">
      <c r="A290" s="67"/>
      <c r="B290" s="67"/>
      <c r="C290" s="67"/>
      <c r="D290" s="67"/>
      <c r="E290" s="67"/>
      <c r="F290" s="67"/>
      <c r="G290" s="67"/>
      <c r="H290" s="68"/>
    </row>
    <row r="291" spans="1:8" x14ac:dyDescent="0.2">
      <c r="A291" s="67"/>
      <c r="B291" s="67"/>
      <c r="C291" s="67"/>
      <c r="D291" s="67"/>
      <c r="E291" s="67"/>
      <c r="F291" s="67"/>
      <c r="G291" s="67"/>
      <c r="H291" s="68"/>
    </row>
    <row r="292" spans="1:8" x14ac:dyDescent="0.2">
      <c r="A292" s="67"/>
      <c r="B292" s="67"/>
      <c r="C292" s="67"/>
      <c r="D292" s="67"/>
      <c r="E292" s="67"/>
      <c r="F292" s="67"/>
      <c r="G292" s="67"/>
      <c r="H292" s="68"/>
    </row>
    <row r="293" spans="1:8" x14ac:dyDescent="0.2">
      <c r="A293" s="67"/>
      <c r="B293" s="67"/>
      <c r="C293" s="67"/>
      <c r="D293" s="67"/>
      <c r="E293" s="67"/>
      <c r="F293" s="67"/>
      <c r="G293" s="67"/>
      <c r="H293" s="68"/>
    </row>
    <row r="294" spans="1:8" x14ac:dyDescent="0.2">
      <c r="A294" s="67"/>
      <c r="B294" s="67"/>
      <c r="C294" s="67"/>
      <c r="D294" s="67"/>
      <c r="E294" s="67"/>
      <c r="F294" s="67"/>
      <c r="G294" s="67"/>
      <c r="H294" s="68"/>
    </row>
    <row r="295" spans="1:8" x14ac:dyDescent="0.2">
      <c r="A295" s="67"/>
      <c r="B295" s="67"/>
      <c r="C295" s="67"/>
      <c r="D295" s="67"/>
      <c r="E295" s="67"/>
      <c r="F295" s="67"/>
      <c r="G295" s="67"/>
      <c r="H295" s="68"/>
    </row>
    <row r="296" spans="1:8" x14ac:dyDescent="0.2">
      <c r="A296" s="67"/>
      <c r="B296" s="67"/>
      <c r="C296" s="67"/>
      <c r="D296" s="67"/>
      <c r="E296" s="67"/>
      <c r="F296" s="67"/>
      <c r="G296" s="67"/>
      <c r="H296" s="68"/>
    </row>
    <row r="297" spans="1:8" x14ac:dyDescent="0.2">
      <c r="A297" s="67"/>
      <c r="B297" s="67"/>
      <c r="C297" s="67"/>
      <c r="D297" s="67"/>
      <c r="E297" s="67"/>
      <c r="F297" s="67"/>
      <c r="G297" s="67"/>
      <c r="H297" s="68"/>
    </row>
    <row r="298" spans="1:8" x14ac:dyDescent="0.2">
      <c r="A298" s="67"/>
      <c r="B298" s="67"/>
      <c r="C298" s="67"/>
      <c r="D298" s="67"/>
      <c r="E298" s="67"/>
      <c r="F298" s="67"/>
      <c r="G298" s="67"/>
      <c r="H298" s="68"/>
    </row>
    <row r="299" spans="1:8" x14ac:dyDescent="0.2">
      <c r="A299" s="67"/>
      <c r="B299" s="67"/>
      <c r="C299" s="67"/>
      <c r="D299" s="67"/>
      <c r="E299" s="67"/>
      <c r="F299" s="67"/>
      <c r="G299" s="67"/>
      <c r="H299" s="68"/>
    </row>
    <row r="300" spans="1:8" x14ac:dyDescent="0.2">
      <c r="A300" s="67"/>
      <c r="B300" s="67"/>
      <c r="C300" s="67"/>
      <c r="D300" s="67"/>
      <c r="E300" s="67"/>
      <c r="F300" s="67"/>
      <c r="G300" s="67"/>
      <c r="H300" s="68"/>
    </row>
    <row r="301" spans="1:8" x14ac:dyDescent="0.2">
      <c r="A301" s="67"/>
      <c r="B301" s="67"/>
      <c r="C301" s="67"/>
      <c r="D301" s="67"/>
      <c r="E301" s="67"/>
      <c r="F301" s="67"/>
      <c r="G301" s="67"/>
      <c r="H301" s="68"/>
    </row>
    <row r="302" spans="1:8" x14ac:dyDescent="0.2">
      <c r="A302" s="67"/>
      <c r="B302" s="67"/>
      <c r="C302" s="67"/>
      <c r="D302" s="67"/>
      <c r="E302" s="67"/>
      <c r="F302" s="67"/>
      <c r="G302" s="67"/>
      <c r="H302" s="68"/>
    </row>
    <row r="303" spans="1:8" x14ac:dyDescent="0.2">
      <c r="A303" s="67"/>
      <c r="B303" s="67"/>
      <c r="C303" s="67"/>
      <c r="D303" s="67"/>
      <c r="E303" s="67"/>
      <c r="F303" s="67"/>
      <c r="G303" s="67"/>
      <c r="H303" s="68"/>
    </row>
    <row r="304" spans="1:8" x14ac:dyDescent="0.2">
      <c r="A304" s="67"/>
      <c r="B304" s="67"/>
      <c r="C304" s="67"/>
      <c r="D304" s="67"/>
      <c r="E304" s="67"/>
      <c r="F304" s="67"/>
      <c r="G304" s="67"/>
      <c r="H304" s="68"/>
    </row>
    <row r="305" spans="1:8" x14ac:dyDescent="0.2">
      <c r="A305" s="67"/>
      <c r="B305" s="67"/>
      <c r="C305" s="67"/>
      <c r="D305" s="67"/>
      <c r="E305" s="67"/>
      <c r="F305" s="67"/>
      <c r="G305" s="67"/>
      <c r="H305" s="68"/>
    </row>
    <row r="306" spans="1:8" x14ac:dyDescent="0.2">
      <c r="A306" s="67"/>
      <c r="B306" s="67"/>
      <c r="C306" s="67"/>
      <c r="D306" s="67"/>
      <c r="E306" s="67"/>
      <c r="F306" s="67"/>
      <c r="G306" s="67"/>
      <c r="H306" s="68"/>
    </row>
    <row r="307" spans="1:8" x14ac:dyDescent="0.2">
      <c r="A307" s="67"/>
      <c r="B307" s="67"/>
      <c r="C307" s="67"/>
      <c r="D307" s="67"/>
      <c r="E307" s="67"/>
      <c r="F307" s="67"/>
      <c r="G307" s="67"/>
      <c r="H307" s="68"/>
    </row>
    <row r="308" spans="1:8" x14ac:dyDescent="0.2">
      <c r="A308" s="67"/>
      <c r="B308" s="67"/>
      <c r="C308" s="67"/>
      <c r="D308" s="67"/>
      <c r="E308" s="67"/>
      <c r="F308" s="67"/>
      <c r="G308" s="67"/>
      <c r="H308" s="68"/>
    </row>
    <row r="309" spans="1:8" x14ac:dyDescent="0.2">
      <c r="A309" s="67"/>
      <c r="B309" s="67"/>
      <c r="C309" s="67"/>
      <c r="D309" s="67"/>
      <c r="E309" s="67"/>
      <c r="F309" s="67"/>
      <c r="G309" s="67"/>
      <c r="H309" s="68"/>
    </row>
    <row r="310" spans="1:8" x14ac:dyDescent="0.2">
      <c r="A310" s="67"/>
      <c r="B310" s="67"/>
      <c r="C310" s="67"/>
      <c r="D310" s="67"/>
      <c r="E310" s="67"/>
      <c r="F310" s="67"/>
      <c r="G310" s="67"/>
      <c r="H310" s="68"/>
    </row>
    <row r="311" spans="1:8" x14ac:dyDescent="0.2">
      <c r="A311" s="67"/>
      <c r="B311" s="67"/>
      <c r="C311" s="67"/>
      <c r="D311" s="67"/>
      <c r="E311" s="67"/>
      <c r="F311" s="67"/>
      <c r="G311" s="67"/>
      <c r="H311" s="68"/>
    </row>
    <row r="312" spans="1:8" x14ac:dyDescent="0.2">
      <c r="A312" s="67"/>
      <c r="B312" s="67"/>
      <c r="C312" s="67"/>
      <c r="D312" s="67"/>
      <c r="E312" s="67"/>
      <c r="F312" s="67"/>
      <c r="G312" s="67"/>
      <c r="H312" s="68"/>
    </row>
    <row r="313" spans="1:8" x14ac:dyDescent="0.2">
      <c r="A313" s="67"/>
      <c r="B313" s="67"/>
      <c r="C313" s="67"/>
      <c r="D313" s="67"/>
      <c r="E313" s="67"/>
      <c r="F313" s="67"/>
      <c r="G313" s="67"/>
      <c r="H313" s="68"/>
    </row>
    <row r="314" spans="1:8" x14ac:dyDescent="0.2">
      <c r="A314" s="67"/>
      <c r="B314" s="67"/>
      <c r="C314" s="67"/>
      <c r="D314" s="67"/>
      <c r="E314" s="67"/>
      <c r="F314" s="67"/>
      <c r="G314" s="67"/>
      <c r="H314" s="68"/>
    </row>
    <row r="315" spans="1:8" x14ac:dyDescent="0.2">
      <c r="A315" s="67"/>
      <c r="B315" s="67"/>
      <c r="C315" s="67"/>
      <c r="D315" s="67"/>
      <c r="E315" s="67"/>
      <c r="F315" s="67"/>
      <c r="G315" s="67"/>
      <c r="H315" s="68"/>
    </row>
    <row r="316" spans="1:8" x14ac:dyDescent="0.2">
      <c r="A316" s="67"/>
      <c r="B316" s="67"/>
      <c r="C316" s="67"/>
      <c r="D316" s="67"/>
      <c r="E316" s="67"/>
      <c r="F316" s="67"/>
      <c r="G316" s="67"/>
      <c r="H316" s="68"/>
    </row>
    <row r="317" spans="1:8" x14ac:dyDescent="0.2">
      <c r="A317" s="67"/>
      <c r="B317" s="67"/>
      <c r="C317" s="67"/>
      <c r="D317" s="67"/>
      <c r="E317" s="67"/>
      <c r="F317" s="67"/>
      <c r="G317" s="67"/>
      <c r="H317" s="68"/>
    </row>
    <row r="318" spans="1:8" x14ac:dyDescent="0.2">
      <c r="A318" s="67"/>
      <c r="B318" s="67"/>
      <c r="C318" s="67"/>
      <c r="D318" s="67"/>
      <c r="E318" s="67"/>
      <c r="F318" s="67"/>
      <c r="G318" s="67"/>
      <c r="H318" s="68"/>
    </row>
    <row r="319" spans="1:8" x14ac:dyDescent="0.2">
      <c r="A319" s="67"/>
      <c r="B319" s="67"/>
      <c r="C319" s="67"/>
      <c r="D319" s="67"/>
      <c r="E319" s="67"/>
      <c r="F319" s="67"/>
      <c r="G319" s="67"/>
      <c r="H319" s="68"/>
    </row>
    <row r="320" spans="1:8" x14ac:dyDescent="0.2">
      <c r="A320" s="67"/>
      <c r="B320" s="67"/>
      <c r="C320" s="67"/>
      <c r="D320" s="67"/>
      <c r="E320" s="67"/>
      <c r="F320" s="67"/>
      <c r="G320" s="67"/>
      <c r="H320" s="68"/>
    </row>
    <row r="321" spans="1:8" x14ac:dyDescent="0.2">
      <c r="A321" s="67"/>
      <c r="B321" s="67"/>
      <c r="C321" s="67"/>
      <c r="D321" s="67"/>
      <c r="E321" s="67"/>
      <c r="F321" s="67"/>
      <c r="G321" s="67"/>
      <c r="H321" s="68"/>
    </row>
    <row r="322" spans="1:8" x14ac:dyDescent="0.2">
      <c r="A322" s="67"/>
      <c r="B322" s="67"/>
      <c r="C322" s="67"/>
      <c r="D322" s="67"/>
      <c r="E322" s="67"/>
      <c r="F322" s="67"/>
      <c r="G322" s="67"/>
      <c r="H322" s="68"/>
    </row>
    <row r="323" spans="1:8" x14ac:dyDescent="0.2">
      <c r="A323" s="67"/>
      <c r="B323" s="67"/>
      <c r="C323" s="67"/>
      <c r="D323" s="67"/>
      <c r="E323" s="67"/>
      <c r="F323" s="67"/>
      <c r="G323" s="67"/>
      <c r="H323" s="68"/>
    </row>
    <row r="324" spans="1:8" x14ac:dyDescent="0.2">
      <c r="A324" s="67"/>
      <c r="B324" s="67"/>
      <c r="C324" s="67"/>
      <c r="D324" s="67"/>
      <c r="E324" s="67"/>
      <c r="F324" s="67"/>
      <c r="G324" s="67"/>
      <c r="H324" s="68"/>
    </row>
    <row r="325" spans="1:8" x14ac:dyDescent="0.2">
      <c r="A325" s="67"/>
      <c r="B325" s="67"/>
      <c r="C325" s="67"/>
      <c r="D325" s="67"/>
      <c r="E325" s="67"/>
      <c r="F325" s="67"/>
      <c r="G325" s="67"/>
      <c r="H325" s="68"/>
    </row>
    <row r="326" spans="1:8" x14ac:dyDescent="0.2">
      <c r="A326" s="67"/>
      <c r="B326" s="67"/>
      <c r="C326" s="67"/>
      <c r="D326" s="67"/>
      <c r="E326" s="67"/>
      <c r="F326" s="67"/>
      <c r="G326" s="67"/>
      <c r="H326" s="68"/>
    </row>
    <row r="327" spans="1:8" x14ac:dyDescent="0.2">
      <c r="A327" s="67"/>
      <c r="B327" s="67"/>
      <c r="C327" s="67"/>
      <c r="D327" s="67"/>
      <c r="E327" s="67"/>
      <c r="F327" s="67"/>
      <c r="G327" s="67"/>
      <c r="H327" s="68"/>
    </row>
    <row r="328" spans="1:8" x14ac:dyDescent="0.2">
      <c r="A328" s="67"/>
      <c r="B328" s="67"/>
      <c r="C328" s="67"/>
      <c r="D328" s="67"/>
      <c r="E328" s="67"/>
      <c r="F328" s="67"/>
      <c r="G328" s="67"/>
      <c r="H328" s="68"/>
    </row>
    <row r="329" spans="1:8" x14ac:dyDescent="0.2">
      <c r="A329" s="67"/>
      <c r="B329" s="67"/>
      <c r="C329" s="67"/>
      <c r="D329" s="67"/>
      <c r="E329" s="67"/>
      <c r="F329" s="67"/>
      <c r="G329" s="67"/>
      <c r="H329" s="68"/>
    </row>
    <row r="330" spans="1:8" x14ac:dyDescent="0.2">
      <c r="A330" s="67"/>
      <c r="B330" s="67"/>
      <c r="C330" s="67"/>
      <c r="D330" s="67"/>
      <c r="E330" s="67"/>
      <c r="F330" s="67"/>
      <c r="G330" s="67"/>
      <c r="H330" s="68"/>
    </row>
    <row r="331" spans="1:8" x14ac:dyDescent="0.2">
      <c r="A331" s="67"/>
      <c r="B331" s="67"/>
      <c r="C331" s="67"/>
      <c r="D331" s="67"/>
      <c r="E331" s="67"/>
      <c r="F331" s="67"/>
      <c r="G331" s="67"/>
      <c r="H331" s="68"/>
    </row>
    <row r="332" spans="1:8" x14ac:dyDescent="0.2">
      <c r="A332" s="67"/>
      <c r="B332" s="67"/>
      <c r="C332" s="67"/>
      <c r="D332" s="67"/>
      <c r="E332" s="67"/>
      <c r="F332" s="67"/>
      <c r="G332" s="67"/>
      <c r="H332" s="68"/>
    </row>
    <row r="333" spans="1:8" x14ac:dyDescent="0.2">
      <c r="A333" s="67"/>
      <c r="B333" s="67"/>
      <c r="C333" s="67"/>
      <c r="D333" s="67"/>
      <c r="E333" s="67"/>
      <c r="F333" s="67"/>
      <c r="G333" s="67"/>
      <c r="H333" s="68"/>
    </row>
    <row r="334" spans="1:8" x14ac:dyDescent="0.2">
      <c r="A334" s="67"/>
      <c r="B334" s="67"/>
      <c r="C334" s="67"/>
      <c r="D334" s="67"/>
      <c r="E334" s="67"/>
      <c r="F334" s="67"/>
      <c r="G334" s="67"/>
      <c r="H334" s="68"/>
    </row>
    <row r="335" spans="1:8" x14ac:dyDescent="0.2">
      <c r="A335" s="67"/>
      <c r="B335" s="67"/>
      <c r="C335" s="67"/>
      <c r="D335" s="67"/>
      <c r="E335" s="67"/>
      <c r="F335" s="67"/>
      <c r="G335" s="67"/>
      <c r="H335" s="68"/>
    </row>
    <row r="336" spans="1:8" x14ac:dyDescent="0.2">
      <c r="A336" s="67"/>
      <c r="B336" s="67"/>
      <c r="C336" s="67"/>
      <c r="D336" s="67"/>
      <c r="E336" s="67"/>
      <c r="F336" s="67"/>
      <c r="G336" s="67"/>
      <c r="H336" s="68"/>
    </row>
    <row r="337" spans="1:8" x14ac:dyDescent="0.2">
      <c r="A337" s="67"/>
      <c r="B337" s="67"/>
      <c r="C337" s="67"/>
      <c r="D337" s="67"/>
      <c r="E337" s="67"/>
      <c r="F337" s="67"/>
      <c r="G337" s="67"/>
      <c r="H337" s="68"/>
    </row>
    <row r="338" spans="1:8" x14ac:dyDescent="0.2">
      <c r="A338" s="67"/>
      <c r="B338" s="67"/>
      <c r="C338" s="67"/>
      <c r="D338" s="67"/>
      <c r="E338" s="67"/>
      <c r="F338" s="67"/>
      <c r="G338" s="67"/>
      <c r="H338" s="68"/>
    </row>
    <row r="339" spans="1:8" x14ac:dyDescent="0.2">
      <c r="A339" s="67"/>
      <c r="B339" s="67"/>
      <c r="C339" s="67"/>
      <c r="D339" s="67"/>
      <c r="E339" s="67"/>
      <c r="F339" s="67"/>
      <c r="G339" s="67"/>
      <c r="H339" s="68"/>
    </row>
    <row r="340" spans="1:8" x14ac:dyDescent="0.2">
      <c r="A340" s="67"/>
      <c r="B340" s="67"/>
      <c r="C340" s="67"/>
      <c r="D340" s="67"/>
      <c r="E340" s="67"/>
      <c r="F340" s="67"/>
      <c r="G340" s="67"/>
      <c r="H340" s="68"/>
    </row>
    <row r="341" spans="1:8" x14ac:dyDescent="0.2">
      <c r="A341" s="67"/>
      <c r="B341" s="67"/>
      <c r="C341" s="67"/>
      <c r="D341" s="67"/>
      <c r="E341" s="67"/>
      <c r="F341" s="67"/>
      <c r="G341" s="67"/>
      <c r="H341" s="68"/>
    </row>
    <row r="342" spans="1:8" x14ac:dyDescent="0.2">
      <c r="A342" s="67"/>
      <c r="B342" s="67"/>
      <c r="C342" s="67"/>
      <c r="D342" s="67"/>
      <c r="E342" s="67"/>
      <c r="F342" s="67"/>
      <c r="G342" s="67"/>
      <c r="H342" s="68"/>
    </row>
    <row r="343" spans="1:8" x14ac:dyDescent="0.2">
      <c r="A343" s="67"/>
      <c r="B343" s="67"/>
      <c r="C343" s="67"/>
      <c r="D343" s="67"/>
      <c r="E343" s="67"/>
      <c r="F343" s="67"/>
      <c r="G343" s="67"/>
      <c r="H343" s="68"/>
    </row>
    <row r="344" spans="1:8" x14ac:dyDescent="0.2">
      <c r="A344" s="67"/>
      <c r="B344" s="67"/>
      <c r="C344" s="67"/>
      <c r="D344" s="67"/>
      <c r="E344" s="67"/>
      <c r="F344" s="67"/>
      <c r="G344" s="67"/>
      <c r="H344" s="68"/>
    </row>
    <row r="345" spans="1:8" x14ac:dyDescent="0.2">
      <c r="A345" s="67"/>
      <c r="B345" s="67"/>
      <c r="C345" s="67"/>
      <c r="D345" s="67"/>
      <c r="E345" s="67"/>
      <c r="F345" s="67"/>
      <c r="G345" s="67"/>
      <c r="H345" s="68"/>
    </row>
    <row r="346" spans="1:8" x14ac:dyDescent="0.2">
      <c r="A346" s="67"/>
      <c r="B346" s="67"/>
      <c r="C346" s="67"/>
      <c r="D346" s="67"/>
      <c r="E346" s="67"/>
      <c r="F346" s="67"/>
      <c r="G346" s="67"/>
      <c r="H346" s="68"/>
    </row>
    <row r="347" spans="1:8" x14ac:dyDescent="0.2">
      <c r="A347" s="67"/>
      <c r="B347" s="67"/>
      <c r="C347" s="67"/>
      <c r="D347" s="67"/>
      <c r="E347" s="67"/>
      <c r="F347" s="67"/>
      <c r="G347" s="67"/>
      <c r="H347" s="68"/>
    </row>
    <row r="348" spans="1:8" x14ac:dyDescent="0.2">
      <c r="A348" s="67"/>
      <c r="B348" s="67"/>
      <c r="C348" s="67"/>
      <c r="D348" s="67"/>
      <c r="E348" s="67"/>
      <c r="F348" s="67"/>
      <c r="G348" s="67"/>
      <c r="H348" s="68"/>
    </row>
    <row r="349" spans="1:8" x14ac:dyDescent="0.2">
      <c r="A349" s="67"/>
      <c r="B349" s="67"/>
      <c r="C349" s="67"/>
      <c r="D349" s="67"/>
      <c r="E349" s="67"/>
      <c r="F349" s="67"/>
      <c r="G349" s="67"/>
      <c r="H349" s="68"/>
    </row>
    <row r="350" spans="1:8" x14ac:dyDescent="0.2">
      <c r="A350" s="67"/>
      <c r="B350" s="67"/>
      <c r="C350" s="67"/>
      <c r="D350" s="67"/>
      <c r="E350" s="67"/>
      <c r="F350" s="67"/>
      <c r="G350" s="67"/>
      <c r="H350" s="68"/>
    </row>
    <row r="351" spans="1:8" x14ac:dyDescent="0.2">
      <c r="A351" s="67"/>
      <c r="B351" s="67"/>
      <c r="C351" s="67"/>
      <c r="D351" s="67"/>
      <c r="E351" s="67"/>
      <c r="F351" s="67"/>
      <c r="G351" s="67"/>
      <c r="H351" s="68"/>
    </row>
    <row r="352" spans="1:8" x14ac:dyDescent="0.2">
      <c r="A352" s="67"/>
      <c r="B352" s="67"/>
      <c r="C352" s="67"/>
      <c r="D352" s="67"/>
      <c r="E352" s="67"/>
      <c r="F352" s="67"/>
      <c r="G352" s="67"/>
      <c r="H352" s="68"/>
    </row>
    <row r="353" spans="1:8" x14ac:dyDescent="0.2">
      <c r="A353" s="67"/>
      <c r="B353" s="67"/>
      <c r="C353" s="67"/>
      <c r="D353" s="67"/>
      <c r="E353" s="67"/>
      <c r="F353" s="67"/>
      <c r="G353" s="67"/>
      <c r="H353" s="68"/>
    </row>
    <row r="354" spans="1:8" x14ac:dyDescent="0.2">
      <c r="A354" s="67"/>
      <c r="B354" s="67"/>
      <c r="C354" s="67"/>
      <c r="D354" s="67"/>
      <c r="E354" s="67"/>
      <c r="F354" s="67"/>
      <c r="G354" s="67"/>
      <c r="H354" s="68"/>
    </row>
    <row r="355" spans="1:8" x14ac:dyDescent="0.2">
      <c r="A355" s="67"/>
      <c r="B355" s="67"/>
      <c r="C355" s="67"/>
      <c r="D355" s="67"/>
      <c r="E355" s="67"/>
      <c r="F355" s="67"/>
      <c r="G355" s="67"/>
      <c r="H355" s="68"/>
    </row>
    <row r="356" spans="1:8" x14ac:dyDescent="0.2">
      <c r="A356" s="67"/>
      <c r="B356" s="67"/>
      <c r="C356" s="67"/>
      <c r="D356" s="67"/>
      <c r="E356" s="67"/>
      <c r="F356" s="67"/>
      <c r="G356" s="67"/>
      <c r="H356" s="68"/>
    </row>
    <row r="357" spans="1:8" x14ac:dyDescent="0.2">
      <c r="A357" s="67"/>
      <c r="B357" s="67"/>
      <c r="C357" s="67"/>
      <c r="D357" s="67"/>
      <c r="E357" s="67"/>
      <c r="F357" s="67"/>
      <c r="G357" s="67"/>
      <c r="H357" s="68"/>
    </row>
    <row r="358" spans="1:8" x14ac:dyDescent="0.2">
      <c r="A358" s="67"/>
      <c r="B358" s="67"/>
      <c r="C358" s="67"/>
      <c r="D358" s="67"/>
      <c r="E358" s="67"/>
      <c r="F358" s="67"/>
      <c r="G358" s="67"/>
      <c r="H358" s="68"/>
    </row>
    <row r="359" spans="1:8" x14ac:dyDescent="0.2">
      <c r="A359" s="67"/>
      <c r="B359" s="67"/>
      <c r="C359" s="67"/>
      <c r="D359" s="67"/>
      <c r="E359" s="67"/>
      <c r="F359" s="67"/>
      <c r="G359" s="67"/>
      <c r="H359" s="68"/>
    </row>
    <row r="360" spans="1:8" x14ac:dyDescent="0.2">
      <c r="A360" s="67"/>
      <c r="B360" s="67"/>
      <c r="C360" s="67"/>
      <c r="D360" s="67"/>
      <c r="E360" s="67"/>
      <c r="F360" s="67"/>
      <c r="G360" s="67"/>
      <c r="H360" s="68"/>
    </row>
    <row r="361" spans="1:8" x14ac:dyDescent="0.2">
      <c r="A361" s="67"/>
      <c r="B361" s="67"/>
      <c r="C361" s="67"/>
      <c r="D361" s="67"/>
      <c r="E361" s="67"/>
      <c r="F361" s="67"/>
      <c r="G361" s="67"/>
      <c r="H361" s="68"/>
    </row>
    <row r="362" spans="1:8" x14ac:dyDescent="0.2">
      <c r="A362" s="67"/>
      <c r="B362" s="67"/>
      <c r="C362" s="67"/>
      <c r="D362" s="67"/>
      <c r="E362" s="67"/>
      <c r="F362" s="67"/>
      <c r="G362" s="67"/>
      <c r="H362" s="68"/>
    </row>
    <row r="363" spans="1:8" x14ac:dyDescent="0.2">
      <c r="A363" s="67"/>
      <c r="B363" s="67"/>
      <c r="C363" s="67"/>
      <c r="D363" s="67"/>
      <c r="E363" s="67"/>
      <c r="F363" s="67"/>
      <c r="G363" s="67"/>
      <c r="H363" s="68"/>
    </row>
    <row r="364" spans="1:8" x14ac:dyDescent="0.2">
      <c r="A364" s="67"/>
      <c r="B364" s="67"/>
      <c r="C364" s="67"/>
      <c r="D364" s="67"/>
      <c r="E364" s="67"/>
      <c r="F364" s="67"/>
      <c r="G364" s="67"/>
      <c r="H364" s="68"/>
    </row>
    <row r="365" spans="1:8" x14ac:dyDescent="0.2">
      <c r="A365" s="67"/>
      <c r="B365" s="67"/>
      <c r="C365" s="67"/>
      <c r="D365" s="67"/>
      <c r="E365" s="67"/>
      <c r="F365" s="67"/>
      <c r="G365" s="67"/>
      <c r="H365" s="68"/>
    </row>
    <row r="366" spans="1:8" x14ac:dyDescent="0.2">
      <c r="A366" s="67"/>
      <c r="B366" s="67"/>
      <c r="C366" s="67"/>
      <c r="D366" s="67"/>
      <c r="E366" s="67"/>
      <c r="F366" s="67"/>
      <c r="G366" s="67"/>
      <c r="H366" s="68"/>
    </row>
    <row r="367" spans="1:8" x14ac:dyDescent="0.2">
      <c r="A367" s="67"/>
      <c r="B367" s="67"/>
      <c r="C367" s="67"/>
      <c r="D367" s="67"/>
      <c r="E367" s="67"/>
      <c r="F367" s="67"/>
      <c r="G367" s="67"/>
      <c r="H367" s="68"/>
    </row>
    <row r="368" spans="1:8" x14ac:dyDescent="0.2">
      <c r="A368" s="67"/>
      <c r="B368" s="67"/>
      <c r="C368" s="67"/>
      <c r="D368" s="67"/>
      <c r="E368" s="67"/>
      <c r="F368" s="67"/>
      <c r="G368" s="67"/>
      <c r="H368" s="68"/>
    </row>
    <row r="369" spans="1:8" x14ac:dyDescent="0.2">
      <c r="A369" s="67"/>
      <c r="B369" s="67"/>
      <c r="C369" s="67"/>
      <c r="D369" s="67"/>
      <c r="E369" s="67"/>
      <c r="F369" s="67"/>
      <c r="G369" s="67"/>
      <c r="H369" s="68"/>
    </row>
    <row r="370" spans="1:8" x14ac:dyDescent="0.2">
      <c r="A370" s="67"/>
      <c r="B370" s="67"/>
      <c r="C370" s="67"/>
      <c r="D370" s="67"/>
      <c r="E370" s="67"/>
      <c r="F370" s="67"/>
      <c r="G370" s="67"/>
      <c r="H370" s="68"/>
    </row>
    <row r="371" spans="1:8" x14ac:dyDescent="0.2">
      <c r="A371" s="67"/>
      <c r="B371" s="67"/>
      <c r="C371" s="67"/>
      <c r="D371" s="67"/>
      <c r="E371" s="67"/>
      <c r="F371" s="67"/>
      <c r="G371" s="67"/>
      <c r="H371" s="68"/>
    </row>
    <row r="372" spans="1:8" x14ac:dyDescent="0.2">
      <c r="A372" s="67"/>
      <c r="B372" s="67"/>
      <c r="C372" s="67"/>
      <c r="D372" s="67"/>
      <c r="E372" s="67"/>
      <c r="F372" s="67"/>
      <c r="G372" s="67"/>
      <c r="H372" s="68"/>
    </row>
    <row r="373" spans="1:8" x14ac:dyDescent="0.2">
      <c r="A373" s="67"/>
      <c r="B373" s="67"/>
      <c r="C373" s="67"/>
      <c r="D373" s="67"/>
      <c r="E373" s="67"/>
      <c r="F373" s="67"/>
      <c r="G373" s="67"/>
      <c r="H373" s="68"/>
    </row>
    <row r="374" spans="1:8" x14ac:dyDescent="0.2">
      <c r="A374" s="67"/>
      <c r="B374" s="67"/>
      <c r="C374" s="67"/>
      <c r="D374" s="67"/>
      <c r="E374" s="67"/>
      <c r="F374" s="67"/>
      <c r="G374" s="67"/>
      <c r="H374" s="68"/>
    </row>
    <row r="375" spans="1:8" x14ac:dyDescent="0.2">
      <c r="A375" s="67"/>
      <c r="B375" s="67"/>
      <c r="C375" s="67"/>
      <c r="D375" s="67"/>
      <c r="E375" s="67"/>
      <c r="F375" s="67"/>
      <c r="G375" s="67"/>
      <c r="H375" s="68"/>
    </row>
    <row r="376" spans="1:8" x14ac:dyDescent="0.2">
      <c r="A376" s="67"/>
      <c r="B376" s="67"/>
      <c r="C376" s="67"/>
      <c r="D376" s="67"/>
      <c r="E376" s="67"/>
      <c r="F376" s="67"/>
      <c r="G376" s="67"/>
      <c r="H376" s="68"/>
    </row>
    <row r="377" spans="1:8" x14ac:dyDescent="0.2">
      <c r="A377" s="67"/>
      <c r="B377" s="67"/>
      <c r="C377" s="67"/>
      <c r="D377" s="67"/>
      <c r="E377" s="67"/>
      <c r="F377" s="67"/>
      <c r="G377" s="67"/>
      <c r="H377" s="68"/>
    </row>
    <row r="378" spans="1:8" x14ac:dyDescent="0.2">
      <c r="A378" s="67"/>
      <c r="B378" s="67"/>
      <c r="C378" s="67"/>
      <c r="D378" s="67"/>
      <c r="E378" s="67"/>
      <c r="F378" s="67"/>
      <c r="G378" s="67"/>
      <c r="H378" s="68"/>
    </row>
    <row r="379" spans="1:8" x14ac:dyDescent="0.2">
      <c r="A379" s="67"/>
      <c r="B379" s="67"/>
      <c r="C379" s="67"/>
      <c r="D379" s="67"/>
      <c r="E379" s="67"/>
      <c r="F379" s="67"/>
      <c r="G379" s="67"/>
      <c r="H379" s="68"/>
    </row>
    <row r="380" spans="1:8" x14ac:dyDescent="0.2">
      <c r="A380" s="67"/>
      <c r="B380" s="67"/>
      <c r="C380" s="67"/>
      <c r="D380" s="67"/>
      <c r="E380" s="67"/>
      <c r="F380" s="67"/>
      <c r="G380" s="67"/>
      <c r="H380" s="68"/>
    </row>
    <row r="381" spans="1:8" x14ac:dyDescent="0.2">
      <c r="A381" s="67"/>
      <c r="B381" s="67"/>
      <c r="C381" s="67"/>
      <c r="D381" s="67"/>
      <c r="E381" s="67"/>
      <c r="F381" s="67"/>
      <c r="G381" s="67"/>
      <c r="H381" s="68"/>
    </row>
    <row r="382" spans="1:8" x14ac:dyDescent="0.2">
      <c r="A382" s="67"/>
      <c r="B382" s="67"/>
      <c r="C382" s="67"/>
      <c r="D382" s="67"/>
      <c r="E382" s="67"/>
      <c r="F382" s="67"/>
      <c r="G382" s="67"/>
      <c r="H382" s="68"/>
    </row>
    <row r="383" spans="1:8" x14ac:dyDescent="0.2">
      <c r="A383" s="67"/>
      <c r="B383" s="67"/>
      <c r="C383" s="67"/>
      <c r="D383" s="67"/>
      <c r="E383" s="67"/>
      <c r="F383" s="67"/>
      <c r="G383" s="67"/>
      <c r="H383" s="68"/>
    </row>
    <row r="384" spans="1:8" x14ac:dyDescent="0.2">
      <c r="A384" s="67"/>
      <c r="B384" s="67"/>
      <c r="C384" s="67"/>
      <c r="D384" s="67"/>
      <c r="E384" s="67"/>
      <c r="F384" s="67"/>
      <c r="G384" s="67"/>
      <c r="H384" s="68"/>
    </row>
    <row r="385" spans="1:8" x14ac:dyDescent="0.2">
      <c r="A385" s="67"/>
      <c r="B385" s="67"/>
      <c r="C385" s="67"/>
      <c r="D385" s="67"/>
      <c r="E385" s="67"/>
      <c r="F385" s="67"/>
      <c r="G385" s="67"/>
      <c r="H385" s="68"/>
    </row>
    <row r="386" spans="1:8" x14ac:dyDescent="0.2">
      <c r="A386" s="67"/>
      <c r="B386" s="67"/>
      <c r="C386" s="67"/>
      <c r="D386" s="67"/>
      <c r="E386" s="67"/>
      <c r="F386" s="67"/>
      <c r="G386" s="67"/>
      <c r="H386" s="68"/>
    </row>
    <row r="387" spans="1:8" x14ac:dyDescent="0.2">
      <c r="A387" s="67"/>
      <c r="B387" s="67"/>
      <c r="C387" s="67"/>
      <c r="D387" s="67"/>
      <c r="E387" s="67"/>
      <c r="F387" s="67"/>
      <c r="G387" s="67"/>
      <c r="H387" s="68"/>
    </row>
    <row r="388" spans="1:8" x14ac:dyDescent="0.2">
      <c r="A388" s="67"/>
      <c r="B388" s="67"/>
      <c r="C388" s="67"/>
      <c r="D388" s="67"/>
      <c r="E388" s="67"/>
      <c r="F388" s="67"/>
      <c r="G388" s="67"/>
      <c r="H388" s="68"/>
    </row>
    <row r="389" spans="1:8" x14ac:dyDescent="0.2">
      <c r="A389" s="67"/>
      <c r="B389" s="67"/>
      <c r="C389" s="67"/>
      <c r="D389" s="67"/>
      <c r="E389" s="67"/>
      <c r="F389" s="67"/>
      <c r="G389" s="67"/>
      <c r="H389" s="68"/>
    </row>
    <row r="390" spans="1:8" x14ac:dyDescent="0.2">
      <c r="A390" s="67"/>
      <c r="B390" s="67"/>
      <c r="C390" s="67"/>
      <c r="D390" s="67"/>
      <c r="E390" s="67"/>
      <c r="F390" s="67"/>
      <c r="G390" s="67"/>
      <c r="H390" s="68"/>
    </row>
    <row r="391" spans="1:8" x14ac:dyDescent="0.2">
      <c r="A391" s="67"/>
      <c r="B391" s="67"/>
      <c r="C391" s="67"/>
      <c r="D391" s="67"/>
      <c r="E391" s="67"/>
      <c r="F391" s="67"/>
      <c r="G391" s="67"/>
      <c r="H391" s="68"/>
    </row>
    <row r="392" spans="1:8" x14ac:dyDescent="0.2">
      <c r="A392" s="67"/>
      <c r="B392" s="67"/>
      <c r="C392" s="67"/>
      <c r="D392" s="67"/>
      <c r="E392" s="67"/>
      <c r="F392" s="67"/>
      <c r="G392" s="67"/>
      <c r="H392" s="68"/>
    </row>
    <row r="393" spans="1:8" x14ac:dyDescent="0.2">
      <c r="A393" s="67"/>
      <c r="B393" s="67"/>
      <c r="C393" s="67"/>
      <c r="D393" s="67"/>
      <c r="E393" s="67"/>
      <c r="F393" s="67"/>
      <c r="G393" s="67"/>
      <c r="H393" s="68"/>
    </row>
    <row r="394" spans="1:8" x14ac:dyDescent="0.2">
      <c r="A394" s="67"/>
      <c r="B394" s="67"/>
      <c r="C394" s="67"/>
      <c r="D394" s="67"/>
      <c r="E394" s="67"/>
      <c r="F394" s="67"/>
      <c r="G394" s="67"/>
      <c r="H394" s="68"/>
    </row>
    <row r="395" spans="1:8" x14ac:dyDescent="0.2">
      <c r="A395" s="67"/>
      <c r="B395" s="67"/>
      <c r="C395" s="67"/>
      <c r="D395" s="67"/>
      <c r="E395" s="67"/>
      <c r="F395" s="67"/>
      <c r="G395" s="67"/>
      <c r="H395" s="68"/>
    </row>
    <row r="396" spans="1:8" x14ac:dyDescent="0.2">
      <c r="A396" s="67"/>
      <c r="B396" s="67"/>
      <c r="C396" s="67"/>
      <c r="D396" s="67"/>
      <c r="E396" s="67"/>
      <c r="F396" s="67"/>
      <c r="G396" s="67"/>
      <c r="H396" s="68"/>
    </row>
    <row r="397" spans="1:8" x14ac:dyDescent="0.2">
      <c r="A397" s="67"/>
      <c r="B397" s="67"/>
      <c r="C397" s="67"/>
      <c r="D397" s="67"/>
      <c r="E397" s="67"/>
      <c r="F397" s="67"/>
      <c r="G397" s="67"/>
      <c r="H397" s="68"/>
    </row>
    <row r="398" spans="1:8" x14ac:dyDescent="0.2">
      <c r="A398" s="67"/>
      <c r="B398" s="67"/>
      <c r="C398" s="67"/>
      <c r="D398" s="67"/>
      <c r="E398" s="67"/>
      <c r="F398" s="67"/>
      <c r="G398" s="67"/>
      <c r="H398" s="68"/>
    </row>
    <row r="399" spans="1:8" x14ac:dyDescent="0.2">
      <c r="A399" s="67"/>
      <c r="B399" s="67"/>
      <c r="C399" s="67"/>
      <c r="D399" s="67"/>
      <c r="E399" s="67"/>
      <c r="F399" s="67"/>
      <c r="G399" s="67"/>
      <c r="H399" s="68"/>
    </row>
    <row r="400" spans="1:8" x14ac:dyDescent="0.2">
      <c r="A400" s="67"/>
      <c r="B400" s="67"/>
      <c r="C400" s="67"/>
      <c r="D400" s="67"/>
      <c r="E400" s="67"/>
      <c r="F400" s="67"/>
      <c r="G400" s="67"/>
      <c r="H400" s="68"/>
    </row>
    <row r="401" spans="1:8" x14ac:dyDescent="0.2">
      <c r="A401" s="67"/>
      <c r="B401" s="67"/>
      <c r="C401" s="67"/>
      <c r="D401" s="67"/>
      <c r="E401" s="67"/>
      <c r="F401" s="67"/>
      <c r="G401" s="67"/>
      <c r="H401" s="68"/>
    </row>
    <row r="402" spans="1:8" x14ac:dyDescent="0.2">
      <c r="A402" s="67"/>
      <c r="B402" s="67"/>
      <c r="C402" s="67"/>
      <c r="D402" s="67"/>
      <c r="E402" s="67"/>
      <c r="F402" s="67"/>
      <c r="G402" s="67"/>
      <c r="H402" s="68"/>
    </row>
    <row r="403" spans="1:8" x14ac:dyDescent="0.2">
      <c r="A403" s="67"/>
      <c r="B403" s="67"/>
      <c r="C403" s="67"/>
      <c r="D403" s="67"/>
      <c r="E403" s="67"/>
      <c r="F403" s="67"/>
      <c r="G403" s="67"/>
      <c r="H403" s="68"/>
    </row>
    <row r="404" spans="1:8" x14ac:dyDescent="0.2">
      <c r="A404" s="67"/>
      <c r="B404" s="67"/>
      <c r="C404" s="67"/>
      <c r="D404" s="67"/>
      <c r="E404" s="67"/>
      <c r="F404" s="67"/>
      <c r="G404" s="67"/>
      <c r="H404" s="68"/>
    </row>
    <row r="405" spans="1:8" x14ac:dyDescent="0.2">
      <c r="A405" s="67"/>
      <c r="B405" s="67"/>
      <c r="C405" s="67"/>
      <c r="D405" s="67"/>
      <c r="E405" s="67"/>
      <c r="F405" s="67"/>
      <c r="G405" s="67"/>
      <c r="H405" s="68"/>
    </row>
    <row r="406" spans="1:8" x14ac:dyDescent="0.2">
      <c r="A406" s="67"/>
      <c r="B406" s="67"/>
      <c r="C406" s="67"/>
      <c r="D406" s="67"/>
      <c r="E406" s="67"/>
      <c r="F406" s="67"/>
      <c r="G406" s="67"/>
      <c r="H406" s="68"/>
    </row>
    <row r="407" spans="1:8" x14ac:dyDescent="0.2">
      <c r="A407" s="67"/>
      <c r="B407" s="67"/>
      <c r="C407" s="67"/>
      <c r="D407" s="67"/>
      <c r="E407" s="67"/>
      <c r="F407" s="67"/>
      <c r="G407" s="67"/>
      <c r="H407" s="68"/>
    </row>
    <row r="408" spans="1:8" x14ac:dyDescent="0.2">
      <c r="A408" s="67"/>
      <c r="B408" s="67"/>
      <c r="C408" s="67"/>
      <c r="D408" s="67"/>
      <c r="E408" s="67"/>
      <c r="F408" s="67"/>
      <c r="G408" s="67"/>
      <c r="H408" s="68"/>
    </row>
    <row r="409" spans="1:8" x14ac:dyDescent="0.2">
      <c r="A409" s="67"/>
      <c r="B409" s="67"/>
      <c r="C409" s="67"/>
      <c r="D409" s="67"/>
      <c r="E409" s="67"/>
      <c r="F409" s="67"/>
      <c r="G409" s="67"/>
      <c r="H409" s="68"/>
    </row>
    <row r="410" spans="1:8" x14ac:dyDescent="0.2">
      <c r="A410" s="67"/>
      <c r="B410" s="67"/>
      <c r="C410" s="67"/>
      <c r="D410" s="67"/>
      <c r="E410" s="67"/>
      <c r="F410" s="67"/>
      <c r="G410" s="67"/>
      <c r="H410" s="68"/>
    </row>
    <row r="411" spans="1:8" x14ac:dyDescent="0.2">
      <c r="A411" s="67"/>
      <c r="B411" s="67"/>
      <c r="C411" s="67"/>
      <c r="D411" s="67"/>
      <c r="E411" s="67"/>
      <c r="F411" s="67"/>
      <c r="G411" s="67"/>
      <c r="H411" s="68"/>
    </row>
    <row r="412" spans="1:8" x14ac:dyDescent="0.2">
      <c r="A412" s="67"/>
      <c r="B412" s="67"/>
      <c r="C412" s="67"/>
      <c r="D412" s="67"/>
      <c r="E412" s="67"/>
      <c r="F412" s="67"/>
      <c r="G412" s="67"/>
      <c r="H412" s="68"/>
    </row>
    <row r="413" spans="1:8" x14ac:dyDescent="0.2">
      <c r="A413" s="67"/>
      <c r="B413" s="67"/>
      <c r="C413" s="67"/>
      <c r="D413" s="67"/>
      <c r="E413" s="67"/>
      <c r="F413" s="67"/>
      <c r="G413" s="67"/>
      <c r="H413" s="68"/>
    </row>
    <row r="414" spans="1:8" x14ac:dyDescent="0.2">
      <c r="A414" s="67"/>
      <c r="B414" s="67"/>
      <c r="C414" s="67"/>
      <c r="D414" s="67"/>
      <c r="E414" s="67"/>
      <c r="F414" s="67"/>
      <c r="G414" s="67"/>
      <c r="H414" s="68"/>
    </row>
    <row r="415" spans="1:8" x14ac:dyDescent="0.2">
      <c r="A415" s="67"/>
      <c r="B415" s="67"/>
      <c r="C415" s="67"/>
      <c r="D415" s="67"/>
      <c r="E415" s="67"/>
      <c r="F415" s="67"/>
      <c r="G415" s="67"/>
      <c r="H415" s="68"/>
    </row>
    <row r="416" spans="1:8" x14ac:dyDescent="0.2">
      <c r="A416" s="67"/>
      <c r="B416" s="67"/>
      <c r="C416" s="67"/>
      <c r="D416" s="67"/>
      <c r="E416" s="67"/>
      <c r="F416" s="67"/>
      <c r="G416" s="67"/>
      <c r="H416" s="68"/>
    </row>
    <row r="417" spans="1:8" x14ac:dyDescent="0.2">
      <c r="A417" s="67"/>
      <c r="B417" s="67"/>
      <c r="C417" s="67"/>
      <c r="D417" s="67"/>
      <c r="E417" s="67"/>
      <c r="F417" s="67"/>
      <c r="G417" s="67"/>
      <c r="H417" s="68"/>
    </row>
    <row r="418" spans="1:8" x14ac:dyDescent="0.2">
      <c r="A418" s="67"/>
      <c r="B418" s="67"/>
      <c r="C418" s="67"/>
      <c r="D418" s="67"/>
      <c r="E418" s="67"/>
      <c r="F418" s="67"/>
      <c r="G418" s="67"/>
      <c r="H418" s="68"/>
    </row>
    <row r="419" spans="1:8" x14ac:dyDescent="0.2">
      <c r="A419" s="67"/>
      <c r="B419" s="67"/>
      <c r="C419" s="67"/>
      <c r="D419" s="67"/>
      <c r="E419" s="67"/>
      <c r="F419" s="67"/>
      <c r="G419" s="67"/>
      <c r="H419" s="68"/>
    </row>
    <row r="420" spans="1:8" x14ac:dyDescent="0.2">
      <c r="A420" s="67"/>
      <c r="B420" s="67"/>
      <c r="C420" s="67"/>
      <c r="D420" s="67"/>
      <c r="E420" s="67"/>
      <c r="F420" s="67"/>
      <c r="G420" s="67"/>
      <c r="H420" s="68"/>
    </row>
    <row r="421" spans="1:8" x14ac:dyDescent="0.2">
      <c r="A421" s="67"/>
      <c r="B421" s="67"/>
      <c r="C421" s="67"/>
      <c r="D421" s="67"/>
      <c r="E421" s="67"/>
      <c r="F421" s="67"/>
      <c r="G421" s="67"/>
      <c r="H421" s="68"/>
    </row>
    <row r="422" spans="1:8" x14ac:dyDescent="0.2">
      <c r="A422" s="67"/>
      <c r="B422" s="67"/>
      <c r="C422" s="67"/>
      <c r="D422" s="67"/>
      <c r="E422" s="67"/>
      <c r="F422" s="67"/>
      <c r="G422" s="67"/>
      <c r="H422" s="68"/>
    </row>
    <row r="423" spans="1:8" x14ac:dyDescent="0.2">
      <c r="A423" s="67"/>
      <c r="B423" s="67"/>
      <c r="C423" s="67"/>
      <c r="D423" s="67"/>
      <c r="E423" s="67"/>
      <c r="F423" s="67"/>
      <c r="G423" s="67"/>
      <c r="H423" s="68"/>
    </row>
    <row r="424" spans="1:8" x14ac:dyDescent="0.2">
      <c r="A424" s="67"/>
      <c r="B424" s="67"/>
      <c r="C424" s="67"/>
      <c r="D424" s="67"/>
      <c r="E424" s="67"/>
      <c r="F424" s="67"/>
      <c r="G424" s="67"/>
      <c r="H424" s="68"/>
    </row>
    <row r="425" spans="1:8" x14ac:dyDescent="0.2">
      <c r="A425" s="67"/>
      <c r="B425" s="67"/>
      <c r="C425" s="67"/>
      <c r="D425" s="67"/>
      <c r="E425" s="67"/>
      <c r="F425" s="67"/>
      <c r="G425" s="67"/>
      <c r="H425" s="68"/>
    </row>
    <row r="426" spans="1:8" x14ac:dyDescent="0.2">
      <c r="A426" s="67"/>
      <c r="B426" s="67"/>
      <c r="C426" s="67"/>
      <c r="D426" s="67"/>
      <c r="E426" s="67"/>
      <c r="F426" s="67"/>
      <c r="G426" s="67"/>
      <c r="H426" s="68"/>
    </row>
    <row r="427" spans="1:8" x14ac:dyDescent="0.2">
      <c r="A427" s="67"/>
      <c r="B427" s="67"/>
      <c r="C427" s="67"/>
      <c r="D427" s="67"/>
      <c r="E427" s="67"/>
      <c r="F427" s="67"/>
      <c r="G427" s="67"/>
      <c r="H427" s="68"/>
    </row>
    <row r="428" spans="1:8" x14ac:dyDescent="0.2">
      <c r="A428" s="67"/>
      <c r="B428" s="67"/>
      <c r="C428" s="67"/>
      <c r="D428" s="67"/>
      <c r="E428" s="67"/>
      <c r="F428" s="67"/>
      <c r="G428" s="67"/>
      <c r="H428" s="68"/>
    </row>
    <row r="429" spans="1:8" x14ac:dyDescent="0.2">
      <c r="A429" s="67"/>
      <c r="B429" s="67"/>
      <c r="C429" s="67"/>
      <c r="D429" s="67"/>
      <c r="E429" s="67"/>
      <c r="F429" s="67"/>
      <c r="G429" s="67"/>
      <c r="H429" s="68"/>
    </row>
    <row r="430" spans="1:8" x14ac:dyDescent="0.2">
      <c r="A430" s="67"/>
      <c r="B430" s="67"/>
      <c r="C430" s="67"/>
      <c r="D430" s="67"/>
      <c r="E430" s="67"/>
      <c r="F430" s="67"/>
      <c r="G430" s="67"/>
      <c r="H430" s="68"/>
    </row>
    <row r="431" spans="1:8" x14ac:dyDescent="0.2">
      <c r="A431" s="67"/>
      <c r="B431" s="67"/>
      <c r="C431" s="67"/>
      <c r="D431" s="67"/>
      <c r="E431" s="67"/>
      <c r="F431" s="67"/>
      <c r="G431" s="67"/>
      <c r="H431" s="68"/>
    </row>
    <row r="432" spans="1:8" x14ac:dyDescent="0.2">
      <c r="A432" s="67"/>
      <c r="B432" s="67"/>
      <c r="C432" s="67"/>
      <c r="D432" s="67"/>
      <c r="E432" s="67"/>
      <c r="F432" s="67"/>
      <c r="G432" s="67"/>
      <c r="H432" s="68"/>
    </row>
    <row r="433" spans="1:8" x14ac:dyDescent="0.2">
      <c r="A433" s="67"/>
      <c r="B433" s="67"/>
      <c r="C433" s="67"/>
      <c r="D433" s="67"/>
      <c r="E433" s="67"/>
      <c r="F433" s="67"/>
      <c r="G433" s="67"/>
      <c r="H433" s="68"/>
    </row>
    <row r="434" spans="1:8" x14ac:dyDescent="0.2">
      <c r="A434" s="67"/>
      <c r="B434" s="67"/>
      <c r="C434" s="67"/>
      <c r="D434" s="67"/>
      <c r="E434" s="67"/>
      <c r="F434" s="67"/>
      <c r="G434" s="67"/>
      <c r="H434" s="68"/>
    </row>
    <row r="435" spans="1:8" x14ac:dyDescent="0.2">
      <c r="A435" s="67"/>
      <c r="B435" s="67"/>
      <c r="C435" s="67"/>
      <c r="D435" s="67"/>
      <c r="E435" s="67"/>
      <c r="F435" s="67"/>
      <c r="G435" s="67"/>
      <c r="H435" s="68"/>
    </row>
    <row r="436" spans="1:8" x14ac:dyDescent="0.2">
      <c r="A436" s="67"/>
      <c r="B436" s="67"/>
      <c r="C436" s="67"/>
      <c r="D436" s="67"/>
      <c r="E436" s="67"/>
      <c r="F436" s="67"/>
      <c r="G436" s="67"/>
      <c r="H436" s="68"/>
    </row>
    <row r="437" spans="1:8" x14ac:dyDescent="0.2">
      <c r="A437" s="67"/>
      <c r="B437" s="67"/>
      <c r="C437" s="67"/>
      <c r="D437" s="67"/>
      <c r="E437" s="67"/>
      <c r="F437" s="67"/>
      <c r="G437" s="67"/>
      <c r="H437" s="68"/>
    </row>
    <row r="438" spans="1:8" x14ac:dyDescent="0.2">
      <c r="A438" s="67"/>
      <c r="B438" s="67"/>
      <c r="C438" s="67"/>
      <c r="D438" s="67"/>
      <c r="E438" s="67"/>
      <c r="F438" s="67"/>
      <c r="G438" s="67"/>
      <c r="H438" s="68"/>
    </row>
    <row r="439" spans="1:8" x14ac:dyDescent="0.2">
      <c r="A439" s="67"/>
      <c r="B439" s="67"/>
      <c r="C439" s="67"/>
      <c r="D439" s="67"/>
      <c r="E439" s="67"/>
      <c r="F439" s="67"/>
      <c r="G439" s="67"/>
      <c r="H439" s="68"/>
    </row>
    <row r="440" spans="1:8" x14ac:dyDescent="0.2">
      <c r="A440" s="67"/>
      <c r="B440" s="67"/>
      <c r="C440" s="67"/>
      <c r="D440" s="67"/>
      <c r="E440" s="67"/>
      <c r="F440" s="67"/>
      <c r="G440" s="67"/>
      <c r="H440" s="68"/>
    </row>
    <row r="441" spans="1:8" x14ac:dyDescent="0.2">
      <c r="A441" s="67"/>
      <c r="B441" s="67"/>
      <c r="C441" s="67"/>
      <c r="D441" s="67"/>
      <c r="E441" s="67"/>
      <c r="F441" s="67"/>
      <c r="G441" s="67"/>
      <c r="H441" s="68"/>
    </row>
    <row r="442" spans="1:8" x14ac:dyDescent="0.2">
      <c r="A442" s="67"/>
      <c r="B442" s="67"/>
      <c r="C442" s="67"/>
      <c r="D442" s="67"/>
      <c r="E442" s="67"/>
      <c r="F442" s="67"/>
      <c r="G442" s="67"/>
      <c r="H442" s="68"/>
    </row>
    <row r="443" spans="1:8" x14ac:dyDescent="0.2">
      <c r="A443" s="67"/>
      <c r="B443" s="67"/>
      <c r="C443" s="67"/>
      <c r="D443" s="67"/>
      <c r="E443" s="67"/>
      <c r="F443" s="67"/>
      <c r="G443" s="67"/>
      <c r="H443" s="68"/>
    </row>
    <row r="444" spans="1:8" x14ac:dyDescent="0.2">
      <c r="A444" s="67"/>
      <c r="B444" s="67"/>
      <c r="C444" s="67"/>
      <c r="D444" s="67"/>
      <c r="E444" s="67"/>
      <c r="F444" s="67"/>
      <c r="G444" s="67"/>
      <c r="H444" s="68"/>
    </row>
    <row r="445" spans="1:8" x14ac:dyDescent="0.2">
      <c r="A445" s="67"/>
      <c r="B445" s="67"/>
      <c r="C445" s="67"/>
      <c r="D445" s="67"/>
      <c r="E445" s="67"/>
      <c r="F445" s="67"/>
      <c r="G445" s="67"/>
      <c r="H445" s="68"/>
    </row>
    <row r="446" spans="1:8" x14ac:dyDescent="0.2">
      <c r="A446" s="67"/>
      <c r="B446" s="67"/>
      <c r="C446" s="67"/>
      <c r="D446" s="67"/>
      <c r="E446" s="67"/>
      <c r="F446" s="67"/>
      <c r="G446" s="67"/>
      <c r="H446" s="68"/>
    </row>
    <row r="447" spans="1:8" x14ac:dyDescent="0.2">
      <c r="A447" s="67"/>
      <c r="B447" s="67"/>
      <c r="C447" s="67"/>
      <c r="D447" s="67"/>
      <c r="E447" s="67"/>
      <c r="F447" s="67"/>
      <c r="G447" s="67"/>
      <c r="H447" s="68"/>
    </row>
    <row r="448" spans="1:8" x14ac:dyDescent="0.2">
      <c r="A448" s="67"/>
      <c r="B448" s="67"/>
      <c r="C448" s="67"/>
      <c r="D448" s="67"/>
      <c r="E448" s="67"/>
      <c r="F448" s="67"/>
      <c r="G448" s="67"/>
      <c r="H448" s="68"/>
    </row>
    <row r="449" spans="1:8" x14ac:dyDescent="0.2">
      <c r="A449" s="67"/>
      <c r="B449" s="67"/>
      <c r="C449" s="67"/>
      <c r="D449" s="67"/>
      <c r="E449" s="67"/>
      <c r="F449" s="67"/>
      <c r="G449" s="67"/>
      <c r="H449" s="68"/>
    </row>
    <row r="450" spans="1:8" x14ac:dyDescent="0.2">
      <c r="A450" s="67"/>
      <c r="B450" s="67"/>
      <c r="C450" s="67"/>
      <c r="D450" s="67"/>
      <c r="E450" s="67"/>
      <c r="F450" s="67"/>
      <c r="G450" s="67"/>
      <c r="H450" s="68"/>
    </row>
    <row r="451" spans="1:8" x14ac:dyDescent="0.2">
      <c r="A451" s="67"/>
      <c r="B451" s="67"/>
      <c r="C451" s="67"/>
      <c r="D451" s="67"/>
      <c r="E451" s="67"/>
      <c r="F451" s="67"/>
      <c r="G451" s="67"/>
      <c r="H451" s="68"/>
    </row>
    <row r="452" spans="1:8" x14ac:dyDescent="0.2">
      <c r="A452" s="67"/>
      <c r="B452" s="67"/>
      <c r="C452" s="67"/>
      <c r="D452" s="67"/>
      <c r="E452" s="67"/>
      <c r="F452" s="67"/>
      <c r="G452" s="67"/>
      <c r="H452" s="68"/>
    </row>
    <row r="453" spans="1:8" x14ac:dyDescent="0.2">
      <c r="A453" s="67"/>
      <c r="B453" s="67"/>
      <c r="C453" s="67"/>
      <c r="D453" s="67"/>
      <c r="E453" s="67"/>
      <c r="F453" s="67"/>
      <c r="G453" s="67"/>
      <c r="H453" s="68"/>
    </row>
    <row r="454" spans="1:8" x14ac:dyDescent="0.2">
      <c r="A454" s="67"/>
      <c r="B454" s="67"/>
      <c r="C454" s="67"/>
      <c r="D454" s="67"/>
      <c r="E454" s="67"/>
      <c r="F454" s="67"/>
      <c r="G454" s="67"/>
      <c r="H454" s="68"/>
    </row>
    <row r="455" spans="1:8" x14ac:dyDescent="0.2">
      <c r="A455" s="67"/>
      <c r="B455" s="67"/>
      <c r="C455" s="67"/>
      <c r="D455" s="67"/>
      <c r="E455" s="67"/>
      <c r="F455" s="67"/>
      <c r="G455" s="67"/>
      <c r="H455" s="68"/>
    </row>
    <row r="456" spans="1:8" x14ac:dyDescent="0.2">
      <c r="A456" s="67"/>
      <c r="B456" s="67"/>
      <c r="C456" s="67"/>
      <c r="D456" s="67"/>
      <c r="E456" s="67"/>
      <c r="F456" s="67"/>
      <c r="G456" s="67"/>
      <c r="H456" s="68"/>
    </row>
    <row r="457" spans="1:8" x14ac:dyDescent="0.2">
      <c r="A457" s="67"/>
      <c r="B457" s="67"/>
      <c r="C457" s="67"/>
      <c r="D457" s="67"/>
      <c r="E457" s="67"/>
      <c r="F457" s="67"/>
      <c r="G457" s="67"/>
      <c r="H457" s="68"/>
    </row>
    <row r="458" spans="1:8" x14ac:dyDescent="0.2">
      <c r="A458" s="67"/>
      <c r="B458" s="67"/>
      <c r="C458" s="67"/>
      <c r="D458" s="67"/>
      <c r="E458" s="67"/>
      <c r="F458" s="67"/>
      <c r="G458" s="67"/>
      <c r="H458" s="68"/>
    </row>
    <row r="459" spans="1:8" x14ac:dyDescent="0.2">
      <c r="A459" s="67"/>
      <c r="B459" s="67"/>
      <c r="C459" s="67"/>
      <c r="D459" s="67"/>
      <c r="E459" s="67"/>
      <c r="F459" s="67"/>
      <c r="G459" s="67"/>
      <c r="H459" s="68"/>
    </row>
    <row r="460" spans="1:8" x14ac:dyDescent="0.2">
      <c r="A460" s="67"/>
      <c r="B460" s="67"/>
      <c r="C460" s="67"/>
      <c r="D460" s="67"/>
      <c r="E460" s="67"/>
      <c r="F460" s="67"/>
      <c r="G460" s="67"/>
      <c r="H460" s="68"/>
    </row>
    <row r="461" spans="1:8" x14ac:dyDescent="0.2">
      <c r="A461" s="67"/>
      <c r="B461" s="67"/>
      <c r="C461" s="67"/>
      <c r="D461" s="67"/>
      <c r="E461" s="67"/>
      <c r="F461" s="67"/>
      <c r="G461" s="67"/>
      <c r="H461" s="68"/>
    </row>
    <row r="462" spans="1:8" x14ac:dyDescent="0.2">
      <c r="A462" s="67"/>
      <c r="B462" s="67"/>
      <c r="C462" s="67"/>
      <c r="D462" s="67"/>
      <c r="E462" s="67"/>
      <c r="F462" s="67"/>
      <c r="G462" s="67"/>
      <c r="H462" s="68"/>
    </row>
    <row r="463" spans="1:8" x14ac:dyDescent="0.2">
      <c r="A463" s="67"/>
      <c r="B463" s="67"/>
      <c r="C463" s="67"/>
      <c r="D463" s="67"/>
      <c r="E463" s="67"/>
      <c r="F463" s="67"/>
      <c r="G463" s="67"/>
      <c r="H463" s="68"/>
    </row>
    <row r="464" spans="1:8" x14ac:dyDescent="0.2">
      <c r="A464" s="67"/>
      <c r="B464" s="67"/>
      <c r="C464" s="67"/>
      <c r="D464" s="67"/>
      <c r="E464" s="67"/>
      <c r="F464" s="67"/>
      <c r="G464" s="67"/>
      <c r="H464" s="68"/>
    </row>
    <row r="465" spans="1:8" x14ac:dyDescent="0.2">
      <c r="A465" s="67"/>
      <c r="B465" s="67"/>
      <c r="C465" s="67"/>
      <c r="D465" s="67"/>
      <c r="E465" s="67"/>
      <c r="F465" s="67"/>
      <c r="G465" s="67"/>
      <c r="H465" s="68"/>
    </row>
    <row r="466" spans="1:8" x14ac:dyDescent="0.2">
      <c r="A466" s="67"/>
      <c r="B466" s="67"/>
      <c r="C466" s="67"/>
      <c r="D466" s="67"/>
      <c r="E466" s="67"/>
      <c r="F466" s="67"/>
      <c r="G466" s="67"/>
      <c r="H466" s="68"/>
    </row>
    <row r="467" spans="1:8" x14ac:dyDescent="0.2">
      <c r="A467" s="67"/>
      <c r="B467" s="67"/>
      <c r="C467" s="67"/>
      <c r="D467" s="67"/>
      <c r="E467" s="67"/>
      <c r="F467" s="67"/>
      <c r="G467" s="67"/>
      <c r="H467" s="68"/>
    </row>
    <row r="468" spans="1:8" x14ac:dyDescent="0.2">
      <c r="A468" s="67"/>
      <c r="B468" s="67"/>
      <c r="C468" s="67"/>
      <c r="D468" s="67"/>
      <c r="E468" s="67"/>
      <c r="F468" s="67"/>
      <c r="G468" s="67"/>
      <c r="H468" s="68"/>
    </row>
    <row r="469" spans="1:8" x14ac:dyDescent="0.2">
      <c r="A469" s="67"/>
      <c r="B469" s="67"/>
      <c r="C469" s="67"/>
      <c r="D469" s="67"/>
      <c r="E469" s="67"/>
      <c r="F469" s="67"/>
      <c r="G469" s="67"/>
      <c r="H469" s="68"/>
    </row>
    <row r="470" spans="1:8" x14ac:dyDescent="0.2">
      <c r="A470" s="67"/>
      <c r="B470" s="67"/>
      <c r="C470" s="67"/>
      <c r="D470" s="67"/>
      <c r="E470" s="67"/>
      <c r="F470" s="67"/>
      <c r="G470" s="67"/>
      <c r="H470" s="68"/>
    </row>
    <row r="471" spans="1:8" x14ac:dyDescent="0.2">
      <c r="A471" s="67"/>
      <c r="B471" s="67"/>
      <c r="C471" s="67"/>
      <c r="D471" s="67"/>
      <c r="E471" s="67"/>
      <c r="F471" s="67"/>
      <c r="G471" s="67"/>
      <c r="H471" s="68"/>
    </row>
    <row r="472" spans="1:8" x14ac:dyDescent="0.2">
      <c r="A472" s="67"/>
      <c r="B472" s="67"/>
      <c r="C472" s="67"/>
      <c r="D472" s="67"/>
      <c r="E472" s="67"/>
      <c r="F472" s="67"/>
      <c r="G472" s="67"/>
      <c r="H472" s="68"/>
    </row>
    <row r="473" spans="1:8" x14ac:dyDescent="0.2">
      <c r="A473" s="67"/>
      <c r="B473" s="67"/>
      <c r="C473" s="67"/>
      <c r="D473" s="67"/>
      <c r="E473" s="67"/>
      <c r="F473" s="67"/>
      <c r="G473" s="67"/>
      <c r="H473" s="68"/>
    </row>
    <row r="474" spans="1:8" x14ac:dyDescent="0.2">
      <c r="A474" s="67"/>
      <c r="B474" s="67"/>
      <c r="C474" s="67"/>
      <c r="D474" s="67"/>
      <c r="E474" s="67"/>
      <c r="F474" s="67"/>
      <c r="G474" s="67"/>
      <c r="H474" s="68"/>
    </row>
    <row r="475" spans="1:8" x14ac:dyDescent="0.2">
      <c r="A475" s="67"/>
      <c r="B475" s="67"/>
      <c r="C475" s="67"/>
      <c r="D475" s="67"/>
      <c r="E475" s="67"/>
      <c r="F475" s="67"/>
      <c r="G475" s="67"/>
      <c r="H475" s="68"/>
    </row>
    <row r="476" spans="1:8" x14ac:dyDescent="0.2">
      <c r="A476" s="67"/>
      <c r="B476" s="67"/>
      <c r="C476" s="67"/>
      <c r="D476" s="67"/>
      <c r="E476" s="67"/>
      <c r="F476" s="67"/>
      <c r="G476" s="67"/>
      <c r="H476" s="68"/>
    </row>
    <row r="477" spans="1:8" x14ac:dyDescent="0.2">
      <c r="A477" s="67"/>
      <c r="B477" s="67"/>
      <c r="C477" s="67"/>
      <c r="D477" s="67"/>
      <c r="E477" s="67"/>
      <c r="F477" s="67"/>
      <c r="G477" s="67"/>
      <c r="H477" s="68"/>
    </row>
    <row r="478" spans="1:8" x14ac:dyDescent="0.2">
      <c r="A478" s="67"/>
      <c r="B478" s="67"/>
      <c r="C478" s="67"/>
      <c r="D478" s="67"/>
      <c r="E478" s="67"/>
      <c r="F478" s="67"/>
      <c r="G478" s="67"/>
      <c r="H478" s="68"/>
    </row>
    <row r="479" spans="1:8" x14ac:dyDescent="0.2">
      <c r="A479" s="67"/>
      <c r="B479" s="67"/>
      <c r="C479" s="67"/>
      <c r="D479" s="67"/>
      <c r="E479" s="67"/>
      <c r="F479" s="67"/>
      <c r="G479" s="67"/>
      <c r="H479" s="68"/>
    </row>
    <row r="480" spans="1:8" x14ac:dyDescent="0.2">
      <c r="A480" s="67"/>
      <c r="B480" s="67"/>
      <c r="C480" s="67"/>
      <c r="D480" s="67"/>
      <c r="E480" s="67"/>
      <c r="F480" s="67"/>
      <c r="G480" s="67"/>
      <c r="H480" s="68"/>
    </row>
    <row r="481" spans="1:8" x14ac:dyDescent="0.2">
      <c r="A481" s="67"/>
      <c r="B481" s="67"/>
      <c r="C481" s="67"/>
      <c r="D481" s="67"/>
      <c r="E481" s="67"/>
      <c r="F481" s="67"/>
      <c r="G481" s="67"/>
      <c r="H481" s="68"/>
    </row>
    <row r="482" spans="1:8" x14ac:dyDescent="0.2">
      <c r="A482" s="67"/>
      <c r="B482" s="67"/>
      <c r="C482" s="67"/>
      <c r="D482" s="67"/>
      <c r="E482" s="67"/>
      <c r="F482" s="67"/>
      <c r="G482" s="67"/>
      <c r="H482" s="68"/>
    </row>
    <row r="483" spans="1:8" x14ac:dyDescent="0.2">
      <c r="A483" s="67"/>
      <c r="B483" s="67"/>
      <c r="C483" s="67"/>
      <c r="D483" s="67"/>
      <c r="E483" s="67"/>
      <c r="F483" s="67"/>
      <c r="G483" s="67"/>
      <c r="H483" s="68"/>
    </row>
    <row r="484" spans="1:8" x14ac:dyDescent="0.2">
      <c r="A484" s="67"/>
      <c r="B484" s="67"/>
      <c r="C484" s="67"/>
      <c r="D484" s="67"/>
      <c r="E484" s="67"/>
      <c r="F484" s="67"/>
      <c r="G484" s="67"/>
      <c r="H484" s="68"/>
    </row>
    <row r="485" spans="1:8" x14ac:dyDescent="0.2">
      <c r="A485" s="67"/>
      <c r="B485" s="67"/>
      <c r="C485" s="67"/>
      <c r="D485" s="67"/>
      <c r="E485" s="67"/>
      <c r="F485" s="67"/>
      <c r="G485" s="67"/>
      <c r="H485" s="68"/>
    </row>
    <row r="486" spans="1:8" x14ac:dyDescent="0.2">
      <c r="A486" s="67"/>
      <c r="B486" s="67"/>
      <c r="C486" s="67"/>
      <c r="D486" s="67"/>
      <c r="E486" s="67"/>
      <c r="F486" s="67"/>
      <c r="G486" s="67"/>
      <c r="H486" s="68"/>
    </row>
    <row r="487" spans="1:8" x14ac:dyDescent="0.2">
      <c r="A487" s="67"/>
      <c r="B487" s="67"/>
      <c r="C487" s="67"/>
      <c r="D487" s="67"/>
      <c r="E487" s="67"/>
      <c r="F487" s="67"/>
      <c r="G487" s="67"/>
      <c r="H487" s="68"/>
    </row>
    <row r="488" spans="1:8" x14ac:dyDescent="0.2">
      <c r="A488" s="67"/>
      <c r="B488" s="67"/>
      <c r="C488" s="67"/>
      <c r="D488" s="67"/>
      <c r="E488" s="67"/>
      <c r="F488" s="67"/>
      <c r="G488" s="67"/>
      <c r="H488" s="68"/>
    </row>
    <row r="489" spans="1:8" x14ac:dyDescent="0.2">
      <c r="A489" s="67"/>
      <c r="B489" s="67"/>
      <c r="C489" s="67"/>
      <c r="D489" s="67"/>
      <c r="E489" s="67"/>
      <c r="F489" s="67"/>
      <c r="G489" s="67"/>
      <c r="H489" s="68"/>
    </row>
    <row r="490" spans="1:8" x14ac:dyDescent="0.2">
      <c r="A490" s="67"/>
      <c r="B490" s="67"/>
      <c r="C490" s="67"/>
      <c r="D490" s="67"/>
      <c r="E490" s="67"/>
      <c r="F490" s="67"/>
      <c r="G490" s="67"/>
      <c r="H490" s="68"/>
    </row>
    <row r="491" spans="1:8" x14ac:dyDescent="0.2">
      <c r="A491" s="67"/>
      <c r="B491" s="67"/>
      <c r="C491" s="67"/>
      <c r="D491" s="67"/>
      <c r="E491" s="67"/>
      <c r="F491" s="67"/>
      <c r="G491" s="67"/>
      <c r="H491" s="68"/>
    </row>
    <row r="492" spans="1:8" x14ac:dyDescent="0.2">
      <c r="A492" s="67"/>
      <c r="B492" s="67"/>
      <c r="C492" s="67"/>
      <c r="D492" s="67"/>
      <c r="E492" s="67"/>
      <c r="F492" s="67"/>
      <c r="G492" s="67"/>
      <c r="H492" s="68"/>
    </row>
    <row r="493" spans="1:8" x14ac:dyDescent="0.2">
      <c r="A493" s="67"/>
      <c r="B493" s="67"/>
      <c r="C493" s="67"/>
      <c r="D493" s="67"/>
      <c r="E493" s="67"/>
      <c r="F493" s="67"/>
      <c r="G493" s="67"/>
      <c r="H493" s="68"/>
    </row>
    <row r="494" spans="1:8" x14ac:dyDescent="0.2">
      <c r="A494" s="67"/>
      <c r="B494" s="67"/>
      <c r="C494" s="67"/>
      <c r="D494" s="67"/>
      <c r="E494" s="67"/>
      <c r="F494" s="67"/>
      <c r="G494" s="67"/>
      <c r="H494" s="68"/>
    </row>
    <row r="495" spans="1:8" x14ac:dyDescent="0.2">
      <c r="A495" s="67"/>
      <c r="B495" s="67"/>
      <c r="C495" s="67"/>
      <c r="D495" s="67"/>
      <c r="E495" s="67"/>
      <c r="F495" s="67"/>
      <c r="G495" s="67"/>
      <c r="H495" s="68"/>
    </row>
    <row r="496" spans="1:8" x14ac:dyDescent="0.2">
      <c r="A496" s="67"/>
      <c r="B496" s="67"/>
      <c r="C496" s="67"/>
      <c r="D496" s="67"/>
      <c r="E496" s="67"/>
      <c r="F496" s="67"/>
      <c r="G496" s="67"/>
      <c r="H496" s="68"/>
    </row>
    <row r="497" spans="1:8" x14ac:dyDescent="0.2">
      <c r="A497" s="67"/>
      <c r="B497" s="67"/>
      <c r="C497" s="67"/>
      <c r="D497" s="67"/>
      <c r="E497" s="67"/>
      <c r="F497" s="67"/>
      <c r="G497" s="67"/>
      <c r="H497" s="68"/>
    </row>
    <row r="498" spans="1:8" x14ac:dyDescent="0.2">
      <c r="A498" s="67"/>
      <c r="B498" s="67"/>
      <c r="C498" s="67"/>
      <c r="D498" s="67"/>
      <c r="E498" s="67"/>
      <c r="F498" s="67"/>
      <c r="G498" s="67"/>
      <c r="H498" s="68"/>
    </row>
    <row r="499" spans="1:8" x14ac:dyDescent="0.2">
      <c r="A499" s="67"/>
      <c r="B499" s="67"/>
      <c r="C499" s="67"/>
      <c r="D499" s="67"/>
      <c r="E499" s="67"/>
      <c r="F499" s="67"/>
      <c r="G499" s="67"/>
      <c r="H499" s="68"/>
    </row>
    <row r="500" spans="1:8" x14ac:dyDescent="0.2">
      <c r="A500" s="67"/>
      <c r="B500" s="67"/>
      <c r="C500" s="67"/>
      <c r="D500" s="67"/>
      <c r="E500" s="67"/>
      <c r="F500" s="67"/>
      <c r="G500" s="67"/>
      <c r="H500" s="68"/>
    </row>
    <row r="501" spans="1:8" x14ac:dyDescent="0.2">
      <c r="A501" s="67"/>
      <c r="B501" s="67"/>
      <c r="C501" s="67"/>
      <c r="D501" s="67"/>
      <c r="E501" s="67"/>
      <c r="F501" s="67"/>
      <c r="G501" s="67"/>
      <c r="H501" s="68"/>
    </row>
    <row r="502" spans="1:8" x14ac:dyDescent="0.2">
      <c r="A502" s="67"/>
      <c r="B502" s="67"/>
      <c r="C502" s="67"/>
      <c r="D502" s="67"/>
      <c r="E502" s="67"/>
      <c r="F502" s="67"/>
      <c r="G502" s="67"/>
      <c r="H502" s="68"/>
    </row>
    <row r="503" spans="1:8" x14ac:dyDescent="0.2">
      <c r="A503" s="67"/>
      <c r="B503" s="67"/>
      <c r="C503" s="67"/>
      <c r="D503" s="67"/>
      <c r="E503" s="67"/>
      <c r="F503" s="67"/>
      <c r="G503" s="67"/>
      <c r="H503" s="68"/>
    </row>
    <row r="504" spans="1:8" x14ac:dyDescent="0.2">
      <c r="A504" s="67"/>
      <c r="B504" s="67"/>
      <c r="C504" s="67"/>
      <c r="D504" s="67"/>
      <c r="E504" s="67"/>
      <c r="F504" s="67"/>
      <c r="G504" s="67"/>
      <c r="H504" s="68"/>
    </row>
    <row r="505" spans="1:8" x14ac:dyDescent="0.2">
      <c r="A505" s="67"/>
      <c r="B505" s="67"/>
      <c r="C505" s="67"/>
      <c r="D505" s="67"/>
      <c r="E505" s="67"/>
      <c r="F505" s="67"/>
      <c r="G505" s="67"/>
      <c r="H505" s="68"/>
    </row>
    <row r="506" spans="1:8" x14ac:dyDescent="0.2">
      <c r="A506" s="67"/>
      <c r="B506" s="67"/>
      <c r="C506" s="67"/>
      <c r="D506" s="67"/>
      <c r="E506" s="67"/>
      <c r="F506" s="67"/>
      <c r="G506" s="67"/>
      <c r="H506" s="68"/>
    </row>
    <row r="507" spans="1:8" x14ac:dyDescent="0.2">
      <c r="A507" s="67"/>
      <c r="B507" s="67"/>
      <c r="C507" s="67"/>
      <c r="D507" s="67"/>
      <c r="E507" s="67"/>
      <c r="F507" s="67"/>
      <c r="G507" s="67"/>
      <c r="H507" s="68"/>
    </row>
    <row r="508" spans="1:8" x14ac:dyDescent="0.2">
      <c r="A508" s="67"/>
      <c r="B508" s="67"/>
      <c r="C508" s="67"/>
      <c r="D508" s="67"/>
      <c r="E508" s="67"/>
      <c r="F508" s="67"/>
      <c r="G508" s="67"/>
      <c r="H508" s="68"/>
    </row>
    <row r="509" spans="1:8" x14ac:dyDescent="0.2">
      <c r="A509" s="67"/>
      <c r="B509" s="67"/>
      <c r="C509" s="67"/>
      <c r="D509" s="67"/>
      <c r="E509" s="67"/>
      <c r="F509" s="67"/>
      <c r="G509" s="67"/>
      <c r="H509" s="68"/>
    </row>
    <row r="510" spans="1:8" x14ac:dyDescent="0.2">
      <c r="A510" s="67"/>
      <c r="B510" s="67"/>
      <c r="C510" s="67"/>
      <c r="D510" s="67"/>
      <c r="E510" s="67"/>
      <c r="F510" s="67"/>
      <c r="G510" s="67"/>
      <c r="H510" s="68"/>
    </row>
    <row r="511" spans="1:8" x14ac:dyDescent="0.2">
      <c r="A511" s="67"/>
      <c r="B511" s="67"/>
      <c r="C511" s="67"/>
      <c r="D511" s="67"/>
      <c r="E511" s="67"/>
      <c r="F511" s="67"/>
      <c r="G511" s="67"/>
      <c r="H511" s="68"/>
    </row>
    <row r="512" spans="1:8" x14ac:dyDescent="0.2">
      <c r="A512" s="67"/>
      <c r="B512" s="67"/>
      <c r="C512" s="67"/>
      <c r="D512" s="67"/>
      <c r="E512" s="67"/>
      <c r="F512" s="67"/>
      <c r="G512" s="67"/>
      <c r="H512" s="68"/>
    </row>
    <row r="513" spans="1:8" x14ac:dyDescent="0.2">
      <c r="A513" s="67"/>
      <c r="B513" s="67"/>
      <c r="C513" s="67"/>
      <c r="D513" s="67"/>
      <c r="E513" s="67"/>
      <c r="F513" s="67"/>
      <c r="G513" s="67"/>
      <c r="H513" s="68"/>
    </row>
    <row r="514" spans="1:8" x14ac:dyDescent="0.2">
      <c r="A514" s="67"/>
      <c r="B514" s="67"/>
      <c r="C514" s="67"/>
      <c r="D514" s="67"/>
      <c r="E514" s="67"/>
      <c r="F514" s="67"/>
      <c r="G514" s="67"/>
      <c r="H514" s="68"/>
    </row>
    <row r="515" spans="1:8" x14ac:dyDescent="0.2">
      <c r="A515" s="67"/>
      <c r="B515" s="67"/>
      <c r="C515" s="67"/>
      <c r="D515" s="67"/>
      <c r="E515" s="67"/>
      <c r="F515" s="67"/>
      <c r="G515" s="67"/>
      <c r="H515" s="68"/>
    </row>
    <row r="516" spans="1:8" x14ac:dyDescent="0.2">
      <c r="A516" s="67"/>
      <c r="B516" s="67"/>
      <c r="C516" s="67"/>
      <c r="D516" s="67"/>
      <c r="E516" s="67"/>
      <c r="F516" s="67"/>
      <c r="G516" s="67"/>
      <c r="H516" s="68"/>
    </row>
    <row r="517" spans="1:8" x14ac:dyDescent="0.2">
      <c r="A517" s="67"/>
      <c r="B517" s="67"/>
      <c r="C517" s="67"/>
      <c r="D517" s="67"/>
      <c r="E517" s="67"/>
      <c r="F517" s="67"/>
      <c r="G517" s="67"/>
      <c r="H517" s="68"/>
    </row>
    <row r="518" spans="1:8" x14ac:dyDescent="0.2">
      <c r="A518" s="67"/>
      <c r="B518" s="67"/>
      <c r="C518" s="67"/>
      <c r="D518" s="67"/>
      <c r="E518" s="67"/>
      <c r="F518" s="67"/>
      <c r="G518" s="67"/>
      <c r="H518" s="68"/>
    </row>
    <row r="519" spans="1:8" x14ac:dyDescent="0.2">
      <c r="A519" s="67"/>
      <c r="B519" s="67"/>
      <c r="C519" s="67"/>
      <c r="D519" s="67"/>
      <c r="E519" s="67"/>
      <c r="F519" s="67"/>
      <c r="G519" s="67"/>
      <c r="H519" s="68"/>
    </row>
    <row r="520" spans="1:8" x14ac:dyDescent="0.2">
      <c r="A520" s="67"/>
      <c r="B520" s="67"/>
      <c r="C520" s="67"/>
      <c r="D520" s="67"/>
      <c r="E520" s="67"/>
      <c r="F520" s="67"/>
      <c r="G520" s="67"/>
      <c r="H520" s="68"/>
    </row>
    <row r="521" spans="1:8" x14ac:dyDescent="0.2">
      <c r="A521" s="67"/>
      <c r="B521" s="67"/>
      <c r="C521" s="67"/>
      <c r="D521" s="67"/>
      <c r="E521" s="67"/>
      <c r="F521" s="67"/>
      <c r="G521" s="67"/>
      <c r="H521" s="68"/>
    </row>
    <row r="522" spans="1:8" x14ac:dyDescent="0.2">
      <c r="A522" s="67"/>
      <c r="B522" s="67"/>
      <c r="C522" s="67"/>
      <c r="D522" s="67"/>
      <c r="E522" s="67"/>
      <c r="F522" s="67"/>
      <c r="G522" s="67"/>
      <c r="H522" s="68"/>
    </row>
    <row r="523" spans="1:8" x14ac:dyDescent="0.2">
      <c r="A523" s="67"/>
      <c r="B523" s="67"/>
      <c r="C523" s="67"/>
      <c r="D523" s="67"/>
      <c r="E523" s="67"/>
      <c r="F523" s="67"/>
      <c r="G523" s="67"/>
      <c r="H523" s="68"/>
    </row>
    <row r="524" spans="1:8" x14ac:dyDescent="0.2">
      <c r="A524" s="67"/>
      <c r="B524" s="67"/>
      <c r="C524" s="67"/>
      <c r="D524" s="67"/>
      <c r="E524" s="67"/>
      <c r="F524" s="67"/>
      <c r="G524" s="67"/>
      <c r="H524" s="68"/>
    </row>
    <row r="525" spans="1:8" x14ac:dyDescent="0.2">
      <c r="A525" s="67"/>
      <c r="B525" s="67"/>
      <c r="C525" s="67"/>
      <c r="D525" s="67"/>
      <c r="E525" s="67"/>
      <c r="F525" s="67"/>
      <c r="G525" s="67"/>
      <c r="H525" s="68"/>
    </row>
    <row r="526" spans="1:8" x14ac:dyDescent="0.2">
      <c r="A526" s="67"/>
      <c r="B526" s="67"/>
      <c r="C526" s="67"/>
      <c r="D526" s="67"/>
      <c r="E526" s="67"/>
      <c r="F526" s="67"/>
      <c r="G526" s="67"/>
      <c r="H526" s="68"/>
    </row>
    <row r="527" spans="1:8" x14ac:dyDescent="0.2">
      <c r="A527" s="67"/>
      <c r="B527" s="67"/>
      <c r="C527" s="67"/>
      <c r="D527" s="67"/>
      <c r="E527" s="67"/>
      <c r="F527" s="67"/>
      <c r="G527" s="67"/>
      <c r="H527" s="68"/>
    </row>
    <row r="528" spans="1:8" x14ac:dyDescent="0.2">
      <c r="A528" s="67"/>
      <c r="B528" s="67"/>
      <c r="C528" s="67"/>
      <c r="D528" s="67"/>
      <c r="E528" s="67"/>
      <c r="F528" s="67"/>
      <c r="G528" s="67"/>
      <c r="H528" s="68"/>
    </row>
    <row r="529" spans="1:8" x14ac:dyDescent="0.2">
      <c r="A529" s="67"/>
      <c r="B529" s="67"/>
      <c r="C529" s="67"/>
      <c r="D529" s="67"/>
      <c r="E529" s="67"/>
      <c r="F529" s="67"/>
      <c r="G529" s="67"/>
      <c r="H529" s="68"/>
    </row>
    <row r="530" spans="1:8" x14ac:dyDescent="0.2">
      <c r="A530" s="67"/>
      <c r="B530" s="67"/>
      <c r="C530" s="67"/>
      <c r="D530" s="67"/>
      <c r="E530" s="67"/>
      <c r="F530" s="67"/>
      <c r="G530" s="67"/>
      <c r="H530" s="68"/>
    </row>
    <row r="531" spans="1:8" x14ac:dyDescent="0.2">
      <c r="A531" s="67"/>
      <c r="B531" s="67"/>
      <c r="C531" s="67"/>
      <c r="D531" s="67"/>
      <c r="E531" s="67"/>
      <c r="F531" s="67"/>
      <c r="G531" s="67"/>
      <c r="H531" s="68"/>
    </row>
    <row r="532" spans="1:8" x14ac:dyDescent="0.2">
      <c r="A532" s="67"/>
      <c r="B532" s="67"/>
      <c r="C532" s="67"/>
      <c r="D532" s="67"/>
      <c r="E532" s="67"/>
      <c r="F532" s="67"/>
      <c r="G532" s="67"/>
      <c r="H532" s="68"/>
    </row>
    <row r="533" spans="1:8" x14ac:dyDescent="0.2">
      <c r="A533" s="67"/>
      <c r="B533" s="67"/>
      <c r="C533" s="67"/>
      <c r="D533" s="67"/>
      <c r="E533" s="67"/>
      <c r="F533" s="67"/>
      <c r="G533" s="67"/>
      <c r="H533" s="68"/>
    </row>
    <row r="534" spans="1:8" x14ac:dyDescent="0.2">
      <c r="A534" s="67"/>
      <c r="B534" s="67"/>
      <c r="C534" s="67"/>
      <c r="D534" s="67"/>
      <c r="E534" s="67"/>
      <c r="F534" s="67"/>
      <c r="G534" s="67"/>
      <c r="H534" s="68"/>
    </row>
    <row r="535" spans="1:8" x14ac:dyDescent="0.2">
      <c r="A535" s="67"/>
      <c r="B535" s="67"/>
      <c r="C535" s="67"/>
      <c r="D535" s="67"/>
      <c r="E535" s="67"/>
      <c r="F535" s="67"/>
      <c r="G535" s="67"/>
      <c r="H535" s="68"/>
    </row>
    <row r="536" spans="1:8" x14ac:dyDescent="0.2">
      <c r="A536" s="67"/>
      <c r="B536" s="67"/>
      <c r="C536" s="67"/>
      <c r="D536" s="67"/>
      <c r="E536" s="67"/>
      <c r="F536" s="67"/>
      <c r="G536" s="67"/>
      <c r="H536" s="68"/>
    </row>
    <row r="537" spans="1:8" x14ac:dyDescent="0.2">
      <c r="A537" s="67"/>
      <c r="B537" s="67"/>
      <c r="C537" s="67"/>
      <c r="D537" s="67"/>
      <c r="E537" s="67"/>
      <c r="F537" s="67"/>
      <c r="G537" s="67"/>
      <c r="H537" s="68"/>
    </row>
    <row r="538" spans="1:8" x14ac:dyDescent="0.2">
      <c r="A538" s="67"/>
      <c r="B538" s="67"/>
      <c r="C538" s="67"/>
      <c r="D538" s="67"/>
      <c r="E538" s="67"/>
      <c r="F538" s="67"/>
      <c r="G538" s="67"/>
      <c r="H538" s="68"/>
    </row>
    <row r="539" spans="1:8" x14ac:dyDescent="0.2">
      <c r="A539" s="67"/>
      <c r="B539" s="67"/>
      <c r="C539" s="67"/>
      <c r="D539" s="67"/>
      <c r="E539" s="67"/>
      <c r="F539" s="67"/>
      <c r="G539" s="67"/>
      <c r="H539" s="68"/>
    </row>
    <row r="540" spans="1:8" x14ac:dyDescent="0.2">
      <c r="A540" s="67"/>
      <c r="B540" s="67"/>
      <c r="C540" s="67"/>
      <c r="D540" s="67"/>
      <c r="E540" s="67"/>
      <c r="F540" s="67"/>
      <c r="G540" s="67"/>
      <c r="H540" s="68"/>
    </row>
    <row r="541" spans="1:8" x14ac:dyDescent="0.2">
      <c r="A541" s="67"/>
      <c r="B541" s="67"/>
      <c r="C541" s="67"/>
      <c r="D541" s="67"/>
      <c r="E541" s="67"/>
      <c r="F541" s="67"/>
      <c r="G541" s="67"/>
      <c r="H541" s="68"/>
    </row>
    <row r="542" spans="1:8" x14ac:dyDescent="0.2">
      <c r="A542" s="67"/>
      <c r="B542" s="67"/>
      <c r="C542" s="67"/>
      <c r="D542" s="67"/>
      <c r="E542" s="67"/>
      <c r="F542" s="67"/>
      <c r="G542" s="67"/>
      <c r="H542" s="68"/>
    </row>
    <row r="543" spans="1:8" x14ac:dyDescent="0.2">
      <c r="A543" s="67"/>
      <c r="B543" s="67"/>
      <c r="C543" s="67"/>
      <c r="D543" s="67"/>
      <c r="E543" s="67"/>
      <c r="F543" s="67"/>
      <c r="G543" s="67"/>
      <c r="H543" s="68"/>
    </row>
    <row r="544" spans="1:8" x14ac:dyDescent="0.2">
      <c r="A544" s="67"/>
      <c r="B544" s="67"/>
      <c r="C544" s="67"/>
      <c r="D544" s="67"/>
      <c r="E544" s="67"/>
      <c r="F544" s="67"/>
      <c r="G544" s="67"/>
      <c r="H544" s="68"/>
    </row>
    <row r="545" spans="1:8" x14ac:dyDescent="0.2">
      <c r="A545" s="67"/>
      <c r="B545" s="67"/>
      <c r="C545" s="67"/>
      <c r="D545" s="67"/>
      <c r="E545" s="67"/>
      <c r="F545" s="67"/>
      <c r="G545" s="67"/>
      <c r="H545" s="68"/>
    </row>
    <row r="546" spans="1:8" x14ac:dyDescent="0.2">
      <c r="A546" s="67"/>
      <c r="B546" s="67"/>
      <c r="C546" s="67"/>
      <c r="D546" s="67"/>
      <c r="E546" s="67"/>
      <c r="F546" s="67"/>
      <c r="G546" s="67"/>
      <c r="H546" s="68"/>
    </row>
    <row r="547" spans="1:8" x14ac:dyDescent="0.2">
      <c r="A547" s="67"/>
      <c r="B547" s="67"/>
      <c r="C547" s="67"/>
      <c r="D547" s="67"/>
      <c r="E547" s="67"/>
      <c r="F547" s="67"/>
      <c r="G547" s="67"/>
      <c r="H547" s="68"/>
    </row>
    <row r="548" spans="1:8" x14ac:dyDescent="0.2">
      <c r="A548" s="67"/>
      <c r="B548" s="67"/>
      <c r="C548" s="67"/>
      <c r="D548" s="67"/>
      <c r="E548" s="67"/>
      <c r="F548" s="67"/>
      <c r="G548" s="67"/>
      <c r="H548" s="68"/>
    </row>
    <row r="549" spans="1:8" x14ac:dyDescent="0.2">
      <c r="A549" s="67"/>
      <c r="B549" s="67"/>
      <c r="C549" s="67"/>
      <c r="D549" s="67"/>
      <c r="E549" s="67"/>
      <c r="F549" s="67"/>
      <c r="G549" s="67"/>
      <c r="H549" s="68"/>
    </row>
    <row r="550" spans="1:8" x14ac:dyDescent="0.2">
      <c r="A550" s="67"/>
      <c r="B550" s="67"/>
      <c r="C550" s="67"/>
      <c r="D550" s="67"/>
      <c r="E550" s="67"/>
      <c r="F550" s="67"/>
      <c r="G550" s="67"/>
      <c r="H550" s="68"/>
    </row>
    <row r="551" spans="1:8" x14ac:dyDescent="0.2">
      <c r="A551" s="67"/>
      <c r="B551" s="67"/>
      <c r="C551" s="67"/>
      <c r="D551" s="67"/>
      <c r="E551" s="67"/>
      <c r="F551" s="67"/>
      <c r="G551" s="67"/>
      <c r="H551" s="68"/>
    </row>
    <row r="552" spans="1:8" x14ac:dyDescent="0.2">
      <c r="A552" s="67"/>
      <c r="B552" s="67"/>
      <c r="C552" s="67"/>
      <c r="D552" s="67"/>
      <c r="E552" s="67"/>
      <c r="F552" s="67"/>
      <c r="G552" s="67"/>
      <c r="H552" s="68"/>
    </row>
    <row r="553" spans="1:8" x14ac:dyDescent="0.2">
      <c r="A553" s="67"/>
      <c r="B553" s="67"/>
      <c r="C553" s="67"/>
      <c r="D553" s="67"/>
      <c r="E553" s="67"/>
      <c r="F553" s="67"/>
      <c r="G553" s="67"/>
      <c r="H553" s="68"/>
    </row>
    <row r="554" spans="1:8" x14ac:dyDescent="0.2">
      <c r="A554" s="67"/>
      <c r="B554" s="67"/>
      <c r="C554" s="67"/>
      <c r="D554" s="67"/>
      <c r="E554" s="67"/>
      <c r="F554" s="67"/>
      <c r="G554" s="67"/>
      <c r="H554" s="68"/>
    </row>
    <row r="555" spans="1:8" x14ac:dyDescent="0.2">
      <c r="A555" s="67"/>
      <c r="B555" s="67"/>
      <c r="C555" s="67"/>
      <c r="D555" s="67"/>
      <c r="E555" s="67"/>
      <c r="F555" s="67"/>
      <c r="G555" s="67"/>
      <c r="H555" s="68"/>
    </row>
    <row r="556" spans="1:8" x14ac:dyDescent="0.2">
      <c r="A556" s="67"/>
      <c r="B556" s="67"/>
      <c r="C556" s="67"/>
      <c r="D556" s="67"/>
      <c r="E556" s="67"/>
      <c r="F556" s="67"/>
      <c r="G556" s="67"/>
      <c r="H556" s="68"/>
    </row>
    <row r="557" spans="1:8" x14ac:dyDescent="0.2">
      <c r="A557" s="67"/>
      <c r="B557" s="67"/>
      <c r="C557" s="67"/>
      <c r="D557" s="67"/>
      <c r="E557" s="67"/>
      <c r="F557" s="67"/>
      <c r="G557" s="67"/>
      <c r="H557" s="68"/>
    </row>
    <row r="558" spans="1:8" x14ac:dyDescent="0.2">
      <c r="A558" s="67"/>
      <c r="B558" s="67"/>
      <c r="C558" s="67"/>
      <c r="D558" s="67"/>
      <c r="E558" s="67"/>
      <c r="F558" s="67"/>
      <c r="G558" s="67"/>
      <c r="H558" s="68"/>
    </row>
    <row r="559" spans="1:8" x14ac:dyDescent="0.2">
      <c r="A559" s="67"/>
      <c r="B559" s="67"/>
      <c r="C559" s="67"/>
      <c r="D559" s="67"/>
      <c r="E559" s="67"/>
      <c r="F559" s="67"/>
      <c r="G559" s="67"/>
      <c r="H559" s="68"/>
    </row>
    <row r="560" spans="1:8" x14ac:dyDescent="0.2">
      <c r="A560" s="67"/>
      <c r="B560" s="67"/>
      <c r="C560" s="67"/>
      <c r="D560" s="67"/>
      <c r="E560" s="67"/>
      <c r="F560" s="67"/>
      <c r="G560" s="67"/>
      <c r="H560" s="68"/>
    </row>
    <row r="561" spans="1:8" x14ac:dyDescent="0.2">
      <c r="A561" s="67"/>
      <c r="B561" s="67"/>
      <c r="C561" s="67"/>
      <c r="D561" s="67"/>
      <c r="E561" s="67"/>
      <c r="F561" s="67"/>
      <c r="G561" s="67"/>
      <c r="H561" s="68"/>
    </row>
    <row r="562" spans="1:8" x14ac:dyDescent="0.2">
      <c r="A562" s="67"/>
      <c r="B562" s="67"/>
      <c r="C562" s="67"/>
      <c r="D562" s="67"/>
      <c r="E562" s="67"/>
      <c r="F562" s="67"/>
      <c r="G562" s="67"/>
      <c r="H562" s="68"/>
    </row>
    <row r="563" spans="1:8" x14ac:dyDescent="0.2">
      <c r="A563" s="67"/>
      <c r="B563" s="67"/>
      <c r="C563" s="67"/>
      <c r="D563" s="67"/>
      <c r="E563" s="67"/>
      <c r="F563" s="67"/>
      <c r="G563" s="67"/>
      <c r="H563" s="68"/>
    </row>
    <row r="564" spans="1:8" x14ac:dyDescent="0.2">
      <c r="A564" s="67"/>
      <c r="B564" s="67"/>
      <c r="C564" s="67"/>
      <c r="D564" s="67"/>
      <c r="E564" s="67"/>
      <c r="F564" s="67"/>
      <c r="G564" s="67"/>
      <c r="H564" s="68"/>
    </row>
    <row r="565" spans="1:8" x14ac:dyDescent="0.2">
      <c r="A565" s="67"/>
      <c r="B565" s="67"/>
      <c r="C565" s="67"/>
      <c r="D565" s="67"/>
      <c r="E565" s="67"/>
      <c r="F565" s="67"/>
      <c r="G565" s="67"/>
      <c r="H565" s="68"/>
    </row>
    <row r="566" spans="1:8" x14ac:dyDescent="0.2">
      <c r="A566" s="67"/>
      <c r="B566" s="67"/>
      <c r="C566" s="67"/>
      <c r="D566" s="67"/>
      <c r="E566" s="67"/>
      <c r="F566" s="67"/>
      <c r="G566" s="67"/>
      <c r="H566" s="68"/>
    </row>
    <row r="567" spans="1:8" x14ac:dyDescent="0.2">
      <c r="A567" s="67"/>
      <c r="B567" s="67"/>
      <c r="C567" s="67"/>
      <c r="D567" s="67"/>
      <c r="E567" s="67"/>
      <c r="F567" s="67"/>
      <c r="G567" s="67"/>
      <c r="H567" s="68"/>
    </row>
    <row r="568" spans="1:8" x14ac:dyDescent="0.2">
      <c r="A568" s="67"/>
      <c r="B568" s="67"/>
      <c r="C568" s="67"/>
      <c r="D568" s="67"/>
      <c r="E568" s="67"/>
      <c r="F568" s="67"/>
      <c r="G568" s="67"/>
      <c r="H568" s="68"/>
    </row>
    <row r="569" spans="1:8" x14ac:dyDescent="0.2">
      <c r="A569" s="67"/>
      <c r="B569" s="67"/>
      <c r="C569" s="67"/>
      <c r="D569" s="67"/>
      <c r="E569" s="67"/>
      <c r="F569" s="67"/>
      <c r="G569" s="67"/>
      <c r="H569" s="68"/>
    </row>
    <row r="570" spans="1:8" x14ac:dyDescent="0.2">
      <c r="A570" s="67"/>
      <c r="B570" s="67"/>
      <c r="C570" s="67"/>
      <c r="D570" s="67"/>
      <c r="E570" s="67"/>
      <c r="F570" s="67"/>
      <c r="G570" s="67"/>
      <c r="H570" s="68"/>
    </row>
    <row r="571" spans="1:8" x14ac:dyDescent="0.2">
      <c r="A571" s="67"/>
      <c r="B571" s="67"/>
      <c r="C571" s="67"/>
      <c r="D571" s="67"/>
      <c r="E571" s="67"/>
      <c r="F571" s="67"/>
      <c r="G571" s="67"/>
      <c r="H571" s="68"/>
    </row>
    <row r="572" spans="1:8" x14ac:dyDescent="0.2">
      <c r="A572" s="67"/>
      <c r="B572" s="67"/>
      <c r="C572" s="67"/>
      <c r="D572" s="67"/>
      <c r="E572" s="67"/>
      <c r="F572" s="67"/>
      <c r="G572" s="67"/>
      <c r="H572" s="68"/>
    </row>
    <row r="573" spans="1:8" x14ac:dyDescent="0.2">
      <c r="A573" s="67"/>
      <c r="B573" s="67"/>
      <c r="C573" s="67"/>
      <c r="D573" s="67"/>
      <c r="E573" s="67"/>
      <c r="F573" s="67"/>
      <c r="G573" s="67"/>
      <c r="H573" s="68"/>
    </row>
    <row r="574" spans="1:8" x14ac:dyDescent="0.2">
      <c r="A574" s="67"/>
      <c r="B574" s="67"/>
      <c r="C574" s="67"/>
      <c r="D574" s="67"/>
      <c r="E574" s="67"/>
      <c r="F574" s="67"/>
      <c r="G574" s="67"/>
      <c r="H574" s="68"/>
    </row>
    <row r="575" spans="1:8" x14ac:dyDescent="0.2">
      <c r="A575" s="67"/>
      <c r="B575" s="67"/>
      <c r="C575" s="67"/>
      <c r="D575" s="67"/>
      <c r="E575" s="67"/>
      <c r="F575" s="67"/>
      <c r="G575" s="67"/>
      <c r="H575" s="68"/>
    </row>
    <row r="576" spans="1:8" x14ac:dyDescent="0.2">
      <c r="A576" s="67"/>
      <c r="B576" s="67"/>
      <c r="C576" s="67"/>
      <c r="D576" s="67"/>
      <c r="E576" s="67"/>
      <c r="F576" s="67"/>
      <c r="G576" s="67"/>
      <c r="H576" s="68"/>
    </row>
    <row r="577" spans="1:8" x14ac:dyDescent="0.2">
      <c r="A577" s="67"/>
      <c r="B577" s="67"/>
      <c r="C577" s="67"/>
      <c r="D577" s="67"/>
      <c r="E577" s="67"/>
      <c r="F577" s="67"/>
      <c r="G577" s="67"/>
      <c r="H577" s="68"/>
    </row>
    <row r="578" spans="1:8" x14ac:dyDescent="0.2">
      <c r="A578" s="67"/>
      <c r="B578" s="67"/>
      <c r="C578" s="67"/>
      <c r="D578" s="67"/>
      <c r="E578" s="67"/>
      <c r="F578" s="67"/>
      <c r="G578" s="67"/>
      <c r="H578" s="68"/>
    </row>
    <row r="579" spans="1:8" x14ac:dyDescent="0.2">
      <c r="A579" s="67"/>
      <c r="B579" s="67"/>
      <c r="C579" s="67"/>
      <c r="D579" s="67"/>
      <c r="E579" s="67"/>
      <c r="F579" s="67"/>
      <c r="G579" s="67"/>
      <c r="H579" s="68"/>
    </row>
    <row r="580" spans="1:8" x14ac:dyDescent="0.2">
      <c r="A580" s="67"/>
      <c r="B580" s="67"/>
      <c r="C580" s="67"/>
      <c r="D580" s="67"/>
      <c r="E580" s="67"/>
      <c r="F580" s="67"/>
      <c r="G580" s="67"/>
      <c r="H580" s="68"/>
    </row>
    <row r="581" spans="1:8" x14ac:dyDescent="0.2">
      <c r="A581" s="67"/>
      <c r="B581" s="67"/>
      <c r="C581" s="67"/>
      <c r="D581" s="67"/>
      <c r="E581" s="67"/>
      <c r="F581" s="67"/>
      <c r="G581" s="67"/>
      <c r="H581" s="68"/>
    </row>
    <row r="582" spans="1:8" x14ac:dyDescent="0.2">
      <c r="A582" s="67"/>
      <c r="B582" s="67"/>
      <c r="C582" s="67"/>
      <c r="D582" s="67"/>
      <c r="E582" s="67"/>
      <c r="F582" s="67"/>
      <c r="G582" s="67"/>
      <c r="H582" s="68"/>
    </row>
    <row r="583" spans="1:8" x14ac:dyDescent="0.2">
      <c r="A583" s="67"/>
      <c r="B583" s="67"/>
      <c r="C583" s="67"/>
      <c r="D583" s="67"/>
      <c r="E583" s="67"/>
      <c r="F583" s="67"/>
      <c r="G583" s="67"/>
      <c r="H583" s="68"/>
    </row>
    <row r="584" spans="1:8" x14ac:dyDescent="0.2">
      <c r="A584" s="67"/>
      <c r="B584" s="67"/>
      <c r="C584" s="67"/>
      <c r="D584" s="67"/>
      <c r="E584" s="67"/>
      <c r="F584" s="67"/>
      <c r="G584" s="67"/>
      <c r="H584" s="68"/>
    </row>
    <row r="585" spans="1:8" x14ac:dyDescent="0.2">
      <c r="A585" s="67"/>
      <c r="B585" s="67"/>
      <c r="C585" s="67"/>
      <c r="D585" s="67"/>
      <c r="E585" s="67"/>
      <c r="F585" s="67"/>
      <c r="G585" s="67"/>
      <c r="H585" s="68"/>
    </row>
    <row r="586" spans="1:8" x14ac:dyDescent="0.2">
      <c r="A586" s="67"/>
      <c r="B586" s="67"/>
      <c r="C586" s="67"/>
      <c r="D586" s="67"/>
      <c r="E586" s="67"/>
      <c r="F586" s="67"/>
      <c r="G586" s="67"/>
      <c r="H586" s="68"/>
    </row>
    <row r="587" spans="1:8" x14ac:dyDescent="0.2">
      <c r="A587" s="67"/>
      <c r="B587" s="67"/>
      <c r="C587" s="67"/>
      <c r="D587" s="67"/>
      <c r="E587" s="67"/>
      <c r="F587" s="67"/>
      <c r="G587" s="67"/>
      <c r="H587" s="68"/>
    </row>
    <row r="588" spans="1:8" x14ac:dyDescent="0.2">
      <c r="A588" s="67"/>
      <c r="B588" s="67"/>
      <c r="C588" s="67"/>
      <c r="D588" s="67"/>
      <c r="E588" s="67"/>
      <c r="F588" s="67"/>
      <c r="G588" s="67"/>
      <c r="H588" s="68"/>
    </row>
    <row r="589" spans="1:8" x14ac:dyDescent="0.2">
      <c r="A589" s="67"/>
      <c r="B589" s="67"/>
      <c r="C589" s="67"/>
      <c r="D589" s="67"/>
      <c r="E589" s="67"/>
      <c r="F589" s="67"/>
      <c r="G589" s="67"/>
      <c r="H589" s="68"/>
    </row>
    <row r="590" spans="1:8" x14ac:dyDescent="0.2">
      <c r="A590" s="67"/>
      <c r="B590" s="67"/>
      <c r="C590" s="67"/>
      <c r="D590" s="67"/>
      <c r="E590" s="67"/>
      <c r="F590" s="67"/>
      <c r="G590" s="67"/>
      <c r="H590" s="68"/>
    </row>
    <row r="591" spans="1:8" x14ac:dyDescent="0.2">
      <c r="A591" s="67"/>
      <c r="B591" s="67"/>
      <c r="C591" s="67"/>
      <c r="D591" s="67"/>
      <c r="E591" s="67"/>
      <c r="F591" s="67"/>
      <c r="G591" s="67"/>
      <c r="H591" s="68"/>
    </row>
    <row r="592" spans="1:8" x14ac:dyDescent="0.2">
      <c r="A592" s="67"/>
      <c r="B592" s="67"/>
      <c r="C592" s="67"/>
      <c r="D592" s="67"/>
      <c r="E592" s="67"/>
      <c r="F592" s="67"/>
      <c r="G592" s="67"/>
      <c r="H592" s="68"/>
    </row>
    <row r="593" spans="1:8" x14ac:dyDescent="0.2">
      <c r="A593" s="67"/>
      <c r="B593" s="67"/>
      <c r="C593" s="67"/>
      <c r="D593" s="67"/>
      <c r="E593" s="67"/>
      <c r="F593" s="67"/>
      <c r="G593" s="67"/>
      <c r="H593" s="68"/>
    </row>
    <row r="594" spans="1:8" x14ac:dyDescent="0.2">
      <c r="A594" s="67"/>
      <c r="B594" s="67"/>
      <c r="C594" s="67"/>
      <c r="D594" s="67"/>
      <c r="E594" s="67"/>
      <c r="F594" s="67"/>
      <c r="G594" s="67"/>
      <c r="H594" s="68"/>
    </row>
    <row r="595" spans="1:8" x14ac:dyDescent="0.2">
      <c r="A595" s="67"/>
      <c r="B595" s="67"/>
      <c r="C595" s="67"/>
      <c r="D595" s="67"/>
      <c r="E595" s="67"/>
      <c r="F595" s="67"/>
      <c r="G595" s="67"/>
      <c r="H595" s="68"/>
    </row>
    <row r="596" spans="1:8" x14ac:dyDescent="0.2">
      <c r="A596" s="67"/>
      <c r="B596" s="67"/>
      <c r="C596" s="67"/>
      <c r="D596" s="67"/>
      <c r="E596" s="67"/>
      <c r="F596" s="67"/>
      <c r="G596" s="67"/>
      <c r="H596" s="68"/>
    </row>
    <row r="597" spans="1:8" x14ac:dyDescent="0.2">
      <c r="A597" s="67"/>
      <c r="B597" s="67"/>
      <c r="C597" s="67"/>
      <c r="D597" s="67"/>
      <c r="E597" s="67"/>
      <c r="F597" s="67"/>
      <c r="G597" s="67"/>
      <c r="H597" s="68"/>
    </row>
    <row r="598" spans="1:8" x14ac:dyDescent="0.2">
      <c r="A598" s="67"/>
      <c r="B598" s="67"/>
      <c r="C598" s="67"/>
      <c r="D598" s="67"/>
      <c r="E598" s="67"/>
      <c r="F598" s="67"/>
      <c r="G598" s="67"/>
      <c r="H598" s="68"/>
    </row>
    <row r="599" spans="1:8" x14ac:dyDescent="0.2">
      <c r="A599" s="67"/>
      <c r="B599" s="67"/>
      <c r="C599" s="67"/>
      <c r="D599" s="67"/>
      <c r="E599" s="67"/>
      <c r="F599" s="67"/>
      <c r="G599" s="67"/>
      <c r="H599" s="68"/>
    </row>
    <row r="600" spans="1:8" x14ac:dyDescent="0.2">
      <c r="A600" s="67"/>
      <c r="B600" s="67"/>
      <c r="C600" s="67"/>
      <c r="D600" s="67"/>
      <c r="E600" s="67"/>
      <c r="F600" s="67"/>
      <c r="G600" s="67"/>
      <c r="H600" s="68"/>
    </row>
    <row r="601" spans="1:8" x14ac:dyDescent="0.2">
      <c r="A601" s="67"/>
      <c r="B601" s="67"/>
      <c r="C601" s="67"/>
      <c r="D601" s="67"/>
      <c r="E601" s="67"/>
      <c r="F601" s="67"/>
      <c r="G601" s="67"/>
      <c r="H601" s="68"/>
    </row>
    <row r="602" spans="1:8" x14ac:dyDescent="0.2">
      <c r="A602" s="67"/>
      <c r="B602" s="67"/>
      <c r="C602" s="67"/>
      <c r="D602" s="67"/>
      <c r="E602" s="67"/>
      <c r="F602" s="67"/>
      <c r="G602" s="67"/>
      <c r="H602" s="68"/>
    </row>
    <row r="603" spans="1:8" x14ac:dyDescent="0.2">
      <c r="A603" s="67"/>
      <c r="B603" s="67"/>
      <c r="C603" s="67"/>
      <c r="D603" s="67"/>
      <c r="E603" s="67"/>
      <c r="F603" s="67"/>
      <c r="G603" s="67"/>
      <c r="H603" s="68"/>
    </row>
    <row r="604" spans="1:8" x14ac:dyDescent="0.2">
      <c r="A604" s="67"/>
      <c r="B604" s="67"/>
      <c r="C604" s="67"/>
      <c r="D604" s="67"/>
      <c r="E604" s="67"/>
      <c r="F604" s="67"/>
      <c r="G604" s="67"/>
      <c r="H604" s="68"/>
    </row>
    <row r="605" spans="1:8" x14ac:dyDescent="0.2">
      <c r="A605" s="67"/>
      <c r="B605" s="67"/>
      <c r="C605" s="67"/>
      <c r="D605" s="67"/>
      <c r="E605" s="67"/>
      <c r="F605" s="67"/>
      <c r="G605" s="67"/>
      <c r="H605" s="68"/>
    </row>
    <row r="606" spans="1:8" x14ac:dyDescent="0.2">
      <c r="A606" s="67"/>
      <c r="B606" s="67"/>
      <c r="C606" s="67"/>
      <c r="D606" s="67"/>
      <c r="E606" s="67"/>
      <c r="F606" s="67"/>
      <c r="G606" s="67"/>
      <c r="H606" s="68"/>
    </row>
    <row r="607" spans="1:8" x14ac:dyDescent="0.2">
      <c r="A607" s="67"/>
      <c r="B607" s="67"/>
      <c r="C607" s="67"/>
      <c r="D607" s="67"/>
      <c r="E607" s="67"/>
      <c r="F607" s="67"/>
      <c r="G607" s="67"/>
      <c r="H607" s="68"/>
    </row>
    <row r="608" spans="1:8" x14ac:dyDescent="0.2">
      <c r="A608" s="67"/>
      <c r="B608" s="67"/>
      <c r="C608" s="67"/>
      <c r="D608" s="67"/>
      <c r="E608" s="67"/>
      <c r="F608" s="67"/>
      <c r="G608" s="67"/>
      <c r="H608" s="68"/>
    </row>
    <row r="609" spans="1:8" x14ac:dyDescent="0.2">
      <c r="A609" s="67"/>
      <c r="B609" s="67"/>
      <c r="C609" s="67"/>
      <c r="D609" s="67"/>
      <c r="E609" s="67"/>
      <c r="F609" s="67"/>
      <c r="G609" s="67"/>
      <c r="H609" s="68"/>
    </row>
    <row r="610" spans="1:8" x14ac:dyDescent="0.2">
      <c r="A610" s="67"/>
      <c r="B610" s="67"/>
      <c r="C610" s="67"/>
      <c r="D610" s="67"/>
      <c r="E610" s="67"/>
      <c r="F610" s="67"/>
      <c r="G610" s="67"/>
      <c r="H610" s="68"/>
    </row>
    <row r="611" spans="1:8" x14ac:dyDescent="0.2">
      <c r="A611" s="67"/>
      <c r="B611" s="67"/>
      <c r="C611" s="67"/>
      <c r="D611" s="67"/>
      <c r="E611" s="67"/>
      <c r="F611" s="67"/>
      <c r="G611" s="67"/>
      <c r="H611" s="68"/>
    </row>
    <row r="612" spans="1:8" x14ac:dyDescent="0.2">
      <c r="A612" s="67"/>
      <c r="B612" s="67"/>
      <c r="C612" s="67"/>
      <c r="D612" s="67"/>
      <c r="E612" s="67"/>
      <c r="F612" s="67"/>
      <c r="G612" s="67"/>
      <c r="H612" s="68"/>
    </row>
    <row r="613" spans="1:8" x14ac:dyDescent="0.2">
      <c r="A613" s="67"/>
      <c r="B613" s="67"/>
      <c r="C613" s="67"/>
      <c r="D613" s="67"/>
      <c r="E613" s="67"/>
      <c r="F613" s="67"/>
      <c r="G613" s="67"/>
      <c r="H613" s="68"/>
    </row>
    <row r="614" spans="1:8" x14ac:dyDescent="0.2">
      <c r="A614" s="67"/>
      <c r="B614" s="67"/>
      <c r="C614" s="67"/>
      <c r="D614" s="67"/>
      <c r="E614" s="67"/>
      <c r="F614" s="67"/>
      <c r="G614" s="67"/>
      <c r="H614" s="68"/>
    </row>
    <row r="615" spans="1:8" x14ac:dyDescent="0.2">
      <c r="A615" s="67"/>
      <c r="B615" s="67"/>
      <c r="C615" s="67"/>
      <c r="D615" s="67"/>
      <c r="E615" s="67"/>
      <c r="F615" s="67"/>
      <c r="G615" s="67"/>
      <c r="H615" s="68"/>
    </row>
    <row r="616" spans="1:8" x14ac:dyDescent="0.2">
      <c r="A616" s="67"/>
      <c r="B616" s="67"/>
      <c r="C616" s="67"/>
      <c r="D616" s="67"/>
      <c r="E616" s="67"/>
      <c r="F616" s="67"/>
      <c r="G616" s="67"/>
      <c r="H616" s="68"/>
    </row>
    <row r="617" spans="1:8" x14ac:dyDescent="0.2">
      <c r="A617" s="67"/>
      <c r="B617" s="67"/>
      <c r="C617" s="67"/>
      <c r="D617" s="67"/>
      <c r="E617" s="67"/>
      <c r="F617" s="67"/>
      <c r="G617" s="67"/>
      <c r="H617" s="68"/>
    </row>
    <row r="618" spans="1:8" x14ac:dyDescent="0.2">
      <c r="A618" s="67"/>
      <c r="B618" s="67"/>
      <c r="C618" s="67"/>
      <c r="D618" s="67"/>
      <c r="E618" s="67"/>
      <c r="F618" s="67"/>
      <c r="G618" s="67"/>
      <c r="H618" s="68"/>
    </row>
    <row r="619" spans="1:8" x14ac:dyDescent="0.2">
      <c r="A619" s="67"/>
      <c r="B619" s="67"/>
      <c r="C619" s="67"/>
      <c r="D619" s="67"/>
      <c r="E619" s="67"/>
      <c r="F619" s="67"/>
      <c r="G619" s="67"/>
      <c r="H619" s="68"/>
    </row>
    <row r="620" spans="1:8" x14ac:dyDescent="0.2">
      <c r="A620" s="67"/>
      <c r="B620" s="67"/>
      <c r="C620" s="67"/>
      <c r="D620" s="67"/>
      <c r="E620" s="67"/>
      <c r="F620" s="67"/>
      <c r="G620" s="67"/>
      <c r="H620" s="68"/>
    </row>
    <row r="621" spans="1:8" x14ac:dyDescent="0.2">
      <c r="A621" s="67"/>
      <c r="B621" s="67"/>
      <c r="C621" s="67"/>
      <c r="D621" s="67"/>
      <c r="E621" s="67"/>
      <c r="F621" s="67"/>
      <c r="G621" s="67"/>
      <c r="H621" s="68"/>
    </row>
    <row r="622" spans="1:8" x14ac:dyDescent="0.2">
      <c r="A622" s="67"/>
      <c r="B622" s="67"/>
      <c r="C622" s="67"/>
      <c r="D622" s="67"/>
      <c r="E622" s="67"/>
      <c r="F622" s="67"/>
      <c r="G622" s="67"/>
      <c r="H622" s="68"/>
    </row>
    <row r="623" spans="1:8" x14ac:dyDescent="0.2">
      <c r="A623" s="67"/>
      <c r="B623" s="67"/>
      <c r="C623" s="67"/>
      <c r="D623" s="67"/>
      <c r="E623" s="67"/>
      <c r="F623" s="67"/>
      <c r="G623" s="67"/>
      <c r="H623" s="68"/>
    </row>
    <row r="624" spans="1:8" x14ac:dyDescent="0.2">
      <c r="A624" s="67"/>
      <c r="B624" s="67"/>
      <c r="C624" s="67"/>
      <c r="D624" s="67"/>
      <c r="E624" s="67"/>
      <c r="F624" s="67"/>
      <c r="G624" s="67"/>
      <c r="H624" s="68"/>
    </row>
    <row r="625" spans="1:8" x14ac:dyDescent="0.2">
      <c r="A625" s="67"/>
      <c r="B625" s="67"/>
      <c r="C625" s="67"/>
      <c r="D625" s="67"/>
      <c r="E625" s="67"/>
      <c r="F625" s="67"/>
      <c r="G625" s="67"/>
      <c r="H625" s="68"/>
    </row>
    <row r="626" spans="1:8" x14ac:dyDescent="0.2">
      <c r="A626" s="67"/>
      <c r="B626" s="67"/>
      <c r="C626" s="67"/>
      <c r="D626" s="67"/>
      <c r="E626" s="67"/>
      <c r="F626" s="67"/>
      <c r="G626" s="67"/>
      <c r="H626" s="68"/>
    </row>
    <row r="627" spans="1:8" x14ac:dyDescent="0.2">
      <c r="A627" s="67"/>
      <c r="B627" s="67"/>
      <c r="C627" s="67"/>
      <c r="D627" s="67"/>
      <c r="E627" s="67"/>
      <c r="F627" s="67"/>
      <c r="G627" s="67"/>
      <c r="H627" s="68"/>
    </row>
    <row r="628" spans="1:8" x14ac:dyDescent="0.2">
      <c r="A628" s="67"/>
      <c r="B628" s="67"/>
      <c r="C628" s="67"/>
      <c r="D628" s="67"/>
      <c r="E628" s="67"/>
      <c r="F628" s="67"/>
      <c r="G628" s="67"/>
      <c r="H628" s="68"/>
    </row>
    <row r="629" spans="1:8" x14ac:dyDescent="0.2">
      <c r="A629" s="67"/>
      <c r="B629" s="67"/>
      <c r="C629" s="67"/>
      <c r="D629" s="67"/>
      <c r="E629" s="67"/>
      <c r="F629" s="67"/>
      <c r="G629" s="67"/>
      <c r="H629" s="68"/>
    </row>
    <row r="630" spans="1:8" x14ac:dyDescent="0.2">
      <c r="A630" s="67"/>
      <c r="B630" s="67"/>
      <c r="C630" s="67"/>
      <c r="D630" s="67"/>
      <c r="E630" s="67"/>
      <c r="F630" s="67"/>
      <c r="G630" s="67"/>
      <c r="H630" s="68"/>
    </row>
    <row r="631" spans="1:8" x14ac:dyDescent="0.2">
      <c r="A631" s="67"/>
      <c r="B631" s="67"/>
      <c r="C631" s="67"/>
      <c r="D631" s="67"/>
      <c r="E631" s="67"/>
      <c r="F631" s="67"/>
      <c r="G631" s="67"/>
      <c r="H631" s="68"/>
    </row>
    <row r="632" spans="1:8" x14ac:dyDescent="0.2">
      <c r="A632" s="67"/>
      <c r="B632" s="67"/>
      <c r="C632" s="67"/>
      <c r="D632" s="67"/>
      <c r="E632" s="67"/>
      <c r="F632" s="67"/>
      <c r="G632" s="67"/>
      <c r="H632" s="68"/>
    </row>
    <row r="633" spans="1:8" x14ac:dyDescent="0.2">
      <c r="A633" s="67"/>
      <c r="B633" s="67"/>
      <c r="C633" s="67"/>
      <c r="D633" s="67"/>
      <c r="E633" s="67"/>
      <c r="F633" s="67"/>
      <c r="G633" s="67"/>
      <c r="H633" s="68"/>
    </row>
    <row r="634" spans="1:8" x14ac:dyDescent="0.2">
      <c r="A634" s="67"/>
      <c r="B634" s="67"/>
      <c r="C634" s="67"/>
      <c r="D634" s="67"/>
      <c r="E634" s="67"/>
      <c r="F634" s="67"/>
      <c r="G634" s="67"/>
      <c r="H634" s="68"/>
    </row>
    <row r="635" spans="1:8" x14ac:dyDescent="0.2">
      <c r="A635" s="67"/>
      <c r="B635" s="67"/>
      <c r="C635" s="67"/>
      <c r="D635" s="67"/>
      <c r="E635" s="67"/>
      <c r="F635" s="67"/>
      <c r="G635" s="67"/>
      <c r="H635" s="68"/>
    </row>
    <row r="636" spans="1:8" x14ac:dyDescent="0.2">
      <c r="A636" s="67"/>
      <c r="B636" s="67"/>
      <c r="C636" s="67"/>
      <c r="D636" s="67"/>
      <c r="E636" s="67"/>
      <c r="F636" s="67"/>
      <c r="G636" s="67"/>
      <c r="H636" s="68"/>
    </row>
    <row r="637" spans="1:8" x14ac:dyDescent="0.2">
      <c r="A637" s="67"/>
      <c r="B637" s="67"/>
      <c r="C637" s="67"/>
      <c r="D637" s="67"/>
      <c r="E637" s="67"/>
      <c r="F637" s="67"/>
      <c r="G637" s="67"/>
      <c r="H637" s="68"/>
    </row>
    <row r="638" spans="1:8" x14ac:dyDescent="0.2">
      <c r="A638" s="67"/>
      <c r="B638" s="67"/>
      <c r="C638" s="67"/>
      <c r="D638" s="67"/>
      <c r="E638" s="67"/>
      <c r="F638" s="67"/>
      <c r="G638" s="67"/>
      <c r="H638" s="68"/>
    </row>
    <row r="639" spans="1:8" x14ac:dyDescent="0.2">
      <c r="A639" s="67"/>
      <c r="B639" s="67"/>
      <c r="C639" s="67"/>
      <c r="D639" s="67"/>
      <c r="E639" s="67"/>
      <c r="F639" s="67"/>
      <c r="G639" s="67"/>
      <c r="H639" s="68"/>
    </row>
    <row r="640" spans="1:8" x14ac:dyDescent="0.2">
      <c r="A640" s="67"/>
      <c r="B640" s="67"/>
      <c r="C640" s="67"/>
      <c r="D640" s="67"/>
      <c r="E640" s="67"/>
      <c r="F640" s="67"/>
      <c r="G640" s="67"/>
      <c r="H640" s="68"/>
    </row>
    <row r="641" spans="1:8" x14ac:dyDescent="0.2">
      <c r="A641" s="67"/>
      <c r="B641" s="67"/>
      <c r="C641" s="67"/>
      <c r="D641" s="67"/>
      <c r="E641" s="67"/>
      <c r="F641" s="67"/>
      <c r="G641" s="67"/>
      <c r="H641" s="68"/>
    </row>
    <row r="642" spans="1:8" x14ac:dyDescent="0.2">
      <c r="A642" s="67"/>
      <c r="B642" s="67"/>
      <c r="C642" s="67"/>
      <c r="D642" s="67"/>
      <c r="E642" s="67"/>
      <c r="F642" s="67"/>
      <c r="G642" s="67"/>
      <c r="H642" s="68"/>
    </row>
    <row r="643" spans="1:8" x14ac:dyDescent="0.2">
      <c r="A643" s="67"/>
      <c r="B643" s="67"/>
      <c r="C643" s="67"/>
      <c r="D643" s="67"/>
      <c r="E643" s="67"/>
      <c r="F643" s="67"/>
      <c r="G643" s="67"/>
      <c r="H643" s="68"/>
    </row>
    <row r="644" spans="1:8" x14ac:dyDescent="0.2">
      <c r="A644" s="67"/>
      <c r="B644" s="67"/>
      <c r="C644" s="67"/>
      <c r="D644" s="67"/>
      <c r="E644" s="67"/>
      <c r="F644" s="67"/>
      <c r="G644" s="67"/>
      <c r="H644" s="68"/>
    </row>
    <row r="645" spans="1:8" x14ac:dyDescent="0.2">
      <c r="A645" s="67"/>
      <c r="B645" s="67"/>
      <c r="C645" s="67"/>
      <c r="D645" s="67"/>
      <c r="E645" s="67"/>
      <c r="F645" s="67"/>
      <c r="G645" s="67"/>
      <c r="H645" s="68"/>
    </row>
    <row r="646" spans="1:8" x14ac:dyDescent="0.2">
      <c r="A646" s="67"/>
      <c r="B646" s="67"/>
      <c r="C646" s="67"/>
      <c r="D646" s="67"/>
      <c r="E646" s="67"/>
      <c r="F646" s="67"/>
      <c r="G646" s="67"/>
      <c r="H646" s="68"/>
    </row>
    <row r="647" spans="1:8" x14ac:dyDescent="0.2">
      <c r="A647" s="67"/>
      <c r="B647" s="67"/>
      <c r="C647" s="67"/>
      <c r="D647" s="67"/>
      <c r="E647" s="67"/>
      <c r="F647" s="67"/>
      <c r="G647" s="67"/>
      <c r="H647" s="68"/>
    </row>
    <row r="648" spans="1:8" x14ac:dyDescent="0.2">
      <c r="A648" s="67"/>
      <c r="B648" s="67"/>
      <c r="C648" s="67"/>
      <c r="D648" s="67"/>
      <c r="E648" s="67"/>
      <c r="F648" s="67"/>
      <c r="G648" s="67"/>
      <c r="H648" s="68"/>
    </row>
    <row r="649" spans="1:8" x14ac:dyDescent="0.2">
      <c r="A649" s="67"/>
      <c r="B649" s="67"/>
      <c r="C649" s="67"/>
      <c r="D649" s="67"/>
      <c r="E649" s="67"/>
      <c r="F649" s="67"/>
      <c r="G649" s="67"/>
      <c r="H649" s="68"/>
    </row>
    <row r="650" spans="1:8" x14ac:dyDescent="0.2">
      <c r="A650" s="67"/>
      <c r="B650" s="67"/>
      <c r="C650" s="67"/>
      <c r="D650" s="67"/>
      <c r="E650" s="67"/>
      <c r="F650" s="67"/>
      <c r="G650" s="67"/>
      <c r="H650" s="68"/>
    </row>
    <row r="651" spans="1:8" x14ac:dyDescent="0.2">
      <c r="A651" s="67"/>
      <c r="B651" s="67"/>
      <c r="C651" s="67"/>
      <c r="D651" s="67"/>
      <c r="E651" s="67"/>
      <c r="F651" s="67"/>
      <c r="G651" s="67"/>
      <c r="H651" s="68"/>
    </row>
    <row r="652" spans="1:8" x14ac:dyDescent="0.2">
      <c r="A652" s="67"/>
      <c r="B652" s="67"/>
      <c r="C652" s="67"/>
      <c r="D652" s="67"/>
      <c r="E652" s="67"/>
      <c r="F652" s="67"/>
      <c r="G652" s="67"/>
      <c r="H652" s="68"/>
    </row>
    <row r="653" spans="1:8" x14ac:dyDescent="0.2">
      <c r="A653" s="67"/>
      <c r="B653" s="67"/>
      <c r="C653" s="67"/>
      <c r="D653" s="67"/>
      <c r="E653" s="67"/>
      <c r="F653" s="67"/>
      <c r="G653" s="67"/>
      <c r="H653" s="68"/>
    </row>
    <row r="654" spans="1:8" x14ac:dyDescent="0.2">
      <c r="A654" s="67"/>
      <c r="B654" s="67"/>
      <c r="C654" s="67"/>
      <c r="D654" s="67"/>
      <c r="E654" s="67"/>
      <c r="F654" s="67"/>
      <c r="G654" s="67"/>
      <c r="H654" s="68"/>
    </row>
    <row r="655" spans="1:8" x14ac:dyDescent="0.2">
      <c r="A655" s="67"/>
      <c r="B655" s="67"/>
      <c r="C655" s="67"/>
      <c r="D655" s="67"/>
      <c r="E655" s="67"/>
      <c r="F655" s="67"/>
      <c r="G655" s="67"/>
      <c r="H655" s="68"/>
    </row>
    <row r="656" spans="1:8" x14ac:dyDescent="0.2">
      <c r="A656" s="67"/>
      <c r="B656" s="67"/>
      <c r="C656" s="67"/>
      <c r="D656" s="67"/>
      <c r="E656" s="67"/>
      <c r="F656" s="67"/>
      <c r="G656" s="67"/>
      <c r="H656" s="68"/>
    </row>
    <row r="657" spans="1:8" x14ac:dyDescent="0.2">
      <c r="A657" s="67"/>
      <c r="B657" s="67"/>
      <c r="C657" s="67"/>
      <c r="D657" s="67"/>
      <c r="E657" s="67"/>
      <c r="F657" s="67"/>
      <c r="G657" s="67"/>
      <c r="H657" s="68"/>
    </row>
    <row r="658" spans="1:8" x14ac:dyDescent="0.2">
      <c r="A658" s="67"/>
      <c r="B658" s="67"/>
      <c r="C658" s="67"/>
      <c r="D658" s="67"/>
      <c r="E658" s="67"/>
      <c r="F658" s="67"/>
      <c r="G658" s="67"/>
      <c r="H658" s="68"/>
    </row>
    <row r="659" spans="1:8" x14ac:dyDescent="0.2">
      <c r="A659" s="67"/>
      <c r="B659" s="67"/>
      <c r="C659" s="67"/>
      <c r="D659" s="67"/>
      <c r="E659" s="67"/>
      <c r="F659" s="67"/>
      <c r="G659" s="67"/>
      <c r="H659" s="68"/>
    </row>
    <row r="660" spans="1:8" x14ac:dyDescent="0.2">
      <c r="A660" s="67"/>
      <c r="B660" s="67"/>
      <c r="C660" s="67"/>
      <c r="D660" s="67"/>
      <c r="E660" s="67"/>
      <c r="F660" s="67"/>
      <c r="G660" s="67"/>
      <c r="H660" s="68"/>
    </row>
    <row r="661" spans="1:8" x14ac:dyDescent="0.2">
      <c r="A661" s="67"/>
      <c r="B661" s="67"/>
      <c r="C661" s="67"/>
      <c r="D661" s="67"/>
      <c r="E661" s="67"/>
      <c r="F661" s="67"/>
      <c r="G661" s="67"/>
      <c r="H661" s="68"/>
    </row>
    <row r="662" spans="1:8" x14ac:dyDescent="0.2">
      <c r="A662" s="67"/>
      <c r="B662" s="67"/>
      <c r="C662" s="67"/>
      <c r="D662" s="67"/>
      <c r="E662" s="67"/>
      <c r="F662" s="67"/>
      <c r="G662" s="67"/>
      <c r="H662" s="68"/>
    </row>
    <row r="663" spans="1:8" x14ac:dyDescent="0.2">
      <c r="A663" s="67"/>
      <c r="B663" s="67"/>
      <c r="C663" s="67"/>
      <c r="D663" s="67"/>
      <c r="E663" s="67"/>
      <c r="F663" s="67"/>
      <c r="G663" s="67"/>
      <c r="H663" s="68"/>
    </row>
    <row r="664" spans="1:8" x14ac:dyDescent="0.2">
      <c r="A664" s="67"/>
      <c r="B664" s="67"/>
      <c r="C664" s="67"/>
      <c r="D664" s="67"/>
      <c r="E664" s="67"/>
      <c r="F664" s="67"/>
      <c r="G664" s="67"/>
      <c r="H664" s="68"/>
    </row>
    <row r="665" spans="1:8" x14ac:dyDescent="0.2">
      <c r="A665" s="67"/>
      <c r="B665" s="67"/>
      <c r="C665" s="67"/>
      <c r="D665" s="67"/>
      <c r="E665" s="67"/>
      <c r="F665" s="67"/>
      <c r="G665" s="67"/>
      <c r="H665" s="68"/>
    </row>
    <row r="666" spans="1:8" x14ac:dyDescent="0.2">
      <c r="A666" s="67"/>
      <c r="B666" s="67"/>
      <c r="C666" s="67"/>
      <c r="D666" s="67"/>
      <c r="E666" s="67"/>
      <c r="F666" s="67"/>
      <c r="G666" s="67"/>
      <c r="H666" s="68"/>
    </row>
    <row r="667" spans="1:8" x14ac:dyDescent="0.2">
      <c r="A667" s="67"/>
      <c r="B667" s="67"/>
      <c r="C667" s="67"/>
      <c r="D667" s="67"/>
      <c r="E667" s="67"/>
      <c r="F667" s="67"/>
      <c r="G667" s="67"/>
      <c r="H667" s="68"/>
    </row>
    <row r="668" spans="1:8" x14ac:dyDescent="0.2">
      <c r="A668" s="67"/>
      <c r="B668" s="67"/>
      <c r="C668" s="67"/>
      <c r="D668" s="67"/>
      <c r="E668" s="67"/>
      <c r="F668" s="67"/>
      <c r="G668" s="67"/>
      <c r="H668" s="68"/>
    </row>
    <row r="669" spans="1:8" x14ac:dyDescent="0.2">
      <c r="A669" s="67"/>
      <c r="B669" s="67"/>
      <c r="C669" s="67"/>
      <c r="D669" s="67"/>
      <c r="E669" s="67"/>
      <c r="F669" s="67"/>
      <c r="G669" s="67"/>
      <c r="H669" s="68"/>
    </row>
    <row r="670" spans="1:8" x14ac:dyDescent="0.2">
      <c r="A670" s="67"/>
      <c r="B670" s="67"/>
      <c r="C670" s="67"/>
      <c r="D670" s="67"/>
      <c r="E670" s="67"/>
      <c r="F670" s="67"/>
      <c r="G670" s="67"/>
      <c r="H670" s="68"/>
    </row>
    <row r="671" spans="1:8" x14ac:dyDescent="0.2">
      <c r="A671" s="67"/>
      <c r="B671" s="67"/>
      <c r="C671" s="67"/>
      <c r="D671" s="67"/>
      <c r="E671" s="67"/>
      <c r="F671" s="67"/>
      <c r="G671" s="67"/>
      <c r="H671" s="68"/>
    </row>
    <row r="672" spans="1:8" x14ac:dyDescent="0.2">
      <c r="A672" s="67"/>
      <c r="B672" s="67"/>
      <c r="C672" s="67"/>
      <c r="D672" s="67"/>
      <c r="E672" s="67"/>
      <c r="F672" s="67"/>
      <c r="G672" s="67"/>
      <c r="H672" s="68"/>
    </row>
    <row r="673" spans="1:8" x14ac:dyDescent="0.2">
      <c r="A673" s="67"/>
      <c r="B673" s="67"/>
      <c r="C673" s="67"/>
      <c r="D673" s="67"/>
      <c r="E673" s="67"/>
      <c r="F673" s="67"/>
      <c r="G673" s="67"/>
      <c r="H673" s="68"/>
    </row>
    <row r="674" spans="1:8" x14ac:dyDescent="0.2">
      <c r="A674" s="67"/>
      <c r="B674" s="67"/>
      <c r="C674" s="67"/>
      <c r="D674" s="67"/>
      <c r="E674" s="67"/>
      <c r="F674" s="67"/>
      <c r="G674" s="67"/>
      <c r="H674" s="68"/>
    </row>
    <row r="675" spans="1:8" x14ac:dyDescent="0.2">
      <c r="A675" s="67"/>
      <c r="B675" s="67"/>
      <c r="C675" s="67"/>
      <c r="D675" s="67"/>
      <c r="E675" s="67"/>
      <c r="F675" s="67"/>
      <c r="G675" s="67"/>
      <c r="H675" s="68"/>
    </row>
    <row r="676" spans="1:8" x14ac:dyDescent="0.2">
      <c r="A676" s="67"/>
      <c r="B676" s="67"/>
      <c r="C676" s="67"/>
      <c r="D676" s="67"/>
      <c r="E676" s="67"/>
      <c r="F676" s="67"/>
      <c r="G676" s="67"/>
      <c r="H676" s="68"/>
    </row>
    <row r="677" spans="1:8" x14ac:dyDescent="0.2">
      <c r="A677" s="67"/>
      <c r="B677" s="67"/>
      <c r="C677" s="67"/>
      <c r="D677" s="67"/>
      <c r="E677" s="67"/>
      <c r="F677" s="67"/>
      <c r="G677" s="67"/>
      <c r="H677" s="68"/>
    </row>
    <row r="678" spans="1:8" x14ac:dyDescent="0.2">
      <c r="A678" s="67"/>
      <c r="B678" s="67"/>
      <c r="C678" s="67"/>
      <c r="D678" s="67"/>
      <c r="E678" s="67"/>
      <c r="F678" s="67"/>
      <c r="G678" s="67"/>
      <c r="H678" s="68"/>
    </row>
    <row r="679" spans="1:8" x14ac:dyDescent="0.2">
      <c r="A679" s="67"/>
      <c r="B679" s="67"/>
      <c r="C679" s="67"/>
      <c r="D679" s="67"/>
      <c r="E679" s="67"/>
      <c r="F679" s="67"/>
      <c r="G679" s="67"/>
      <c r="H679" s="68"/>
    </row>
    <row r="680" spans="1:8" x14ac:dyDescent="0.2">
      <c r="A680" s="67"/>
      <c r="B680" s="67"/>
      <c r="C680" s="67"/>
      <c r="D680" s="67"/>
      <c r="E680" s="67"/>
      <c r="F680" s="67"/>
      <c r="G680" s="67"/>
      <c r="H680" s="68"/>
    </row>
    <row r="681" spans="1:8" x14ac:dyDescent="0.2">
      <c r="A681" s="67"/>
      <c r="B681" s="67"/>
      <c r="C681" s="67"/>
      <c r="D681" s="67"/>
      <c r="E681" s="67"/>
      <c r="F681" s="67"/>
      <c r="G681" s="67"/>
      <c r="H681" s="68"/>
    </row>
    <row r="682" spans="1:8" x14ac:dyDescent="0.2">
      <c r="A682" s="67"/>
      <c r="B682" s="67"/>
      <c r="C682" s="67"/>
      <c r="D682" s="67"/>
      <c r="E682" s="67"/>
      <c r="F682" s="67"/>
      <c r="G682" s="67"/>
      <c r="H682" s="68"/>
    </row>
    <row r="683" spans="1:8" x14ac:dyDescent="0.2">
      <c r="A683" s="67"/>
      <c r="B683" s="67"/>
      <c r="C683" s="67"/>
      <c r="D683" s="67"/>
      <c r="E683" s="67"/>
      <c r="F683" s="67"/>
      <c r="G683" s="67"/>
      <c r="H683" s="68"/>
    </row>
    <row r="684" spans="1:8" x14ac:dyDescent="0.2">
      <c r="A684" s="67"/>
      <c r="B684" s="67"/>
      <c r="C684" s="67"/>
      <c r="D684" s="67"/>
      <c r="E684" s="67"/>
      <c r="F684" s="67"/>
      <c r="G684" s="67"/>
      <c r="H684" s="68"/>
    </row>
    <row r="685" spans="1:8" x14ac:dyDescent="0.2">
      <c r="A685" s="67"/>
      <c r="B685" s="67"/>
      <c r="C685" s="67"/>
      <c r="D685" s="67"/>
      <c r="E685" s="67"/>
      <c r="F685" s="67"/>
      <c r="G685" s="67"/>
      <c r="H685" s="68"/>
    </row>
    <row r="686" spans="1:8" x14ac:dyDescent="0.2">
      <c r="A686" s="67"/>
      <c r="B686" s="67"/>
      <c r="C686" s="67"/>
      <c r="D686" s="67"/>
      <c r="E686" s="67"/>
      <c r="F686" s="67"/>
      <c r="G686" s="67"/>
      <c r="H686" s="68"/>
    </row>
    <row r="687" spans="1:8" x14ac:dyDescent="0.2">
      <c r="A687" s="67"/>
      <c r="B687" s="67"/>
      <c r="C687" s="67"/>
      <c r="D687" s="67"/>
      <c r="E687" s="67"/>
      <c r="F687" s="67"/>
      <c r="G687" s="67"/>
      <c r="H687" s="68"/>
    </row>
    <row r="688" spans="1:8" x14ac:dyDescent="0.2">
      <c r="A688" s="67"/>
      <c r="B688" s="67"/>
      <c r="C688" s="67"/>
      <c r="D688" s="67"/>
      <c r="E688" s="67"/>
      <c r="F688" s="67"/>
      <c r="G688" s="67"/>
      <c r="H688" s="68"/>
    </row>
    <row r="689" spans="1:8" x14ac:dyDescent="0.2">
      <c r="A689" s="67"/>
      <c r="B689" s="67"/>
      <c r="C689" s="67"/>
      <c r="D689" s="67"/>
      <c r="E689" s="67"/>
      <c r="F689" s="67"/>
      <c r="G689" s="67"/>
      <c r="H689" s="68"/>
    </row>
    <row r="690" spans="1:8" x14ac:dyDescent="0.2">
      <c r="A690" s="67"/>
      <c r="B690" s="67"/>
      <c r="C690" s="67"/>
      <c r="D690" s="67"/>
      <c r="E690" s="67"/>
      <c r="F690" s="67"/>
      <c r="G690" s="67"/>
      <c r="H690" s="68"/>
    </row>
    <row r="691" spans="1:8" x14ac:dyDescent="0.2">
      <c r="A691" s="67"/>
      <c r="B691" s="67"/>
      <c r="C691" s="67"/>
      <c r="D691" s="67"/>
      <c r="E691" s="67"/>
      <c r="F691" s="67"/>
      <c r="G691" s="67"/>
      <c r="H691" s="68"/>
    </row>
    <row r="692" spans="1:8" x14ac:dyDescent="0.2">
      <c r="A692" s="67"/>
      <c r="B692" s="67"/>
      <c r="C692" s="67"/>
      <c r="D692" s="67"/>
      <c r="E692" s="67"/>
      <c r="F692" s="67"/>
      <c r="G692" s="67"/>
      <c r="H692" s="68"/>
    </row>
    <row r="693" spans="1:8" x14ac:dyDescent="0.2">
      <c r="A693" s="67"/>
      <c r="B693" s="67"/>
      <c r="C693" s="67"/>
      <c r="D693" s="67"/>
      <c r="E693" s="67"/>
      <c r="F693" s="67"/>
      <c r="G693" s="67"/>
      <c r="H693" s="68"/>
    </row>
    <row r="694" spans="1:8" x14ac:dyDescent="0.2">
      <c r="A694" s="67"/>
      <c r="B694" s="67"/>
      <c r="C694" s="67"/>
      <c r="D694" s="67"/>
      <c r="E694" s="67"/>
      <c r="F694" s="67"/>
      <c r="G694" s="67"/>
      <c r="H694" s="68"/>
    </row>
    <row r="695" spans="1:8" x14ac:dyDescent="0.2">
      <c r="A695" s="67"/>
      <c r="B695" s="67"/>
      <c r="C695" s="67"/>
      <c r="D695" s="67"/>
      <c r="E695" s="67"/>
      <c r="F695" s="67"/>
      <c r="G695" s="67"/>
      <c r="H695" s="68"/>
    </row>
    <row r="696" spans="1:8" x14ac:dyDescent="0.2">
      <c r="A696" s="67"/>
      <c r="B696" s="67"/>
      <c r="C696" s="67"/>
      <c r="D696" s="67"/>
      <c r="E696" s="67"/>
      <c r="F696" s="67"/>
      <c r="G696" s="67"/>
      <c r="H696" s="68"/>
    </row>
    <row r="697" spans="1:8" x14ac:dyDescent="0.2">
      <c r="A697" s="67"/>
      <c r="B697" s="67"/>
      <c r="C697" s="67"/>
      <c r="D697" s="67"/>
      <c r="E697" s="67"/>
      <c r="F697" s="67"/>
      <c r="G697" s="67"/>
      <c r="H697" s="68"/>
    </row>
    <row r="698" spans="1:8" x14ac:dyDescent="0.2">
      <c r="A698" s="67"/>
      <c r="B698" s="67"/>
      <c r="C698" s="67"/>
      <c r="D698" s="67"/>
      <c r="E698" s="67"/>
      <c r="F698" s="67"/>
      <c r="G698" s="67"/>
      <c r="H698" s="68"/>
    </row>
    <row r="699" spans="1:8" x14ac:dyDescent="0.2">
      <c r="A699" s="67"/>
      <c r="B699" s="67"/>
      <c r="C699" s="67"/>
      <c r="D699" s="67"/>
      <c r="E699" s="67"/>
      <c r="F699" s="67"/>
      <c r="G699" s="67"/>
      <c r="H699" s="68"/>
    </row>
    <row r="700" spans="1:8" x14ac:dyDescent="0.2">
      <c r="A700" s="67"/>
      <c r="B700" s="67"/>
      <c r="C700" s="67"/>
      <c r="D700" s="67"/>
      <c r="E700" s="67"/>
      <c r="F700" s="67"/>
      <c r="G700" s="67"/>
      <c r="H700" s="68"/>
    </row>
    <row r="701" spans="1:8" x14ac:dyDescent="0.2">
      <c r="A701" s="67"/>
      <c r="B701" s="67"/>
      <c r="C701" s="67"/>
      <c r="D701" s="67"/>
      <c r="E701" s="67"/>
      <c r="F701" s="67"/>
      <c r="G701" s="67"/>
      <c r="H701" s="68"/>
    </row>
    <row r="702" spans="1:8" x14ac:dyDescent="0.2">
      <c r="A702" s="67"/>
      <c r="B702" s="67"/>
      <c r="C702" s="67"/>
      <c r="D702" s="67"/>
      <c r="E702" s="67"/>
      <c r="F702" s="67"/>
      <c r="G702" s="67"/>
      <c r="H702" s="68"/>
    </row>
    <row r="703" spans="1:8" x14ac:dyDescent="0.2">
      <c r="A703" s="67"/>
      <c r="B703" s="67"/>
      <c r="C703" s="67"/>
      <c r="D703" s="67"/>
      <c r="E703" s="67"/>
      <c r="F703" s="67"/>
      <c r="G703" s="67"/>
      <c r="H703" s="68"/>
    </row>
    <row r="704" spans="1:8" x14ac:dyDescent="0.2">
      <c r="A704" s="67"/>
      <c r="B704" s="67"/>
      <c r="C704" s="67"/>
      <c r="D704" s="67"/>
      <c r="E704" s="67"/>
      <c r="F704" s="67"/>
      <c r="G704" s="67"/>
      <c r="H704" s="68"/>
    </row>
    <row r="705" spans="1:8" x14ac:dyDescent="0.2">
      <c r="A705" s="67"/>
      <c r="B705" s="67"/>
      <c r="C705" s="67"/>
      <c r="D705" s="67"/>
      <c r="E705" s="67"/>
      <c r="F705" s="67"/>
      <c r="G705" s="67"/>
      <c r="H705" s="68"/>
    </row>
    <row r="706" spans="1:8" x14ac:dyDescent="0.2">
      <c r="A706" s="67"/>
      <c r="B706" s="67"/>
      <c r="C706" s="67"/>
      <c r="D706" s="67"/>
      <c r="E706" s="67"/>
      <c r="F706" s="67"/>
      <c r="G706" s="67"/>
      <c r="H706" s="68"/>
    </row>
    <row r="707" spans="1:8" x14ac:dyDescent="0.2">
      <c r="A707" s="67"/>
      <c r="B707" s="67"/>
      <c r="C707" s="67"/>
      <c r="D707" s="67"/>
      <c r="E707" s="67"/>
      <c r="F707" s="67"/>
      <c r="G707" s="67"/>
      <c r="H707" s="68"/>
    </row>
    <row r="708" spans="1:8" x14ac:dyDescent="0.2">
      <c r="A708" s="67"/>
      <c r="B708" s="67"/>
      <c r="C708" s="67"/>
      <c r="D708" s="67"/>
      <c r="E708" s="67"/>
      <c r="F708" s="67"/>
      <c r="G708" s="67"/>
      <c r="H708" s="68"/>
    </row>
    <row r="709" spans="1:8" x14ac:dyDescent="0.2">
      <c r="A709" s="67"/>
      <c r="B709" s="67"/>
      <c r="C709" s="67"/>
      <c r="D709" s="67"/>
      <c r="E709" s="67"/>
      <c r="F709" s="67"/>
      <c r="G709" s="67"/>
      <c r="H709" s="68"/>
    </row>
    <row r="710" spans="1:8" x14ac:dyDescent="0.2">
      <c r="A710" s="67"/>
      <c r="B710" s="67"/>
      <c r="C710" s="67"/>
      <c r="D710" s="67"/>
      <c r="E710" s="67"/>
      <c r="F710" s="67"/>
      <c r="G710" s="67"/>
      <c r="H710" s="68"/>
    </row>
    <row r="711" spans="1:8" x14ac:dyDescent="0.2">
      <c r="A711" s="67"/>
      <c r="B711" s="67"/>
      <c r="C711" s="67"/>
      <c r="D711" s="67"/>
      <c r="E711" s="67"/>
      <c r="F711" s="67"/>
      <c r="G711" s="67"/>
      <c r="H711" s="68"/>
    </row>
    <row r="712" spans="1:8" x14ac:dyDescent="0.2">
      <c r="A712" s="67"/>
      <c r="B712" s="67"/>
      <c r="C712" s="67"/>
      <c r="D712" s="67"/>
      <c r="E712" s="67"/>
      <c r="F712" s="67"/>
      <c r="G712" s="67"/>
      <c r="H712" s="68"/>
    </row>
    <row r="713" spans="1:8" x14ac:dyDescent="0.2">
      <c r="A713" s="67"/>
      <c r="B713" s="67"/>
      <c r="C713" s="67"/>
      <c r="D713" s="67"/>
      <c r="E713" s="67"/>
      <c r="F713" s="67"/>
      <c r="G713" s="67"/>
      <c r="H713" s="68"/>
    </row>
    <row r="714" spans="1:8" x14ac:dyDescent="0.2">
      <c r="A714" s="67"/>
      <c r="B714" s="67"/>
      <c r="C714" s="67"/>
      <c r="D714" s="67"/>
      <c r="E714" s="67"/>
      <c r="F714" s="67"/>
      <c r="G714" s="67"/>
      <c r="H714" s="68"/>
    </row>
    <row r="715" spans="1:8" x14ac:dyDescent="0.2">
      <c r="A715" s="67"/>
      <c r="B715" s="67"/>
      <c r="C715" s="67"/>
      <c r="D715" s="67"/>
      <c r="E715" s="67"/>
      <c r="F715" s="67"/>
      <c r="G715" s="67"/>
      <c r="H715" s="68"/>
    </row>
    <row r="716" spans="1:8" x14ac:dyDescent="0.2">
      <c r="A716" s="67"/>
      <c r="B716" s="67"/>
      <c r="C716" s="67"/>
      <c r="D716" s="67"/>
      <c r="E716" s="67"/>
      <c r="F716" s="67"/>
      <c r="G716" s="67"/>
      <c r="H716" s="68"/>
    </row>
    <row r="717" spans="1:8" x14ac:dyDescent="0.2">
      <c r="A717" s="67"/>
      <c r="B717" s="67"/>
      <c r="C717" s="67"/>
      <c r="D717" s="67"/>
      <c r="E717" s="67"/>
      <c r="F717" s="67"/>
      <c r="G717" s="67"/>
      <c r="H717" s="68"/>
    </row>
    <row r="718" spans="1:8" x14ac:dyDescent="0.2">
      <c r="A718" s="67"/>
      <c r="B718" s="67"/>
      <c r="C718" s="67"/>
      <c r="D718" s="67"/>
      <c r="E718" s="67"/>
      <c r="F718" s="67"/>
      <c r="G718" s="67"/>
      <c r="H718" s="68"/>
    </row>
    <row r="719" spans="1:8" x14ac:dyDescent="0.2">
      <c r="A719" s="67"/>
      <c r="B719" s="67"/>
      <c r="C719" s="67"/>
      <c r="D719" s="67"/>
      <c r="E719" s="67"/>
      <c r="F719" s="67"/>
      <c r="G719" s="67"/>
      <c r="H719" s="68"/>
    </row>
    <row r="720" spans="1:8" x14ac:dyDescent="0.2">
      <c r="A720" s="67"/>
      <c r="B720" s="67"/>
      <c r="C720" s="67"/>
      <c r="D720" s="67"/>
      <c r="E720" s="67"/>
      <c r="F720" s="67"/>
      <c r="G720" s="67"/>
      <c r="H720" s="68"/>
    </row>
    <row r="721" spans="1:8" x14ac:dyDescent="0.2">
      <c r="A721" s="67"/>
      <c r="B721" s="67"/>
      <c r="C721" s="67"/>
      <c r="D721" s="67"/>
      <c r="E721" s="67"/>
      <c r="F721" s="67"/>
      <c r="G721" s="67"/>
      <c r="H721" s="68"/>
    </row>
    <row r="722" spans="1:8" x14ac:dyDescent="0.2">
      <c r="A722" s="67"/>
      <c r="B722" s="67"/>
      <c r="C722" s="67"/>
      <c r="D722" s="67"/>
      <c r="E722" s="67"/>
      <c r="F722" s="67"/>
      <c r="G722" s="67"/>
      <c r="H722" s="68"/>
    </row>
    <row r="723" spans="1:8" x14ac:dyDescent="0.2">
      <c r="A723" s="67"/>
      <c r="B723" s="67"/>
      <c r="C723" s="67"/>
      <c r="D723" s="67"/>
      <c r="E723" s="67"/>
      <c r="F723" s="67"/>
      <c r="G723" s="67"/>
      <c r="H723" s="68"/>
    </row>
    <row r="724" spans="1:8" x14ac:dyDescent="0.2">
      <c r="A724" s="67"/>
      <c r="B724" s="67"/>
      <c r="C724" s="67"/>
      <c r="D724" s="67"/>
      <c r="E724" s="67"/>
      <c r="F724" s="67"/>
      <c r="G724" s="67"/>
      <c r="H724" s="68"/>
    </row>
    <row r="725" spans="1:8" x14ac:dyDescent="0.2">
      <c r="A725" s="67"/>
      <c r="B725" s="67"/>
      <c r="C725" s="67"/>
      <c r="D725" s="67"/>
      <c r="E725" s="67"/>
      <c r="F725" s="67"/>
      <c r="G725" s="67"/>
      <c r="H725" s="68"/>
    </row>
    <row r="726" spans="1:8" x14ac:dyDescent="0.2">
      <c r="A726" s="67"/>
      <c r="B726" s="67"/>
      <c r="C726" s="67"/>
      <c r="D726" s="67"/>
      <c r="E726" s="67"/>
      <c r="F726" s="67"/>
      <c r="G726" s="67"/>
      <c r="H726" s="68"/>
    </row>
    <row r="727" spans="1:8" x14ac:dyDescent="0.2">
      <c r="A727" s="67"/>
      <c r="B727" s="67"/>
      <c r="C727" s="67"/>
      <c r="D727" s="67"/>
      <c r="E727" s="67"/>
      <c r="F727" s="67"/>
      <c r="G727" s="67"/>
      <c r="H727" s="68"/>
    </row>
    <row r="728" spans="1:8" x14ac:dyDescent="0.2">
      <c r="A728" s="67"/>
      <c r="B728" s="67"/>
      <c r="C728" s="67"/>
      <c r="D728" s="67"/>
      <c r="E728" s="67"/>
      <c r="F728" s="67"/>
      <c r="G728" s="67"/>
      <c r="H728" s="68"/>
    </row>
    <row r="729" spans="1:8" x14ac:dyDescent="0.2">
      <c r="A729" s="67"/>
      <c r="B729" s="67"/>
      <c r="C729" s="67"/>
      <c r="D729" s="67"/>
      <c r="E729" s="67"/>
      <c r="F729" s="67"/>
      <c r="G729" s="67"/>
      <c r="H729" s="68"/>
    </row>
    <row r="730" spans="1:8" x14ac:dyDescent="0.2">
      <c r="A730" s="67"/>
      <c r="B730" s="67"/>
      <c r="C730" s="67"/>
      <c r="D730" s="67"/>
      <c r="E730" s="67"/>
      <c r="F730" s="67"/>
      <c r="G730" s="67"/>
      <c r="H730" s="68"/>
    </row>
    <row r="731" spans="1:8" x14ac:dyDescent="0.2">
      <c r="A731" s="67"/>
      <c r="B731" s="67"/>
      <c r="C731" s="67"/>
      <c r="D731" s="67"/>
      <c r="E731" s="67"/>
      <c r="F731" s="67"/>
      <c r="G731" s="67"/>
      <c r="H731" s="68"/>
    </row>
    <row r="732" spans="1:8" x14ac:dyDescent="0.2">
      <c r="A732" s="67"/>
      <c r="B732" s="67"/>
      <c r="C732" s="67"/>
      <c r="D732" s="67"/>
      <c r="E732" s="67"/>
      <c r="F732" s="67"/>
      <c r="G732" s="67"/>
      <c r="H732" s="68"/>
    </row>
    <row r="733" spans="1:8" x14ac:dyDescent="0.2">
      <c r="A733" s="67"/>
      <c r="B733" s="67"/>
      <c r="C733" s="67"/>
      <c r="D733" s="67"/>
      <c r="E733" s="67"/>
      <c r="F733" s="67"/>
      <c r="G733" s="67"/>
      <c r="H733" s="68"/>
    </row>
    <row r="734" spans="1:8" x14ac:dyDescent="0.2">
      <c r="A734" s="67"/>
      <c r="B734" s="67"/>
      <c r="C734" s="67"/>
      <c r="D734" s="67"/>
      <c r="E734" s="67"/>
      <c r="F734" s="67"/>
      <c r="G734" s="67"/>
      <c r="H734" s="68"/>
    </row>
    <row r="735" spans="1:8" x14ac:dyDescent="0.2">
      <c r="A735" s="67"/>
      <c r="B735" s="67"/>
      <c r="C735" s="67"/>
      <c r="D735" s="67"/>
      <c r="E735" s="67"/>
      <c r="F735" s="67"/>
      <c r="G735" s="67"/>
      <c r="H735" s="68"/>
    </row>
    <row r="736" spans="1:8" x14ac:dyDescent="0.2">
      <c r="A736" s="67"/>
      <c r="B736" s="67"/>
      <c r="C736" s="67"/>
      <c r="D736" s="67"/>
      <c r="E736" s="67"/>
      <c r="F736" s="67"/>
      <c r="G736" s="67"/>
      <c r="H736" s="68"/>
    </row>
    <row r="737" spans="1:8" x14ac:dyDescent="0.2">
      <c r="A737" s="67"/>
      <c r="B737" s="67"/>
      <c r="C737" s="67"/>
      <c r="D737" s="67"/>
      <c r="E737" s="67"/>
      <c r="F737" s="67"/>
      <c r="G737" s="67"/>
      <c r="H737" s="68"/>
    </row>
    <row r="738" spans="1:8" x14ac:dyDescent="0.2">
      <c r="A738" s="67"/>
      <c r="B738" s="67"/>
      <c r="C738" s="67"/>
      <c r="D738" s="67"/>
      <c r="E738" s="67"/>
      <c r="F738" s="67"/>
      <c r="G738" s="67"/>
      <c r="H738" s="68"/>
    </row>
    <row r="739" spans="1:8" x14ac:dyDescent="0.2">
      <c r="A739" s="67"/>
      <c r="B739" s="67"/>
      <c r="C739" s="67"/>
      <c r="D739" s="67"/>
      <c r="E739" s="67"/>
      <c r="F739" s="67"/>
      <c r="G739" s="67"/>
      <c r="H739" s="68"/>
    </row>
    <row r="740" spans="1:8" x14ac:dyDescent="0.2">
      <c r="A740" s="67"/>
      <c r="B740" s="67"/>
      <c r="C740" s="67"/>
      <c r="D740" s="67"/>
      <c r="E740" s="67"/>
      <c r="F740" s="67"/>
      <c r="G740" s="67"/>
      <c r="H740" s="68"/>
    </row>
    <row r="741" spans="1:8" x14ac:dyDescent="0.2">
      <c r="A741" s="67"/>
      <c r="B741" s="67"/>
      <c r="C741" s="67"/>
      <c r="D741" s="67"/>
      <c r="E741" s="67"/>
      <c r="F741" s="67"/>
      <c r="G741" s="67"/>
      <c r="H741" s="68"/>
    </row>
    <row r="742" spans="1:8" x14ac:dyDescent="0.2">
      <c r="A742" s="67"/>
      <c r="B742" s="67"/>
      <c r="C742" s="67"/>
      <c r="D742" s="67"/>
      <c r="E742" s="67"/>
      <c r="F742" s="67"/>
      <c r="G742" s="67"/>
      <c r="H742" s="68"/>
    </row>
    <row r="743" spans="1:8" x14ac:dyDescent="0.2">
      <c r="A743" s="67"/>
      <c r="B743" s="67"/>
      <c r="C743" s="67"/>
      <c r="D743" s="67"/>
      <c r="E743" s="67"/>
      <c r="F743" s="67"/>
      <c r="G743" s="67"/>
      <c r="H743" s="68"/>
    </row>
    <row r="744" spans="1:8" x14ac:dyDescent="0.2">
      <c r="A744" s="67"/>
      <c r="B744" s="67"/>
      <c r="C744" s="67"/>
      <c r="D744" s="67"/>
      <c r="E744" s="67"/>
      <c r="F744" s="67"/>
      <c r="G744" s="67"/>
      <c r="H744" s="68"/>
    </row>
    <row r="745" spans="1:8" x14ac:dyDescent="0.2">
      <c r="A745" s="67"/>
      <c r="B745" s="67"/>
      <c r="C745" s="67"/>
      <c r="D745" s="67"/>
      <c r="E745" s="67"/>
      <c r="F745" s="67"/>
      <c r="G745" s="67"/>
      <c r="H745" s="68"/>
    </row>
    <row r="746" spans="1:8" x14ac:dyDescent="0.2">
      <c r="A746" s="67"/>
      <c r="B746" s="67"/>
      <c r="C746" s="67"/>
      <c r="D746" s="67"/>
      <c r="E746" s="67"/>
      <c r="F746" s="67"/>
      <c r="G746" s="67"/>
      <c r="H746" s="68"/>
    </row>
    <row r="747" spans="1:8" x14ac:dyDescent="0.2">
      <c r="A747" s="67"/>
      <c r="B747" s="67"/>
      <c r="C747" s="67"/>
      <c r="D747" s="67"/>
      <c r="E747" s="67"/>
      <c r="F747" s="67"/>
      <c r="G747" s="67"/>
      <c r="H747" s="68"/>
    </row>
    <row r="748" spans="1:8" x14ac:dyDescent="0.2">
      <c r="A748" s="67"/>
      <c r="B748" s="67"/>
      <c r="C748" s="67"/>
      <c r="D748" s="67"/>
      <c r="E748" s="67"/>
      <c r="F748" s="67"/>
      <c r="G748" s="67"/>
      <c r="H748" s="68"/>
    </row>
    <row r="749" spans="1:8" x14ac:dyDescent="0.2">
      <c r="A749" s="67"/>
      <c r="B749" s="67"/>
      <c r="C749" s="67"/>
      <c r="D749" s="67"/>
      <c r="E749" s="67"/>
      <c r="F749" s="67"/>
      <c r="G749" s="67"/>
      <c r="H749" s="68"/>
    </row>
    <row r="750" spans="1:8" x14ac:dyDescent="0.2">
      <c r="A750" s="67"/>
      <c r="B750" s="67"/>
      <c r="C750" s="67"/>
      <c r="D750" s="67"/>
      <c r="E750" s="67"/>
      <c r="F750" s="67"/>
      <c r="G750" s="67"/>
      <c r="H750" s="68"/>
    </row>
    <row r="751" spans="1:8" x14ac:dyDescent="0.2">
      <c r="A751" s="67"/>
      <c r="B751" s="67"/>
      <c r="C751" s="67"/>
      <c r="D751" s="67"/>
      <c r="E751" s="67"/>
      <c r="F751" s="67"/>
      <c r="G751" s="67"/>
      <c r="H751" s="68"/>
    </row>
    <row r="752" spans="1:8" x14ac:dyDescent="0.2">
      <c r="A752" s="67"/>
      <c r="B752" s="67"/>
      <c r="C752" s="67"/>
      <c r="D752" s="67"/>
      <c r="E752" s="67"/>
      <c r="F752" s="67"/>
      <c r="G752" s="67"/>
      <c r="H752" s="68"/>
    </row>
    <row r="753" spans="1:8" x14ac:dyDescent="0.2">
      <c r="A753" s="67"/>
      <c r="B753" s="67"/>
      <c r="C753" s="67"/>
      <c r="D753" s="67"/>
      <c r="E753" s="67"/>
      <c r="F753" s="67"/>
      <c r="G753" s="67"/>
      <c r="H753" s="68"/>
    </row>
    <row r="754" spans="1:8" x14ac:dyDescent="0.2">
      <c r="A754" s="67"/>
      <c r="B754" s="67"/>
      <c r="C754" s="67"/>
      <c r="D754" s="67"/>
      <c r="E754" s="67"/>
      <c r="F754" s="67"/>
      <c r="G754" s="67"/>
      <c r="H754" s="68"/>
    </row>
    <row r="755" spans="1:8" x14ac:dyDescent="0.2">
      <c r="A755" s="67"/>
      <c r="B755" s="67"/>
      <c r="C755" s="67"/>
      <c r="D755" s="67"/>
      <c r="E755" s="67"/>
      <c r="F755" s="67"/>
      <c r="G755" s="67"/>
      <c r="H755" s="68"/>
    </row>
    <row r="756" spans="1:8" x14ac:dyDescent="0.2">
      <c r="A756" s="67"/>
      <c r="B756" s="67"/>
      <c r="C756" s="67"/>
      <c r="D756" s="67"/>
      <c r="E756" s="67"/>
      <c r="F756" s="67"/>
      <c r="G756" s="67"/>
      <c r="H756" s="68"/>
    </row>
    <row r="757" spans="1:8" x14ac:dyDescent="0.2">
      <c r="A757" s="67"/>
      <c r="B757" s="67"/>
      <c r="C757" s="67"/>
      <c r="D757" s="67"/>
      <c r="E757" s="67"/>
      <c r="F757" s="67"/>
      <c r="G757" s="67"/>
      <c r="H757" s="68"/>
    </row>
    <row r="758" spans="1:8" x14ac:dyDescent="0.2">
      <c r="A758" s="67"/>
      <c r="B758" s="67"/>
      <c r="C758" s="67"/>
      <c r="D758" s="67"/>
      <c r="E758" s="67"/>
      <c r="F758" s="67"/>
      <c r="G758" s="67"/>
      <c r="H758" s="68"/>
    </row>
    <row r="759" spans="1:8" x14ac:dyDescent="0.2">
      <c r="A759" s="67"/>
      <c r="B759" s="67"/>
      <c r="C759" s="67"/>
      <c r="D759" s="67"/>
      <c r="E759" s="67"/>
      <c r="F759" s="67"/>
      <c r="G759" s="67"/>
      <c r="H759" s="68"/>
    </row>
    <row r="760" spans="1:8" x14ac:dyDescent="0.2">
      <c r="A760" s="67"/>
      <c r="B760" s="67"/>
      <c r="C760" s="67"/>
      <c r="D760" s="67"/>
      <c r="E760" s="67"/>
      <c r="F760" s="67"/>
      <c r="G760" s="67"/>
      <c r="H760" s="68"/>
    </row>
    <row r="761" spans="1:8" x14ac:dyDescent="0.2">
      <c r="A761" s="67"/>
      <c r="B761" s="67"/>
      <c r="C761" s="67"/>
      <c r="D761" s="67"/>
      <c r="E761" s="67"/>
      <c r="F761" s="67"/>
      <c r="G761" s="67"/>
      <c r="H761" s="68"/>
    </row>
    <row r="762" spans="1:8" x14ac:dyDescent="0.2">
      <c r="A762" s="67"/>
      <c r="B762" s="67"/>
      <c r="C762" s="67"/>
      <c r="D762" s="67"/>
      <c r="E762" s="67"/>
      <c r="F762" s="67"/>
      <c r="G762" s="67"/>
      <c r="H762" s="68"/>
    </row>
    <row r="763" spans="1:8" x14ac:dyDescent="0.2">
      <c r="A763" s="67"/>
      <c r="B763" s="67"/>
      <c r="C763" s="67"/>
      <c r="D763" s="67"/>
      <c r="E763" s="67"/>
      <c r="F763" s="67"/>
      <c r="G763" s="67"/>
      <c r="H763" s="68"/>
    </row>
    <row r="764" spans="1:8" x14ac:dyDescent="0.2">
      <c r="A764" s="67"/>
      <c r="B764" s="67"/>
      <c r="C764" s="67"/>
      <c r="D764" s="67"/>
      <c r="E764" s="67"/>
      <c r="F764" s="67"/>
      <c r="G764" s="67"/>
      <c r="H764" s="68"/>
    </row>
    <row r="765" spans="1:8" x14ac:dyDescent="0.2">
      <c r="A765" s="67"/>
      <c r="B765" s="67"/>
      <c r="C765" s="67"/>
      <c r="D765" s="67"/>
      <c r="E765" s="67"/>
      <c r="F765" s="67"/>
      <c r="G765" s="67"/>
      <c r="H765" s="68"/>
    </row>
    <row r="766" spans="1:8" x14ac:dyDescent="0.2">
      <c r="A766" s="67"/>
      <c r="B766" s="67"/>
      <c r="C766" s="67"/>
      <c r="D766" s="67"/>
      <c r="E766" s="67"/>
      <c r="F766" s="67"/>
      <c r="G766" s="67"/>
      <c r="H766" s="68"/>
    </row>
    <row r="767" spans="1:8" x14ac:dyDescent="0.2">
      <c r="A767" s="67"/>
      <c r="B767" s="67"/>
      <c r="C767" s="67"/>
      <c r="D767" s="67"/>
      <c r="E767" s="67"/>
      <c r="F767" s="67"/>
      <c r="G767" s="67"/>
      <c r="H767" s="68"/>
    </row>
    <row r="768" spans="1:8" x14ac:dyDescent="0.2">
      <c r="A768" s="67"/>
      <c r="B768" s="67"/>
      <c r="C768" s="67"/>
      <c r="D768" s="67"/>
      <c r="E768" s="67"/>
      <c r="F768" s="67"/>
      <c r="G768" s="67"/>
      <c r="H768" s="68"/>
    </row>
    <row r="769" spans="1:8" x14ac:dyDescent="0.2">
      <c r="A769" s="67"/>
      <c r="B769" s="67"/>
      <c r="C769" s="67"/>
      <c r="D769" s="67"/>
      <c r="E769" s="67"/>
      <c r="F769" s="67"/>
      <c r="G769" s="67"/>
      <c r="H769" s="68"/>
    </row>
    <row r="770" spans="1:8" x14ac:dyDescent="0.2">
      <c r="A770" s="67"/>
      <c r="B770" s="67"/>
      <c r="C770" s="67"/>
      <c r="D770" s="67"/>
      <c r="E770" s="67"/>
      <c r="F770" s="67"/>
      <c r="G770" s="67"/>
      <c r="H770" s="68"/>
    </row>
    <row r="771" spans="1:8" x14ac:dyDescent="0.2">
      <c r="A771" s="67"/>
      <c r="B771" s="67"/>
      <c r="C771" s="67"/>
      <c r="D771" s="67"/>
      <c r="E771" s="67"/>
      <c r="F771" s="67"/>
      <c r="G771" s="67"/>
      <c r="H771" s="68"/>
    </row>
    <row r="772" spans="1:8" x14ac:dyDescent="0.2">
      <c r="A772" s="67"/>
      <c r="B772" s="67"/>
      <c r="C772" s="67"/>
      <c r="D772" s="67"/>
      <c r="E772" s="67"/>
      <c r="F772" s="67"/>
      <c r="G772" s="67"/>
      <c r="H772" s="68"/>
    </row>
    <row r="773" spans="1:8" x14ac:dyDescent="0.2">
      <c r="A773" s="67"/>
      <c r="B773" s="67"/>
      <c r="C773" s="67"/>
      <c r="D773" s="67"/>
      <c r="E773" s="67"/>
      <c r="F773" s="67"/>
      <c r="G773" s="67"/>
      <c r="H773" s="68"/>
    </row>
    <row r="774" spans="1:8" x14ac:dyDescent="0.2">
      <c r="A774" s="67"/>
      <c r="B774" s="67"/>
      <c r="C774" s="67"/>
      <c r="D774" s="67"/>
      <c r="E774" s="67"/>
      <c r="F774" s="67"/>
      <c r="G774" s="67"/>
      <c r="H774" s="68"/>
    </row>
    <row r="775" spans="1:8" x14ac:dyDescent="0.2">
      <c r="A775" s="67"/>
      <c r="B775" s="67"/>
      <c r="C775" s="67"/>
      <c r="D775" s="67"/>
      <c r="E775" s="67"/>
      <c r="F775" s="67"/>
      <c r="G775" s="67"/>
      <c r="H775" s="68"/>
    </row>
    <row r="776" spans="1:8" x14ac:dyDescent="0.2">
      <c r="A776" s="67"/>
      <c r="B776" s="67"/>
      <c r="C776" s="67"/>
      <c r="D776" s="67"/>
      <c r="E776" s="67"/>
      <c r="F776" s="67"/>
      <c r="G776" s="67"/>
      <c r="H776" s="68"/>
    </row>
    <row r="777" spans="1:8" x14ac:dyDescent="0.2">
      <c r="A777" s="67"/>
      <c r="B777" s="67"/>
      <c r="C777" s="67"/>
      <c r="D777" s="67"/>
      <c r="E777" s="67"/>
      <c r="F777" s="67"/>
      <c r="G777" s="67"/>
      <c r="H777" s="68"/>
    </row>
    <row r="778" spans="1:8" x14ac:dyDescent="0.2">
      <c r="A778" s="67"/>
      <c r="B778" s="67"/>
      <c r="C778" s="67"/>
      <c r="D778" s="67"/>
      <c r="E778" s="67"/>
      <c r="F778" s="67"/>
      <c r="G778" s="67"/>
      <c r="H778" s="68"/>
    </row>
    <row r="779" spans="1:8" x14ac:dyDescent="0.2">
      <c r="A779" s="67"/>
      <c r="B779" s="67"/>
      <c r="C779" s="67"/>
      <c r="D779" s="67"/>
      <c r="E779" s="67"/>
      <c r="F779" s="67"/>
      <c r="G779" s="67"/>
      <c r="H779" s="68"/>
    </row>
    <row r="780" spans="1:8" x14ac:dyDescent="0.2">
      <c r="A780" s="67"/>
      <c r="B780" s="67"/>
      <c r="C780" s="67"/>
      <c r="D780" s="67"/>
      <c r="E780" s="67"/>
      <c r="F780" s="67"/>
      <c r="G780" s="67"/>
      <c r="H780" s="68"/>
    </row>
    <row r="781" spans="1:8" x14ac:dyDescent="0.2">
      <c r="A781" s="67"/>
      <c r="B781" s="67"/>
      <c r="C781" s="67"/>
      <c r="D781" s="67"/>
      <c r="E781" s="67"/>
      <c r="F781" s="67"/>
      <c r="G781" s="67"/>
      <c r="H781" s="68"/>
    </row>
    <row r="782" spans="1:8" x14ac:dyDescent="0.2">
      <c r="A782" s="67"/>
      <c r="B782" s="67"/>
      <c r="C782" s="67"/>
      <c r="D782" s="67"/>
      <c r="E782" s="67"/>
      <c r="F782" s="67"/>
      <c r="G782" s="67"/>
      <c r="H782" s="68"/>
    </row>
    <row r="783" spans="1:8" x14ac:dyDescent="0.2">
      <c r="A783" s="67"/>
      <c r="B783" s="67"/>
      <c r="C783" s="67"/>
      <c r="D783" s="67"/>
      <c r="E783" s="67"/>
      <c r="F783" s="67"/>
      <c r="G783" s="67"/>
      <c r="H783" s="68"/>
    </row>
    <row r="784" spans="1:8" x14ac:dyDescent="0.2">
      <c r="A784" s="67"/>
      <c r="B784" s="67"/>
      <c r="C784" s="67"/>
      <c r="D784" s="67"/>
      <c r="E784" s="67"/>
      <c r="F784" s="67"/>
      <c r="G784" s="67"/>
      <c r="H784" s="68"/>
    </row>
    <row r="785" spans="1:8" x14ac:dyDescent="0.2">
      <c r="A785" s="67"/>
      <c r="B785" s="67"/>
      <c r="C785" s="67"/>
      <c r="D785" s="67"/>
      <c r="E785" s="67"/>
      <c r="F785" s="67"/>
      <c r="G785" s="67"/>
      <c r="H785" s="68"/>
    </row>
    <row r="786" spans="1:8" x14ac:dyDescent="0.2">
      <c r="A786" s="67"/>
      <c r="B786" s="67"/>
      <c r="C786" s="67"/>
      <c r="D786" s="67"/>
      <c r="E786" s="67"/>
      <c r="F786" s="67"/>
      <c r="G786" s="67"/>
      <c r="H786" s="68"/>
    </row>
    <row r="787" spans="1:8" x14ac:dyDescent="0.2">
      <c r="A787" s="67"/>
      <c r="B787" s="67"/>
      <c r="C787" s="67"/>
      <c r="D787" s="67"/>
      <c r="E787" s="67"/>
      <c r="F787" s="67"/>
      <c r="G787" s="67"/>
      <c r="H787" s="68"/>
    </row>
    <row r="788" spans="1:8" x14ac:dyDescent="0.2">
      <c r="A788" s="67"/>
      <c r="B788" s="67"/>
      <c r="C788" s="67"/>
      <c r="D788" s="67"/>
      <c r="E788" s="67"/>
      <c r="F788" s="67"/>
      <c r="G788" s="67"/>
      <c r="H788" s="68"/>
    </row>
    <row r="789" spans="1:8" x14ac:dyDescent="0.2">
      <c r="A789" s="67"/>
      <c r="B789" s="67"/>
      <c r="C789" s="67"/>
      <c r="D789" s="67"/>
      <c r="E789" s="67"/>
      <c r="F789" s="67"/>
      <c r="G789" s="67"/>
      <c r="H789" s="68"/>
    </row>
    <row r="790" spans="1:8" x14ac:dyDescent="0.2">
      <c r="A790" s="67"/>
      <c r="B790" s="67"/>
      <c r="C790" s="67"/>
      <c r="D790" s="67"/>
      <c r="E790" s="67"/>
      <c r="F790" s="67"/>
      <c r="G790" s="67"/>
      <c r="H790" s="68"/>
    </row>
    <row r="791" spans="1:8" x14ac:dyDescent="0.2">
      <c r="A791" s="67"/>
      <c r="B791" s="67"/>
      <c r="C791" s="67"/>
      <c r="D791" s="67"/>
      <c r="E791" s="67"/>
      <c r="F791" s="67"/>
      <c r="G791" s="67"/>
      <c r="H791" s="68"/>
    </row>
    <row r="792" spans="1:8" x14ac:dyDescent="0.2">
      <c r="A792" s="67"/>
      <c r="B792" s="67"/>
      <c r="C792" s="67"/>
      <c r="D792" s="67"/>
      <c r="E792" s="67"/>
      <c r="F792" s="67"/>
      <c r="G792" s="67"/>
      <c r="H792" s="68"/>
    </row>
    <row r="793" spans="1:8" x14ac:dyDescent="0.2">
      <c r="A793" s="67"/>
      <c r="B793" s="67"/>
      <c r="C793" s="67"/>
      <c r="D793" s="67"/>
      <c r="E793" s="67"/>
      <c r="F793" s="67"/>
      <c r="G793" s="67"/>
      <c r="H793" s="68"/>
    </row>
    <row r="794" spans="1:8" x14ac:dyDescent="0.2">
      <c r="A794" s="67"/>
      <c r="B794" s="67"/>
      <c r="C794" s="67"/>
      <c r="D794" s="67"/>
      <c r="E794" s="67"/>
      <c r="F794" s="67"/>
      <c r="G794" s="67"/>
      <c r="H794" s="68"/>
    </row>
    <row r="795" spans="1:8" x14ac:dyDescent="0.2">
      <c r="A795" s="67"/>
      <c r="B795" s="67"/>
      <c r="C795" s="67"/>
      <c r="D795" s="67"/>
      <c r="E795" s="67"/>
      <c r="F795" s="67"/>
      <c r="G795" s="67"/>
      <c r="H795" s="68"/>
    </row>
    <row r="796" spans="1:8" x14ac:dyDescent="0.2">
      <c r="A796" s="67"/>
      <c r="B796" s="67"/>
      <c r="C796" s="67"/>
      <c r="D796" s="67"/>
      <c r="E796" s="67"/>
      <c r="F796" s="67"/>
      <c r="G796" s="67"/>
      <c r="H796" s="68"/>
    </row>
    <row r="797" spans="1:8" x14ac:dyDescent="0.2">
      <c r="A797" s="67"/>
      <c r="B797" s="67"/>
      <c r="C797" s="67"/>
      <c r="D797" s="67"/>
      <c r="E797" s="67"/>
      <c r="F797" s="67"/>
      <c r="G797" s="67"/>
      <c r="H797" s="68"/>
    </row>
    <row r="798" spans="1:8" x14ac:dyDescent="0.2">
      <c r="A798" s="67"/>
      <c r="B798" s="67"/>
      <c r="C798" s="67"/>
      <c r="D798" s="67"/>
      <c r="E798" s="67"/>
      <c r="F798" s="67"/>
      <c r="G798" s="67"/>
      <c r="H798" s="68"/>
    </row>
    <row r="799" spans="1:8" x14ac:dyDescent="0.2">
      <c r="A799" s="67"/>
      <c r="B799" s="67"/>
      <c r="C799" s="67"/>
      <c r="D799" s="67"/>
      <c r="E799" s="67"/>
      <c r="F799" s="67"/>
      <c r="G799" s="67"/>
      <c r="H799" s="68"/>
    </row>
    <row r="800" spans="1:8" x14ac:dyDescent="0.2">
      <c r="A800" s="67"/>
      <c r="B800" s="67"/>
      <c r="C800" s="67"/>
      <c r="D800" s="67"/>
      <c r="E800" s="67"/>
      <c r="F800" s="67"/>
      <c r="G800" s="67"/>
      <c r="H800" s="68"/>
    </row>
    <row r="801" spans="1:8" x14ac:dyDescent="0.2">
      <c r="A801" s="67"/>
      <c r="B801" s="67"/>
      <c r="C801" s="67"/>
      <c r="D801" s="67"/>
      <c r="E801" s="67"/>
      <c r="F801" s="67"/>
      <c r="G801" s="67"/>
      <c r="H801" s="68"/>
    </row>
    <row r="802" spans="1:8" x14ac:dyDescent="0.2">
      <c r="A802" s="67"/>
      <c r="B802" s="67"/>
      <c r="C802" s="67"/>
      <c r="D802" s="67"/>
      <c r="E802" s="67"/>
      <c r="F802" s="67"/>
      <c r="G802" s="67"/>
      <c r="H802" s="68"/>
    </row>
    <row r="803" spans="1:8" x14ac:dyDescent="0.2">
      <c r="A803" s="67"/>
      <c r="B803" s="67"/>
      <c r="C803" s="67"/>
      <c r="D803" s="67"/>
      <c r="E803" s="67"/>
      <c r="F803" s="67"/>
      <c r="G803" s="67"/>
      <c r="H803" s="68"/>
    </row>
    <row r="804" spans="1:8" x14ac:dyDescent="0.2">
      <c r="A804" s="67"/>
      <c r="B804" s="67"/>
      <c r="C804" s="67"/>
      <c r="D804" s="67"/>
      <c r="E804" s="67"/>
      <c r="F804" s="67"/>
      <c r="G804" s="67"/>
      <c r="H804" s="68"/>
    </row>
    <row r="805" spans="1:8" x14ac:dyDescent="0.2">
      <c r="A805" s="67"/>
      <c r="B805" s="67"/>
      <c r="C805" s="67"/>
      <c r="D805" s="67"/>
      <c r="E805" s="67"/>
      <c r="F805" s="67"/>
      <c r="G805" s="67"/>
      <c r="H805" s="68"/>
    </row>
    <row r="806" spans="1:8" x14ac:dyDescent="0.2">
      <c r="A806" s="67"/>
      <c r="B806" s="67"/>
      <c r="C806" s="67"/>
      <c r="D806" s="67"/>
      <c r="E806" s="67"/>
      <c r="F806" s="67"/>
      <c r="G806" s="67"/>
      <c r="H806" s="68"/>
    </row>
    <row r="807" spans="1:8" x14ac:dyDescent="0.2">
      <c r="A807" s="67"/>
      <c r="B807" s="67"/>
      <c r="C807" s="67"/>
      <c r="D807" s="67"/>
      <c r="E807" s="67"/>
      <c r="F807" s="67"/>
      <c r="G807" s="67"/>
      <c r="H807" s="68"/>
    </row>
    <row r="808" spans="1:8" x14ac:dyDescent="0.2">
      <c r="A808" s="67"/>
      <c r="B808" s="67"/>
      <c r="C808" s="67"/>
      <c r="D808" s="67"/>
      <c r="E808" s="67"/>
      <c r="F808" s="67"/>
      <c r="G808" s="67"/>
      <c r="H808" s="68"/>
    </row>
    <row r="809" spans="1:8" x14ac:dyDescent="0.2">
      <c r="A809" s="67"/>
      <c r="B809" s="67"/>
      <c r="C809" s="67"/>
      <c r="D809" s="67"/>
      <c r="E809" s="67"/>
      <c r="F809" s="67"/>
      <c r="G809" s="67"/>
      <c r="H809" s="68"/>
    </row>
    <row r="810" spans="1:8" x14ac:dyDescent="0.2">
      <c r="A810" s="67"/>
      <c r="B810" s="67"/>
      <c r="C810" s="67"/>
      <c r="D810" s="67"/>
      <c r="E810" s="67"/>
      <c r="F810" s="67"/>
      <c r="G810" s="67"/>
      <c r="H810" s="68"/>
    </row>
    <row r="811" spans="1:8" x14ac:dyDescent="0.2">
      <c r="A811" s="67"/>
      <c r="B811" s="67"/>
      <c r="C811" s="67"/>
      <c r="D811" s="67"/>
      <c r="E811" s="67"/>
      <c r="F811" s="67"/>
      <c r="G811" s="67"/>
      <c r="H811" s="68"/>
    </row>
    <row r="812" spans="1:8" x14ac:dyDescent="0.2">
      <c r="A812" s="67"/>
      <c r="B812" s="67"/>
      <c r="C812" s="67"/>
      <c r="D812" s="67"/>
      <c r="E812" s="67"/>
      <c r="F812" s="67"/>
      <c r="G812" s="67"/>
      <c r="H812" s="68"/>
    </row>
    <row r="813" spans="1:8" x14ac:dyDescent="0.2">
      <c r="A813" s="67"/>
      <c r="B813" s="67"/>
      <c r="C813" s="67"/>
      <c r="D813" s="67"/>
      <c r="E813" s="67"/>
      <c r="F813" s="67"/>
      <c r="G813" s="67"/>
      <c r="H813" s="68"/>
    </row>
    <row r="814" spans="1:8" x14ac:dyDescent="0.2">
      <c r="A814" s="67"/>
      <c r="B814" s="67"/>
      <c r="C814" s="67"/>
      <c r="D814" s="67"/>
      <c r="E814" s="67"/>
      <c r="F814" s="67"/>
      <c r="G814" s="67"/>
      <c r="H814" s="68"/>
    </row>
    <row r="815" spans="1:8" x14ac:dyDescent="0.2">
      <c r="A815" s="67"/>
      <c r="B815" s="67"/>
      <c r="C815" s="67"/>
      <c r="D815" s="67"/>
      <c r="E815" s="67"/>
      <c r="F815" s="67"/>
      <c r="G815" s="67"/>
      <c r="H815" s="68"/>
    </row>
    <row r="816" spans="1:8" x14ac:dyDescent="0.2">
      <c r="A816" s="67"/>
      <c r="B816" s="67"/>
      <c r="C816" s="67"/>
      <c r="D816" s="67"/>
      <c r="E816" s="67"/>
      <c r="F816" s="67"/>
      <c r="G816" s="67"/>
      <c r="H816" s="68"/>
    </row>
    <row r="817" spans="1:8" x14ac:dyDescent="0.2">
      <c r="A817" s="67"/>
      <c r="B817" s="67"/>
      <c r="C817" s="67"/>
      <c r="D817" s="67"/>
      <c r="E817" s="67"/>
      <c r="F817" s="67"/>
      <c r="G817" s="67"/>
      <c r="H817" s="68"/>
    </row>
    <row r="818" spans="1:8" x14ac:dyDescent="0.2">
      <c r="A818" s="67"/>
      <c r="B818" s="67"/>
      <c r="C818" s="67"/>
      <c r="D818" s="67"/>
      <c r="E818" s="67"/>
      <c r="F818" s="67"/>
      <c r="G818" s="67"/>
      <c r="H818" s="68"/>
    </row>
    <row r="819" spans="1:8" x14ac:dyDescent="0.2">
      <c r="A819" s="67"/>
      <c r="B819" s="67"/>
      <c r="C819" s="67"/>
      <c r="D819" s="67"/>
      <c r="E819" s="67"/>
      <c r="F819" s="67"/>
      <c r="G819" s="67"/>
      <c r="H819" s="68"/>
    </row>
    <row r="820" spans="1:8" x14ac:dyDescent="0.2">
      <c r="A820" s="67"/>
      <c r="B820" s="67"/>
      <c r="C820" s="67"/>
      <c r="D820" s="67"/>
      <c r="E820" s="67"/>
      <c r="F820" s="67"/>
      <c r="G820" s="67"/>
      <c r="H820" s="68"/>
    </row>
    <row r="821" spans="1:8" x14ac:dyDescent="0.2">
      <c r="A821" s="67"/>
      <c r="B821" s="67"/>
      <c r="C821" s="67"/>
      <c r="D821" s="67"/>
      <c r="E821" s="67"/>
      <c r="F821" s="67"/>
      <c r="G821" s="67"/>
      <c r="H821" s="68"/>
    </row>
    <row r="822" spans="1:8" x14ac:dyDescent="0.2">
      <c r="A822" s="67"/>
      <c r="B822" s="67"/>
      <c r="C822" s="67"/>
      <c r="D822" s="67"/>
      <c r="E822" s="67"/>
      <c r="F822" s="67"/>
      <c r="G822" s="67"/>
      <c r="H822" s="68"/>
    </row>
    <row r="823" spans="1:8" x14ac:dyDescent="0.2">
      <c r="A823" s="67"/>
      <c r="B823" s="67"/>
      <c r="C823" s="67"/>
      <c r="D823" s="67"/>
      <c r="E823" s="67"/>
      <c r="F823" s="67"/>
      <c r="G823" s="67"/>
      <c r="H823" s="68"/>
    </row>
    <row r="824" spans="1:8" x14ac:dyDescent="0.2">
      <c r="A824" s="67"/>
      <c r="B824" s="67"/>
      <c r="C824" s="67"/>
      <c r="D824" s="67"/>
      <c r="E824" s="67"/>
      <c r="F824" s="67"/>
      <c r="G824" s="67"/>
      <c r="H824" s="68"/>
    </row>
    <row r="825" spans="1:8" x14ac:dyDescent="0.2">
      <c r="A825" s="67"/>
      <c r="B825" s="67"/>
      <c r="C825" s="67"/>
      <c r="D825" s="67"/>
      <c r="E825" s="67"/>
      <c r="F825" s="67"/>
      <c r="G825" s="67"/>
      <c r="H825" s="68"/>
    </row>
    <row r="826" spans="1:8" x14ac:dyDescent="0.2">
      <c r="A826" s="67"/>
      <c r="B826" s="67"/>
      <c r="C826" s="67"/>
      <c r="D826" s="67"/>
      <c r="E826" s="67"/>
      <c r="F826" s="67"/>
      <c r="G826" s="67"/>
      <c r="H826" s="68"/>
    </row>
    <row r="827" spans="1:8" x14ac:dyDescent="0.2">
      <c r="A827" s="67"/>
      <c r="B827" s="67"/>
      <c r="C827" s="67"/>
      <c r="D827" s="67"/>
      <c r="E827" s="67"/>
      <c r="F827" s="67"/>
      <c r="G827" s="67"/>
      <c r="H827" s="68"/>
    </row>
    <row r="828" spans="1:8" x14ac:dyDescent="0.2">
      <c r="A828" s="67"/>
      <c r="B828" s="67"/>
      <c r="C828" s="67"/>
      <c r="D828" s="67"/>
      <c r="E828" s="67"/>
      <c r="F828" s="67"/>
      <c r="G828" s="67"/>
      <c r="H828" s="68"/>
    </row>
    <row r="829" spans="1:8" x14ac:dyDescent="0.2">
      <c r="A829" s="67"/>
      <c r="B829" s="67"/>
      <c r="C829" s="67"/>
      <c r="D829" s="67"/>
      <c r="E829" s="67"/>
      <c r="F829" s="67"/>
      <c r="G829" s="67"/>
      <c r="H829" s="68"/>
    </row>
    <row r="830" spans="1:8" x14ac:dyDescent="0.2">
      <c r="A830" s="67"/>
      <c r="B830" s="67"/>
      <c r="C830" s="67"/>
      <c r="D830" s="67"/>
      <c r="E830" s="67"/>
      <c r="F830" s="67"/>
      <c r="G830" s="67"/>
      <c r="H830" s="68"/>
    </row>
    <row r="831" spans="1:8" x14ac:dyDescent="0.2">
      <c r="A831" s="67"/>
      <c r="B831" s="67"/>
      <c r="C831" s="67"/>
      <c r="D831" s="67"/>
      <c r="E831" s="67"/>
      <c r="F831" s="67"/>
      <c r="G831" s="67"/>
      <c r="H831" s="68"/>
    </row>
    <row r="832" spans="1:8" x14ac:dyDescent="0.2">
      <c r="A832" s="67"/>
      <c r="B832" s="67"/>
      <c r="C832" s="67"/>
      <c r="D832" s="67"/>
      <c r="E832" s="67"/>
      <c r="F832" s="67"/>
      <c r="G832" s="67"/>
      <c r="H832" s="68"/>
    </row>
    <row r="833" spans="1:8" x14ac:dyDescent="0.2">
      <c r="A833" s="67"/>
      <c r="B833" s="67"/>
      <c r="C833" s="67"/>
      <c r="D833" s="67"/>
      <c r="E833" s="67"/>
      <c r="F833" s="67"/>
      <c r="G833" s="67"/>
      <c r="H833" s="68"/>
    </row>
    <row r="834" spans="1:8" x14ac:dyDescent="0.2">
      <c r="A834" s="67"/>
      <c r="B834" s="67"/>
      <c r="C834" s="67"/>
      <c r="D834" s="67"/>
      <c r="E834" s="67"/>
      <c r="F834" s="67"/>
      <c r="G834" s="67"/>
      <c r="H834" s="68"/>
    </row>
    <row r="835" spans="1:8" x14ac:dyDescent="0.2">
      <c r="A835" s="67"/>
      <c r="B835" s="67"/>
      <c r="C835" s="67"/>
      <c r="D835" s="67"/>
      <c r="E835" s="67"/>
      <c r="F835" s="67"/>
      <c r="G835" s="67"/>
      <c r="H835" s="68"/>
    </row>
    <row r="836" spans="1:8" x14ac:dyDescent="0.2">
      <c r="A836" s="67"/>
      <c r="B836" s="67"/>
      <c r="C836" s="67"/>
      <c r="D836" s="67"/>
      <c r="E836" s="67"/>
      <c r="F836" s="67"/>
      <c r="G836" s="67"/>
      <c r="H836" s="68"/>
    </row>
    <row r="837" spans="1:8" x14ac:dyDescent="0.2">
      <c r="A837" s="67"/>
      <c r="B837" s="67"/>
      <c r="C837" s="67"/>
      <c r="D837" s="67"/>
      <c r="E837" s="67"/>
      <c r="F837" s="67"/>
      <c r="G837" s="67"/>
      <c r="H837" s="68"/>
    </row>
    <row r="838" spans="1:8" x14ac:dyDescent="0.2">
      <c r="A838" s="67"/>
      <c r="B838" s="67"/>
      <c r="C838" s="67"/>
      <c r="D838" s="67"/>
      <c r="E838" s="67"/>
      <c r="F838" s="67"/>
      <c r="G838" s="67"/>
      <c r="H838" s="68"/>
    </row>
    <row r="839" spans="1:8" x14ac:dyDescent="0.2">
      <c r="A839" s="67"/>
      <c r="B839" s="67"/>
      <c r="C839" s="67"/>
      <c r="D839" s="67"/>
      <c r="E839" s="67"/>
      <c r="F839" s="67"/>
      <c r="G839" s="67"/>
      <c r="H839" s="68"/>
    </row>
    <row r="840" spans="1:8" x14ac:dyDescent="0.2">
      <c r="A840" s="67"/>
      <c r="B840" s="67"/>
      <c r="C840" s="67"/>
      <c r="D840" s="67"/>
      <c r="E840" s="67"/>
      <c r="F840" s="67"/>
      <c r="G840" s="67"/>
      <c r="H840" s="68"/>
    </row>
    <row r="841" spans="1:8" x14ac:dyDescent="0.2">
      <c r="A841" s="67"/>
      <c r="B841" s="67"/>
      <c r="C841" s="67"/>
      <c r="D841" s="67"/>
      <c r="E841" s="67"/>
      <c r="F841" s="67"/>
      <c r="G841" s="67"/>
      <c r="H841" s="68"/>
    </row>
    <row r="842" spans="1:8" x14ac:dyDescent="0.2">
      <c r="A842" s="67"/>
      <c r="B842" s="67"/>
      <c r="C842" s="67"/>
      <c r="D842" s="67"/>
      <c r="E842" s="67"/>
      <c r="F842" s="67"/>
      <c r="G842" s="67"/>
      <c r="H842" s="68"/>
    </row>
    <row r="843" spans="1:8" x14ac:dyDescent="0.2">
      <c r="A843" s="67"/>
      <c r="B843" s="67"/>
      <c r="C843" s="67"/>
      <c r="D843" s="67"/>
      <c r="E843" s="67"/>
      <c r="F843" s="67"/>
      <c r="G843" s="67"/>
      <c r="H843" s="68"/>
    </row>
    <row r="844" spans="1:8" x14ac:dyDescent="0.2">
      <c r="A844" s="67"/>
      <c r="B844" s="67"/>
      <c r="C844" s="67"/>
      <c r="D844" s="67"/>
      <c r="E844" s="67"/>
      <c r="F844" s="67"/>
      <c r="G844" s="67"/>
      <c r="H844" s="68"/>
    </row>
    <row r="845" spans="1:8" x14ac:dyDescent="0.2">
      <c r="A845" s="67"/>
      <c r="B845" s="67"/>
      <c r="C845" s="67"/>
      <c r="D845" s="67"/>
      <c r="E845" s="67"/>
      <c r="F845" s="67"/>
      <c r="G845" s="67"/>
      <c r="H845" s="68"/>
    </row>
    <row r="846" spans="1:8" x14ac:dyDescent="0.2">
      <c r="A846" s="67"/>
      <c r="B846" s="67"/>
      <c r="C846" s="67"/>
      <c r="D846" s="67"/>
      <c r="E846" s="67"/>
      <c r="F846" s="67"/>
      <c r="G846" s="67"/>
      <c r="H846" s="68"/>
    </row>
    <row r="847" spans="1:8" x14ac:dyDescent="0.2">
      <c r="A847" s="67"/>
      <c r="B847" s="67"/>
      <c r="C847" s="67"/>
      <c r="D847" s="67"/>
      <c r="E847" s="67"/>
      <c r="F847" s="67"/>
      <c r="G847" s="67"/>
      <c r="H847" s="68"/>
    </row>
    <row r="848" spans="1:8" x14ac:dyDescent="0.2">
      <c r="A848" s="67"/>
      <c r="B848" s="67"/>
      <c r="C848" s="67"/>
      <c r="D848" s="67"/>
      <c r="E848" s="67"/>
      <c r="F848" s="67"/>
      <c r="G848" s="67"/>
      <c r="H848" s="68"/>
    </row>
    <row r="849" spans="1:8" x14ac:dyDescent="0.2">
      <c r="A849" s="67"/>
      <c r="B849" s="67"/>
      <c r="C849" s="67"/>
      <c r="D849" s="67"/>
      <c r="E849" s="67"/>
      <c r="F849" s="67"/>
      <c r="G849" s="67"/>
      <c r="H849" s="68"/>
    </row>
    <row r="850" spans="1:8" x14ac:dyDescent="0.2">
      <c r="A850" s="67"/>
      <c r="B850" s="67"/>
      <c r="C850" s="67"/>
      <c r="D850" s="67"/>
      <c r="E850" s="67"/>
      <c r="F850" s="67"/>
      <c r="G850" s="67"/>
      <c r="H850" s="68"/>
    </row>
    <row r="851" spans="1:8" x14ac:dyDescent="0.2">
      <c r="A851" s="67"/>
      <c r="B851" s="67"/>
      <c r="C851" s="67"/>
      <c r="D851" s="67"/>
      <c r="E851" s="67"/>
      <c r="F851" s="67"/>
      <c r="G851" s="67"/>
      <c r="H851" s="68"/>
    </row>
    <row r="852" spans="1:8" x14ac:dyDescent="0.2">
      <c r="A852" s="67"/>
      <c r="B852" s="67"/>
      <c r="C852" s="67"/>
      <c r="D852" s="67"/>
      <c r="E852" s="67"/>
      <c r="F852" s="67"/>
      <c r="G852" s="67"/>
      <c r="H852" s="68"/>
    </row>
    <row r="853" spans="1:8" x14ac:dyDescent="0.2">
      <c r="A853" s="67"/>
      <c r="B853" s="67"/>
      <c r="C853" s="67"/>
      <c r="D853" s="67"/>
      <c r="E853" s="67"/>
      <c r="F853" s="67"/>
      <c r="G853" s="67"/>
      <c r="H853" s="68"/>
    </row>
    <row r="854" spans="1:8" x14ac:dyDescent="0.2">
      <c r="A854" s="67"/>
      <c r="B854" s="67"/>
      <c r="C854" s="67"/>
      <c r="D854" s="67"/>
      <c r="E854" s="67"/>
      <c r="F854" s="67"/>
      <c r="G854" s="67"/>
      <c r="H854" s="68"/>
    </row>
    <row r="855" spans="1:8" x14ac:dyDescent="0.2">
      <c r="A855" s="67"/>
      <c r="B855" s="67"/>
      <c r="C855" s="67"/>
      <c r="D855" s="67"/>
      <c r="E855" s="67"/>
      <c r="F855" s="67"/>
      <c r="G855" s="67"/>
      <c r="H855" s="68"/>
    </row>
    <row r="856" spans="1:8" x14ac:dyDescent="0.2">
      <c r="A856" s="67"/>
      <c r="B856" s="67"/>
      <c r="C856" s="67"/>
      <c r="D856" s="67"/>
      <c r="E856" s="67"/>
      <c r="F856" s="67"/>
      <c r="G856" s="67"/>
      <c r="H856" s="68"/>
    </row>
    <row r="857" spans="1:8" x14ac:dyDescent="0.2">
      <c r="A857" s="67"/>
      <c r="B857" s="67"/>
      <c r="C857" s="67"/>
      <c r="D857" s="67"/>
      <c r="E857" s="67"/>
      <c r="F857" s="67"/>
      <c r="G857" s="67"/>
      <c r="H857" s="68"/>
    </row>
    <row r="858" spans="1:8" x14ac:dyDescent="0.2">
      <c r="A858" s="67"/>
      <c r="B858" s="67"/>
      <c r="C858" s="67"/>
      <c r="D858" s="67"/>
      <c r="E858" s="67"/>
      <c r="F858" s="67"/>
      <c r="G858" s="67"/>
      <c r="H858" s="68"/>
    </row>
    <row r="859" spans="1:8" x14ac:dyDescent="0.2">
      <c r="A859" s="67"/>
      <c r="B859" s="67"/>
      <c r="C859" s="67"/>
      <c r="D859" s="67"/>
      <c r="E859" s="67"/>
      <c r="F859" s="67"/>
      <c r="G859" s="67"/>
      <c r="H859" s="68"/>
    </row>
    <row r="860" spans="1:8" x14ac:dyDescent="0.2">
      <c r="A860" s="67"/>
      <c r="B860" s="67"/>
      <c r="C860" s="67"/>
      <c r="D860" s="67"/>
      <c r="E860" s="67"/>
      <c r="F860" s="67"/>
      <c r="G860" s="67"/>
      <c r="H860" s="68"/>
    </row>
    <row r="861" spans="1:8" x14ac:dyDescent="0.2">
      <c r="A861" s="67"/>
      <c r="B861" s="67"/>
      <c r="C861" s="67"/>
      <c r="D861" s="67"/>
      <c r="E861" s="67"/>
      <c r="F861" s="67"/>
      <c r="G861" s="67"/>
      <c r="H861" s="68"/>
    </row>
    <row r="862" spans="1:8" x14ac:dyDescent="0.2">
      <c r="A862" s="67"/>
      <c r="B862" s="67"/>
      <c r="C862" s="67"/>
      <c r="D862" s="67"/>
      <c r="E862" s="67"/>
      <c r="F862" s="67"/>
      <c r="G862" s="67"/>
      <c r="H862" s="68"/>
    </row>
    <row r="863" spans="1:8" x14ac:dyDescent="0.2">
      <c r="A863" s="67"/>
      <c r="B863" s="67"/>
      <c r="C863" s="67"/>
      <c r="D863" s="67"/>
      <c r="E863" s="67"/>
      <c r="F863" s="67"/>
      <c r="G863" s="67"/>
      <c r="H863" s="68"/>
    </row>
    <row r="864" spans="1:8" x14ac:dyDescent="0.2">
      <c r="A864" s="67"/>
      <c r="B864" s="67"/>
      <c r="C864" s="67"/>
      <c r="D864" s="67"/>
      <c r="E864" s="67"/>
      <c r="F864" s="67"/>
      <c r="G864" s="67"/>
      <c r="H864" s="68"/>
    </row>
    <row r="865" spans="1:8" x14ac:dyDescent="0.2">
      <c r="A865" s="67"/>
      <c r="B865" s="67"/>
      <c r="C865" s="67"/>
      <c r="D865" s="67"/>
      <c r="E865" s="67"/>
      <c r="F865" s="67"/>
      <c r="G865" s="67"/>
      <c r="H865" s="68"/>
    </row>
    <row r="866" spans="1:8" x14ac:dyDescent="0.2">
      <c r="A866" s="67"/>
      <c r="B866" s="67"/>
      <c r="C866" s="67"/>
      <c r="D866" s="67"/>
      <c r="E866" s="67"/>
      <c r="F866" s="67"/>
      <c r="G866" s="67"/>
      <c r="H866" s="68"/>
    </row>
    <row r="867" spans="1:8" x14ac:dyDescent="0.2">
      <c r="A867" s="67"/>
      <c r="B867" s="67"/>
      <c r="C867" s="67"/>
      <c r="D867" s="67"/>
      <c r="E867" s="67"/>
      <c r="F867" s="67"/>
      <c r="G867" s="67"/>
      <c r="H867" s="68"/>
    </row>
    <row r="868" spans="1:8" x14ac:dyDescent="0.2">
      <c r="A868" s="67"/>
      <c r="B868" s="67"/>
      <c r="C868" s="67"/>
      <c r="D868" s="67"/>
      <c r="E868" s="67"/>
      <c r="F868" s="67"/>
      <c r="G868" s="67"/>
      <c r="H868" s="68"/>
    </row>
    <row r="869" spans="1:8" x14ac:dyDescent="0.2">
      <c r="A869" s="67"/>
      <c r="B869" s="67"/>
      <c r="C869" s="67"/>
      <c r="D869" s="67"/>
      <c r="E869" s="67"/>
      <c r="F869" s="67"/>
      <c r="G869" s="67"/>
      <c r="H869" s="68"/>
    </row>
    <row r="870" spans="1:8" x14ac:dyDescent="0.2">
      <c r="A870" s="67"/>
      <c r="B870" s="67"/>
      <c r="C870" s="67"/>
      <c r="D870" s="67"/>
      <c r="E870" s="67"/>
      <c r="F870" s="67"/>
      <c r="G870" s="67"/>
      <c r="H870" s="68"/>
    </row>
    <row r="871" spans="1:8" x14ac:dyDescent="0.2">
      <c r="A871" s="67"/>
      <c r="B871" s="67"/>
      <c r="C871" s="67"/>
      <c r="D871" s="67"/>
      <c r="E871" s="67"/>
      <c r="F871" s="67"/>
      <c r="G871" s="67"/>
      <c r="H871" s="68"/>
    </row>
    <row r="872" spans="1:8" x14ac:dyDescent="0.2">
      <c r="A872" s="67"/>
      <c r="B872" s="67"/>
      <c r="C872" s="67"/>
      <c r="D872" s="67"/>
      <c r="E872" s="67"/>
      <c r="F872" s="67"/>
      <c r="G872" s="67"/>
      <c r="H872" s="68"/>
    </row>
    <row r="873" spans="1:8" x14ac:dyDescent="0.2">
      <c r="A873" s="67"/>
      <c r="B873" s="67"/>
      <c r="C873" s="67"/>
      <c r="D873" s="67"/>
      <c r="E873" s="67"/>
      <c r="F873" s="67"/>
      <c r="G873" s="67"/>
      <c r="H873" s="68"/>
    </row>
    <row r="874" spans="1:8" x14ac:dyDescent="0.2">
      <c r="A874" s="67"/>
      <c r="B874" s="67"/>
      <c r="C874" s="67"/>
      <c r="D874" s="67"/>
      <c r="E874" s="67"/>
      <c r="F874" s="67"/>
      <c r="G874" s="67"/>
      <c r="H874" s="68"/>
    </row>
    <row r="875" spans="1:8" x14ac:dyDescent="0.2">
      <c r="A875" s="67"/>
      <c r="B875" s="67"/>
      <c r="C875" s="67"/>
      <c r="D875" s="67"/>
      <c r="E875" s="67"/>
      <c r="F875" s="67"/>
      <c r="G875" s="67"/>
      <c r="H875" s="68"/>
    </row>
    <row r="876" spans="1:8" x14ac:dyDescent="0.2">
      <c r="A876" s="67"/>
      <c r="B876" s="67"/>
      <c r="C876" s="67"/>
      <c r="D876" s="67"/>
      <c r="E876" s="67"/>
      <c r="F876" s="67"/>
      <c r="G876" s="67"/>
      <c r="H876" s="68"/>
    </row>
    <row r="877" spans="1:8" x14ac:dyDescent="0.2">
      <c r="A877" s="67"/>
      <c r="B877" s="67"/>
      <c r="C877" s="67"/>
      <c r="D877" s="67"/>
      <c r="E877" s="67"/>
      <c r="F877" s="67"/>
      <c r="G877" s="67"/>
      <c r="H877" s="68"/>
    </row>
    <row r="878" spans="1:8" x14ac:dyDescent="0.2">
      <c r="A878" s="67"/>
      <c r="B878" s="67"/>
      <c r="C878" s="67"/>
      <c r="D878" s="67"/>
      <c r="E878" s="67"/>
      <c r="F878" s="67"/>
      <c r="G878" s="67"/>
      <c r="H878" s="68"/>
    </row>
    <row r="879" spans="1:8" x14ac:dyDescent="0.2">
      <c r="A879" s="67"/>
      <c r="B879" s="67"/>
      <c r="C879" s="67"/>
      <c r="D879" s="67"/>
      <c r="E879" s="67"/>
      <c r="F879" s="67"/>
      <c r="G879" s="67"/>
      <c r="H879" s="68"/>
    </row>
    <row r="880" spans="1:8" x14ac:dyDescent="0.2">
      <c r="A880" s="67"/>
      <c r="B880" s="67"/>
      <c r="C880" s="67"/>
      <c r="D880" s="67"/>
      <c r="E880" s="67"/>
      <c r="F880" s="67"/>
      <c r="G880" s="67"/>
      <c r="H880" s="68"/>
    </row>
    <row r="881" spans="1:8" x14ac:dyDescent="0.2">
      <c r="A881" s="67"/>
      <c r="B881" s="67"/>
      <c r="C881" s="67"/>
      <c r="D881" s="67"/>
      <c r="E881" s="67"/>
      <c r="F881" s="67"/>
      <c r="G881" s="67"/>
      <c r="H881" s="68"/>
    </row>
    <row r="882" spans="1:8" x14ac:dyDescent="0.2">
      <c r="A882" s="67"/>
      <c r="B882" s="67"/>
      <c r="C882" s="67"/>
      <c r="D882" s="67"/>
      <c r="E882" s="67"/>
      <c r="F882" s="67"/>
      <c r="G882" s="67"/>
      <c r="H882" s="68"/>
    </row>
    <row r="883" spans="1:8" x14ac:dyDescent="0.2">
      <c r="A883" s="67"/>
      <c r="B883" s="67"/>
      <c r="C883" s="67"/>
      <c r="D883" s="67"/>
      <c r="E883" s="67"/>
      <c r="F883" s="67"/>
      <c r="G883" s="67"/>
      <c r="H883" s="68"/>
    </row>
    <row r="884" spans="1:8" x14ac:dyDescent="0.2">
      <c r="A884" s="67"/>
      <c r="B884" s="67"/>
      <c r="C884" s="67"/>
      <c r="D884" s="67"/>
      <c r="E884" s="67"/>
      <c r="F884" s="67"/>
      <c r="G884" s="67"/>
      <c r="H884" s="68"/>
    </row>
    <row r="885" spans="1:8" x14ac:dyDescent="0.2">
      <c r="A885" s="67"/>
      <c r="B885" s="67"/>
      <c r="C885" s="67"/>
      <c r="D885" s="67"/>
      <c r="E885" s="67"/>
      <c r="F885" s="67"/>
      <c r="G885" s="67"/>
      <c r="H885" s="68"/>
    </row>
    <row r="886" spans="1:8" x14ac:dyDescent="0.2">
      <c r="A886" s="67"/>
      <c r="B886" s="67"/>
      <c r="C886" s="67"/>
      <c r="D886" s="67"/>
      <c r="E886" s="67"/>
      <c r="F886" s="67"/>
      <c r="G886" s="67"/>
      <c r="H886" s="68"/>
    </row>
    <row r="887" spans="1:8" x14ac:dyDescent="0.2">
      <c r="A887" s="67"/>
      <c r="B887" s="67"/>
      <c r="C887" s="67"/>
      <c r="D887" s="67"/>
      <c r="E887" s="67"/>
      <c r="F887" s="67"/>
      <c r="G887" s="67"/>
      <c r="H887" s="68"/>
    </row>
    <row r="888" spans="1:8" x14ac:dyDescent="0.2">
      <c r="A888" s="67"/>
      <c r="B888" s="67"/>
      <c r="C888" s="67"/>
      <c r="D888" s="67"/>
      <c r="E888" s="67"/>
      <c r="F888" s="67"/>
      <c r="G888" s="67"/>
      <c r="H888" s="68"/>
    </row>
    <row r="889" spans="1:8" x14ac:dyDescent="0.2">
      <c r="A889" s="67"/>
      <c r="B889" s="67"/>
      <c r="C889" s="67"/>
      <c r="D889" s="67"/>
      <c r="E889" s="67"/>
      <c r="F889" s="67"/>
      <c r="G889" s="67"/>
      <c r="H889" s="68"/>
    </row>
    <row r="890" spans="1:8" x14ac:dyDescent="0.2">
      <c r="A890" s="67"/>
      <c r="B890" s="67"/>
      <c r="C890" s="67"/>
      <c r="D890" s="67"/>
      <c r="E890" s="67"/>
      <c r="F890" s="67"/>
      <c r="G890" s="67"/>
      <c r="H890" s="68"/>
    </row>
    <row r="891" spans="1:8" x14ac:dyDescent="0.2">
      <c r="A891" s="67"/>
      <c r="B891" s="67"/>
      <c r="C891" s="67"/>
      <c r="D891" s="67"/>
      <c r="E891" s="67"/>
      <c r="F891" s="67"/>
      <c r="G891" s="67"/>
      <c r="H891" s="68"/>
    </row>
    <row r="892" spans="1:8" x14ac:dyDescent="0.2">
      <c r="A892" s="67"/>
      <c r="B892" s="67"/>
      <c r="C892" s="67"/>
      <c r="D892" s="67"/>
      <c r="E892" s="67"/>
      <c r="F892" s="67"/>
      <c r="G892" s="67"/>
      <c r="H892" s="68"/>
    </row>
    <row r="893" spans="1:8" x14ac:dyDescent="0.2">
      <c r="A893" s="67"/>
      <c r="B893" s="67"/>
      <c r="C893" s="67"/>
      <c r="D893" s="67"/>
      <c r="E893" s="67"/>
      <c r="F893" s="67"/>
      <c r="G893" s="67"/>
      <c r="H893" s="68"/>
    </row>
    <row r="894" spans="1:8" x14ac:dyDescent="0.2">
      <c r="A894" s="67"/>
      <c r="B894" s="67"/>
      <c r="C894" s="67"/>
      <c r="D894" s="67"/>
      <c r="E894" s="67"/>
      <c r="F894" s="67"/>
      <c r="G894" s="67"/>
      <c r="H894" s="68"/>
    </row>
    <row r="895" spans="1:8" x14ac:dyDescent="0.2">
      <c r="A895" s="67"/>
      <c r="B895" s="67"/>
      <c r="C895" s="67"/>
      <c r="D895" s="67"/>
      <c r="E895" s="67"/>
      <c r="F895" s="67"/>
      <c r="G895" s="67"/>
      <c r="H895" s="68"/>
    </row>
    <row r="896" spans="1:8" x14ac:dyDescent="0.2">
      <c r="A896" s="67"/>
      <c r="B896" s="67"/>
      <c r="C896" s="67"/>
      <c r="D896" s="67"/>
      <c r="E896" s="67"/>
      <c r="F896" s="67"/>
      <c r="G896" s="67"/>
      <c r="H896" s="68"/>
    </row>
    <row r="897" spans="1:8" x14ac:dyDescent="0.2">
      <c r="A897" s="67"/>
      <c r="B897" s="67"/>
      <c r="C897" s="67"/>
      <c r="D897" s="67"/>
      <c r="E897" s="67"/>
      <c r="F897" s="67"/>
      <c r="G897" s="67"/>
      <c r="H897" s="68"/>
    </row>
    <row r="898" spans="1:8" x14ac:dyDescent="0.2">
      <c r="A898" s="67"/>
      <c r="B898" s="67"/>
      <c r="C898" s="67"/>
      <c r="D898" s="67"/>
      <c r="E898" s="67"/>
      <c r="F898" s="67"/>
      <c r="G898" s="67"/>
      <c r="H898" s="68"/>
    </row>
    <row r="899" spans="1:8" x14ac:dyDescent="0.2">
      <c r="A899" s="67"/>
      <c r="B899" s="67"/>
      <c r="C899" s="67"/>
      <c r="D899" s="67"/>
      <c r="E899" s="67"/>
      <c r="F899" s="67"/>
      <c r="G899" s="67"/>
      <c r="H899" s="68"/>
    </row>
    <row r="900" spans="1:8" x14ac:dyDescent="0.2">
      <c r="A900" s="67"/>
      <c r="B900" s="67"/>
      <c r="C900" s="67"/>
      <c r="D900" s="67"/>
      <c r="E900" s="67"/>
      <c r="F900" s="67"/>
      <c r="G900" s="67"/>
      <c r="H900" s="68"/>
    </row>
    <row r="901" spans="1:8" x14ac:dyDescent="0.2">
      <c r="A901" s="67"/>
      <c r="B901" s="67"/>
      <c r="C901" s="67"/>
      <c r="D901" s="67"/>
      <c r="E901" s="67"/>
      <c r="F901" s="67"/>
      <c r="G901" s="67"/>
      <c r="H901" s="68"/>
    </row>
    <row r="902" spans="1:8" x14ac:dyDescent="0.2">
      <c r="A902" s="67"/>
      <c r="B902" s="67"/>
      <c r="C902" s="67"/>
      <c r="D902" s="67"/>
      <c r="E902" s="67"/>
      <c r="F902" s="67"/>
      <c r="G902" s="67"/>
      <c r="H902" s="68"/>
    </row>
    <row r="903" spans="1:8" x14ac:dyDescent="0.2">
      <c r="A903" s="67"/>
      <c r="B903" s="67"/>
      <c r="C903" s="67"/>
      <c r="D903" s="67"/>
      <c r="E903" s="67"/>
      <c r="F903" s="67"/>
      <c r="G903" s="67"/>
      <c r="H903" s="68"/>
    </row>
    <row r="904" spans="1:8" x14ac:dyDescent="0.2">
      <c r="A904" s="67"/>
      <c r="B904" s="67"/>
      <c r="C904" s="67"/>
      <c r="D904" s="67"/>
      <c r="E904" s="67"/>
      <c r="F904" s="67"/>
      <c r="G904" s="67"/>
      <c r="H904" s="68"/>
    </row>
    <row r="905" spans="1:8" x14ac:dyDescent="0.2">
      <c r="A905" s="67"/>
      <c r="B905" s="67"/>
      <c r="C905" s="67"/>
      <c r="D905" s="67"/>
      <c r="E905" s="67"/>
      <c r="F905" s="67"/>
      <c r="G905" s="67"/>
      <c r="H905" s="68"/>
    </row>
    <row r="906" spans="1:8" x14ac:dyDescent="0.2">
      <c r="A906" s="67"/>
      <c r="B906" s="67"/>
      <c r="C906" s="67"/>
      <c r="D906" s="67"/>
      <c r="E906" s="67"/>
      <c r="F906" s="67"/>
      <c r="G906" s="67"/>
      <c r="H906" s="68"/>
    </row>
    <row r="907" spans="1:8" x14ac:dyDescent="0.2">
      <c r="A907" s="67"/>
      <c r="B907" s="67"/>
      <c r="C907" s="67"/>
      <c r="D907" s="67"/>
      <c r="E907" s="67"/>
      <c r="F907" s="67"/>
      <c r="G907" s="67"/>
      <c r="H907" s="68"/>
    </row>
    <row r="908" spans="1:8" x14ac:dyDescent="0.2">
      <c r="A908" s="67"/>
      <c r="B908" s="67"/>
      <c r="C908" s="67"/>
      <c r="D908" s="67"/>
      <c r="E908" s="67"/>
      <c r="F908" s="67"/>
      <c r="G908" s="67"/>
      <c r="H908" s="68"/>
    </row>
    <row r="909" spans="1:8" x14ac:dyDescent="0.2">
      <c r="A909" s="67"/>
      <c r="B909" s="67"/>
      <c r="C909" s="67"/>
      <c r="D909" s="67"/>
      <c r="E909" s="67"/>
      <c r="F909" s="67"/>
      <c r="G909" s="67"/>
      <c r="H909" s="68"/>
    </row>
    <row r="910" spans="1:8" x14ac:dyDescent="0.2">
      <c r="A910" s="67"/>
      <c r="B910" s="67"/>
      <c r="C910" s="67"/>
      <c r="D910" s="67"/>
      <c r="E910" s="67"/>
      <c r="F910" s="67"/>
      <c r="G910" s="67"/>
      <c r="H910" s="68"/>
    </row>
    <row r="911" spans="1:8" x14ac:dyDescent="0.2">
      <c r="A911" s="67"/>
      <c r="B911" s="67"/>
      <c r="C911" s="67"/>
      <c r="D911" s="67"/>
      <c r="E911" s="67"/>
      <c r="F911" s="67"/>
      <c r="G911" s="67"/>
      <c r="H911" s="68"/>
    </row>
    <row r="912" spans="1:8" x14ac:dyDescent="0.2">
      <c r="A912" s="67"/>
      <c r="B912" s="67"/>
      <c r="C912" s="67"/>
      <c r="D912" s="67"/>
      <c r="E912" s="67"/>
      <c r="F912" s="67"/>
      <c r="G912" s="67"/>
      <c r="H912" s="68"/>
    </row>
    <row r="913" spans="1:8" x14ac:dyDescent="0.2">
      <c r="A913" s="67"/>
      <c r="B913" s="67"/>
      <c r="C913" s="67"/>
      <c r="D913" s="67"/>
      <c r="E913" s="67"/>
      <c r="F913" s="67"/>
      <c r="G913" s="67"/>
      <c r="H913" s="68"/>
    </row>
    <row r="914" spans="1:8" x14ac:dyDescent="0.2">
      <c r="A914" s="67"/>
      <c r="B914" s="67"/>
      <c r="C914" s="67"/>
      <c r="D914" s="67"/>
      <c r="E914" s="67"/>
      <c r="F914" s="67"/>
      <c r="G914" s="67"/>
      <c r="H914" s="68"/>
    </row>
    <row r="915" spans="1:8" x14ac:dyDescent="0.2">
      <c r="A915" s="67"/>
      <c r="B915" s="67"/>
      <c r="C915" s="67"/>
      <c r="D915" s="67"/>
      <c r="E915" s="67"/>
      <c r="F915" s="67"/>
      <c r="G915" s="67"/>
      <c r="H915" s="68"/>
    </row>
    <row r="916" spans="1:8" x14ac:dyDescent="0.2">
      <c r="A916" s="67"/>
      <c r="B916" s="67"/>
      <c r="C916" s="67"/>
      <c r="D916" s="67"/>
      <c r="E916" s="67"/>
      <c r="F916" s="67"/>
      <c r="G916" s="67"/>
      <c r="H916" s="68"/>
    </row>
    <row r="917" spans="1:8" x14ac:dyDescent="0.2">
      <c r="A917" s="67"/>
      <c r="B917" s="67"/>
      <c r="C917" s="67"/>
      <c r="D917" s="67"/>
      <c r="E917" s="67"/>
      <c r="F917" s="67"/>
      <c r="G917" s="67"/>
      <c r="H917" s="68"/>
    </row>
    <row r="918" spans="1:8" x14ac:dyDescent="0.2">
      <c r="A918" s="67"/>
      <c r="B918" s="67"/>
      <c r="C918" s="67"/>
      <c r="D918" s="67"/>
      <c r="E918" s="67"/>
      <c r="F918" s="67"/>
      <c r="G918" s="67"/>
      <c r="H918" s="68"/>
    </row>
    <row r="919" spans="1:8" x14ac:dyDescent="0.2">
      <c r="A919" s="67"/>
      <c r="B919" s="67"/>
      <c r="C919" s="67"/>
      <c r="D919" s="67"/>
      <c r="E919" s="67"/>
      <c r="F919" s="67"/>
      <c r="G919" s="67"/>
      <c r="H919" s="68"/>
    </row>
    <row r="920" spans="1:8" x14ac:dyDescent="0.2">
      <c r="A920" s="67"/>
      <c r="B920" s="67"/>
      <c r="C920" s="67"/>
      <c r="D920" s="67"/>
      <c r="E920" s="67"/>
      <c r="F920" s="67"/>
      <c r="G920" s="67"/>
      <c r="H920" s="68"/>
    </row>
    <row r="921" spans="1:8" x14ac:dyDescent="0.2">
      <c r="A921" s="67"/>
      <c r="B921" s="67"/>
      <c r="C921" s="67"/>
      <c r="D921" s="67"/>
      <c r="E921" s="67"/>
      <c r="F921" s="67"/>
      <c r="G921" s="67"/>
      <c r="H921" s="68"/>
    </row>
    <row r="922" spans="1:8" x14ac:dyDescent="0.2">
      <c r="A922" s="67"/>
      <c r="B922" s="67"/>
      <c r="C922" s="67"/>
      <c r="D922" s="67"/>
      <c r="E922" s="67"/>
      <c r="F922" s="67"/>
      <c r="G922" s="67"/>
      <c r="H922" s="68"/>
    </row>
    <row r="923" spans="1:8" x14ac:dyDescent="0.2">
      <c r="A923" s="67"/>
      <c r="B923" s="67"/>
      <c r="C923" s="67"/>
      <c r="D923" s="67"/>
      <c r="E923" s="67"/>
      <c r="F923" s="67"/>
      <c r="G923" s="67"/>
      <c r="H923" s="68"/>
    </row>
    <row r="924" spans="1:8" x14ac:dyDescent="0.2">
      <c r="A924" s="67"/>
      <c r="B924" s="67"/>
      <c r="C924" s="67"/>
      <c r="D924" s="67"/>
      <c r="E924" s="67"/>
      <c r="F924" s="67"/>
      <c r="G924" s="67"/>
      <c r="H924" s="68"/>
    </row>
    <row r="925" spans="1:8" x14ac:dyDescent="0.2">
      <c r="A925" s="67"/>
      <c r="B925" s="67"/>
      <c r="C925" s="67"/>
      <c r="D925" s="67"/>
      <c r="E925" s="67"/>
      <c r="F925" s="67"/>
      <c r="G925" s="67"/>
      <c r="H925" s="68"/>
    </row>
    <row r="926" spans="1:8" x14ac:dyDescent="0.2">
      <c r="A926" s="67"/>
      <c r="B926" s="67"/>
      <c r="C926" s="67"/>
      <c r="D926" s="67"/>
      <c r="E926" s="67"/>
      <c r="F926" s="67"/>
      <c r="G926" s="67"/>
      <c r="H926" s="68"/>
    </row>
    <row r="927" spans="1:8" x14ac:dyDescent="0.2">
      <c r="A927" s="67"/>
      <c r="B927" s="67"/>
      <c r="C927" s="67"/>
      <c r="D927" s="67"/>
      <c r="E927" s="67"/>
      <c r="F927" s="67"/>
      <c r="G927" s="67"/>
      <c r="H927" s="68"/>
    </row>
    <row r="928" spans="1:8" x14ac:dyDescent="0.2">
      <c r="A928" s="67"/>
      <c r="B928" s="67"/>
      <c r="C928" s="67"/>
      <c r="D928" s="67"/>
      <c r="E928" s="67"/>
      <c r="F928" s="67"/>
      <c r="G928" s="67"/>
      <c r="H928" s="68"/>
    </row>
    <row r="929" spans="1:8" x14ac:dyDescent="0.2">
      <c r="A929" s="67"/>
      <c r="B929" s="67"/>
      <c r="C929" s="67"/>
      <c r="D929" s="67"/>
      <c r="E929" s="67"/>
      <c r="F929" s="67"/>
      <c r="G929" s="67"/>
      <c r="H929" s="68"/>
    </row>
    <row r="930" spans="1:8" x14ac:dyDescent="0.2">
      <c r="A930" s="67"/>
      <c r="B930" s="67"/>
      <c r="C930" s="67"/>
      <c r="D930" s="67"/>
      <c r="E930" s="67"/>
      <c r="F930" s="67"/>
      <c r="G930" s="67"/>
      <c r="H930" s="68"/>
    </row>
    <row r="931" spans="1:8" x14ac:dyDescent="0.2">
      <c r="A931" s="67"/>
      <c r="B931" s="67"/>
      <c r="C931" s="67"/>
      <c r="D931" s="67"/>
      <c r="E931" s="67"/>
      <c r="F931" s="67"/>
      <c r="G931" s="67"/>
      <c r="H931" s="68"/>
    </row>
    <row r="932" spans="1:8" x14ac:dyDescent="0.2">
      <c r="A932" s="67"/>
      <c r="B932" s="67"/>
      <c r="C932" s="67"/>
      <c r="D932" s="67"/>
      <c r="E932" s="67"/>
      <c r="F932" s="67"/>
      <c r="G932" s="67"/>
      <c r="H932" s="68"/>
    </row>
    <row r="933" spans="1:8" x14ac:dyDescent="0.2">
      <c r="A933" s="67"/>
      <c r="B933" s="67"/>
      <c r="C933" s="67"/>
      <c r="D933" s="67"/>
      <c r="E933" s="67"/>
      <c r="F933" s="67"/>
      <c r="G933" s="67"/>
      <c r="H933" s="68"/>
    </row>
    <row r="934" spans="1:8" x14ac:dyDescent="0.2">
      <c r="A934" s="67"/>
      <c r="B934" s="67"/>
      <c r="C934" s="67"/>
      <c r="D934" s="67"/>
      <c r="E934" s="67"/>
      <c r="F934" s="67"/>
      <c r="G934" s="67"/>
      <c r="H934" s="68"/>
    </row>
    <row r="935" spans="1:8" x14ac:dyDescent="0.2">
      <c r="A935" s="67"/>
      <c r="B935" s="67"/>
      <c r="C935" s="67"/>
      <c r="D935" s="67"/>
      <c r="E935" s="67"/>
      <c r="F935" s="67"/>
      <c r="G935" s="67"/>
      <c r="H935" s="68"/>
    </row>
    <row r="936" spans="1:8" x14ac:dyDescent="0.2">
      <c r="A936" s="67"/>
      <c r="B936" s="67"/>
      <c r="C936" s="67"/>
      <c r="D936" s="67"/>
      <c r="E936" s="67"/>
      <c r="F936" s="67"/>
      <c r="G936" s="67"/>
      <c r="H936" s="68"/>
    </row>
    <row r="937" spans="1:8" x14ac:dyDescent="0.2">
      <c r="A937" s="67"/>
      <c r="B937" s="67"/>
      <c r="C937" s="67"/>
      <c r="D937" s="67"/>
      <c r="E937" s="67"/>
      <c r="F937" s="67"/>
      <c r="G937" s="67"/>
      <c r="H937" s="68"/>
    </row>
    <row r="938" spans="1:8" x14ac:dyDescent="0.2">
      <c r="A938" s="67"/>
      <c r="B938" s="67"/>
      <c r="C938" s="67"/>
      <c r="D938" s="67"/>
      <c r="E938" s="67"/>
      <c r="F938" s="67"/>
      <c r="G938" s="67"/>
      <c r="H938" s="68"/>
    </row>
    <row r="939" spans="1:8" x14ac:dyDescent="0.2">
      <c r="A939" s="67"/>
      <c r="B939" s="67"/>
      <c r="C939" s="67"/>
      <c r="D939" s="67"/>
      <c r="E939" s="67"/>
      <c r="F939" s="67"/>
      <c r="G939" s="67"/>
      <c r="H939" s="68"/>
    </row>
    <row r="940" spans="1:8" x14ac:dyDescent="0.2">
      <c r="A940" s="67"/>
      <c r="B940" s="67"/>
      <c r="C940" s="67"/>
      <c r="D940" s="67"/>
      <c r="E940" s="67"/>
      <c r="F940" s="67"/>
      <c r="G940" s="67"/>
      <c r="H940" s="68"/>
    </row>
    <row r="941" spans="1:8" x14ac:dyDescent="0.2">
      <c r="A941" s="67"/>
      <c r="B941" s="67"/>
      <c r="C941" s="67"/>
      <c r="D941" s="67"/>
      <c r="E941" s="67"/>
      <c r="F941" s="67"/>
      <c r="G941" s="67"/>
      <c r="H941" s="68"/>
    </row>
    <row r="942" spans="1:8" x14ac:dyDescent="0.2">
      <c r="A942" s="67"/>
      <c r="B942" s="67"/>
      <c r="C942" s="67"/>
      <c r="D942" s="67"/>
      <c r="E942" s="67"/>
      <c r="F942" s="67"/>
      <c r="G942" s="67"/>
      <c r="H942" s="68"/>
    </row>
    <row r="943" spans="1:8" x14ac:dyDescent="0.2">
      <c r="A943" s="67"/>
      <c r="B943" s="67"/>
      <c r="C943" s="67"/>
      <c r="D943" s="67"/>
      <c r="E943" s="67"/>
      <c r="F943" s="67"/>
      <c r="G943" s="67"/>
      <c r="H943" s="68"/>
    </row>
    <row r="944" spans="1:8" x14ac:dyDescent="0.2">
      <c r="A944" s="67"/>
      <c r="B944" s="67"/>
      <c r="C944" s="67"/>
      <c r="D944" s="67"/>
      <c r="E944" s="67"/>
      <c r="F944" s="67"/>
      <c r="G944" s="67"/>
      <c r="H944" s="68"/>
    </row>
    <row r="945" spans="1:8" x14ac:dyDescent="0.2">
      <c r="A945" s="67"/>
      <c r="B945" s="67"/>
      <c r="C945" s="67"/>
      <c r="D945" s="67"/>
      <c r="E945" s="67"/>
      <c r="F945" s="67"/>
      <c r="G945" s="67"/>
      <c r="H945" s="68"/>
    </row>
    <row r="946" spans="1:8" x14ac:dyDescent="0.2">
      <c r="A946" s="67"/>
      <c r="B946" s="67"/>
      <c r="C946" s="67"/>
      <c r="D946" s="67"/>
      <c r="E946" s="67"/>
      <c r="F946" s="67"/>
      <c r="G946" s="67"/>
      <c r="H946" s="68"/>
    </row>
    <row r="947" spans="1:8" x14ac:dyDescent="0.2">
      <c r="A947" s="67"/>
      <c r="B947" s="67"/>
      <c r="C947" s="67"/>
      <c r="D947" s="67"/>
      <c r="E947" s="67"/>
      <c r="F947" s="67"/>
      <c r="G947" s="67"/>
      <c r="H947" s="68"/>
    </row>
    <row r="948" spans="1:8" x14ac:dyDescent="0.2">
      <c r="A948" s="67"/>
      <c r="B948" s="67"/>
      <c r="C948" s="67"/>
      <c r="D948" s="67"/>
      <c r="E948" s="67"/>
      <c r="F948" s="67"/>
      <c r="G948" s="67"/>
      <c r="H948" s="68"/>
    </row>
    <row r="949" spans="1:8" x14ac:dyDescent="0.2">
      <c r="A949" s="67"/>
      <c r="B949" s="67"/>
      <c r="C949" s="67"/>
      <c r="D949" s="67"/>
      <c r="E949" s="67"/>
      <c r="F949" s="67"/>
      <c r="G949" s="67"/>
      <c r="H949" s="68"/>
    </row>
    <row r="950" spans="1:8" x14ac:dyDescent="0.2">
      <c r="A950" s="67"/>
      <c r="B950" s="67"/>
      <c r="C950" s="67"/>
      <c r="D950" s="67"/>
      <c r="E950" s="67"/>
      <c r="F950" s="67"/>
      <c r="G950" s="67"/>
      <c r="H950" s="68"/>
    </row>
    <row r="951" spans="1:8" x14ac:dyDescent="0.2">
      <c r="A951" s="67"/>
      <c r="B951" s="67"/>
      <c r="C951" s="67"/>
      <c r="D951" s="67"/>
      <c r="E951" s="67"/>
      <c r="F951" s="67"/>
      <c r="G951" s="67"/>
      <c r="H951" s="68"/>
    </row>
    <row r="952" spans="1:8" x14ac:dyDescent="0.2">
      <c r="A952" s="67"/>
      <c r="B952" s="67"/>
      <c r="C952" s="67"/>
      <c r="D952" s="67"/>
      <c r="E952" s="67"/>
      <c r="F952" s="67"/>
      <c r="G952" s="67"/>
      <c r="H952" s="68"/>
    </row>
    <row r="953" spans="1:8" x14ac:dyDescent="0.2">
      <c r="A953" s="67"/>
      <c r="B953" s="67"/>
      <c r="C953" s="67"/>
      <c r="D953" s="67"/>
      <c r="E953" s="67"/>
      <c r="F953" s="67"/>
      <c r="G953" s="67"/>
      <c r="H953" s="68"/>
    </row>
    <row r="954" spans="1:8" x14ac:dyDescent="0.2">
      <c r="A954" s="67"/>
      <c r="B954" s="67"/>
      <c r="C954" s="67"/>
      <c r="D954" s="67"/>
      <c r="E954" s="67"/>
      <c r="F954" s="67"/>
      <c r="G954" s="67"/>
      <c r="H954" s="68"/>
    </row>
    <row r="955" spans="1:8" x14ac:dyDescent="0.2">
      <c r="A955" s="67"/>
      <c r="B955" s="67"/>
      <c r="C955" s="67"/>
      <c r="D955" s="67"/>
      <c r="E955" s="67"/>
      <c r="F955" s="67"/>
      <c r="G955" s="67"/>
      <c r="H955" s="68"/>
    </row>
    <row r="956" spans="1:8" x14ac:dyDescent="0.2">
      <c r="A956" s="67"/>
      <c r="B956" s="67"/>
      <c r="C956" s="67"/>
      <c r="D956" s="67"/>
      <c r="E956" s="67"/>
      <c r="F956" s="67"/>
      <c r="G956" s="67"/>
      <c r="H956" s="68"/>
    </row>
    <row r="957" spans="1:8" x14ac:dyDescent="0.2">
      <c r="A957" s="67"/>
      <c r="B957" s="67"/>
      <c r="C957" s="67"/>
      <c r="D957" s="67"/>
      <c r="E957" s="67"/>
      <c r="F957" s="67"/>
      <c r="G957" s="67"/>
      <c r="H957" s="68"/>
    </row>
    <row r="958" spans="1:8" x14ac:dyDescent="0.2">
      <c r="A958" s="67"/>
      <c r="B958" s="67"/>
      <c r="C958" s="67"/>
      <c r="D958" s="67"/>
      <c r="E958" s="67"/>
      <c r="F958" s="67"/>
      <c r="G958" s="67"/>
      <c r="H958" s="68"/>
    </row>
    <row r="959" spans="1:8" x14ac:dyDescent="0.2">
      <c r="A959" s="67"/>
      <c r="B959" s="67"/>
      <c r="C959" s="67"/>
      <c r="D959" s="67"/>
      <c r="E959" s="67"/>
      <c r="F959" s="67"/>
      <c r="G959" s="67"/>
      <c r="H959" s="68"/>
    </row>
    <row r="960" spans="1:8" x14ac:dyDescent="0.2">
      <c r="A960" s="67"/>
      <c r="B960" s="67"/>
      <c r="C960" s="67"/>
      <c r="D960" s="67"/>
      <c r="E960" s="67"/>
      <c r="F960" s="67"/>
      <c r="G960" s="67"/>
      <c r="H960" s="68"/>
    </row>
    <row r="961" spans="1:8" x14ac:dyDescent="0.2">
      <c r="A961" s="67"/>
      <c r="B961" s="67"/>
      <c r="C961" s="67"/>
      <c r="D961" s="67"/>
      <c r="E961" s="67"/>
      <c r="F961" s="67"/>
      <c r="G961" s="67"/>
      <c r="H961" s="68"/>
    </row>
    <row r="962" spans="1:8" x14ac:dyDescent="0.2">
      <c r="A962" s="67"/>
      <c r="B962" s="67"/>
      <c r="C962" s="67"/>
      <c r="D962" s="67"/>
      <c r="E962" s="67"/>
      <c r="F962" s="67"/>
      <c r="G962" s="67"/>
      <c r="H962" s="68"/>
    </row>
    <row r="963" spans="1:8" x14ac:dyDescent="0.2">
      <c r="A963" s="67"/>
      <c r="B963" s="67"/>
      <c r="C963" s="67"/>
      <c r="D963" s="67"/>
      <c r="E963" s="67"/>
      <c r="F963" s="67"/>
      <c r="G963" s="67"/>
      <c r="H963" s="68"/>
    </row>
    <row r="964" spans="1:8" x14ac:dyDescent="0.2">
      <c r="A964" s="67"/>
      <c r="B964" s="67"/>
      <c r="C964" s="67"/>
      <c r="D964" s="67"/>
      <c r="E964" s="67"/>
      <c r="F964" s="67"/>
      <c r="G964" s="67"/>
      <c r="H964" s="68"/>
    </row>
    <row r="965" spans="1:8" x14ac:dyDescent="0.2">
      <c r="A965" s="67"/>
      <c r="B965" s="67"/>
      <c r="C965" s="67"/>
      <c r="D965" s="67"/>
      <c r="E965" s="67"/>
      <c r="F965" s="67"/>
      <c r="G965" s="67"/>
      <c r="H965" s="68"/>
    </row>
    <row r="966" spans="1:8" x14ac:dyDescent="0.2">
      <c r="A966" s="67"/>
      <c r="B966" s="67"/>
      <c r="C966" s="67"/>
      <c r="D966" s="67"/>
      <c r="E966" s="67"/>
      <c r="F966" s="67"/>
      <c r="G966" s="67"/>
      <c r="H966" s="68"/>
    </row>
    <row r="967" spans="1:8" x14ac:dyDescent="0.2">
      <c r="A967" s="67"/>
      <c r="B967" s="67"/>
      <c r="C967" s="67"/>
      <c r="D967" s="67"/>
      <c r="E967" s="67"/>
      <c r="F967" s="67"/>
      <c r="G967" s="67"/>
      <c r="H967" s="68"/>
    </row>
    <row r="968" spans="1:8" x14ac:dyDescent="0.2">
      <c r="A968" s="67"/>
      <c r="B968" s="67"/>
      <c r="C968" s="67"/>
      <c r="D968" s="67"/>
      <c r="E968" s="67"/>
      <c r="F968" s="67"/>
      <c r="G968" s="67"/>
      <c r="H968" s="68"/>
    </row>
    <row r="969" spans="1:8" x14ac:dyDescent="0.2">
      <c r="A969" s="67"/>
      <c r="B969" s="67"/>
      <c r="C969" s="67"/>
      <c r="D969" s="67"/>
      <c r="E969" s="67"/>
      <c r="F969" s="67"/>
      <c r="G969" s="67"/>
      <c r="H969" s="68"/>
    </row>
    <row r="970" spans="1:8" x14ac:dyDescent="0.2">
      <c r="A970" s="67"/>
      <c r="B970" s="67"/>
      <c r="C970" s="67"/>
      <c r="D970" s="67"/>
      <c r="E970" s="67"/>
      <c r="F970" s="67"/>
      <c r="G970" s="67"/>
      <c r="H970" s="68"/>
    </row>
    <row r="971" spans="1:8" x14ac:dyDescent="0.2">
      <c r="A971" s="67"/>
      <c r="B971" s="67"/>
      <c r="C971" s="67"/>
      <c r="D971" s="67"/>
      <c r="E971" s="67"/>
      <c r="F971" s="67"/>
      <c r="G971" s="67"/>
      <c r="H971" s="68"/>
    </row>
    <row r="972" spans="1:8" x14ac:dyDescent="0.2">
      <c r="A972" s="67"/>
      <c r="B972" s="67"/>
      <c r="C972" s="67"/>
      <c r="D972" s="67"/>
      <c r="E972" s="67"/>
      <c r="F972" s="67"/>
      <c r="G972" s="67"/>
      <c r="H972" s="68"/>
    </row>
    <row r="973" spans="1:8" x14ac:dyDescent="0.2">
      <c r="A973" s="67"/>
      <c r="B973" s="67"/>
      <c r="C973" s="67"/>
      <c r="D973" s="67"/>
      <c r="E973" s="67"/>
      <c r="F973" s="67"/>
      <c r="G973" s="67"/>
      <c r="H973" s="68"/>
    </row>
    <row r="974" spans="1:8" x14ac:dyDescent="0.2">
      <c r="A974" s="67"/>
      <c r="B974" s="67"/>
      <c r="C974" s="67"/>
      <c r="D974" s="67"/>
      <c r="E974" s="67"/>
      <c r="F974" s="67"/>
      <c r="G974" s="67"/>
      <c r="H974" s="68"/>
    </row>
    <row r="975" spans="1:8" x14ac:dyDescent="0.2">
      <c r="A975" s="67"/>
      <c r="B975" s="67"/>
      <c r="C975" s="67"/>
      <c r="D975" s="67"/>
      <c r="E975" s="67"/>
      <c r="F975" s="67"/>
      <c r="G975" s="67"/>
      <c r="H975" s="68"/>
    </row>
    <row r="976" spans="1:8" x14ac:dyDescent="0.2">
      <c r="A976" s="67"/>
      <c r="B976" s="67"/>
      <c r="C976" s="67"/>
      <c r="D976" s="67"/>
      <c r="E976" s="67"/>
      <c r="F976" s="67"/>
      <c r="G976" s="67"/>
      <c r="H976" s="68"/>
    </row>
    <row r="977" spans="1:8" x14ac:dyDescent="0.2">
      <c r="A977" s="67"/>
      <c r="B977" s="67"/>
      <c r="C977" s="67"/>
      <c r="D977" s="67"/>
      <c r="E977" s="67"/>
      <c r="F977" s="67"/>
      <c r="G977" s="67"/>
      <c r="H977" s="68"/>
    </row>
    <row r="978" spans="1:8" x14ac:dyDescent="0.2">
      <c r="A978" s="67"/>
      <c r="B978" s="67"/>
      <c r="C978" s="67"/>
      <c r="D978" s="67"/>
      <c r="E978" s="67"/>
      <c r="F978" s="67"/>
      <c r="G978" s="67"/>
      <c r="H978" s="68"/>
    </row>
    <row r="979" spans="1:8" x14ac:dyDescent="0.2">
      <c r="A979" s="67"/>
      <c r="B979" s="67"/>
      <c r="C979" s="67"/>
      <c r="D979" s="67"/>
      <c r="E979" s="67"/>
      <c r="F979" s="67"/>
      <c r="G979" s="67"/>
      <c r="H979" s="68"/>
    </row>
    <row r="980" spans="1:8" x14ac:dyDescent="0.2">
      <c r="A980" s="67"/>
      <c r="B980" s="67"/>
      <c r="C980" s="67"/>
      <c r="D980" s="67"/>
      <c r="E980" s="67"/>
      <c r="F980" s="67"/>
      <c r="G980" s="67"/>
      <c r="H980" s="68"/>
    </row>
    <row r="981" spans="1:8" x14ac:dyDescent="0.2">
      <c r="A981" s="67"/>
      <c r="B981" s="67"/>
      <c r="C981" s="67"/>
      <c r="D981" s="67"/>
      <c r="E981" s="67"/>
      <c r="F981" s="67"/>
      <c r="G981" s="67"/>
      <c r="H981" s="68"/>
    </row>
    <row r="982" spans="1:8" x14ac:dyDescent="0.2">
      <c r="A982" s="67"/>
      <c r="B982" s="67"/>
      <c r="C982" s="67"/>
      <c r="D982" s="67"/>
      <c r="E982" s="67"/>
      <c r="F982" s="67"/>
      <c r="G982" s="67"/>
      <c r="H982" s="68"/>
    </row>
    <row r="983" spans="1:8" x14ac:dyDescent="0.2">
      <c r="A983" s="67"/>
      <c r="B983" s="67"/>
      <c r="C983" s="67"/>
      <c r="D983" s="67"/>
      <c r="E983" s="67"/>
      <c r="F983" s="67"/>
      <c r="G983" s="67"/>
      <c r="H983" s="68"/>
    </row>
    <row r="984" spans="1:8" x14ac:dyDescent="0.2">
      <c r="A984" s="67"/>
      <c r="B984" s="67"/>
      <c r="C984" s="67"/>
      <c r="D984" s="67"/>
      <c r="E984" s="67"/>
      <c r="F984" s="67"/>
      <c r="G984" s="67"/>
      <c r="H984" s="68"/>
    </row>
    <row r="985" spans="1:8" x14ac:dyDescent="0.2">
      <c r="A985" s="67"/>
      <c r="B985" s="67"/>
      <c r="C985" s="67"/>
      <c r="D985" s="67"/>
      <c r="E985" s="67"/>
      <c r="F985" s="67"/>
      <c r="G985" s="67"/>
      <c r="H985" s="68"/>
    </row>
    <row r="986" spans="1:8" x14ac:dyDescent="0.2">
      <c r="A986" s="67"/>
      <c r="B986" s="67"/>
      <c r="C986" s="67"/>
      <c r="D986" s="67"/>
      <c r="E986" s="67"/>
      <c r="F986" s="67"/>
      <c r="G986" s="67"/>
      <c r="H986" s="68"/>
    </row>
    <row r="987" spans="1:8" x14ac:dyDescent="0.2">
      <c r="A987" s="67"/>
      <c r="B987" s="67"/>
      <c r="C987" s="67"/>
      <c r="D987" s="67"/>
      <c r="E987" s="67"/>
      <c r="F987" s="67"/>
      <c r="G987" s="67"/>
      <c r="H987" s="68"/>
    </row>
    <row r="988" spans="1:8" x14ac:dyDescent="0.2">
      <c r="A988" s="67"/>
      <c r="B988" s="67"/>
      <c r="C988" s="67"/>
      <c r="D988" s="67"/>
      <c r="E988" s="67"/>
      <c r="F988" s="67"/>
      <c r="G988" s="67"/>
      <c r="H988" s="68"/>
    </row>
    <row r="989" spans="1:8" x14ac:dyDescent="0.2">
      <c r="A989" s="67"/>
      <c r="B989" s="67"/>
      <c r="C989" s="67"/>
      <c r="D989" s="67"/>
      <c r="E989" s="67"/>
      <c r="F989" s="67"/>
      <c r="G989" s="67"/>
      <c r="H989" s="68"/>
    </row>
    <row r="990" spans="1:8" x14ac:dyDescent="0.2">
      <c r="A990" s="67"/>
      <c r="B990" s="67"/>
      <c r="C990" s="67"/>
      <c r="D990" s="67"/>
      <c r="E990" s="67"/>
      <c r="F990" s="67"/>
      <c r="G990" s="67"/>
      <c r="H990" s="68"/>
    </row>
    <row r="991" spans="1:8" x14ac:dyDescent="0.2">
      <c r="A991" s="67"/>
      <c r="B991" s="67"/>
      <c r="C991" s="67"/>
      <c r="D991" s="67"/>
      <c r="E991" s="67"/>
      <c r="F991" s="67"/>
      <c r="G991" s="67"/>
      <c r="H991" s="68"/>
    </row>
    <row r="992" spans="1:8" x14ac:dyDescent="0.2">
      <c r="A992" s="67"/>
      <c r="B992" s="67"/>
      <c r="C992" s="67"/>
      <c r="D992" s="67"/>
      <c r="E992" s="67"/>
      <c r="F992" s="67"/>
      <c r="G992" s="67"/>
      <c r="H992" s="68"/>
    </row>
    <row r="993" spans="1:8" x14ac:dyDescent="0.2">
      <c r="A993" s="67"/>
      <c r="B993" s="67"/>
      <c r="C993" s="67"/>
      <c r="D993" s="67"/>
      <c r="E993" s="67"/>
      <c r="F993" s="67"/>
      <c r="G993" s="67"/>
      <c r="H993" s="68"/>
    </row>
    <row r="994" spans="1:8" x14ac:dyDescent="0.2">
      <c r="A994" s="67"/>
      <c r="B994" s="67"/>
      <c r="C994" s="67"/>
      <c r="D994" s="67"/>
      <c r="E994" s="67"/>
      <c r="F994" s="67"/>
      <c r="G994" s="67"/>
      <c r="H994" s="68"/>
    </row>
    <row r="995" spans="1:8" x14ac:dyDescent="0.2">
      <c r="A995" s="67"/>
      <c r="B995" s="67"/>
      <c r="C995" s="67"/>
      <c r="D995" s="67"/>
      <c r="E995" s="67"/>
      <c r="F995" s="67"/>
      <c r="G995" s="67"/>
      <c r="H995" s="68"/>
    </row>
    <row r="996" spans="1:8" x14ac:dyDescent="0.2">
      <c r="A996" s="67"/>
      <c r="B996" s="67"/>
      <c r="C996" s="67"/>
      <c r="D996" s="67"/>
      <c r="E996" s="67"/>
      <c r="F996" s="67"/>
      <c r="G996" s="67"/>
      <c r="H996" s="68"/>
    </row>
    <row r="997" spans="1:8" x14ac:dyDescent="0.2">
      <c r="A997" s="67"/>
      <c r="B997" s="67"/>
      <c r="C997" s="67"/>
      <c r="D997" s="67"/>
      <c r="E997" s="67"/>
      <c r="F997" s="67"/>
      <c r="G997" s="67"/>
      <c r="H997" s="68"/>
    </row>
    <row r="998" spans="1:8" x14ac:dyDescent="0.2">
      <c r="A998" s="67"/>
      <c r="B998" s="67"/>
      <c r="C998" s="67"/>
      <c r="D998" s="67"/>
      <c r="E998" s="67"/>
      <c r="F998" s="67"/>
      <c r="G998" s="67"/>
      <c r="H998" s="68"/>
    </row>
    <row r="999" spans="1:8" x14ac:dyDescent="0.2">
      <c r="A999" s="67"/>
      <c r="B999" s="67"/>
      <c r="C999" s="67"/>
      <c r="D999" s="67"/>
      <c r="E999" s="67"/>
      <c r="F999" s="67"/>
      <c r="G999" s="67"/>
      <c r="H999" s="68"/>
    </row>
    <row r="1000" spans="1:8" x14ac:dyDescent="0.2">
      <c r="A1000" s="67"/>
      <c r="B1000" s="67"/>
      <c r="C1000" s="67"/>
      <c r="D1000" s="67"/>
      <c r="E1000" s="67"/>
      <c r="F1000" s="67"/>
      <c r="G1000" s="67"/>
      <c r="H1000" s="68"/>
    </row>
    <row r="1001" spans="1:8" x14ac:dyDescent="0.2">
      <c r="A1001" s="67"/>
      <c r="B1001" s="67"/>
      <c r="C1001" s="67"/>
      <c r="D1001" s="67"/>
      <c r="E1001" s="67"/>
      <c r="F1001" s="67"/>
      <c r="G1001" s="67"/>
      <c r="H1001" s="68"/>
    </row>
    <row r="1002" spans="1:8" x14ac:dyDescent="0.2">
      <c r="A1002" s="67"/>
      <c r="B1002" s="67"/>
      <c r="C1002" s="67"/>
      <c r="D1002" s="67"/>
      <c r="E1002" s="67"/>
      <c r="F1002" s="67"/>
      <c r="G1002" s="67"/>
      <c r="H1002" s="68"/>
    </row>
    <row r="1003" spans="1:8" x14ac:dyDescent="0.2">
      <c r="A1003" s="67"/>
      <c r="B1003" s="67"/>
      <c r="C1003" s="67"/>
      <c r="D1003" s="67"/>
      <c r="E1003" s="67"/>
      <c r="F1003" s="67"/>
      <c r="G1003" s="67"/>
      <c r="H1003" s="68"/>
    </row>
    <row r="1004" spans="1:8" x14ac:dyDescent="0.2">
      <c r="A1004" s="67"/>
      <c r="B1004" s="67"/>
      <c r="C1004" s="67"/>
      <c r="D1004" s="67"/>
      <c r="E1004" s="67"/>
      <c r="F1004" s="67"/>
      <c r="G1004" s="67"/>
      <c r="H1004" s="68"/>
    </row>
    <row r="1005" spans="1:8" x14ac:dyDescent="0.2">
      <c r="A1005" s="67"/>
      <c r="B1005" s="67"/>
      <c r="C1005" s="67"/>
      <c r="D1005" s="67"/>
      <c r="E1005" s="67"/>
      <c r="F1005" s="67"/>
      <c r="G1005" s="67"/>
      <c r="H1005" s="68"/>
    </row>
    <row r="1006" spans="1:8" x14ac:dyDescent="0.2">
      <c r="A1006" s="67"/>
      <c r="B1006" s="67"/>
      <c r="C1006" s="67"/>
      <c r="D1006" s="67"/>
      <c r="E1006" s="67"/>
      <c r="F1006" s="67"/>
      <c r="G1006" s="67"/>
      <c r="H1006" s="68"/>
    </row>
    <row r="1007" spans="1:8" x14ac:dyDescent="0.2">
      <c r="A1007" s="67"/>
      <c r="B1007" s="67"/>
      <c r="C1007" s="67"/>
      <c r="D1007" s="67"/>
      <c r="E1007" s="67"/>
      <c r="F1007" s="67"/>
      <c r="G1007" s="67"/>
      <c r="H1007" s="68"/>
    </row>
    <row r="1008" spans="1:8" x14ac:dyDescent="0.2">
      <c r="A1008" s="67"/>
      <c r="B1008" s="67"/>
      <c r="C1008" s="67"/>
      <c r="D1008" s="67"/>
      <c r="E1008" s="67"/>
      <c r="F1008" s="67"/>
      <c r="G1008" s="67"/>
      <c r="H1008" s="68"/>
    </row>
    <row r="1009" spans="1:8" x14ac:dyDescent="0.2">
      <c r="A1009" s="67"/>
      <c r="B1009" s="67"/>
      <c r="C1009" s="67"/>
      <c r="D1009" s="67"/>
      <c r="E1009" s="67"/>
      <c r="F1009" s="67"/>
      <c r="G1009" s="67"/>
      <c r="H1009" s="68"/>
    </row>
    <row r="1010" spans="1:8" x14ac:dyDescent="0.2">
      <c r="A1010" s="67"/>
      <c r="B1010" s="67"/>
      <c r="C1010" s="67"/>
      <c r="D1010" s="67"/>
      <c r="E1010" s="67"/>
      <c r="F1010" s="67"/>
      <c r="G1010" s="67"/>
      <c r="H1010" s="68"/>
    </row>
    <row r="1011" spans="1:8" x14ac:dyDescent="0.2">
      <c r="A1011" s="67"/>
      <c r="B1011" s="67"/>
      <c r="C1011" s="67"/>
      <c r="D1011" s="67"/>
      <c r="E1011" s="67"/>
      <c r="F1011" s="67"/>
      <c r="G1011" s="67"/>
      <c r="H1011" s="68"/>
    </row>
    <row r="1012" spans="1:8" x14ac:dyDescent="0.2">
      <c r="A1012" s="67"/>
      <c r="B1012" s="67"/>
      <c r="C1012" s="67"/>
      <c r="D1012" s="67"/>
      <c r="E1012" s="67"/>
      <c r="F1012" s="67"/>
      <c r="G1012" s="67"/>
      <c r="H1012" s="68"/>
    </row>
    <row r="1013" spans="1:8" x14ac:dyDescent="0.2">
      <c r="A1013" s="67"/>
      <c r="B1013" s="67"/>
      <c r="C1013" s="67"/>
      <c r="D1013" s="67"/>
      <c r="E1013" s="67"/>
      <c r="F1013" s="67"/>
      <c r="G1013" s="67"/>
      <c r="H1013" s="68"/>
    </row>
    <row r="1014" spans="1:8" x14ac:dyDescent="0.2">
      <c r="A1014" s="67"/>
      <c r="B1014" s="67"/>
      <c r="C1014" s="67"/>
      <c r="D1014" s="67"/>
      <c r="E1014" s="67"/>
      <c r="F1014" s="67"/>
      <c r="G1014" s="67"/>
      <c r="H1014" s="68"/>
    </row>
    <row r="1015" spans="1:8" x14ac:dyDescent="0.2">
      <c r="A1015" s="67"/>
      <c r="B1015" s="67"/>
      <c r="C1015" s="67"/>
      <c r="D1015" s="67"/>
      <c r="E1015" s="67"/>
      <c r="F1015" s="67"/>
      <c r="G1015" s="67"/>
      <c r="H1015" s="68"/>
    </row>
    <row r="1016" spans="1:8" x14ac:dyDescent="0.2">
      <c r="A1016" s="67"/>
      <c r="B1016" s="67"/>
      <c r="C1016" s="67"/>
      <c r="D1016" s="67"/>
      <c r="E1016" s="67"/>
      <c r="F1016" s="67"/>
      <c r="G1016" s="67"/>
      <c r="H1016" s="68"/>
    </row>
    <row r="1017" spans="1:8" x14ac:dyDescent="0.2">
      <c r="A1017" s="67"/>
      <c r="B1017" s="67"/>
      <c r="C1017" s="67"/>
      <c r="D1017" s="67"/>
      <c r="E1017" s="67"/>
      <c r="F1017" s="67"/>
      <c r="G1017" s="67"/>
      <c r="H1017" s="68"/>
    </row>
    <row r="1018" spans="1:8" x14ac:dyDescent="0.2">
      <c r="A1018" s="67"/>
      <c r="B1018" s="67"/>
      <c r="C1018" s="67"/>
      <c r="D1018" s="67"/>
      <c r="E1018" s="67"/>
      <c r="F1018" s="67"/>
      <c r="G1018" s="67"/>
      <c r="H1018" s="68"/>
    </row>
    <row r="1019" spans="1:8" x14ac:dyDescent="0.2">
      <c r="A1019" s="67"/>
      <c r="B1019" s="67"/>
      <c r="C1019" s="67"/>
      <c r="D1019" s="67"/>
      <c r="E1019" s="67"/>
      <c r="F1019" s="67"/>
      <c r="G1019" s="67"/>
      <c r="H1019" s="68"/>
    </row>
    <row r="1020" spans="1:8" x14ac:dyDescent="0.2">
      <c r="A1020" s="67"/>
      <c r="B1020" s="67"/>
      <c r="C1020" s="67"/>
      <c r="D1020" s="67"/>
      <c r="E1020" s="67"/>
      <c r="F1020" s="67"/>
      <c r="G1020" s="67"/>
      <c r="H1020" s="68"/>
    </row>
    <row r="1021" spans="1:8" x14ac:dyDescent="0.2">
      <c r="A1021" s="67"/>
      <c r="B1021" s="67"/>
      <c r="C1021" s="67"/>
      <c r="D1021" s="67"/>
      <c r="E1021" s="67"/>
      <c r="F1021" s="67"/>
      <c r="G1021" s="67"/>
      <c r="H1021" s="68"/>
    </row>
    <row r="1022" spans="1:8" x14ac:dyDescent="0.2">
      <c r="A1022" s="67"/>
      <c r="B1022" s="67"/>
      <c r="C1022" s="67"/>
      <c r="D1022" s="67"/>
      <c r="E1022" s="67"/>
      <c r="F1022" s="67"/>
      <c r="G1022" s="67"/>
      <c r="H1022" s="68"/>
    </row>
    <row r="1023" spans="1:8" x14ac:dyDescent="0.2">
      <c r="A1023" s="67"/>
      <c r="B1023" s="67"/>
      <c r="C1023" s="67"/>
      <c r="D1023" s="67"/>
      <c r="E1023" s="67"/>
      <c r="F1023" s="67"/>
      <c r="G1023" s="67"/>
      <c r="H1023" s="68"/>
    </row>
    <row r="1024" spans="1:8" x14ac:dyDescent="0.2">
      <c r="A1024" s="67"/>
      <c r="B1024" s="67"/>
      <c r="C1024" s="67"/>
      <c r="D1024" s="67"/>
      <c r="E1024" s="67"/>
      <c r="F1024" s="67"/>
      <c r="G1024" s="67"/>
      <c r="H1024" s="68"/>
    </row>
    <row r="1025" spans="1:8" x14ac:dyDescent="0.2">
      <c r="A1025" s="67"/>
      <c r="B1025" s="67"/>
      <c r="C1025" s="67"/>
      <c r="D1025" s="67"/>
      <c r="E1025" s="67"/>
      <c r="F1025" s="67"/>
      <c r="G1025" s="67"/>
      <c r="H1025" s="68"/>
    </row>
    <row r="1026" spans="1:8" x14ac:dyDescent="0.2">
      <c r="A1026" s="67"/>
      <c r="B1026" s="67"/>
      <c r="C1026" s="67"/>
      <c r="D1026" s="67"/>
      <c r="E1026" s="67"/>
      <c r="F1026" s="67"/>
      <c r="G1026" s="67"/>
      <c r="H1026" s="68"/>
    </row>
    <row r="1027" spans="1:8" x14ac:dyDescent="0.2">
      <c r="A1027" s="67"/>
      <c r="B1027" s="67"/>
      <c r="C1027" s="67"/>
      <c r="D1027" s="67"/>
      <c r="E1027" s="67"/>
      <c r="F1027" s="67"/>
      <c r="G1027" s="67"/>
      <c r="H1027" s="68"/>
    </row>
    <row r="1028" spans="1:8" x14ac:dyDescent="0.2">
      <c r="A1028" s="67"/>
      <c r="B1028" s="67"/>
      <c r="C1028" s="67"/>
      <c r="D1028" s="67"/>
      <c r="E1028" s="67"/>
      <c r="F1028" s="67"/>
      <c r="G1028" s="67"/>
      <c r="H1028" s="68"/>
    </row>
    <row r="1029" spans="1:8" x14ac:dyDescent="0.2">
      <c r="A1029" s="67"/>
      <c r="B1029" s="67"/>
      <c r="C1029" s="67"/>
      <c r="D1029" s="67"/>
      <c r="E1029" s="67"/>
      <c r="F1029" s="67"/>
      <c r="G1029" s="67"/>
      <c r="H1029" s="68"/>
    </row>
    <row r="1030" spans="1:8" x14ac:dyDescent="0.2">
      <c r="A1030" s="67"/>
      <c r="B1030" s="67"/>
      <c r="C1030" s="67"/>
      <c r="D1030" s="67"/>
      <c r="E1030" s="67"/>
      <c r="F1030" s="67"/>
      <c r="G1030" s="67"/>
      <c r="H1030" s="68"/>
    </row>
    <row r="1031" spans="1:8" x14ac:dyDescent="0.2">
      <c r="A1031" s="67"/>
      <c r="B1031" s="67"/>
      <c r="C1031" s="67"/>
      <c r="D1031" s="67"/>
      <c r="E1031" s="67"/>
      <c r="F1031" s="67"/>
      <c r="G1031" s="67"/>
      <c r="H1031" s="68"/>
    </row>
    <row r="1032" spans="1:8" x14ac:dyDescent="0.2">
      <c r="A1032" s="67"/>
      <c r="B1032" s="67"/>
      <c r="C1032" s="67"/>
      <c r="D1032" s="67"/>
      <c r="E1032" s="67"/>
      <c r="F1032" s="67"/>
      <c r="G1032" s="67"/>
      <c r="H1032" s="68"/>
    </row>
    <row r="1033" spans="1:8" x14ac:dyDescent="0.2">
      <c r="A1033" s="67"/>
      <c r="B1033" s="67"/>
      <c r="C1033" s="67"/>
      <c r="D1033" s="67"/>
      <c r="E1033" s="67"/>
      <c r="F1033" s="67"/>
      <c r="G1033" s="67"/>
      <c r="H1033" s="68"/>
    </row>
    <row r="1034" spans="1:8" x14ac:dyDescent="0.2">
      <c r="A1034" s="67"/>
      <c r="B1034" s="67"/>
      <c r="C1034" s="67"/>
      <c r="D1034" s="67"/>
      <c r="E1034" s="67"/>
      <c r="F1034" s="67"/>
      <c r="G1034" s="67"/>
      <c r="H1034" s="68"/>
    </row>
    <row r="1035" spans="1:8" x14ac:dyDescent="0.2">
      <c r="A1035" s="67"/>
      <c r="B1035" s="67"/>
      <c r="C1035" s="67"/>
      <c r="D1035" s="67"/>
      <c r="E1035" s="67"/>
      <c r="F1035" s="67"/>
      <c r="G1035" s="67"/>
      <c r="H1035" s="68"/>
    </row>
    <row r="1036" spans="1:8" x14ac:dyDescent="0.2">
      <c r="A1036" s="67"/>
      <c r="B1036" s="67"/>
      <c r="C1036" s="67"/>
      <c r="D1036" s="67"/>
      <c r="E1036" s="67"/>
      <c r="F1036" s="67"/>
      <c r="G1036" s="67"/>
      <c r="H1036" s="68"/>
    </row>
    <row r="1037" spans="1:8" x14ac:dyDescent="0.2">
      <c r="A1037" s="67"/>
      <c r="B1037" s="67"/>
      <c r="C1037" s="67"/>
      <c r="D1037" s="67"/>
      <c r="E1037" s="67"/>
      <c r="F1037" s="67"/>
      <c r="G1037" s="67"/>
      <c r="H1037" s="68"/>
    </row>
    <row r="1038" spans="1:8" x14ac:dyDescent="0.2">
      <c r="A1038" s="67"/>
      <c r="B1038" s="67"/>
      <c r="C1038" s="67"/>
      <c r="D1038" s="67"/>
      <c r="E1038" s="67"/>
      <c r="F1038" s="67"/>
      <c r="G1038" s="67"/>
      <c r="H1038" s="68"/>
    </row>
    <row r="1039" spans="1:8" x14ac:dyDescent="0.2">
      <c r="A1039" s="67"/>
      <c r="B1039" s="67"/>
      <c r="C1039" s="67"/>
      <c r="D1039" s="67"/>
      <c r="E1039" s="67"/>
      <c r="F1039" s="67"/>
      <c r="G1039" s="67"/>
      <c r="H1039" s="68"/>
    </row>
    <row r="1040" spans="1:8" x14ac:dyDescent="0.2">
      <c r="A1040" s="67"/>
      <c r="B1040" s="67"/>
      <c r="C1040" s="67"/>
      <c r="D1040" s="67"/>
      <c r="E1040" s="67"/>
      <c r="F1040" s="67"/>
      <c r="G1040" s="67"/>
      <c r="H1040" s="68"/>
    </row>
    <row r="1041" spans="1:8" x14ac:dyDescent="0.2">
      <c r="A1041" s="67"/>
      <c r="B1041" s="67"/>
      <c r="C1041" s="67"/>
      <c r="D1041" s="67"/>
      <c r="E1041" s="67"/>
      <c r="F1041" s="67"/>
      <c r="G1041" s="67"/>
      <c r="H1041" s="68"/>
    </row>
    <row r="1042" spans="1:8" x14ac:dyDescent="0.2">
      <c r="A1042" s="67"/>
      <c r="B1042" s="67"/>
      <c r="C1042" s="67"/>
      <c r="D1042" s="67"/>
      <c r="E1042" s="67"/>
      <c r="F1042" s="67"/>
      <c r="G1042" s="67"/>
      <c r="H1042" s="68"/>
    </row>
    <row r="1043" spans="1:8" x14ac:dyDescent="0.2">
      <c r="A1043" s="67"/>
      <c r="B1043" s="67"/>
      <c r="C1043" s="67"/>
      <c r="D1043" s="67"/>
      <c r="E1043" s="67"/>
      <c r="F1043" s="67"/>
      <c r="G1043" s="67"/>
      <c r="H1043" s="68"/>
    </row>
    <row r="1044" spans="1:8" x14ac:dyDescent="0.2">
      <c r="A1044" s="67"/>
      <c r="B1044" s="67"/>
      <c r="C1044" s="67"/>
      <c r="D1044" s="67"/>
      <c r="E1044" s="67"/>
      <c r="F1044" s="67"/>
      <c r="G1044" s="67"/>
      <c r="H1044" s="68"/>
    </row>
    <row r="1045" spans="1:8" x14ac:dyDescent="0.2">
      <c r="A1045" s="67"/>
      <c r="B1045" s="67"/>
      <c r="C1045" s="67"/>
      <c r="D1045" s="67"/>
      <c r="E1045" s="67"/>
      <c r="F1045" s="67"/>
      <c r="G1045" s="67"/>
      <c r="H1045" s="68"/>
    </row>
    <row r="1046" spans="1:8" x14ac:dyDescent="0.2">
      <c r="A1046" s="67"/>
      <c r="B1046" s="67"/>
      <c r="C1046" s="67"/>
      <c r="D1046" s="67"/>
      <c r="E1046" s="67"/>
      <c r="F1046" s="67"/>
      <c r="G1046" s="67"/>
      <c r="H1046" s="68"/>
    </row>
    <row r="1047" spans="1:8" x14ac:dyDescent="0.2">
      <c r="A1047" s="67"/>
      <c r="B1047" s="67"/>
      <c r="C1047" s="67"/>
      <c r="D1047" s="67"/>
      <c r="E1047" s="67"/>
      <c r="F1047" s="67"/>
      <c r="G1047" s="67"/>
      <c r="H1047" s="68"/>
    </row>
    <row r="1048" spans="1:8" x14ac:dyDescent="0.2">
      <c r="A1048" s="67"/>
      <c r="B1048" s="67"/>
      <c r="C1048" s="67"/>
      <c r="D1048" s="67"/>
      <c r="E1048" s="67"/>
      <c r="F1048" s="67"/>
      <c r="G1048" s="67"/>
      <c r="H1048" s="68"/>
    </row>
    <row r="1049" spans="1:8" x14ac:dyDescent="0.2">
      <c r="A1049" s="67"/>
      <c r="B1049" s="67"/>
      <c r="C1049" s="67"/>
      <c r="D1049" s="67"/>
      <c r="E1049" s="67"/>
      <c r="F1049" s="67"/>
      <c r="G1049" s="67"/>
      <c r="H1049" s="68"/>
    </row>
    <row r="1050" spans="1:8" x14ac:dyDescent="0.2">
      <c r="A1050" s="67"/>
      <c r="B1050" s="67"/>
      <c r="C1050" s="67"/>
      <c r="D1050" s="67"/>
      <c r="E1050" s="67"/>
      <c r="F1050" s="67"/>
      <c r="G1050" s="67"/>
      <c r="H1050" s="68"/>
    </row>
    <row r="1051" spans="1:8" x14ac:dyDescent="0.2">
      <c r="A1051" s="67"/>
      <c r="B1051" s="67"/>
      <c r="C1051" s="67"/>
      <c r="D1051" s="67"/>
      <c r="E1051" s="67"/>
      <c r="F1051" s="67"/>
      <c r="G1051" s="67"/>
      <c r="H1051" s="68"/>
    </row>
    <row r="1052" spans="1:8" x14ac:dyDescent="0.2">
      <c r="A1052" s="67"/>
      <c r="B1052" s="67"/>
      <c r="C1052" s="67"/>
      <c r="D1052" s="67"/>
      <c r="E1052" s="67"/>
      <c r="F1052" s="67"/>
      <c r="G1052" s="67"/>
      <c r="H1052" s="68"/>
    </row>
    <row r="1053" spans="1:8" x14ac:dyDescent="0.2">
      <c r="A1053" s="67"/>
      <c r="B1053" s="67"/>
      <c r="C1053" s="67"/>
      <c r="D1053" s="67"/>
      <c r="E1053" s="67"/>
      <c r="F1053" s="67"/>
      <c r="G1053" s="67"/>
      <c r="H1053" s="68"/>
    </row>
    <row r="1054" spans="1:8" x14ac:dyDescent="0.2">
      <c r="A1054" s="67"/>
      <c r="B1054" s="67"/>
      <c r="C1054" s="67"/>
      <c r="D1054" s="67"/>
      <c r="E1054" s="67"/>
      <c r="F1054" s="67"/>
      <c r="G1054" s="67"/>
      <c r="H1054" s="68"/>
    </row>
    <row r="1055" spans="1:8" x14ac:dyDescent="0.2">
      <c r="A1055" s="67"/>
      <c r="B1055" s="67"/>
      <c r="C1055" s="67"/>
      <c r="D1055" s="67"/>
      <c r="E1055" s="67"/>
      <c r="F1055" s="67"/>
      <c r="G1055" s="67"/>
      <c r="H1055" s="68"/>
    </row>
    <row r="1056" spans="1:8" x14ac:dyDescent="0.2">
      <c r="A1056" s="67"/>
      <c r="B1056" s="67"/>
      <c r="C1056" s="67"/>
      <c r="D1056" s="67"/>
      <c r="E1056" s="67"/>
      <c r="F1056" s="67"/>
      <c r="G1056" s="67"/>
      <c r="H1056" s="68"/>
    </row>
    <row r="1057" spans="1:8" x14ac:dyDescent="0.2">
      <c r="A1057" s="67"/>
      <c r="B1057" s="67"/>
      <c r="C1057" s="67"/>
      <c r="D1057" s="67"/>
      <c r="E1057" s="67"/>
      <c r="F1057" s="67"/>
      <c r="G1057" s="67"/>
      <c r="H1057" s="68"/>
    </row>
    <row r="1058" spans="1:8" x14ac:dyDescent="0.2">
      <c r="A1058" s="67"/>
      <c r="B1058" s="67"/>
      <c r="C1058" s="67"/>
      <c r="D1058" s="67"/>
      <c r="E1058" s="67"/>
      <c r="F1058" s="67"/>
      <c r="G1058" s="67"/>
      <c r="H1058" s="68"/>
    </row>
    <row r="1059" spans="1:8" x14ac:dyDescent="0.2">
      <c r="A1059" s="67"/>
      <c r="B1059" s="67"/>
      <c r="C1059" s="67"/>
      <c r="D1059" s="67"/>
      <c r="E1059" s="67"/>
      <c r="F1059" s="67"/>
      <c r="G1059" s="67"/>
      <c r="H1059" s="68"/>
    </row>
    <row r="1060" spans="1:8" x14ac:dyDescent="0.2">
      <c r="A1060" s="67"/>
      <c r="B1060" s="67"/>
      <c r="C1060" s="67"/>
      <c r="D1060" s="67"/>
      <c r="E1060" s="67"/>
      <c r="F1060" s="67"/>
      <c r="G1060" s="67"/>
      <c r="H1060" s="68"/>
    </row>
    <row r="1061" spans="1:8" x14ac:dyDescent="0.2">
      <c r="A1061" s="67"/>
      <c r="B1061" s="67"/>
      <c r="C1061" s="67"/>
      <c r="D1061" s="67"/>
      <c r="E1061" s="67"/>
      <c r="F1061" s="67"/>
      <c r="G1061" s="67"/>
      <c r="H1061" s="68"/>
    </row>
    <row r="1062" spans="1:8" x14ac:dyDescent="0.2">
      <c r="A1062" s="67"/>
      <c r="B1062" s="67"/>
      <c r="C1062" s="67"/>
      <c r="D1062" s="67"/>
      <c r="E1062" s="67"/>
      <c r="F1062" s="67"/>
      <c r="G1062" s="67"/>
      <c r="H1062" s="68"/>
    </row>
    <row r="1063" spans="1:8" x14ac:dyDescent="0.2">
      <c r="A1063" s="67"/>
      <c r="B1063" s="67"/>
      <c r="C1063" s="67"/>
      <c r="D1063" s="67"/>
      <c r="E1063" s="67"/>
      <c r="F1063" s="67"/>
      <c r="G1063" s="67"/>
      <c r="H1063" s="68"/>
    </row>
    <row r="1064" spans="1:8" x14ac:dyDescent="0.2">
      <c r="A1064" s="67"/>
      <c r="B1064" s="67"/>
      <c r="C1064" s="67"/>
      <c r="D1064" s="67"/>
      <c r="E1064" s="67"/>
      <c r="F1064" s="67"/>
      <c r="G1064" s="67"/>
      <c r="H1064" s="68"/>
    </row>
    <row r="1065" spans="1:8" x14ac:dyDescent="0.2">
      <c r="A1065" s="67"/>
      <c r="B1065" s="67"/>
      <c r="C1065" s="67"/>
      <c r="D1065" s="67"/>
      <c r="E1065" s="67"/>
      <c r="F1065" s="67"/>
      <c r="G1065" s="67"/>
      <c r="H1065" s="68"/>
    </row>
    <row r="1066" spans="1:8" x14ac:dyDescent="0.2">
      <c r="A1066" s="67"/>
      <c r="B1066" s="67"/>
      <c r="C1066" s="67"/>
      <c r="D1066" s="67"/>
      <c r="E1066" s="67"/>
      <c r="F1066" s="67"/>
      <c r="G1066" s="67"/>
      <c r="H1066" s="68"/>
    </row>
    <row r="1067" spans="1:8" x14ac:dyDescent="0.2">
      <c r="A1067" s="67"/>
      <c r="B1067" s="67"/>
      <c r="C1067" s="67"/>
      <c r="D1067" s="67"/>
      <c r="E1067" s="67"/>
      <c r="F1067" s="67"/>
      <c r="G1067" s="67"/>
      <c r="H1067" s="68"/>
    </row>
    <row r="1068" spans="1:8" x14ac:dyDescent="0.2">
      <c r="A1068" s="67"/>
      <c r="B1068" s="67"/>
      <c r="C1068" s="67"/>
      <c r="D1068" s="67"/>
      <c r="E1068" s="67"/>
      <c r="F1068" s="67"/>
      <c r="G1068" s="67"/>
      <c r="H1068" s="68"/>
    </row>
    <row r="1069" spans="1:8" x14ac:dyDescent="0.2">
      <c r="A1069" s="67"/>
      <c r="B1069" s="67"/>
      <c r="C1069" s="67"/>
      <c r="D1069" s="67"/>
      <c r="E1069" s="67"/>
      <c r="F1069" s="67"/>
      <c r="G1069" s="67"/>
      <c r="H1069" s="68"/>
    </row>
    <row r="1070" spans="1:8" x14ac:dyDescent="0.2">
      <c r="A1070" s="67"/>
      <c r="B1070" s="67"/>
      <c r="C1070" s="67"/>
      <c r="D1070" s="67"/>
      <c r="E1070" s="67"/>
      <c r="F1070" s="67"/>
      <c r="G1070" s="67"/>
      <c r="H1070" s="68"/>
    </row>
    <row r="1071" spans="1:8" x14ac:dyDescent="0.2">
      <c r="A1071" s="67"/>
      <c r="B1071" s="67"/>
      <c r="C1071" s="67"/>
      <c r="D1071" s="67"/>
      <c r="E1071" s="67"/>
      <c r="F1071" s="67"/>
      <c r="G1071" s="67"/>
      <c r="H1071" s="68"/>
    </row>
    <row r="1072" spans="1:8" x14ac:dyDescent="0.2">
      <c r="A1072" s="67"/>
      <c r="B1072" s="67"/>
      <c r="C1072" s="67"/>
      <c r="D1072" s="67"/>
      <c r="E1072" s="67"/>
      <c r="F1072" s="67"/>
      <c r="G1072" s="67"/>
      <c r="H1072" s="68"/>
    </row>
    <row r="1073" spans="1:8" x14ac:dyDescent="0.2">
      <c r="A1073" s="67"/>
      <c r="B1073" s="67"/>
      <c r="C1073" s="67"/>
      <c r="D1073" s="67"/>
      <c r="E1073" s="67"/>
      <c r="F1073" s="67"/>
      <c r="G1073" s="67"/>
      <c r="H1073" s="68"/>
    </row>
    <row r="1074" spans="1:8" x14ac:dyDescent="0.2">
      <c r="A1074" s="67"/>
      <c r="B1074" s="67"/>
      <c r="C1074" s="67"/>
      <c r="D1074" s="67"/>
      <c r="E1074" s="67"/>
      <c r="F1074" s="67"/>
      <c r="G1074" s="67"/>
      <c r="H1074" s="68"/>
    </row>
    <row r="1075" spans="1:8" x14ac:dyDescent="0.2">
      <c r="A1075" s="67"/>
      <c r="B1075" s="67"/>
      <c r="C1075" s="67"/>
      <c r="D1075" s="67"/>
      <c r="E1075" s="67"/>
      <c r="F1075" s="67"/>
      <c r="G1075" s="67"/>
      <c r="H1075" s="68"/>
    </row>
    <row r="1076" spans="1:8" x14ac:dyDescent="0.2">
      <c r="A1076" s="67"/>
      <c r="B1076" s="67"/>
      <c r="C1076" s="67"/>
      <c r="D1076" s="67"/>
      <c r="E1076" s="67"/>
      <c r="F1076" s="67"/>
      <c r="G1076" s="67"/>
      <c r="H1076" s="68"/>
    </row>
    <row r="1077" spans="1:8" x14ac:dyDescent="0.2">
      <c r="A1077" s="67"/>
      <c r="B1077" s="67"/>
      <c r="C1077" s="67"/>
      <c r="D1077" s="67"/>
      <c r="E1077" s="67"/>
      <c r="F1077" s="67"/>
      <c r="G1077" s="67"/>
      <c r="H1077" s="68"/>
    </row>
    <row r="1078" spans="1:8" x14ac:dyDescent="0.2">
      <c r="A1078" s="67"/>
      <c r="B1078" s="67"/>
      <c r="C1078" s="67"/>
      <c r="D1078" s="67"/>
      <c r="E1078" s="67"/>
      <c r="F1078" s="67"/>
      <c r="G1078" s="67"/>
      <c r="H1078" s="68"/>
    </row>
    <row r="1079" spans="1:8" x14ac:dyDescent="0.2">
      <c r="A1079" s="67"/>
      <c r="B1079" s="67"/>
      <c r="C1079" s="67"/>
      <c r="D1079" s="67"/>
      <c r="E1079" s="67"/>
      <c r="F1079" s="67"/>
      <c r="G1079" s="67"/>
      <c r="H1079" s="68"/>
    </row>
    <row r="1080" spans="1:8" x14ac:dyDescent="0.2">
      <c r="A1080" s="67"/>
      <c r="B1080" s="67"/>
      <c r="C1080" s="67"/>
      <c r="D1080" s="67"/>
      <c r="E1080" s="67"/>
      <c r="F1080" s="67"/>
      <c r="G1080" s="67"/>
      <c r="H1080" s="68"/>
    </row>
    <row r="1081" spans="1:8" x14ac:dyDescent="0.2">
      <c r="A1081" s="67"/>
      <c r="B1081" s="67"/>
      <c r="C1081" s="67"/>
      <c r="D1081" s="67"/>
      <c r="E1081" s="67"/>
      <c r="F1081" s="67"/>
      <c r="G1081" s="67"/>
      <c r="H1081" s="68"/>
    </row>
    <row r="1082" spans="1:8" x14ac:dyDescent="0.2">
      <c r="A1082" s="67"/>
      <c r="B1082" s="67"/>
      <c r="C1082" s="67"/>
      <c r="D1082" s="67"/>
      <c r="E1082" s="67"/>
      <c r="F1082" s="67"/>
      <c r="G1082" s="67"/>
      <c r="H1082" s="68"/>
    </row>
    <row r="1083" spans="1:8" x14ac:dyDescent="0.2">
      <c r="A1083" s="67"/>
      <c r="B1083" s="67"/>
      <c r="C1083" s="67"/>
      <c r="D1083" s="67"/>
      <c r="E1083" s="67"/>
      <c r="F1083" s="67"/>
      <c r="G1083" s="67"/>
      <c r="H1083" s="68"/>
    </row>
    <row r="1084" spans="1:8" x14ac:dyDescent="0.2">
      <c r="A1084" s="67"/>
      <c r="B1084" s="67"/>
      <c r="C1084" s="67"/>
      <c r="D1084" s="67"/>
      <c r="E1084" s="67"/>
      <c r="F1084" s="67"/>
      <c r="G1084" s="67"/>
      <c r="H1084" s="68"/>
    </row>
    <row r="1085" spans="1:8" x14ac:dyDescent="0.2">
      <c r="A1085" s="67"/>
      <c r="B1085" s="67"/>
      <c r="C1085" s="67"/>
      <c r="D1085" s="67"/>
      <c r="E1085" s="67"/>
      <c r="F1085" s="67"/>
      <c r="G1085" s="67"/>
      <c r="H1085" s="68"/>
    </row>
    <row r="1086" spans="1:8" x14ac:dyDescent="0.2">
      <c r="A1086" s="67"/>
      <c r="B1086" s="67"/>
      <c r="C1086" s="67"/>
      <c r="D1086" s="67"/>
      <c r="E1086" s="67"/>
      <c r="F1086" s="67"/>
      <c r="G1086" s="67"/>
      <c r="H1086" s="68"/>
    </row>
    <row r="1087" spans="1:8" x14ac:dyDescent="0.2">
      <c r="A1087" s="67"/>
      <c r="B1087" s="67"/>
      <c r="C1087" s="67"/>
      <c r="D1087" s="67"/>
      <c r="E1087" s="67"/>
      <c r="F1087" s="67"/>
      <c r="G1087" s="67"/>
      <c r="H1087" s="68"/>
    </row>
    <row r="1088" spans="1:8" x14ac:dyDescent="0.2">
      <c r="A1088" s="67"/>
      <c r="B1088" s="67"/>
      <c r="C1088" s="67"/>
      <c r="D1088" s="67"/>
      <c r="E1088" s="67"/>
      <c r="F1088" s="67"/>
      <c r="G1088" s="67"/>
      <c r="H1088" s="68"/>
    </row>
    <row r="1089" spans="1:8" x14ac:dyDescent="0.2">
      <c r="A1089" s="67"/>
      <c r="B1089" s="67"/>
      <c r="C1089" s="67"/>
      <c r="D1089" s="67"/>
      <c r="E1089" s="67"/>
      <c r="F1089" s="67"/>
      <c r="G1089" s="67"/>
      <c r="H1089" s="68"/>
    </row>
    <row r="1090" spans="1:8" x14ac:dyDescent="0.2">
      <c r="A1090" s="67"/>
      <c r="B1090" s="67"/>
      <c r="C1090" s="67"/>
      <c r="D1090" s="67"/>
      <c r="E1090" s="67"/>
      <c r="F1090" s="67"/>
      <c r="G1090" s="67"/>
      <c r="H1090" s="68"/>
    </row>
    <row r="1091" spans="1:8" x14ac:dyDescent="0.2">
      <c r="A1091" s="67"/>
      <c r="B1091" s="67"/>
      <c r="C1091" s="67"/>
      <c r="D1091" s="67"/>
      <c r="E1091" s="67"/>
      <c r="F1091" s="67"/>
      <c r="G1091" s="67"/>
      <c r="H1091" s="68"/>
    </row>
    <row r="1092" spans="1:8" x14ac:dyDescent="0.2">
      <c r="A1092" s="67"/>
      <c r="B1092" s="67"/>
      <c r="C1092" s="67"/>
      <c r="D1092" s="67"/>
      <c r="E1092" s="67"/>
      <c r="F1092" s="67"/>
      <c r="G1092" s="67"/>
      <c r="H1092" s="68"/>
    </row>
    <row r="1093" spans="1:8" x14ac:dyDescent="0.2">
      <c r="A1093" s="67"/>
      <c r="B1093" s="67"/>
      <c r="C1093" s="67"/>
      <c r="D1093" s="67"/>
      <c r="E1093" s="67"/>
      <c r="F1093" s="67"/>
      <c r="G1093" s="67"/>
      <c r="H1093" s="68"/>
    </row>
    <row r="1094" spans="1:8" x14ac:dyDescent="0.2">
      <c r="A1094" s="67"/>
      <c r="B1094" s="67"/>
      <c r="C1094" s="67"/>
      <c r="D1094" s="67"/>
      <c r="E1094" s="67"/>
      <c r="F1094" s="67"/>
      <c r="G1094" s="67"/>
      <c r="H1094" s="68"/>
    </row>
    <row r="1095" spans="1:8" x14ac:dyDescent="0.2">
      <c r="A1095" s="67"/>
      <c r="B1095" s="67"/>
      <c r="C1095" s="67"/>
      <c r="D1095" s="67"/>
      <c r="E1095" s="67"/>
      <c r="F1095" s="67"/>
      <c r="G1095" s="67"/>
      <c r="H1095" s="68"/>
    </row>
    <row r="1096" spans="1:8" x14ac:dyDescent="0.2">
      <c r="A1096" s="67"/>
      <c r="B1096" s="67"/>
      <c r="C1096" s="67"/>
      <c r="D1096" s="67"/>
      <c r="E1096" s="67"/>
      <c r="F1096" s="67"/>
      <c r="G1096" s="67"/>
      <c r="H1096" s="68"/>
    </row>
    <row r="1097" spans="1:8" x14ac:dyDescent="0.2">
      <c r="A1097" s="67"/>
      <c r="B1097" s="67"/>
      <c r="C1097" s="67"/>
      <c r="D1097" s="67"/>
      <c r="E1097" s="67"/>
      <c r="F1097" s="67"/>
      <c r="G1097" s="67"/>
      <c r="H1097" s="68"/>
    </row>
    <row r="1098" spans="1:8" x14ac:dyDescent="0.2">
      <c r="A1098" s="67"/>
      <c r="B1098" s="67"/>
      <c r="C1098" s="67"/>
      <c r="D1098" s="67"/>
      <c r="E1098" s="67"/>
      <c r="F1098" s="67"/>
      <c r="G1098" s="67"/>
      <c r="H1098" s="68"/>
    </row>
    <row r="1099" spans="1:8" x14ac:dyDescent="0.2">
      <c r="A1099" s="67"/>
      <c r="B1099" s="67"/>
      <c r="C1099" s="67"/>
      <c r="D1099" s="67"/>
      <c r="E1099" s="67"/>
      <c r="F1099" s="67"/>
      <c r="G1099" s="67"/>
      <c r="H1099" s="68"/>
    </row>
    <row r="1100" spans="1:8" x14ac:dyDescent="0.2">
      <c r="A1100" s="67"/>
      <c r="B1100" s="67"/>
      <c r="C1100" s="67"/>
      <c r="D1100" s="67"/>
      <c r="E1100" s="67"/>
      <c r="F1100" s="67"/>
      <c r="G1100" s="67"/>
      <c r="H1100" s="68"/>
    </row>
    <row r="1101" spans="1:8" x14ac:dyDescent="0.2">
      <c r="A1101" s="67"/>
      <c r="B1101" s="67"/>
      <c r="C1101" s="67"/>
      <c r="D1101" s="67"/>
      <c r="E1101" s="67"/>
      <c r="F1101" s="67"/>
      <c r="G1101" s="67"/>
      <c r="H1101" s="68"/>
    </row>
    <row r="1102" spans="1:8" x14ac:dyDescent="0.2">
      <c r="A1102" s="67"/>
      <c r="B1102" s="67"/>
      <c r="C1102" s="67"/>
      <c r="D1102" s="67"/>
      <c r="E1102" s="67"/>
      <c r="F1102" s="67"/>
      <c r="G1102" s="67"/>
      <c r="H1102" s="68"/>
    </row>
    <row r="1103" spans="1:8" x14ac:dyDescent="0.2">
      <c r="A1103" s="67"/>
      <c r="B1103" s="67"/>
      <c r="C1103" s="67"/>
      <c r="D1103" s="67"/>
      <c r="E1103" s="67"/>
      <c r="F1103" s="67"/>
      <c r="G1103" s="67"/>
      <c r="H1103" s="68"/>
    </row>
    <row r="1104" spans="1:8" x14ac:dyDescent="0.2">
      <c r="A1104" s="67"/>
      <c r="B1104" s="67"/>
      <c r="C1104" s="67"/>
      <c r="D1104" s="67"/>
      <c r="E1104" s="67"/>
      <c r="F1104" s="67"/>
      <c r="G1104" s="67"/>
      <c r="H1104" s="68"/>
    </row>
    <row r="1105" spans="1:8" x14ac:dyDescent="0.2">
      <c r="A1105" s="67"/>
      <c r="B1105" s="67"/>
      <c r="C1105" s="67"/>
      <c r="D1105" s="67"/>
      <c r="E1105" s="67"/>
      <c r="F1105" s="67"/>
      <c r="G1105" s="67"/>
      <c r="H1105" s="68"/>
    </row>
    <row r="1106" spans="1:8" x14ac:dyDescent="0.2">
      <c r="A1106" s="67"/>
      <c r="B1106" s="67"/>
      <c r="C1106" s="67"/>
      <c r="D1106" s="67"/>
      <c r="E1106" s="67"/>
      <c r="F1106" s="67"/>
      <c r="G1106" s="67"/>
      <c r="H1106" s="68"/>
    </row>
    <row r="1107" spans="1:8" x14ac:dyDescent="0.2">
      <c r="A1107" s="67"/>
      <c r="B1107" s="67"/>
      <c r="C1107" s="67"/>
      <c r="D1107" s="67"/>
      <c r="E1107" s="67"/>
      <c r="F1107" s="67"/>
      <c r="G1107" s="67"/>
      <c r="H1107" s="68"/>
    </row>
    <row r="1108" spans="1:8" x14ac:dyDescent="0.2">
      <c r="A1108" s="67"/>
      <c r="B1108" s="67"/>
      <c r="C1108" s="67"/>
      <c r="D1108" s="67"/>
      <c r="E1108" s="67"/>
      <c r="F1108" s="67"/>
      <c r="G1108" s="67"/>
      <c r="H1108" s="68"/>
    </row>
    <row r="1109" spans="1:8" x14ac:dyDescent="0.2">
      <c r="A1109" s="67"/>
      <c r="B1109" s="67"/>
      <c r="C1109" s="67"/>
      <c r="D1109" s="67"/>
      <c r="E1109" s="67"/>
      <c r="F1109" s="67"/>
      <c r="G1109" s="67"/>
      <c r="H1109" s="68"/>
    </row>
    <row r="1110" spans="1:8" x14ac:dyDescent="0.2">
      <c r="A1110" s="67"/>
      <c r="B1110" s="67"/>
      <c r="C1110" s="67"/>
      <c r="D1110" s="67"/>
      <c r="E1110" s="67"/>
      <c r="F1110" s="67"/>
      <c r="G1110" s="67"/>
      <c r="H1110" s="68"/>
    </row>
    <row r="1111" spans="1:8" x14ac:dyDescent="0.2">
      <c r="A1111" s="67"/>
      <c r="B1111" s="67"/>
      <c r="C1111" s="67"/>
      <c r="D1111" s="67"/>
      <c r="E1111" s="67"/>
      <c r="F1111" s="67"/>
      <c r="G1111" s="67"/>
      <c r="H1111" s="68"/>
    </row>
    <row r="1112" spans="1:8" x14ac:dyDescent="0.2">
      <c r="A1112" s="67"/>
      <c r="B1112" s="67"/>
      <c r="C1112" s="67"/>
      <c r="D1112" s="67"/>
      <c r="E1112" s="67"/>
      <c r="F1112" s="67"/>
      <c r="G1112" s="67"/>
      <c r="H1112" s="68"/>
    </row>
    <row r="1113" spans="1:8" x14ac:dyDescent="0.2">
      <c r="A1113" s="67"/>
      <c r="B1113" s="67"/>
      <c r="C1113" s="67"/>
      <c r="D1113" s="67"/>
      <c r="E1113" s="67"/>
      <c r="F1113" s="67"/>
      <c r="G1113" s="67"/>
      <c r="H1113" s="68"/>
    </row>
    <row r="1114" spans="1:8" x14ac:dyDescent="0.2">
      <c r="A1114" s="67"/>
      <c r="B1114" s="67"/>
      <c r="C1114" s="67"/>
      <c r="D1114" s="67"/>
      <c r="E1114" s="67"/>
      <c r="F1114" s="67"/>
      <c r="G1114" s="67"/>
      <c r="H1114" s="68"/>
    </row>
    <row r="1115" spans="1:8" x14ac:dyDescent="0.2">
      <c r="A1115" s="67"/>
      <c r="B1115" s="67"/>
      <c r="C1115" s="67"/>
      <c r="D1115" s="67"/>
      <c r="E1115" s="67"/>
      <c r="F1115" s="67"/>
      <c r="G1115" s="67"/>
      <c r="H1115" s="68"/>
    </row>
    <row r="1116" spans="1:8" x14ac:dyDescent="0.2">
      <c r="A1116" s="67"/>
      <c r="B1116" s="67"/>
      <c r="C1116" s="67"/>
      <c r="D1116" s="67"/>
      <c r="E1116" s="67"/>
      <c r="F1116" s="67"/>
      <c r="G1116" s="67"/>
      <c r="H1116" s="68"/>
    </row>
    <row r="1117" spans="1:8" x14ac:dyDescent="0.2">
      <c r="A1117" s="67"/>
      <c r="B1117" s="67"/>
      <c r="C1117" s="67"/>
      <c r="D1117" s="67"/>
      <c r="E1117" s="67"/>
      <c r="F1117" s="67"/>
      <c r="G1117" s="67"/>
      <c r="H1117" s="68"/>
    </row>
    <row r="1118" spans="1:8" x14ac:dyDescent="0.2">
      <c r="A1118" s="67"/>
      <c r="B1118" s="67"/>
      <c r="C1118" s="67"/>
      <c r="D1118" s="67"/>
      <c r="E1118" s="67"/>
      <c r="F1118" s="67"/>
      <c r="G1118" s="67"/>
      <c r="H1118" s="68"/>
    </row>
    <row r="1119" spans="1:8" x14ac:dyDescent="0.2">
      <c r="A1119" s="67"/>
      <c r="B1119" s="67"/>
      <c r="C1119" s="67"/>
      <c r="D1119" s="67"/>
      <c r="E1119" s="67"/>
      <c r="F1119" s="67"/>
      <c r="G1119" s="67"/>
      <c r="H1119" s="68"/>
    </row>
    <row r="1120" spans="1:8" x14ac:dyDescent="0.2">
      <c r="A1120" s="67"/>
      <c r="B1120" s="67"/>
      <c r="C1120" s="67"/>
      <c r="D1120" s="67"/>
      <c r="E1120" s="67"/>
      <c r="F1120" s="67"/>
      <c r="G1120" s="67"/>
      <c r="H1120" s="68"/>
    </row>
    <row r="1121" spans="1:8" x14ac:dyDescent="0.2">
      <c r="A1121" s="67"/>
      <c r="B1121" s="67"/>
      <c r="C1121" s="67"/>
      <c r="D1121" s="67"/>
      <c r="E1121" s="67"/>
      <c r="F1121" s="67"/>
      <c r="G1121" s="67"/>
      <c r="H1121" s="68"/>
    </row>
    <row r="1122" spans="1:8" x14ac:dyDescent="0.2">
      <c r="A1122" s="67"/>
      <c r="B1122" s="67"/>
      <c r="C1122" s="67"/>
      <c r="D1122" s="67"/>
      <c r="E1122" s="67"/>
      <c r="F1122" s="67"/>
      <c r="G1122" s="67"/>
      <c r="H1122" s="68"/>
    </row>
    <row r="1123" spans="1:8" x14ac:dyDescent="0.2">
      <c r="A1123" s="67"/>
      <c r="B1123" s="67"/>
      <c r="C1123" s="67"/>
      <c r="D1123" s="67"/>
      <c r="E1123" s="67"/>
      <c r="F1123" s="67"/>
      <c r="G1123" s="67"/>
      <c r="H1123" s="68"/>
    </row>
    <row r="1124" spans="1:8" x14ac:dyDescent="0.2">
      <c r="A1124" s="67"/>
      <c r="B1124" s="67"/>
      <c r="C1124" s="67"/>
      <c r="D1124" s="67"/>
      <c r="E1124" s="67"/>
      <c r="F1124" s="67"/>
      <c r="G1124" s="67"/>
      <c r="H1124" s="68"/>
    </row>
    <row r="1125" spans="1:8" x14ac:dyDescent="0.2">
      <c r="A1125" s="67"/>
      <c r="B1125" s="67"/>
      <c r="C1125" s="67"/>
      <c r="D1125" s="67"/>
      <c r="E1125" s="67"/>
      <c r="F1125" s="67"/>
      <c r="G1125" s="67"/>
      <c r="H1125" s="68"/>
    </row>
    <row r="1126" spans="1:8" x14ac:dyDescent="0.2">
      <c r="A1126" s="67"/>
      <c r="B1126" s="67"/>
      <c r="C1126" s="67"/>
      <c r="D1126" s="67"/>
      <c r="E1126" s="67"/>
      <c r="F1126" s="67"/>
      <c r="G1126" s="67"/>
      <c r="H1126" s="68"/>
    </row>
    <row r="1127" spans="1:8" x14ac:dyDescent="0.2">
      <c r="A1127" s="67"/>
      <c r="B1127" s="67"/>
      <c r="C1127" s="67"/>
      <c r="D1127" s="67"/>
      <c r="E1127" s="67"/>
      <c r="F1127" s="67"/>
      <c r="G1127" s="67"/>
      <c r="H1127" s="68"/>
    </row>
    <row r="1128" spans="1:8" x14ac:dyDescent="0.2">
      <c r="A1128" s="67"/>
      <c r="B1128" s="67"/>
      <c r="C1128" s="67"/>
      <c r="D1128" s="67"/>
      <c r="E1128" s="67"/>
      <c r="F1128" s="67"/>
      <c r="G1128" s="67"/>
      <c r="H1128" s="68"/>
    </row>
    <row r="1129" spans="1:8" x14ac:dyDescent="0.2">
      <c r="A1129" s="67"/>
      <c r="B1129" s="67"/>
      <c r="C1129" s="67"/>
      <c r="D1129" s="67"/>
      <c r="E1129" s="67"/>
      <c r="F1129" s="67"/>
      <c r="G1129" s="67"/>
      <c r="H1129" s="68"/>
    </row>
    <row r="1130" spans="1:8" x14ac:dyDescent="0.2">
      <c r="A1130" s="67"/>
      <c r="B1130" s="67"/>
      <c r="C1130" s="67"/>
      <c r="D1130" s="67"/>
      <c r="E1130" s="67"/>
      <c r="F1130" s="67"/>
      <c r="G1130" s="67"/>
      <c r="H1130" s="68"/>
    </row>
    <row r="1131" spans="1:8" x14ac:dyDescent="0.2">
      <c r="A1131" s="67"/>
      <c r="B1131" s="67"/>
      <c r="C1131" s="67"/>
      <c r="D1131" s="67"/>
      <c r="E1131" s="67"/>
      <c r="F1131" s="67"/>
      <c r="G1131" s="67"/>
      <c r="H1131" s="68"/>
    </row>
    <row r="1132" spans="1:8" x14ac:dyDescent="0.2">
      <c r="A1132" s="67"/>
      <c r="B1132" s="67"/>
      <c r="C1132" s="67"/>
      <c r="D1132" s="67"/>
      <c r="E1132" s="67"/>
      <c r="F1132" s="67"/>
      <c r="G1132" s="67"/>
      <c r="H1132" s="68"/>
    </row>
    <row r="1133" spans="1:8" x14ac:dyDescent="0.2">
      <c r="A1133" s="67"/>
      <c r="B1133" s="67"/>
      <c r="C1133" s="67"/>
      <c r="D1133" s="67"/>
      <c r="E1133" s="67"/>
      <c r="F1133" s="67"/>
      <c r="G1133" s="67"/>
      <c r="H1133" s="68"/>
    </row>
    <row r="1134" spans="1:8" x14ac:dyDescent="0.2">
      <c r="A1134" s="67"/>
      <c r="B1134" s="67"/>
      <c r="C1134" s="67"/>
      <c r="D1134" s="67"/>
      <c r="E1134" s="67"/>
      <c r="F1134" s="67"/>
      <c r="G1134" s="67"/>
      <c r="H1134" s="68"/>
    </row>
    <row r="1135" spans="1:8" x14ac:dyDescent="0.2">
      <c r="A1135" s="67"/>
      <c r="B1135" s="67"/>
      <c r="C1135" s="67"/>
      <c r="D1135" s="67"/>
      <c r="E1135" s="67"/>
      <c r="F1135" s="67"/>
      <c r="G1135" s="67"/>
      <c r="H1135" s="68"/>
    </row>
    <row r="1136" spans="1:8" x14ac:dyDescent="0.2">
      <c r="A1136" s="67"/>
      <c r="B1136" s="67"/>
      <c r="C1136" s="67"/>
      <c r="D1136" s="67"/>
      <c r="E1136" s="67"/>
      <c r="F1136" s="67"/>
      <c r="G1136" s="67"/>
      <c r="H1136" s="68"/>
    </row>
    <row r="1137" spans="1:8" x14ac:dyDescent="0.2">
      <c r="A1137" s="67"/>
      <c r="B1137" s="67"/>
      <c r="C1137" s="67"/>
      <c r="D1137" s="67"/>
      <c r="E1137" s="67"/>
      <c r="F1137" s="67"/>
      <c r="G1137" s="67"/>
      <c r="H1137" s="68"/>
    </row>
    <row r="1138" spans="1:8" x14ac:dyDescent="0.2">
      <c r="A1138" s="67"/>
      <c r="B1138" s="67"/>
      <c r="C1138" s="67"/>
      <c r="D1138" s="67"/>
      <c r="E1138" s="67"/>
      <c r="F1138" s="67"/>
      <c r="G1138" s="67"/>
      <c r="H1138" s="68"/>
    </row>
    <row r="1139" spans="1:8" x14ac:dyDescent="0.2">
      <c r="A1139" s="67"/>
      <c r="B1139" s="67"/>
      <c r="C1139" s="67"/>
      <c r="D1139" s="67"/>
      <c r="E1139" s="67"/>
      <c r="F1139" s="67"/>
      <c r="G1139" s="67"/>
      <c r="H1139" s="68"/>
    </row>
    <row r="1140" spans="1:8" x14ac:dyDescent="0.2">
      <c r="A1140" s="67"/>
      <c r="B1140" s="67"/>
      <c r="C1140" s="67"/>
      <c r="D1140" s="67"/>
      <c r="E1140" s="67"/>
      <c r="F1140" s="67"/>
      <c r="G1140" s="67"/>
      <c r="H1140" s="68"/>
    </row>
    <row r="1141" spans="1:8" x14ac:dyDescent="0.2">
      <c r="A1141" s="67"/>
      <c r="B1141" s="67"/>
      <c r="C1141" s="67"/>
      <c r="D1141" s="67"/>
      <c r="E1141" s="67"/>
      <c r="F1141" s="67"/>
      <c r="G1141" s="67"/>
      <c r="H1141" s="68"/>
    </row>
    <row r="1142" spans="1:8" x14ac:dyDescent="0.2">
      <c r="A1142" s="67"/>
      <c r="B1142" s="67"/>
      <c r="C1142" s="67"/>
      <c r="D1142" s="67"/>
      <c r="E1142" s="67"/>
      <c r="F1142" s="67"/>
      <c r="G1142" s="67"/>
      <c r="H1142" s="68"/>
    </row>
    <row r="1143" spans="1:8" x14ac:dyDescent="0.2">
      <c r="A1143" s="67"/>
      <c r="B1143" s="67"/>
      <c r="C1143" s="67"/>
      <c r="D1143" s="67"/>
      <c r="E1143" s="67"/>
      <c r="F1143" s="67"/>
      <c r="G1143" s="67"/>
      <c r="H1143" s="68"/>
    </row>
    <row r="1144" spans="1:8" x14ac:dyDescent="0.2">
      <c r="A1144" s="67"/>
      <c r="B1144" s="67"/>
      <c r="C1144" s="67"/>
      <c r="D1144" s="67"/>
      <c r="E1144" s="67"/>
      <c r="F1144" s="67"/>
      <c r="G1144" s="67"/>
      <c r="H1144" s="68"/>
    </row>
    <row r="1145" spans="1:8" x14ac:dyDescent="0.2">
      <c r="A1145" s="67"/>
      <c r="B1145" s="67"/>
      <c r="C1145" s="67"/>
      <c r="D1145" s="67"/>
      <c r="E1145" s="67"/>
      <c r="F1145" s="67"/>
      <c r="G1145" s="67"/>
      <c r="H1145" s="68"/>
    </row>
    <row r="1146" spans="1:8" x14ac:dyDescent="0.2">
      <c r="A1146" s="67"/>
      <c r="B1146" s="67"/>
      <c r="C1146" s="67"/>
      <c r="D1146" s="67"/>
      <c r="E1146" s="67"/>
      <c r="F1146" s="67"/>
      <c r="G1146" s="67"/>
      <c r="H1146" s="68"/>
    </row>
    <row r="1147" spans="1:8" x14ac:dyDescent="0.2">
      <c r="A1147" s="67"/>
      <c r="B1147" s="67"/>
      <c r="C1147" s="67"/>
      <c r="D1147" s="67"/>
      <c r="E1147" s="67"/>
      <c r="F1147" s="67"/>
      <c r="G1147" s="67"/>
      <c r="H1147" s="68"/>
    </row>
    <row r="1148" spans="1:8" x14ac:dyDescent="0.2">
      <c r="A1148" s="67"/>
      <c r="B1148" s="67"/>
      <c r="C1148" s="67"/>
      <c r="D1148" s="67"/>
      <c r="E1148" s="67"/>
      <c r="F1148" s="67"/>
      <c r="G1148" s="67"/>
      <c r="H1148" s="68"/>
    </row>
    <row r="1149" spans="1:8" x14ac:dyDescent="0.2">
      <c r="A1149" s="67"/>
      <c r="B1149" s="67"/>
      <c r="C1149" s="67"/>
      <c r="D1149" s="67"/>
      <c r="E1149" s="67"/>
      <c r="F1149" s="67"/>
      <c r="G1149" s="67"/>
      <c r="H1149" s="68"/>
    </row>
    <row r="1150" spans="1:8" x14ac:dyDescent="0.2">
      <c r="A1150" s="67"/>
      <c r="B1150" s="67"/>
      <c r="C1150" s="67"/>
      <c r="D1150" s="67"/>
      <c r="E1150" s="67"/>
      <c r="F1150" s="67"/>
      <c r="G1150" s="67"/>
      <c r="H1150" s="68"/>
    </row>
    <row r="1151" spans="1:8" x14ac:dyDescent="0.2">
      <c r="A1151" s="67"/>
      <c r="B1151" s="67"/>
      <c r="C1151" s="67"/>
      <c r="D1151" s="67"/>
      <c r="E1151" s="67"/>
      <c r="F1151" s="67"/>
      <c r="G1151" s="67"/>
      <c r="H1151" s="68"/>
    </row>
    <row r="1152" spans="1:8" x14ac:dyDescent="0.2">
      <c r="A1152" s="67"/>
      <c r="B1152" s="67"/>
      <c r="C1152" s="67"/>
      <c r="D1152" s="67"/>
      <c r="E1152" s="67"/>
      <c r="F1152" s="67"/>
      <c r="G1152" s="67"/>
      <c r="H1152" s="68"/>
    </row>
    <row r="1153" spans="1:8" x14ac:dyDescent="0.2">
      <c r="A1153" s="67"/>
      <c r="B1153" s="67"/>
      <c r="C1153" s="67"/>
      <c r="D1153" s="67"/>
      <c r="E1153" s="67"/>
      <c r="F1153" s="67"/>
      <c r="G1153" s="67"/>
      <c r="H1153" s="68"/>
    </row>
    <row r="1154" spans="1:8" x14ac:dyDescent="0.2">
      <c r="A1154" s="67"/>
      <c r="B1154" s="67"/>
      <c r="C1154" s="67"/>
      <c r="D1154" s="67"/>
      <c r="E1154" s="67"/>
      <c r="F1154" s="67"/>
      <c r="G1154" s="67"/>
      <c r="H1154" s="68"/>
    </row>
    <row r="1155" spans="1:8" x14ac:dyDescent="0.2">
      <c r="A1155" s="67"/>
      <c r="B1155" s="67"/>
      <c r="C1155" s="67"/>
      <c r="D1155" s="67"/>
      <c r="E1155" s="67"/>
      <c r="F1155" s="67"/>
      <c r="G1155" s="67"/>
      <c r="H1155" s="68"/>
    </row>
    <row r="1156" spans="1:8" x14ac:dyDescent="0.2">
      <c r="A1156" s="67"/>
      <c r="B1156" s="67"/>
      <c r="C1156" s="67"/>
      <c r="D1156" s="67"/>
      <c r="E1156" s="67"/>
      <c r="F1156" s="67"/>
      <c r="G1156" s="67"/>
      <c r="H1156" s="68"/>
    </row>
    <row r="1157" spans="1:8" x14ac:dyDescent="0.2">
      <c r="A1157" s="67"/>
      <c r="B1157" s="67"/>
      <c r="C1157" s="67"/>
      <c r="D1157" s="67"/>
      <c r="E1157" s="67"/>
      <c r="F1157" s="67"/>
      <c r="G1157" s="67"/>
      <c r="H1157" s="68"/>
    </row>
    <row r="1158" spans="1:8" x14ac:dyDescent="0.2">
      <c r="A1158" s="67"/>
      <c r="B1158" s="67"/>
      <c r="C1158" s="67"/>
      <c r="D1158" s="67"/>
      <c r="E1158" s="67"/>
      <c r="F1158" s="67"/>
      <c r="G1158" s="67"/>
      <c r="H1158" s="68"/>
    </row>
    <row r="1159" spans="1:8" x14ac:dyDescent="0.2">
      <c r="A1159" s="67"/>
      <c r="B1159" s="67"/>
      <c r="C1159" s="67"/>
      <c r="D1159" s="67"/>
      <c r="E1159" s="67"/>
      <c r="F1159" s="67"/>
      <c r="G1159" s="67"/>
      <c r="H1159" s="68"/>
    </row>
    <row r="1160" spans="1:8" x14ac:dyDescent="0.2">
      <c r="A1160" s="67"/>
      <c r="B1160" s="67"/>
      <c r="C1160" s="67"/>
      <c r="D1160" s="67"/>
      <c r="E1160" s="67"/>
      <c r="F1160" s="67"/>
      <c r="G1160" s="67"/>
      <c r="H1160" s="68"/>
    </row>
    <row r="1161" spans="1:8" x14ac:dyDescent="0.2">
      <c r="A1161" s="67"/>
      <c r="B1161" s="67"/>
      <c r="C1161" s="67"/>
      <c r="D1161" s="67"/>
      <c r="E1161" s="67"/>
      <c r="F1161" s="67"/>
      <c r="G1161" s="67"/>
      <c r="H1161" s="68"/>
    </row>
    <row r="1162" spans="1:8" x14ac:dyDescent="0.2">
      <c r="A1162" s="67"/>
      <c r="B1162" s="67"/>
      <c r="C1162" s="67"/>
      <c r="D1162" s="67"/>
      <c r="E1162" s="67"/>
      <c r="F1162" s="67"/>
      <c r="G1162" s="67"/>
      <c r="H1162" s="68"/>
    </row>
    <row r="1163" spans="1:8" x14ac:dyDescent="0.2">
      <c r="A1163" s="67"/>
      <c r="B1163" s="67"/>
      <c r="C1163" s="67"/>
      <c r="D1163" s="67"/>
      <c r="E1163" s="67"/>
      <c r="F1163" s="67"/>
      <c r="G1163" s="67"/>
      <c r="H1163" s="68"/>
    </row>
    <row r="1164" spans="1:8" x14ac:dyDescent="0.2">
      <c r="A1164" s="67"/>
      <c r="B1164" s="67"/>
      <c r="C1164" s="67"/>
      <c r="D1164" s="67"/>
      <c r="E1164" s="67"/>
      <c r="F1164" s="67"/>
      <c r="G1164" s="67"/>
      <c r="H1164" s="68"/>
    </row>
    <row r="1165" spans="1:8" x14ac:dyDescent="0.2">
      <c r="A1165" s="67"/>
      <c r="B1165" s="67"/>
      <c r="C1165" s="67"/>
      <c r="D1165" s="67"/>
      <c r="E1165" s="67"/>
      <c r="F1165" s="67"/>
      <c r="G1165" s="67"/>
      <c r="H1165" s="68"/>
    </row>
    <row r="1166" spans="1:8" x14ac:dyDescent="0.2">
      <c r="A1166" s="67"/>
      <c r="B1166" s="67"/>
      <c r="C1166" s="67"/>
      <c r="D1166" s="67"/>
      <c r="E1166" s="67"/>
      <c r="F1166" s="67"/>
      <c r="G1166" s="67"/>
      <c r="H1166" s="68"/>
    </row>
    <row r="1167" spans="1:8" x14ac:dyDescent="0.2">
      <c r="A1167" s="67"/>
      <c r="B1167" s="67"/>
      <c r="C1167" s="67"/>
      <c r="D1167" s="67"/>
      <c r="E1167" s="67"/>
      <c r="F1167" s="67"/>
      <c r="G1167" s="67"/>
      <c r="H1167" s="68"/>
    </row>
    <row r="1168" spans="1:8" x14ac:dyDescent="0.2">
      <c r="A1168" s="67"/>
      <c r="B1168" s="67"/>
      <c r="C1168" s="67"/>
      <c r="D1168" s="67"/>
      <c r="E1168" s="67"/>
      <c r="F1168" s="67"/>
      <c r="G1168" s="67"/>
      <c r="H1168" s="68"/>
    </row>
    <row r="1169" spans="1:8" x14ac:dyDescent="0.2">
      <c r="A1169" s="67"/>
      <c r="B1169" s="67"/>
      <c r="C1169" s="67"/>
      <c r="D1169" s="67"/>
      <c r="E1169" s="67"/>
      <c r="F1169" s="67"/>
      <c r="G1169" s="67"/>
      <c r="H1169" s="68"/>
    </row>
    <row r="1170" spans="1:8" x14ac:dyDescent="0.2">
      <c r="A1170" s="67"/>
      <c r="B1170" s="67"/>
      <c r="C1170" s="67"/>
      <c r="D1170" s="67"/>
      <c r="E1170" s="67"/>
      <c r="F1170" s="67"/>
      <c r="G1170" s="67"/>
      <c r="H1170" s="68"/>
    </row>
    <row r="1171" spans="1:8" x14ac:dyDescent="0.2">
      <c r="A1171" s="67"/>
      <c r="B1171" s="67"/>
      <c r="C1171" s="67"/>
      <c r="D1171" s="67"/>
      <c r="E1171" s="67"/>
      <c r="F1171" s="67"/>
      <c r="G1171" s="67"/>
      <c r="H1171" s="68"/>
    </row>
    <row r="1172" spans="1:8" x14ac:dyDescent="0.2">
      <c r="A1172" s="67"/>
      <c r="B1172" s="67"/>
      <c r="C1172" s="67"/>
      <c r="D1172" s="67"/>
      <c r="E1172" s="67"/>
      <c r="F1172" s="67"/>
      <c r="G1172" s="67"/>
      <c r="H1172" s="68"/>
    </row>
    <row r="1173" spans="1:8" x14ac:dyDescent="0.2">
      <c r="A1173" s="67"/>
      <c r="B1173" s="67"/>
      <c r="C1173" s="67"/>
      <c r="D1173" s="67"/>
      <c r="E1173" s="67"/>
      <c r="F1173" s="67"/>
      <c r="G1173" s="67"/>
      <c r="H1173" s="68"/>
    </row>
    <row r="1174" spans="1:8" x14ac:dyDescent="0.2">
      <c r="A1174" s="67"/>
      <c r="B1174" s="67"/>
      <c r="C1174" s="67"/>
      <c r="D1174" s="67"/>
      <c r="E1174" s="67"/>
      <c r="F1174" s="67"/>
      <c r="G1174" s="67"/>
      <c r="H1174" s="68"/>
    </row>
    <row r="1175" spans="1:8" x14ac:dyDescent="0.2">
      <c r="A1175" s="67"/>
      <c r="B1175" s="67"/>
      <c r="C1175" s="67"/>
      <c r="D1175" s="67"/>
      <c r="E1175" s="67"/>
      <c r="F1175" s="67"/>
      <c r="G1175" s="67"/>
      <c r="H1175" s="68"/>
    </row>
    <row r="1176" spans="1:8" x14ac:dyDescent="0.2">
      <c r="A1176" s="67"/>
      <c r="B1176" s="67"/>
      <c r="C1176" s="67"/>
      <c r="D1176" s="67"/>
      <c r="E1176" s="67"/>
      <c r="F1176" s="67"/>
      <c r="G1176" s="67"/>
      <c r="H1176" s="68"/>
    </row>
    <row r="1177" spans="1:8" x14ac:dyDescent="0.2">
      <c r="A1177" s="67"/>
      <c r="B1177" s="67"/>
      <c r="C1177" s="67"/>
      <c r="D1177" s="67"/>
      <c r="E1177" s="67"/>
      <c r="F1177" s="67"/>
      <c r="G1177" s="67"/>
      <c r="H1177" s="68"/>
    </row>
    <row r="1178" spans="1:8" x14ac:dyDescent="0.2">
      <c r="A1178" s="67"/>
      <c r="B1178" s="67"/>
      <c r="C1178" s="67"/>
      <c r="D1178" s="67"/>
      <c r="E1178" s="67"/>
      <c r="F1178" s="67"/>
      <c r="G1178" s="67"/>
      <c r="H1178" s="68"/>
    </row>
    <row r="1179" spans="1:8" x14ac:dyDescent="0.2">
      <c r="A1179" s="67"/>
      <c r="B1179" s="67"/>
      <c r="C1179" s="67"/>
      <c r="D1179" s="67"/>
      <c r="E1179" s="67"/>
      <c r="F1179" s="67"/>
      <c r="G1179" s="67"/>
      <c r="H1179" s="68"/>
    </row>
    <row r="1180" spans="1:8" x14ac:dyDescent="0.2">
      <c r="A1180" s="67"/>
      <c r="B1180" s="67"/>
      <c r="C1180" s="67"/>
      <c r="D1180" s="67"/>
      <c r="E1180" s="67"/>
      <c r="F1180" s="67"/>
      <c r="G1180" s="67"/>
      <c r="H1180" s="68"/>
    </row>
    <row r="1181" spans="1:8" x14ac:dyDescent="0.2">
      <c r="A1181" s="67"/>
      <c r="B1181" s="67"/>
      <c r="C1181" s="67"/>
      <c r="D1181" s="67"/>
      <c r="E1181" s="67"/>
      <c r="F1181" s="67"/>
      <c r="G1181" s="67"/>
      <c r="H1181" s="68"/>
    </row>
    <row r="1182" spans="1:8" x14ac:dyDescent="0.2">
      <c r="A1182" s="67"/>
      <c r="B1182" s="67"/>
      <c r="C1182" s="67"/>
      <c r="D1182" s="67"/>
      <c r="E1182" s="67"/>
      <c r="F1182" s="67"/>
      <c r="G1182" s="67"/>
      <c r="H1182" s="68"/>
    </row>
    <row r="1183" spans="1:8" x14ac:dyDescent="0.2">
      <c r="A1183" s="67"/>
      <c r="B1183" s="67"/>
      <c r="C1183" s="67"/>
      <c r="D1183" s="67"/>
      <c r="E1183" s="67"/>
      <c r="F1183" s="67"/>
      <c r="G1183" s="67"/>
      <c r="H1183" s="68"/>
    </row>
    <row r="1184" spans="1:8" x14ac:dyDescent="0.2">
      <c r="A1184" s="67"/>
      <c r="B1184" s="67"/>
      <c r="C1184" s="67"/>
      <c r="D1184" s="67"/>
      <c r="E1184" s="67"/>
      <c r="F1184" s="67"/>
      <c r="G1184" s="67"/>
      <c r="H1184" s="68"/>
    </row>
    <row r="1185" spans="1:8" x14ac:dyDescent="0.2">
      <c r="A1185" s="67"/>
      <c r="B1185" s="67"/>
      <c r="C1185" s="67"/>
      <c r="D1185" s="67"/>
      <c r="E1185" s="67"/>
      <c r="F1185" s="67"/>
      <c r="G1185" s="67"/>
      <c r="H1185" s="68"/>
    </row>
    <row r="1186" spans="1:8" x14ac:dyDescent="0.2">
      <c r="A1186" s="67"/>
      <c r="B1186" s="67"/>
      <c r="C1186" s="67"/>
      <c r="D1186" s="67"/>
      <c r="E1186" s="67"/>
      <c r="F1186" s="67"/>
      <c r="G1186" s="67"/>
      <c r="H1186" s="68"/>
    </row>
    <row r="1187" spans="1:8" x14ac:dyDescent="0.2">
      <c r="A1187" s="67"/>
      <c r="B1187" s="67"/>
      <c r="C1187" s="67"/>
      <c r="D1187" s="67"/>
      <c r="E1187" s="67"/>
      <c r="F1187" s="67"/>
      <c r="G1187" s="67"/>
      <c r="H1187" s="68"/>
    </row>
    <row r="1188" spans="1:8" x14ac:dyDescent="0.2">
      <c r="A1188" s="67"/>
      <c r="B1188" s="67"/>
      <c r="C1188" s="67"/>
      <c r="D1188" s="67"/>
      <c r="E1188" s="67"/>
      <c r="F1188" s="67"/>
      <c r="G1188" s="67"/>
      <c r="H1188" s="68"/>
    </row>
    <row r="1189" spans="1:8" x14ac:dyDescent="0.2">
      <c r="A1189" s="67"/>
      <c r="B1189" s="67"/>
      <c r="C1189" s="67"/>
      <c r="D1189" s="67"/>
      <c r="E1189" s="67"/>
      <c r="F1189" s="67"/>
      <c r="G1189" s="67"/>
      <c r="H1189" s="68"/>
    </row>
    <row r="1190" spans="1:8" x14ac:dyDescent="0.2">
      <c r="A1190" s="67"/>
      <c r="B1190" s="67"/>
      <c r="C1190" s="67"/>
      <c r="D1190" s="67"/>
      <c r="E1190" s="67"/>
      <c r="F1190" s="67"/>
      <c r="G1190" s="67"/>
      <c r="H1190" s="68"/>
    </row>
    <row r="1191" spans="1:8" x14ac:dyDescent="0.2">
      <c r="A1191" s="67"/>
      <c r="B1191" s="67"/>
      <c r="C1191" s="67"/>
      <c r="D1191" s="67"/>
      <c r="E1191" s="67"/>
      <c r="F1191" s="67"/>
      <c r="G1191" s="67"/>
      <c r="H1191" s="68"/>
    </row>
    <row r="1192" spans="1:8" x14ac:dyDescent="0.2">
      <c r="A1192" s="67"/>
      <c r="B1192" s="67"/>
      <c r="C1192" s="67"/>
      <c r="D1192" s="67"/>
      <c r="E1192" s="67"/>
      <c r="F1192" s="67"/>
      <c r="G1192" s="67"/>
      <c r="H1192" s="68"/>
    </row>
    <row r="1193" spans="1:8" x14ac:dyDescent="0.2">
      <c r="A1193" s="67"/>
      <c r="B1193" s="67"/>
      <c r="C1193" s="67"/>
      <c r="D1193" s="67"/>
      <c r="E1193" s="67"/>
      <c r="F1193" s="67"/>
      <c r="G1193" s="67"/>
      <c r="H1193" s="68"/>
    </row>
    <row r="1194" spans="1:8" x14ac:dyDescent="0.2">
      <c r="A1194" s="67"/>
      <c r="B1194" s="67"/>
      <c r="C1194" s="67"/>
      <c r="D1194" s="67"/>
      <c r="E1194" s="67"/>
      <c r="F1194" s="67"/>
      <c r="G1194" s="67"/>
      <c r="H1194" s="68"/>
    </row>
    <row r="1195" spans="1:8" x14ac:dyDescent="0.2">
      <c r="A1195" s="67"/>
      <c r="B1195" s="67"/>
      <c r="C1195" s="67"/>
      <c r="D1195" s="67"/>
      <c r="E1195" s="67"/>
      <c r="F1195" s="67"/>
      <c r="G1195" s="67"/>
      <c r="H1195" s="68"/>
    </row>
    <row r="1196" spans="1:8" x14ac:dyDescent="0.2">
      <c r="A1196" s="67"/>
      <c r="B1196" s="67"/>
      <c r="C1196" s="67"/>
      <c r="D1196" s="67"/>
      <c r="E1196" s="67"/>
      <c r="F1196" s="67"/>
      <c r="G1196" s="67"/>
      <c r="H1196" s="68"/>
    </row>
    <row r="1197" spans="1:8" x14ac:dyDescent="0.2">
      <c r="A1197" s="67"/>
      <c r="B1197" s="67"/>
      <c r="C1197" s="67"/>
      <c r="D1197" s="67"/>
      <c r="E1197" s="67"/>
      <c r="F1197" s="67"/>
      <c r="G1197" s="67"/>
      <c r="H1197" s="68"/>
    </row>
    <row r="1198" spans="1:8" x14ac:dyDescent="0.2">
      <c r="A1198" s="67"/>
      <c r="B1198" s="67"/>
      <c r="C1198" s="67"/>
      <c r="D1198" s="67"/>
      <c r="E1198" s="67"/>
      <c r="F1198" s="67"/>
      <c r="G1198" s="67"/>
      <c r="H1198" s="68"/>
    </row>
    <row r="1199" spans="1:8" x14ac:dyDescent="0.2">
      <c r="A1199" s="67"/>
      <c r="B1199" s="67"/>
      <c r="C1199" s="67"/>
      <c r="D1199" s="67"/>
      <c r="E1199" s="67"/>
      <c r="F1199" s="67"/>
      <c r="G1199" s="67"/>
      <c r="H1199" s="68"/>
    </row>
    <row r="1200" spans="1:8" x14ac:dyDescent="0.2">
      <c r="A1200" s="67"/>
      <c r="B1200" s="67"/>
      <c r="C1200" s="67"/>
      <c r="D1200" s="67"/>
      <c r="E1200" s="67"/>
      <c r="F1200" s="67"/>
      <c r="G1200" s="67"/>
      <c r="H1200" s="68"/>
    </row>
    <row r="1201" spans="1:8" x14ac:dyDescent="0.2">
      <c r="A1201" s="67"/>
      <c r="B1201" s="67"/>
      <c r="C1201" s="67"/>
      <c r="D1201" s="67"/>
      <c r="E1201" s="67"/>
      <c r="F1201" s="67"/>
      <c r="G1201" s="67"/>
      <c r="H1201" s="68"/>
    </row>
    <row r="1202" spans="1:8" x14ac:dyDescent="0.2">
      <c r="A1202" s="67"/>
      <c r="B1202" s="67"/>
      <c r="C1202" s="67"/>
      <c r="D1202" s="67"/>
      <c r="E1202" s="67"/>
      <c r="F1202" s="67"/>
      <c r="G1202" s="67"/>
      <c r="H1202" s="68"/>
    </row>
    <row r="1203" spans="1:8" x14ac:dyDescent="0.2">
      <c r="A1203" s="67"/>
      <c r="B1203" s="67"/>
      <c r="C1203" s="67"/>
      <c r="D1203" s="67"/>
      <c r="E1203" s="67"/>
      <c r="F1203" s="67"/>
      <c r="G1203" s="67"/>
      <c r="H1203" s="68"/>
    </row>
    <row r="1204" spans="1:8" x14ac:dyDescent="0.2">
      <c r="A1204" s="67"/>
      <c r="B1204" s="67"/>
      <c r="C1204" s="67"/>
      <c r="D1204" s="67"/>
      <c r="E1204" s="67"/>
      <c r="F1204" s="67"/>
      <c r="G1204" s="67"/>
      <c r="H1204" s="68"/>
    </row>
    <row r="1205" spans="1:8" x14ac:dyDescent="0.2">
      <c r="A1205" s="67"/>
      <c r="B1205" s="67"/>
      <c r="C1205" s="67"/>
      <c r="D1205" s="67"/>
      <c r="E1205" s="67"/>
      <c r="F1205" s="67"/>
      <c r="G1205" s="67"/>
      <c r="H1205" s="68"/>
    </row>
    <row r="1206" spans="1:8" x14ac:dyDescent="0.2">
      <c r="A1206" s="67"/>
      <c r="B1206" s="67"/>
      <c r="C1206" s="67"/>
      <c r="D1206" s="67"/>
      <c r="E1206" s="67"/>
      <c r="F1206" s="67"/>
      <c r="G1206" s="67"/>
      <c r="H1206" s="68"/>
    </row>
    <row r="1207" spans="1:8" x14ac:dyDescent="0.2">
      <c r="A1207" s="67"/>
      <c r="B1207" s="67"/>
      <c r="C1207" s="67"/>
      <c r="D1207" s="67"/>
      <c r="E1207" s="67"/>
      <c r="F1207" s="67"/>
      <c r="G1207" s="67"/>
      <c r="H1207" s="68"/>
    </row>
    <row r="1208" spans="1:8" x14ac:dyDescent="0.2">
      <c r="A1208" s="67"/>
      <c r="B1208" s="67"/>
      <c r="C1208" s="67"/>
      <c r="D1208" s="67"/>
      <c r="E1208" s="67"/>
      <c r="F1208" s="67"/>
      <c r="G1208" s="67"/>
      <c r="H1208" s="68"/>
    </row>
    <row r="1209" spans="1:8" x14ac:dyDescent="0.2">
      <c r="A1209" s="67"/>
      <c r="B1209" s="67"/>
      <c r="C1209" s="67"/>
      <c r="D1209" s="67"/>
      <c r="E1209" s="67"/>
      <c r="F1209" s="67"/>
      <c r="G1209" s="67"/>
      <c r="H1209" s="68"/>
    </row>
    <row r="1210" spans="1:8" x14ac:dyDescent="0.2">
      <c r="A1210" s="67"/>
      <c r="B1210" s="67"/>
      <c r="C1210" s="67"/>
      <c r="D1210" s="67"/>
      <c r="E1210" s="67"/>
      <c r="F1210" s="67"/>
      <c r="G1210" s="67"/>
      <c r="H1210" s="68"/>
    </row>
    <row r="1211" spans="1:8" x14ac:dyDescent="0.2">
      <c r="A1211" s="67"/>
      <c r="B1211" s="67"/>
      <c r="C1211" s="67"/>
      <c r="D1211" s="67"/>
      <c r="E1211" s="67"/>
      <c r="F1211" s="67"/>
      <c r="G1211" s="67"/>
      <c r="H1211" s="68"/>
    </row>
    <row r="1212" spans="1:8" x14ac:dyDescent="0.2">
      <c r="A1212" s="67"/>
      <c r="B1212" s="67"/>
      <c r="C1212" s="67"/>
      <c r="D1212" s="67"/>
      <c r="E1212" s="67"/>
      <c r="F1212" s="67"/>
      <c r="G1212" s="67"/>
      <c r="H1212" s="68"/>
    </row>
    <row r="1213" spans="1:8" x14ac:dyDescent="0.2">
      <c r="A1213" s="67"/>
      <c r="B1213" s="67"/>
      <c r="C1213" s="67"/>
      <c r="D1213" s="67"/>
      <c r="E1213" s="67"/>
      <c r="F1213" s="67"/>
      <c r="G1213" s="67"/>
      <c r="H1213" s="68"/>
    </row>
    <row r="1214" spans="1:8" x14ac:dyDescent="0.2">
      <c r="A1214" s="67"/>
      <c r="B1214" s="67"/>
      <c r="C1214" s="67"/>
      <c r="D1214" s="67"/>
      <c r="E1214" s="67"/>
      <c r="F1214" s="67"/>
      <c r="G1214" s="67"/>
      <c r="H1214" s="68"/>
    </row>
    <row r="1215" spans="1:8" x14ac:dyDescent="0.2">
      <c r="A1215" s="67"/>
      <c r="B1215" s="67"/>
      <c r="C1215" s="67"/>
      <c r="D1215" s="67"/>
      <c r="E1215" s="67"/>
      <c r="F1215" s="67"/>
      <c r="G1215" s="67"/>
      <c r="H1215" s="68"/>
    </row>
    <row r="1216" spans="1:8" x14ac:dyDescent="0.2">
      <c r="A1216" s="67"/>
      <c r="B1216" s="67"/>
      <c r="C1216" s="67"/>
      <c r="D1216" s="67"/>
      <c r="E1216" s="67"/>
      <c r="F1216" s="67"/>
      <c r="G1216" s="67"/>
      <c r="H1216" s="68"/>
    </row>
    <row r="1217" spans="1:8" x14ac:dyDescent="0.2">
      <c r="A1217" s="67"/>
      <c r="B1217" s="67"/>
      <c r="C1217" s="67"/>
      <c r="D1217" s="67"/>
      <c r="E1217" s="67"/>
      <c r="F1217" s="67"/>
      <c r="G1217" s="67"/>
      <c r="H1217" s="68"/>
    </row>
    <row r="1218" spans="1:8" x14ac:dyDescent="0.2">
      <c r="A1218" s="67"/>
      <c r="B1218" s="67"/>
      <c r="C1218" s="67"/>
      <c r="D1218" s="67"/>
      <c r="E1218" s="67"/>
      <c r="F1218" s="67"/>
      <c r="G1218" s="67"/>
      <c r="H1218" s="68"/>
    </row>
    <row r="1219" spans="1:8" x14ac:dyDescent="0.2">
      <c r="A1219" s="67"/>
      <c r="B1219" s="67"/>
      <c r="C1219" s="67"/>
      <c r="D1219" s="67"/>
      <c r="E1219" s="67"/>
      <c r="F1219" s="67"/>
      <c r="G1219" s="67"/>
      <c r="H1219" s="68"/>
    </row>
    <row r="1220" spans="1:8" x14ac:dyDescent="0.2">
      <c r="A1220" s="67"/>
      <c r="B1220" s="67"/>
      <c r="C1220" s="67"/>
      <c r="D1220" s="67"/>
      <c r="E1220" s="67"/>
      <c r="F1220" s="67"/>
      <c r="G1220" s="67"/>
      <c r="H1220" s="68"/>
    </row>
    <row r="1221" spans="1:8" x14ac:dyDescent="0.2">
      <c r="A1221" s="67"/>
      <c r="B1221" s="67"/>
      <c r="C1221" s="67"/>
      <c r="D1221" s="67"/>
      <c r="E1221" s="67"/>
      <c r="F1221" s="67"/>
      <c r="G1221" s="67"/>
      <c r="H1221" s="68"/>
    </row>
    <row r="1222" spans="1:8" x14ac:dyDescent="0.2">
      <c r="A1222" s="67"/>
      <c r="B1222" s="67"/>
      <c r="C1222" s="67"/>
      <c r="D1222" s="67"/>
      <c r="E1222" s="67"/>
      <c r="F1222" s="67"/>
      <c r="G1222" s="67"/>
      <c r="H1222" s="68"/>
    </row>
    <row r="1223" spans="1:8" x14ac:dyDescent="0.2">
      <c r="A1223" s="67"/>
      <c r="B1223" s="67"/>
      <c r="C1223" s="67"/>
      <c r="D1223" s="67"/>
      <c r="E1223" s="67"/>
      <c r="F1223" s="67"/>
      <c r="G1223" s="67"/>
      <c r="H1223" s="68"/>
    </row>
    <row r="1224" spans="1:8" x14ac:dyDescent="0.2">
      <c r="A1224" s="67"/>
      <c r="B1224" s="67"/>
      <c r="C1224" s="67"/>
      <c r="D1224" s="67"/>
      <c r="E1224" s="67"/>
      <c r="F1224" s="67"/>
      <c r="G1224" s="67"/>
      <c r="H1224" s="68"/>
    </row>
    <row r="1225" spans="1:8" x14ac:dyDescent="0.2">
      <c r="A1225" s="67"/>
      <c r="B1225" s="67"/>
      <c r="C1225" s="67"/>
      <c r="D1225" s="67"/>
      <c r="E1225" s="67"/>
      <c r="F1225" s="67"/>
      <c r="G1225" s="67"/>
      <c r="H1225" s="68"/>
    </row>
    <row r="1226" spans="1:8" x14ac:dyDescent="0.2">
      <c r="A1226" s="67"/>
      <c r="B1226" s="67"/>
      <c r="C1226" s="67"/>
      <c r="D1226" s="67"/>
      <c r="E1226" s="67"/>
      <c r="F1226" s="67"/>
      <c r="G1226" s="67"/>
      <c r="H1226" s="68"/>
    </row>
    <row r="1227" spans="1:8" x14ac:dyDescent="0.2">
      <c r="A1227" s="67"/>
      <c r="B1227" s="67"/>
      <c r="C1227" s="67"/>
      <c r="D1227" s="67"/>
      <c r="E1227" s="67"/>
      <c r="F1227" s="67"/>
      <c r="G1227" s="67"/>
      <c r="H1227" s="68"/>
    </row>
    <row r="1228" spans="1:8" x14ac:dyDescent="0.2">
      <c r="A1228" s="67"/>
      <c r="B1228" s="67"/>
      <c r="C1228" s="67"/>
      <c r="D1228" s="67"/>
      <c r="E1228" s="67"/>
      <c r="F1228" s="67"/>
      <c r="G1228" s="67"/>
      <c r="H1228" s="68"/>
    </row>
    <row r="1229" spans="1:8" x14ac:dyDescent="0.2">
      <c r="A1229" s="67"/>
      <c r="B1229" s="67"/>
      <c r="C1229" s="67"/>
      <c r="D1229" s="67"/>
      <c r="E1229" s="67"/>
      <c r="F1229" s="67"/>
      <c r="G1229" s="67"/>
      <c r="H1229" s="68"/>
    </row>
    <row r="1230" spans="1:8" x14ac:dyDescent="0.2">
      <c r="A1230" s="67"/>
      <c r="B1230" s="67"/>
      <c r="C1230" s="67"/>
      <c r="D1230" s="67"/>
      <c r="E1230" s="67"/>
      <c r="F1230" s="67"/>
      <c r="G1230" s="67"/>
      <c r="H1230" s="68"/>
    </row>
    <row r="1231" spans="1:8" x14ac:dyDescent="0.2">
      <c r="A1231" s="67"/>
      <c r="B1231" s="67"/>
      <c r="C1231" s="67"/>
      <c r="D1231" s="67"/>
      <c r="E1231" s="67"/>
      <c r="F1231" s="67"/>
      <c r="G1231" s="67"/>
      <c r="H1231" s="68"/>
    </row>
    <row r="1232" spans="1:8" x14ac:dyDescent="0.2">
      <c r="A1232" s="67"/>
      <c r="B1232" s="67"/>
      <c r="C1232" s="67"/>
      <c r="D1232" s="67"/>
      <c r="E1232" s="67"/>
      <c r="F1232" s="67"/>
      <c r="G1232" s="67"/>
      <c r="H1232" s="68"/>
    </row>
    <row r="1233" spans="1:8" x14ac:dyDescent="0.2">
      <c r="A1233" s="67"/>
      <c r="B1233" s="67"/>
      <c r="C1233" s="67"/>
      <c r="D1233" s="67"/>
      <c r="E1233" s="67"/>
      <c r="F1233" s="67"/>
      <c r="G1233" s="67"/>
      <c r="H1233" s="68"/>
    </row>
    <row r="1234" spans="1:8" x14ac:dyDescent="0.2">
      <c r="A1234" s="67"/>
      <c r="B1234" s="67"/>
      <c r="C1234" s="67"/>
      <c r="D1234" s="67"/>
      <c r="E1234" s="67"/>
      <c r="F1234" s="67"/>
      <c r="G1234" s="67"/>
      <c r="H1234" s="68"/>
    </row>
    <row r="1235" spans="1:8" x14ac:dyDescent="0.2">
      <c r="A1235" s="67"/>
      <c r="B1235" s="67"/>
      <c r="C1235" s="67"/>
      <c r="D1235" s="67"/>
      <c r="E1235" s="67"/>
      <c r="F1235" s="67"/>
      <c r="G1235" s="67"/>
      <c r="H1235" s="68"/>
    </row>
    <row r="1236" spans="1:8" x14ac:dyDescent="0.2">
      <c r="A1236" s="67"/>
      <c r="B1236" s="67"/>
      <c r="C1236" s="67"/>
      <c r="D1236" s="67"/>
      <c r="E1236" s="67"/>
      <c r="F1236" s="67"/>
      <c r="G1236" s="67"/>
      <c r="H1236" s="68"/>
    </row>
    <row r="1237" spans="1:8" x14ac:dyDescent="0.2">
      <c r="A1237" s="67"/>
      <c r="B1237" s="67"/>
      <c r="C1237" s="67"/>
      <c r="D1237" s="67"/>
      <c r="E1237" s="67"/>
      <c r="F1237" s="67"/>
      <c r="G1237" s="67"/>
      <c r="H1237" s="68"/>
    </row>
    <row r="1238" spans="1:8" x14ac:dyDescent="0.2">
      <c r="A1238" s="67"/>
      <c r="B1238" s="67"/>
      <c r="C1238" s="67"/>
      <c r="D1238" s="67"/>
      <c r="E1238" s="67"/>
      <c r="F1238" s="67"/>
      <c r="G1238" s="67"/>
      <c r="H1238" s="68"/>
    </row>
    <row r="1239" spans="1:8" x14ac:dyDescent="0.2">
      <c r="A1239" s="67"/>
      <c r="B1239" s="67"/>
      <c r="C1239" s="67"/>
      <c r="D1239" s="67"/>
      <c r="E1239" s="67"/>
      <c r="F1239" s="67"/>
      <c r="G1239" s="67"/>
      <c r="H1239" s="68"/>
    </row>
    <row r="1240" spans="1:8" x14ac:dyDescent="0.2">
      <c r="A1240" s="67"/>
      <c r="B1240" s="67"/>
      <c r="C1240" s="67"/>
      <c r="D1240" s="67"/>
      <c r="E1240" s="67"/>
      <c r="F1240" s="67"/>
      <c r="G1240" s="67"/>
      <c r="H1240" s="68"/>
    </row>
    <row r="1241" spans="1:8" x14ac:dyDescent="0.2">
      <c r="A1241" s="67"/>
      <c r="B1241" s="67"/>
      <c r="C1241" s="67"/>
      <c r="D1241" s="67"/>
      <c r="E1241" s="67"/>
      <c r="F1241" s="67"/>
      <c r="G1241" s="67"/>
      <c r="H1241" s="68"/>
    </row>
    <row r="1242" spans="1:8" x14ac:dyDescent="0.2">
      <c r="A1242" s="67"/>
      <c r="B1242" s="67"/>
      <c r="C1242" s="67"/>
      <c r="D1242" s="67"/>
      <c r="E1242" s="67"/>
      <c r="F1242" s="67"/>
      <c r="G1242" s="67"/>
      <c r="H1242" s="68"/>
    </row>
    <row r="1243" spans="1:8" x14ac:dyDescent="0.2">
      <c r="A1243" s="67"/>
      <c r="B1243" s="67"/>
      <c r="C1243" s="67"/>
      <c r="D1243" s="67"/>
      <c r="E1243" s="67"/>
      <c r="F1243" s="67"/>
      <c r="G1243" s="67"/>
      <c r="H1243" s="68"/>
    </row>
    <row r="1244" spans="1:8" x14ac:dyDescent="0.2">
      <c r="A1244" s="67"/>
      <c r="B1244" s="67"/>
      <c r="C1244" s="67"/>
      <c r="D1244" s="67"/>
      <c r="E1244" s="67"/>
      <c r="F1244" s="67"/>
      <c r="G1244" s="67"/>
      <c r="H1244" s="68"/>
    </row>
    <row r="1245" spans="1:8" x14ac:dyDescent="0.2">
      <c r="A1245" s="67"/>
      <c r="B1245" s="67"/>
      <c r="C1245" s="67"/>
      <c r="D1245" s="67"/>
      <c r="E1245" s="67"/>
      <c r="F1245" s="67"/>
      <c r="G1245" s="67"/>
      <c r="H1245" s="68"/>
    </row>
    <row r="1246" spans="1:8" x14ac:dyDescent="0.2">
      <c r="A1246" s="67"/>
      <c r="B1246" s="67"/>
      <c r="C1246" s="67"/>
      <c r="D1246" s="67"/>
      <c r="E1246" s="67"/>
      <c r="F1246" s="67"/>
      <c r="G1246" s="67"/>
      <c r="H1246" s="68"/>
    </row>
    <row r="1247" spans="1:8" x14ac:dyDescent="0.2">
      <c r="A1247" s="67"/>
      <c r="B1247" s="67"/>
      <c r="C1247" s="67"/>
      <c r="D1247" s="67"/>
      <c r="E1247" s="67"/>
      <c r="F1247" s="67"/>
      <c r="G1247" s="67"/>
      <c r="H1247" s="68"/>
    </row>
    <row r="1248" spans="1:8" x14ac:dyDescent="0.2">
      <c r="A1248" s="67"/>
      <c r="B1248" s="67"/>
      <c r="C1248" s="67"/>
      <c r="D1248" s="67"/>
      <c r="E1248" s="67"/>
      <c r="F1248" s="67"/>
      <c r="G1248" s="67"/>
      <c r="H1248" s="68"/>
    </row>
    <row r="1249" spans="1:8" x14ac:dyDescent="0.2">
      <c r="A1249" s="67"/>
      <c r="B1249" s="67"/>
      <c r="C1249" s="67"/>
      <c r="D1249" s="67"/>
      <c r="E1249" s="67"/>
      <c r="F1249" s="67"/>
      <c r="G1249" s="67"/>
      <c r="H1249" s="68"/>
    </row>
    <row r="1250" spans="1:8" x14ac:dyDescent="0.2">
      <c r="A1250" s="67"/>
      <c r="B1250" s="67"/>
      <c r="C1250" s="67"/>
      <c r="D1250" s="67"/>
      <c r="E1250" s="67"/>
      <c r="F1250" s="67"/>
      <c r="G1250" s="67"/>
      <c r="H1250" s="68"/>
    </row>
    <row r="1251" spans="1:8" x14ac:dyDescent="0.2">
      <c r="A1251" s="67"/>
      <c r="B1251" s="67"/>
      <c r="C1251" s="67"/>
      <c r="D1251" s="67"/>
      <c r="E1251" s="67"/>
      <c r="F1251" s="67"/>
      <c r="G1251" s="67"/>
      <c r="H1251" s="68"/>
    </row>
    <row r="1252" spans="1:8" x14ac:dyDescent="0.2">
      <c r="A1252" s="67"/>
      <c r="B1252" s="67"/>
      <c r="C1252" s="67"/>
      <c r="D1252" s="67"/>
      <c r="E1252" s="67"/>
      <c r="F1252" s="67"/>
      <c r="G1252" s="67"/>
      <c r="H1252" s="68"/>
    </row>
    <row r="1253" spans="1:8" x14ac:dyDescent="0.2">
      <c r="A1253" s="67"/>
      <c r="B1253" s="67"/>
      <c r="C1253" s="67"/>
      <c r="D1253" s="67"/>
      <c r="E1253" s="67"/>
      <c r="F1253" s="67"/>
      <c r="G1253" s="67"/>
      <c r="H1253" s="68"/>
    </row>
    <row r="1254" spans="1:8" x14ac:dyDescent="0.2">
      <c r="A1254" s="67"/>
      <c r="B1254" s="67"/>
      <c r="C1254" s="67"/>
      <c r="D1254" s="67"/>
      <c r="E1254" s="67"/>
      <c r="F1254" s="67"/>
      <c r="G1254" s="67"/>
      <c r="H1254" s="68"/>
    </row>
    <row r="1255" spans="1:8" x14ac:dyDescent="0.2">
      <c r="A1255" s="67"/>
      <c r="B1255" s="67"/>
      <c r="C1255" s="67"/>
      <c r="D1255" s="67"/>
      <c r="E1255" s="67"/>
      <c r="F1255" s="67"/>
      <c r="G1255" s="67"/>
      <c r="H1255" s="68"/>
    </row>
    <row r="1256" spans="1:8" x14ac:dyDescent="0.2">
      <c r="A1256" s="67"/>
      <c r="B1256" s="67"/>
      <c r="C1256" s="67"/>
      <c r="D1256" s="67"/>
      <c r="E1256" s="67"/>
      <c r="F1256" s="67"/>
      <c r="G1256" s="67"/>
      <c r="H1256" s="68"/>
    </row>
    <row r="1257" spans="1:8" x14ac:dyDescent="0.2">
      <c r="A1257" s="67"/>
      <c r="B1257" s="67"/>
      <c r="C1257" s="67"/>
      <c r="D1257" s="67"/>
      <c r="E1257" s="67"/>
      <c r="F1257" s="67"/>
      <c r="G1257" s="67"/>
      <c r="H1257" s="68"/>
    </row>
    <row r="1258" spans="1:8" x14ac:dyDescent="0.2">
      <c r="A1258" s="67"/>
      <c r="B1258" s="67"/>
      <c r="C1258" s="67"/>
      <c r="D1258" s="67"/>
      <c r="E1258" s="67"/>
      <c r="F1258" s="67"/>
      <c r="G1258" s="67"/>
      <c r="H1258" s="68"/>
    </row>
    <row r="1259" spans="1:8" x14ac:dyDescent="0.2">
      <c r="A1259" s="67"/>
      <c r="B1259" s="67"/>
      <c r="C1259" s="67"/>
      <c r="D1259" s="67"/>
      <c r="E1259" s="67"/>
      <c r="F1259" s="67"/>
      <c r="G1259" s="67"/>
      <c r="H1259" s="68"/>
    </row>
    <row r="1260" spans="1:8" x14ac:dyDescent="0.2">
      <c r="A1260" s="67"/>
      <c r="B1260" s="67"/>
      <c r="C1260" s="67"/>
      <c r="D1260" s="67"/>
      <c r="E1260" s="67"/>
      <c r="F1260" s="67"/>
      <c r="G1260" s="67"/>
      <c r="H1260" s="68"/>
    </row>
    <row r="1261" spans="1:8" x14ac:dyDescent="0.2">
      <c r="A1261" s="67"/>
      <c r="B1261" s="67"/>
      <c r="C1261" s="67"/>
      <c r="D1261" s="67"/>
      <c r="E1261" s="67"/>
      <c r="F1261" s="67"/>
      <c r="G1261" s="67"/>
      <c r="H1261" s="68"/>
    </row>
    <row r="1262" spans="1:8" x14ac:dyDescent="0.2">
      <c r="A1262" s="67"/>
      <c r="B1262" s="67"/>
      <c r="C1262" s="67"/>
      <c r="D1262" s="67"/>
      <c r="E1262" s="67"/>
      <c r="F1262" s="67"/>
      <c r="G1262" s="67"/>
      <c r="H1262" s="68"/>
    </row>
    <row r="1263" spans="1:8" x14ac:dyDescent="0.2">
      <c r="A1263" s="67"/>
      <c r="B1263" s="67"/>
      <c r="C1263" s="67"/>
      <c r="D1263" s="67"/>
      <c r="E1263" s="67"/>
      <c r="F1263" s="67"/>
      <c r="G1263" s="67"/>
      <c r="H1263" s="68"/>
    </row>
    <row r="1264" spans="1:8" x14ac:dyDescent="0.2">
      <c r="A1264" s="67"/>
      <c r="B1264" s="67"/>
      <c r="C1264" s="67"/>
      <c r="D1264" s="67"/>
      <c r="E1264" s="67"/>
      <c r="F1264" s="67"/>
      <c r="G1264" s="67"/>
      <c r="H1264" s="68"/>
    </row>
    <row r="1265" spans="1:8" x14ac:dyDescent="0.2">
      <c r="A1265" s="67"/>
      <c r="B1265" s="67"/>
      <c r="C1265" s="67"/>
      <c r="D1265" s="67"/>
      <c r="E1265" s="67"/>
      <c r="F1265" s="67"/>
      <c r="G1265" s="67"/>
      <c r="H1265" s="68"/>
    </row>
    <row r="1266" spans="1:8" x14ac:dyDescent="0.2">
      <c r="A1266" s="67"/>
      <c r="B1266" s="67"/>
      <c r="C1266" s="67"/>
      <c r="D1266" s="67"/>
      <c r="E1266" s="67"/>
      <c r="F1266" s="67"/>
      <c r="G1266" s="67"/>
      <c r="H1266" s="68"/>
    </row>
    <row r="1267" spans="1:8" x14ac:dyDescent="0.2">
      <c r="A1267" s="67"/>
      <c r="B1267" s="67"/>
      <c r="C1267" s="67"/>
      <c r="D1267" s="67"/>
      <c r="E1267" s="67"/>
      <c r="F1267" s="67"/>
      <c r="G1267" s="67"/>
      <c r="H1267" s="68"/>
    </row>
    <row r="1268" spans="1:8" x14ac:dyDescent="0.2">
      <c r="A1268" s="67"/>
      <c r="B1268" s="67"/>
      <c r="C1268" s="67"/>
      <c r="D1268" s="67"/>
      <c r="E1268" s="67"/>
      <c r="F1268" s="67"/>
      <c r="G1268" s="67"/>
      <c r="H1268" s="68"/>
    </row>
    <row r="1269" spans="1:8" x14ac:dyDescent="0.2">
      <c r="A1269" s="67"/>
      <c r="B1269" s="67"/>
      <c r="C1269" s="67"/>
      <c r="D1269" s="67"/>
      <c r="E1269" s="67"/>
      <c r="F1269" s="67"/>
      <c r="G1269" s="67"/>
      <c r="H1269" s="68"/>
    </row>
    <row r="1270" spans="1:8" x14ac:dyDescent="0.2">
      <c r="A1270" s="67"/>
      <c r="B1270" s="67"/>
      <c r="C1270" s="67"/>
      <c r="D1270" s="67"/>
      <c r="E1270" s="67"/>
      <c r="F1270" s="67"/>
      <c r="G1270" s="67"/>
      <c r="H1270" s="68"/>
    </row>
    <row r="1271" spans="1:8" x14ac:dyDescent="0.2">
      <c r="A1271" s="67"/>
      <c r="B1271" s="67"/>
      <c r="C1271" s="67"/>
      <c r="D1271" s="67"/>
      <c r="E1271" s="67"/>
      <c r="F1271" s="67"/>
      <c r="G1271" s="67"/>
      <c r="H1271" s="68"/>
    </row>
    <row r="1272" spans="1:8" x14ac:dyDescent="0.2">
      <c r="A1272" s="67"/>
      <c r="B1272" s="67"/>
      <c r="C1272" s="67"/>
      <c r="D1272" s="67"/>
      <c r="E1272" s="67"/>
      <c r="F1272" s="67"/>
      <c r="G1272" s="67"/>
      <c r="H1272" s="68"/>
    </row>
    <row r="1273" spans="1:8" x14ac:dyDescent="0.2">
      <c r="A1273" s="67"/>
      <c r="B1273" s="67"/>
      <c r="C1273" s="67"/>
      <c r="D1273" s="67"/>
      <c r="E1273" s="67"/>
      <c r="F1273" s="67"/>
      <c r="G1273" s="67"/>
      <c r="H1273" s="68"/>
    </row>
    <row r="1274" spans="1:8" x14ac:dyDescent="0.2">
      <c r="A1274" s="67"/>
      <c r="B1274" s="67"/>
      <c r="C1274" s="67"/>
      <c r="D1274" s="67"/>
      <c r="E1274" s="67"/>
      <c r="F1274" s="67"/>
      <c r="G1274" s="67"/>
      <c r="H1274" s="68"/>
    </row>
    <row r="1275" spans="1:8" x14ac:dyDescent="0.2">
      <c r="A1275" s="67"/>
      <c r="B1275" s="67"/>
      <c r="C1275" s="67"/>
      <c r="D1275" s="67"/>
      <c r="E1275" s="67"/>
      <c r="F1275" s="67"/>
      <c r="G1275" s="67"/>
      <c r="H1275" s="68"/>
    </row>
    <row r="1276" spans="1:8" x14ac:dyDescent="0.2">
      <c r="A1276" s="67"/>
      <c r="B1276" s="67"/>
      <c r="C1276" s="67"/>
      <c r="D1276" s="67"/>
      <c r="E1276" s="67"/>
      <c r="F1276" s="67"/>
      <c r="G1276" s="67"/>
      <c r="H1276" s="68"/>
    </row>
    <row r="1277" spans="1:8" x14ac:dyDescent="0.2">
      <c r="A1277" s="67"/>
      <c r="B1277" s="67"/>
      <c r="C1277" s="67"/>
      <c r="D1277" s="67"/>
      <c r="E1277" s="67"/>
      <c r="F1277" s="67"/>
      <c r="G1277" s="67"/>
      <c r="H1277" s="68"/>
    </row>
    <row r="1278" spans="1:8" x14ac:dyDescent="0.2">
      <c r="A1278" s="67"/>
      <c r="B1278" s="67"/>
      <c r="C1278" s="67"/>
      <c r="D1278" s="67"/>
      <c r="E1278" s="67"/>
      <c r="F1278" s="67"/>
      <c r="G1278" s="67"/>
      <c r="H1278" s="68"/>
    </row>
    <row r="1279" spans="1:8" x14ac:dyDescent="0.2">
      <c r="A1279" s="67"/>
      <c r="B1279" s="67"/>
      <c r="C1279" s="67"/>
      <c r="D1279" s="67"/>
      <c r="E1279" s="67"/>
      <c r="F1279" s="67"/>
      <c r="G1279" s="67"/>
      <c r="H1279" s="68"/>
    </row>
    <row r="1280" spans="1:8" x14ac:dyDescent="0.2">
      <c r="A1280" s="67"/>
      <c r="B1280" s="67"/>
      <c r="C1280" s="67"/>
      <c r="D1280" s="67"/>
      <c r="E1280" s="67"/>
      <c r="F1280" s="67"/>
      <c r="G1280" s="67"/>
      <c r="H1280" s="68"/>
    </row>
    <row r="1281" spans="1:8" x14ac:dyDescent="0.2">
      <c r="A1281" s="67"/>
      <c r="B1281" s="67"/>
      <c r="C1281" s="67"/>
      <c r="D1281" s="67"/>
      <c r="E1281" s="67"/>
      <c r="F1281" s="67"/>
      <c r="G1281" s="67"/>
      <c r="H1281" s="68"/>
    </row>
    <row r="1282" spans="1:8" x14ac:dyDescent="0.2">
      <c r="A1282" s="67"/>
      <c r="B1282" s="67"/>
      <c r="C1282" s="67"/>
      <c r="D1282" s="67"/>
      <c r="E1282" s="67"/>
      <c r="F1282" s="67"/>
      <c r="G1282" s="67"/>
      <c r="H1282" s="68"/>
    </row>
    <row r="1283" spans="1:8" x14ac:dyDescent="0.2">
      <c r="A1283" s="67"/>
      <c r="B1283" s="67"/>
      <c r="C1283" s="67"/>
      <c r="D1283" s="67"/>
      <c r="E1283" s="67"/>
      <c r="F1283" s="67"/>
      <c r="G1283" s="67"/>
      <c r="H1283" s="68"/>
    </row>
    <row r="1284" spans="1:8" x14ac:dyDescent="0.2">
      <c r="A1284" s="67"/>
      <c r="B1284" s="67"/>
      <c r="C1284" s="67"/>
      <c r="D1284" s="67"/>
      <c r="E1284" s="67"/>
      <c r="F1284" s="67"/>
      <c r="G1284" s="67"/>
      <c r="H1284" s="68"/>
    </row>
    <row r="1285" spans="1:8" x14ac:dyDescent="0.2">
      <c r="A1285" s="67"/>
      <c r="B1285" s="67"/>
      <c r="C1285" s="67"/>
      <c r="D1285" s="67"/>
      <c r="E1285" s="67"/>
      <c r="F1285" s="67"/>
      <c r="G1285" s="67"/>
      <c r="H1285" s="68"/>
    </row>
    <row r="1286" spans="1:8" x14ac:dyDescent="0.2">
      <c r="A1286" s="67"/>
      <c r="B1286" s="67"/>
      <c r="C1286" s="67"/>
      <c r="D1286" s="67"/>
      <c r="E1286" s="67"/>
      <c r="F1286" s="67"/>
      <c r="G1286" s="67"/>
      <c r="H1286" s="68"/>
    </row>
    <row r="1287" spans="1:8" x14ac:dyDescent="0.2">
      <c r="A1287" s="67"/>
      <c r="B1287" s="67"/>
      <c r="C1287" s="67"/>
      <c r="D1287" s="67"/>
      <c r="E1287" s="67"/>
      <c r="F1287" s="67"/>
      <c r="G1287" s="67"/>
      <c r="H1287" s="68"/>
    </row>
    <row r="1288" spans="1:8" x14ac:dyDescent="0.2">
      <c r="A1288" s="67"/>
      <c r="B1288" s="67"/>
      <c r="C1288" s="67"/>
      <c r="D1288" s="67"/>
      <c r="E1288" s="67"/>
      <c r="F1288" s="67"/>
      <c r="G1288" s="67"/>
      <c r="H1288" s="68"/>
    </row>
    <row r="1289" spans="1:8" x14ac:dyDescent="0.2">
      <c r="A1289" s="67"/>
      <c r="B1289" s="67"/>
      <c r="C1289" s="67"/>
      <c r="D1289" s="67"/>
      <c r="E1289" s="67"/>
      <c r="F1289" s="67"/>
      <c r="G1289" s="67"/>
      <c r="H1289" s="68"/>
    </row>
    <row r="1290" spans="1:8" x14ac:dyDescent="0.2">
      <c r="A1290" s="67"/>
      <c r="B1290" s="67"/>
      <c r="C1290" s="67"/>
      <c r="D1290" s="67"/>
      <c r="E1290" s="67"/>
      <c r="F1290" s="67"/>
      <c r="G1290" s="67"/>
      <c r="H1290" s="68"/>
    </row>
    <row r="1291" spans="1:8" x14ac:dyDescent="0.2">
      <c r="A1291" s="67"/>
      <c r="B1291" s="67"/>
      <c r="C1291" s="67"/>
      <c r="D1291" s="67"/>
      <c r="E1291" s="67"/>
      <c r="F1291" s="67"/>
      <c r="G1291" s="67"/>
      <c r="H1291" s="68"/>
    </row>
    <row r="1292" spans="1:8" x14ac:dyDescent="0.2">
      <c r="A1292" s="67"/>
      <c r="B1292" s="67"/>
      <c r="C1292" s="67"/>
      <c r="D1292" s="67"/>
      <c r="E1292" s="67"/>
      <c r="F1292" s="67"/>
      <c r="G1292" s="67"/>
      <c r="H1292" s="68"/>
    </row>
    <row r="1293" spans="1:8" x14ac:dyDescent="0.2">
      <c r="A1293" s="67"/>
      <c r="B1293" s="67"/>
      <c r="C1293" s="67"/>
      <c r="D1293" s="67"/>
      <c r="E1293" s="67"/>
      <c r="F1293" s="67"/>
      <c r="G1293" s="67"/>
      <c r="H1293" s="68"/>
    </row>
    <row r="1294" spans="1:8" x14ac:dyDescent="0.2">
      <c r="A1294" s="67"/>
      <c r="B1294" s="67"/>
      <c r="C1294" s="67"/>
      <c r="D1294" s="67"/>
      <c r="E1294" s="67"/>
      <c r="F1294" s="67"/>
      <c r="G1294" s="67"/>
      <c r="H1294" s="68"/>
    </row>
    <row r="1295" spans="1:8" x14ac:dyDescent="0.2">
      <c r="A1295" s="67"/>
      <c r="B1295" s="67"/>
      <c r="C1295" s="67"/>
      <c r="D1295" s="67"/>
      <c r="E1295" s="67"/>
      <c r="F1295" s="67"/>
      <c r="G1295" s="67"/>
      <c r="H1295" s="68"/>
    </row>
    <row r="1296" spans="1:8" x14ac:dyDescent="0.2">
      <c r="A1296" s="67"/>
      <c r="B1296" s="67"/>
      <c r="C1296" s="67"/>
      <c r="D1296" s="67"/>
      <c r="E1296" s="67"/>
      <c r="F1296" s="67"/>
      <c r="G1296" s="67"/>
      <c r="H1296" s="68"/>
    </row>
    <row r="1297" spans="1:8" x14ac:dyDescent="0.2">
      <c r="A1297" s="67"/>
      <c r="B1297" s="67"/>
      <c r="C1297" s="67"/>
      <c r="D1297" s="67"/>
      <c r="E1297" s="67"/>
      <c r="F1297" s="67"/>
      <c r="G1297" s="67"/>
      <c r="H1297" s="68"/>
    </row>
    <row r="1298" spans="1:8" x14ac:dyDescent="0.2">
      <c r="A1298" s="67"/>
      <c r="B1298" s="67"/>
      <c r="C1298" s="67"/>
      <c r="D1298" s="67"/>
      <c r="E1298" s="67"/>
      <c r="F1298" s="67"/>
      <c r="G1298" s="67"/>
      <c r="H1298" s="68"/>
    </row>
    <row r="1299" spans="1:8" x14ac:dyDescent="0.2">
      <c r="A1299" s="67"/>
      <c r="B1299" s="67"/>
      <c r="C1299" s="67"/>
      <c r="D1299" s="67"/>
      <c r="E1299" s="67"/>
      <c r="F1299" s="67"/>
      <c r="G1299" s="67"/>
      <c r="H1299" s="68"/>
    </row>
    <row r="1300" spans="1:8" x14ac:dyDescent="0.2">
      <c r="A1300" s="67"/>
      <c r="B1300" s="67"/>
      <c r="C1300" s="67"/>
      <c r="D1300" s="67"/>
      <c r="E1300" s="67"/>
      <c r="F1300" s="67"/>
      <c r="G1300" s="67"/>
      <c r="H1300" s="68"/>
    </row>
    <row r="1301" spans="1:8" x14ac:dyDescent="0.2">
      <c r="A1301" s="67"/>
      <c r="B1301" s="67"/>
      <c r="C1301" s="67"/>
      <c r="D1301" s="67"/>
      <c r="E1301" s="67"/>
      <c r="F1301" s="67"/>
      <c r="G1301" s="67"/>
      <c r="H1301" s="68"/>
    </row>
    <row r="1302" spans="1:8" x14ac:dyDescent="0.2">
      <c r="A1302" s="67"/>
      <c r="B1302" s="67"/>
      <c r="C1302" s="67"/>
      <c r="D1302" s="67"/>
      <c r="E1302" s="67"/>
      <c r="F1302" s="67"/>
      <c r="G1302" s="67"/>
      <c r="H1302" s="68"/>
    </row>
    <row r="1303" spans="1:8" x14ac:dyDescent="0.2">
      <c r="A1303" s="67"/>
      <c r="B1303" s="67"/>
      <c r="C1303" s="67"/>
      <c r="D1303" s="67"/>
      <c r="E1303" s="67"/>
      <c r="F1303" s="67"/>
      <c r="G1303" s="67"/>
      <c r="H1303" s="68"/>
    </row>
    <row r="1304" spans="1:8" x14ac:dyDescent="0.2">
      <c r="A1304" s="67"/>
      <c r="B1304" s="67"/>
      <c r="C1304" s="67"/>
      <c r="D1304" s="67"/>
      <c r="E1304" s="67"/>
      <c r="F1304" s="67"/>
      <c r="G1304" s="67"/>
      <c r="H1304" s="68"/>
    </row>
    <row r="1305" spans="1:8" x14ac:dyDescent="0.2">
      <c r="A1305" s="67"/>
      <c r="B1305" s="67"/>
      <c r="C1305" s="67"/>
      <c r="D1305" s="67"/>
      <c r="E1305" s="67"/>
      <c r="F1305" s="67"/>
      <c r="G1305" s="67"/>
      <c r="H1305" s="68"/>
    </row>
    <row r="1306" spans="1:8" x14ac:dyDescent="0.2">
      <c r="A1306" s="67"/>
      <c r="B1306" s="67"/>
      <c r="C1306" s="67"/>
      <c r="D1306" s="67"/>
      <c r="E1306" s="67"/>
      <c r="F1306" s="67"/>
      <c r="G1306" s="67"/>
      <c r="H1306" s="68"/>
    </row>
    <row r="1307" spans="1:8" x14ac:dyDescent="0.2">
      <c r="A1307" s="67"/>
      <c r="B1307" s="67"/>
      <c r="C1307" s="67"/>
      <c r="D1307" s="67"/>
      <c r="E1307" s="67"/>
      <c r="F1307" s="67"/>
      <c r="G1307" s="67"/>
      <c r="H1307" s="68"/>
    </row>
    <row r="1308" spans="1:8" x14ac:dyDescent="0.2">
      <c r="A1308" s="67"/>
      <c r="B1308" s="67"/>
      <c r="C1308" s="67"/>
      <c r="D1308" s="67"/>
      <c r="E1308" s="67"/>
      <c r="F1308" s="67"/>
      <c r="G1308" s="67"/>
      <c r="H1308" s="68"/>
    </row>
    <row r="1309" spans="1:8" x14ac:dyDescent="0.2">
      <c r="A1309" s="67"/>
      <c r="B1309" s="67"/>
      <c r="C1309" s="67"/>
      <c r="D1309" s="67"/>
      <c r="E1309" s="67"/>
      <c r="F1309" s="67"/>
      <c r="G1309" s="67"/>
      <c r="H1309" s="68"/>
    </row>
    <row r="1310" spans="1:8" x14ac:dyDescent="0.2">
      <c r="A1310" s="67"/>
      <c r="B1310" s="67"/>
      <c r="C1310" s="67"/>
      <c r="D1310" s="67"/>
      <c r="E1310" s="67"/>
      <c r="F1310" s="67"/>
      <c r="G1310" s="67"/>
      <c r="H1310" s="68"/>
    </row>
    <row r="1311" spans="1:8" x14ac:dyDescent="0.2">
      <c r="A1311" s="67"/>
      <c r="B1311" s="67"/>
      <c r="C1311" s="67"/>
      <c r="D1311" s="67"/>
      <c r="E1311" s="67"/>
      <c r="F1311" s="67"/>
      <c r="G1311" s="67"/>
      <c r="H1311" s="68"/>
    </row>
    <row r="1312" spans="1:8" x14ac:dyDescent="0.2">
      <c r="A1312" s="67"/>
      <c r="B1312" s="67"/>
      <c r="C1312" s="67"/>
      <c r="D1312" s="67"/>
      <c r="E1312" s="67"/>
      <c r="F1312" s="67"/>
      <c r="G1312" s="67"/>
      <c r="H1312" s="68"/>
    </row>
    <row r="1313" spans="1:8" x14ac:dyDescent="0.2">
      <c r="A1313" s="67"/>
      <c r="B1313" s="67"/>
      <c r="C1313" s="67"/>
      <c r="D1313" s="67"/>
      <c r="E1313" s="67"/>
      <c r="F1313" s="67"/>
      <c r="G1313" s="67"/>
      <c r="H1313" s="68"/>
    </row>
    <row r="1314" spans="1:8" x14ac:dyDescent="0.2">
      <c r="A1314" s="67"/>
      <c r="B1314" s="67"/>
      <c r="C1314" s="67"/>
      <c r="D1314" s="67"/>
      <c r="E1314" s="67"/>
      <c r="F1314" s="67"/>
      <c r="G1314" s="67"/>
      <c r="H1314" s="68"/>
    </row>
    <row r="1315" spans="1:8" x14ac:dyDescent="0.2">
      <c r="A1315" s="67"/>
      <c r="B1315" s="67"/>
      <c r="C1315" s="67"/>
      <c r="D1315" s="67"/>
      <c r="E1315" s="67"/>
      <c r="F1315" s="67"/>
      <c r="G1315" s="67"/>
      <c r="H1315" s="68"/>
    </row>
    <row r="1316" spans="1:8" x14ac:dyDescent="0.2">
      <c r="A1316" s="67"/>
      <c r="B1316" s="67"/>
      <c r="C1316" s="67"/>
      <c r="D1316" s="67"/>
      <c r="E1316" s="67"/>
      <c r="F1316" s="67"/>
      <c r="G1316" s="67"/>
      <c r="H1316" s="68"/>
    </row>
    <row r="1317" spans="1:8" x14ac:dyDescent="0.2">
      <c r="A1317" s="67"/>
      <c r="B1317" s="67"/>
      <c r="C1317" s="67"/>
      <c r="D1317" s="67"/>
      <c r="E1317" s="67"/>
      <c r="F1317" s="67"/>
      <c r="G1317" s="67"/>
      <c r="H1317" s="68"/>
    </row>
    <row r="1318" spans="1:8" x14ac:dyDescent="0.2">
      <c r="A1318" s="67"/>
      <c r="B1318" s="67"/>
      <c r="C1318" s="67"/>
      <c r="D1318" s="67"/>
      <c r="E1318" s="67"/>
      <c r="F1318" s="67"/>
      <c r="G1318" s="67"/>
      <c r="H1318" s="68"/>
    </row>
    <row r="1319" spans="1:8" x14ac:dyDescent="0.2">
      <c r="A1319" s="67"/>
      <c r="B1319" s="67"/>
      <c r="C1319" s="67"/>
      <c r="D1319" s="67"/>
      <c r="E1319" s="67"/>
      <c r="F1319" s="67"/>
      <c r="G1319" s="67"/>
      <c r="H1319" s="68"/>
    </row>
    <row r="1320" spans="1:8" x14ac:dyDescent="0.2">
      <c r="A1320" s="67"/>
      <c r="B1320" s="67"/>
      <c r="C1320" s="67"/>
      <c r="D1320" s="67"/>
      <c r="E1320" s="67"/>
      <c r="F1320" s="67"/>
      <c r="G1320" s="67"/>
      <c r="H1320" s="68"/>
    </row>
    <row r="1321" spans="1:8" x14ac:dyDescent="0.2">
      <c r="A1321" s="67"/>
      <c r="B1321" s="67"/>
      <c r="C1321" s="67"/>
      <c r="D1321" s="67"/>
      <c r="E1321" s="67"/>
      <c r="F1321" s="67"/>
      <c r="G1321" s="67"/>
      <c r="H1321" s="68"/>
    </row>
    <row r="1322" spans="1:8" x14ac:dyDescent="0.2">
      <c r="A1322" s="67"/>
      <c r="B1322" s="67"/>
      <c r="C1322" s="67"/>
      <c r="D1322" s="67"/>
      <c r="E1322" s="67"/>
      <c r="F1322" s="67"/>
      <c r="G1322" s="67"/>
      <c r="H1322" s="68"/>
    </row>
    <row r="1323" spans="1:8" x14ac:dyDescent="0.2">
      <c r="A1323" s="67"/>
      <c r="B1323" s="67"/>
      <c r="C1323" s="67"/>
      <c r="D1323" s="67"/>
      <c r="E1323" s="67"/>
      <c r="F1323" s="67"/>
      <c r="G1323" s="67"/>
      <c r="H1323" s="68"/>
    </row>
    <row r="1324" spans="1:8" x14ac:dyDescent="0.2">
      <c r="A1324" s="67"/>
      <c r="B1324" s="67"/>
      <c r="C1324" s="67"/>
      <c r="D1324" s="67"/>
      <c r="E1324" s="67"/>
      <c r="F1324" s="67"/>
      <c r="G1324" s="67"/>
      <c r="H1324" s="68"/>
    </row>
    <row r="1325" spans="1:8" x14ac:dyDescent="0.2">
      <c r="A1325" s="67"/>
      <c r="B1325" s="67"/>
      <c r="C1325" s="67"/>
      <c r="D1325" s="67"/>
      <c r="E1325" s="67"/>
      <c r="F1325" s="67"/>
      <c r="G1325" s="67"/>
      <c r="H1325" s="68"/>
    </row>
    <row r="1326" spans="1:8" x14ac:dyDescent="0.2">
      <c r="A1326" s="67"/>
      <c r="B1326" s="67"/>
      <c r="C1326" s="67"/>
      <c r="D1326" s="67"/>
      <c r="E1326" s="67"/>
      <c r="F1326" s="67"/>
      <c r="G1326" s="67"/>
      <c r="H1326" s="68"/>
    </row>
    <row r="1327" spans="1:8" x14ac:dyDescent="0.2">
      <c r="A1327" s="67"/>
      <c r="B1327" s="67"/>
      <c r="C1327" s="67"/>
      <c r="D1327" s="67"/>
      <c r="E1327" s="67"/>
      <c r="F1327" s="67"/>
      <c r="G1327" s="67"/>
      <c r="H1327" s="68"/>
    </row>
    <row r="1328" spans="1:8" x14ac:dyDescent="0.2">
      <c r="A1328" s="67"/>
      <c r="B1328" s="67"/>
      <c r="C1328" s="67"/>
      <c r="D1328" s="67"/>
      <c r="E1328" s="67"/>
      <c r="F1328" s="67"/>
      <c r="G1328" s="67"/>
      <c r="H1328" s="68"/>
    </row>
    <row r="1329" spans="1:8" x14ac:dyDescent="0.2">
      <c r="A1329" s="67"/>
      <c r="B1329" s="67"/>
      <c r="C1329" s="67"/>
      <c r="D1329" s="67"/>
      <c r="E1329" s="67"/>
      <c r="F1329" s="67"/>
      <c r="G1329" s="67"/>
      <c r="H1329" s="68"/>
    </row>
    <row r="1330" spans="1:8" x14ac:dyDescent="0.2">
      <c r="A1330" s="67"/>
      <c r="B1330" s="67"/>
      <c r="C1330" s="67"/>
      <c r="D1330" s="67"/>
      <c r="E1330" s="67"/>
      <c r="F1330" s="67"/>
      <c r="G1330" s="67"/>
      <c r="H1330" s="68"/>
    </row>
    <row r="1331" spans="1:8" x14ac:dyDescent="0.2">
      <c r="A1331" s="67"/>
      <c r="B1331" s="67"/>
      <c r="C1331" s="67"/>
      <c r="D1331" s="67"/>
      <c r="E1331" s="67"/>
      <c r="F1331" s="67"/>
      <c r="G1331" s="67"/>
      <c r="H1331" s="68"/>
    </row>
    <row r="1332" spans="1:8" x14ac:dyDescent="0.2">
      <c r="A1332" s="67"/>
      <c r="B1332" s="67"/>
      <c r="C1332" s="67"/>
      <c r="D1332" s="67"/>
      <c r="E1332" s="67"/>
      <c r="F1332" s="67"/>
      <c r="G1332" s="67"/>
      <c r="H1332" s="68"/>
    </row>
    <row r="1333" spans="1:8" x14ac:dyDescent="0.2">
      <c r="A1333" s="67"/>
      <c r="B1333" s="67"/>
      <c r="C1333" s="67"/>
      <c r="D1333" s="67"/>
      <c r="E1333" s="67"/>
      <c r="F1333" s="67"/>
      <c r="G1333" s="67"/>
      <c r="H1333" s="68"/>
    </row>
    <row r="1334" spans="1:8" x14ac:dyDescent="0.2">
      <c r="A1334" s="67"/>
      <c r="B1334" s="67"/>
      <c r="C1334" s="67"/>
      <c r="D1334" s="67"/>
      <c r="E1334" s="67"/>
      <c r="F1334" s="67"/>
      <c r="G1334" s="67"/>
      <c r="H1334" s="68"/>
    </row>
    <row r="1335" spans="1:8" x14ac:dyDescent="0.2">
      <c r="A1335" s="67"/>
      <c r="B1335" s="67"/>
      <c r="C1335" s="67"/>
      <c r="D1335" s="67"/>
      <c r="E1335" s="67"/>
      <c r="F1335" s="67"/>
      <c r="G1335" s="67"/>
      <c r="H1335" s="68"/>
    </row>
    <row r="1336" spans="1:8" x14ac:dyDescent="0.2">
      <c r="A1336" s="67"/>
      <c r="B1336" s="67"/>
      <c r="C1336" s="67"/>
      <c r="D1336" s="67"/>
      <c r="E1336" s="67"/>
      <c r="F1336" s="67"/>
      <c r="G1336" s="67"/>
      <c r="H1336" s="68"/>
    </row>
    <row r="1337" spans="1:8" x14ac:dyDescent="0.2">
      <c r="A1337" s="67"/>
      <c r="B1337" s="67"/>
      <c r="C1337" s="67"/>
      <c r="D1337" s="67"/>
      <c r="E1337" s="67"/>
      <c r="F1337" s="67"/>
      <c r="G1337" s="67"/>
      <c r="H1337" s="68"/>
    </row>
    <row r="1338" spans="1:8" x14ac:dyDescent="0.2">
      <c r="A1338" s="67"/>
      <c r="B1338" s="67"/>
      <c r="C1338" s="67"/>
      <c r="D1338" s="67"/>
      <c r="E1338" s="67"/>
      <c r="F1338" s="67"/>
      <c r="G1338" s="67"/>
      <c r="H1338" s="68"/>
    </row>
    <row r="1339" spans="1:8" x14ac:dyDescent="0.2">
      <c r="A1339" s="67"/>
      <c r="B1339" s="67"/>
      <c r="C1339" s="67"/>
      <c r="D1339" s="67"/>
      <c r="E1339" s="67"/>
      <c r="F1339" s="67"/>
      <c r="G1339" s="67"/>
      <c r="H1339" s="68"/>
    </row>
    <row r="1340" spans="1:8" x14ac:dyDescent="0.2">
      <c r="A1340" s="67"/>
      <c r="B1340" s="67"/>
      <c r="C1340" s="67"/>
      <c r="D1340" s="67"/>
      <c r="E1340" s="67"/>
      <c r="F1340" s="67"/>
      <c r="G1340" s="67"/>
      <c r="H1340" s="68"/>
    </row>
    <row r="1341" spans="1:8" x14ac:dyDescent="0.2">
      <c r="A1341" s="67"/>
      <c r="B1341" s="67"/>
      <c r="C1341" s="67"/>
      <c r="D1341" s="67"/>
      <c r="E1341" s="67"/>
      <c r="F1341" s="67"/>
      <c r="G1341" s="67"/>
      <c r="H1341" s="68"/>
    </row>
    <row r="1342" spans="1:8" x14ac:dyDescent="0.2">
      <c r="A1342" s="67"/>
      <c r="B1342" s="67"/>
      <c r="C1342" s="67"/>
      <c r="D1342" s="67"/>
      <c r="E1342" s="67"/>
      <c r="F1342" s="67"/>
      <c r="G1342" s="67"/>
      <c r="H1342" s="68"/>
    </row>
    <row r="1343" spans="1:8" x14ac:dyDescent="0.2">
      <c r="A1343" s="67"/>
      <c r="B1343" s="67"/>
      <c r="C1343" s="67"/>
      <c r="D1343" s="67"/>
      <c r="E1343" s="67"/>
      <c r="F1343" s="67"/>
      <c r="G1343" s="67"/>
      <c r="H1343" s="68"/>
    </row>
    <row r="1344" spans="1:8" x14ac:dyDescent="0.2">
      <c r="A1344" s="67"/>
      <c r="B1344" s="67"/>
      <c r="C1344" s="67"/>
      <c r="D1344" s="67"/>
      <c r="E1344" s="67"/>
      <c r="F1344" s="67"/>
      <c r="G1344" s="67"/>
      <c r="H1344" s="68"/>
    </row>
    <row r="1345" spans="1:8" x14ac:dyDescent="0.2">
      <c r="A1345" s="67"/>
      <c r="B1345" s="67"/>
      <c r="C1345" s="67"/>
      <c r="D1345" s="67"/>
      <c r="E1345" s="67"/>
      <c r="F1345" s="67"/>
      <c r="G1345" s="67"/>
      <c r="H1345" s="68"/>
    </row>
    <row r="1346" spans="1:8" x14ac:dyDescent="0.2">
      <c r="A1346" s="67"/>
      <c r="B1346" s="67"/>
      <c r="C1346" s="67"/>
      <c r="D1346" s="67"/>
      <c r="E1346" s="67"/>
      <c r="F1346" s="67"/>
      <c r="G1346" s="67"/>
      <c r="H1346" s="68"/>
    </row>
    <row r="1347" spans="1:8" x14ac:dyDescent="0.2">
      <c r="A1347" s="67"/>
      <c r="B1347" s="67"/>
      <c r="C1347" s="67"/>
      <c r="D1347" s="67"/>
      <c r="E1347" s="67"/>
      <c r="F1347" s="67"/>
      <c r="G1347" s="67"/>
      <c r="H1347" s="68"/>
    </row>
    <row r="1348" spans="1:8" x14ac:dyDescent="0.2">
      <c r="A1348" s="67"/>
      <c r="B1348" s="67"/>
      <c r="C1348" s="67"/>
      <c r="D1348" s="67"/>
      <c r="E1348" s="67"/>
      <c r="F1348" s="67"/>
      <c r="G1348" s="67"/>
      <c r="H1348" s="68"/>
    </row>
    <row r="1349" spans="1:8" x14ac:dyDescent="0.2">
      <c r="A1349" s="67"/>
      <c r="B1349" s="67"/>
      <c r="C1349" s="67"/>
      <c r="D1349" s="67"/>
      <c r="E1349" s="67"/>
      <c r="F1349" s="67"/>
      <c r="G1349" s="67"/>
      <c r="H1349" s="68"/>
    </row>
    <row r="1350" spans="1:8" x14ac:dyDescent="0.2">
      <c r="A1350" s="67"/>
      <c r="B1350" s="67"/>
      <c r="C1350" s="67"/>
      <c r="D1350" s="67"/>
      <c r="E1350" s="67"/>
      <c r="F1350" s="67"/>
      <c r="G1350" s="67"/>
      <c r="H1350" s="68"/>
    </row>
    <row r="1351" spans="1:8" x14ac:dyDescent="0.2">
      <c r="A1351" s="67"/>
      <c r="B1351" s="67"/>
      <c r="C1351" s="67"/>
      <c r="D1351" s="67"/>
      <c r="E1351" s="67"/>
      <c r="F1351" s="67"/>
      <c r="G1351" s="67"/>
      <c r="H1351" s="68"/>
    </row>
    <row r="1352" spans="1:8" x14ac:dyDescent="0.2">
      <c r="A1352" s="67"/>
      <c r="B1352" s="67"/>
      <c r="C1352" s="67"/>
      <c r="D1352" s="67"/>
      <c r="E1352" s="67"/>
      <c r="F1352" s="67"/>
      <c r="G1352" s="67"/>
      <c r="H1352" s="68"/>
    </row>
    <row r="1353" spans="1:8" x14ac:dyDescent="0.2">
      <c r="A1353" s="67"/>
      <c r="B1353" s="67"/>
      <c r="C1353" s="67"/>
      <c r="D1353" s="67"/>
      <c r="E1353" s="67"/>
      <c r="F1353" s="67"/>
      <c r="G1353" s="67"/>
      <c r="H1353" s="68"/>
    </row>
    <row r="1354" spans="1:8" x14ac:dyDescent="0.2">
      <c r="A1354" s="67"/>
      <c r="B1354" s="67"/>
      <c r="C1354" s="67"/>
      <c r="D1354" s="67"/>
      <c r="E1354" s="67"/>
      <c r="F1354" s="67"/>
      <c r="G1354" s="67"/>
      <c r="H1354" s="68"/>
    </row>
    <row r="1355" spans="1:8" x14ac:dyDescent="0.2">
      <c r="A1355" s="67"/>
      <c r="B1355" s="67"/>
      <c r="C1355" s="67"/>
      <c r="D1355" s="67"/>
      <c r="E1355" s="67"/>
      <c r="F1355" s="67"/>
      <c r="G1355" s="67"/>
      <c r="H1355" s="68"/>
    </row>
    <row r="1356" spans="1:8" x14ac:dyDescent="0.2">
      <c r="A1356" s="67"/>
      <c r="B1356" s="67"/>
      <c r="C1356" s="67"/>
      <c r="D1356" s="67"/>
      <c r="E1356" s="67"/>
      <c r="F1356" s="67"/>
      <c r="G1356" s="67"/>
      <c r="H1356" s="68"/>
    </row>
    <row r="1357" spans="1:8" x14ac:dyDescent="0.2">
      <c r="A1357" s="67"/>
      <c r="B1357" s="67"/>
      <c r="C1357" s="67"/>
      <c r="D1357" s="67"/>
      <c r="E1357" s="67"/>
      <c r="F1357" s="67"/>
      <c r="G1357" s="67"/>
      <c r="H1357" s="68"/>
    </row>
    <row r="1358" spans="1:8" x14ac:dyDescent="0.2">
      <c r="A1358" s="67"/>
      <c r="B1358" s="67"/>
      <c r="C1358" s="67"/>
      <c r="D1358" s="67"/>
      <c r="E1358" s="67"/>
      <c r="F1358" s="67"/>
      <c r="G1358" s="67"/>
      <c r="H1358" s="68"/>
    </row>
    <row r="1359" spans="1:8" x14ac:dyDescent="0.2">
      <c r="A1359" s="67"/>
      <c r="B1359" s="67"/>
      <c r="C1359" s="67"/>
      <c r="D1359" s="67"/>
      <c r="E1359" s="67"/>
      <c r="F1359" s="67"/>
      <c r="G1359" s="67"/>
      <c r="H1359" s="68"/>
    </row>
    <row r="1360" spans="1:8" x14ac:dyDescent="0.2">
      <c r="A1360" s="67"/>
      <c r="B1360" s="67"/>
      <c r="C1360" s="67"/>
      <c r="D1360" s="67"/>
      <c r="E1360" s="67"/>
      <c r="F1360" s="67"/>
      <c r="G1360" s="67"/>
      <c r="H1360" s="68"/>
    </row>
    <row r="1361" spans="1:8" x14ac:dyDescent="0.2">
      <c r="A1361" s="67"/>
      <c r="B1361" s="67"/>
      <c r="C1361" s="67"/>
      <c r="D1361" s="67"/>
      <c r="E1361" s="67"/>
      <c r="F1361" s="67"/>
      <c r="G1361" s="67"/>
      <c r="H1361" s="68"/>
    </row>
    <row r="1362" spans="1:8" x14ac:dyDescent="0.2">
      <c r="A1362" s="67"/>
      <c r="B1362" s="67"/>
      <c r="C1362" s="67"/>
      <c r="D1362" s="67"/>
      <c r="E1362" s="67"/>
      <c r="F1362" s="67"/>
      <c r="G1362" s="67"/>
      <c r="H1362" s="68"/>
    </row>
    <row r="1363" spans="1:8" x14ac:dyDescent="0.2">
      <c r="A1363" s="67"/>
      <c r="B1363" s="67"/>
      <c r="C1363" s="67"/>
      <c r="D1363" s="67"/>
      <c r="E1363" s="67"/>
      <c r="F1363" s="67"/>
      <c r="G1363" s="67"/>
      <c r="H1363" s="68"/>
    </row>
    <row r="1364" spans="1:8" x14ac:dyDescent="0.2">
      <c r="A1364" s="67"/>
      <c r="B1364" s="67"/>
      <c r="C1364" s="67"/>
      <c r="D1364" s="67"/>
      <c r="E1364" s="67"/>
      <c r="F1364" s="67"/>
      <c r="G1364" s="67"/>
      <c r="H1364" s="68"/>
    </row>
    <row r="1365" spans="1:8" x14ac:dyDescent="0.2">
      <c r="A1365" s="67"/>
      <c r="B1365" s="67"/>
      <c r="C1365" s="67"/>
      <c r="D1365" s="67"/>
      <c r="E1365" s="67"/>
      <c r="F1365" s="67"/>
      <c r="G1365" s="67"/>
      <c r="H1365" s="68"/>
    </row>
    <row r="1366" spans="1:8" x14ac:dyDescent="0.2">
      <c r="A1366" s="67"/>
      <c r="B1366" s="67"/>
      <c r="C1366" s="67"/>
      <c r="D1366" s="67"/>
      <c r="E1366" s="67"/>
      <c r="F1366" s="67"/>
      <c r="G1366" s="67"/>
      <c r="H1366" s="68"/>
    </row>
    <row r="1367" spans="1:8" x14ac:dyDescent="0.2">
      <c r="A1367" s="67"/>
      <c r="B1367" s="67"/>
      <c r="C1367" s="67"/>
      <c r="D1367" s="67"/>
      <c r="E1367" s="67"/>
      <c r="F1367" s="67"/>
      <c r="G1367" s="67"/>
      <c r="H1367" s="68"/>
    </row>
    <row r="1368" spans="1:8" x14ac:dyDescent="0.2">
      <c r="A1368" s="67"/>
      <c r="B1368" s="67"/>
      <c r="C1368" s="67"/>
      <c r="D1368" s="67"/>
      <c r="E1368" s="67"/>
      <c r="F1368" s="67"/>
      <c r="G1368" s="67"/>
      <c r="H1368" s="68"/>
    </row>
    <row r="1369" spans="1:8" x14ac:dyDescent="0.2">
      <c r="A1369" s="67"/>
      <c r="B1369" s="67"/>
      <c r="C1369" s="67"/>
      <c r="D1369" s="67"/>
      <c r="E1369" s="67"/>
      <c r="F1369" s="67"/>
      <c r="G1369" s="67"/>
      <c r="H1369" s="68"/>
    </row>
    <row r="1370" spans="1:8" x14ac:dyDescent="0.2">
      <c r="A1370" s="67"/>
      <c r="B1370" s="67"/>
      <c r="C1370" s="67"/>
      <c r="D1370" s="67"/>
      <c r="E1370" s="67"/>
      <c r="F1370" s="67"/>
      <c r="G1370" s="67"/>
      <c r="H1370" s="68"/>
    </row>
    <row r="1371" spans="1:8" x14ac:dyDescent="0.2">
      <c r="A1371" s="67"/>
      <c r="B1371" s="67"/>
      <c r="C1371" s="67"/>
      <c r="D1371" s="67"/>
      <c r="E1371" s="67"/>
      <c r="F1371" s="67"/>
      <c r="G1371" s="67"/>
      <c r="H1371" s="68"/>
    </row>
    <row r="1372" spans="1:8" x14ac:dyDescent="0.2">
      <c r="A1372" s="67"/>
      <c r="B1372" s="67"/>
      <c r="C1372" s="67"/>
      <c r="D1372" s="67"/>
      <c r="E1372" s="67"/>
      <c r="F1372" s="67"/>
      <c r="G1372" s="67"/>
      <c r="H1372" s="68"/>
    </row>
    <row r="1373" spans="1:8" x14ac:dyDescent="0.2">
      <c r="A1373" s="67"/>
      <c r="B1373" s="67"/>
      <c r="C1373" s="67"/>
      <c r="D1373" s="67"/>
      <c r="E1373" s="67"/>
      <c r="F1373" s="67"/>
      <c r="G1373" s="67"/>
      <c r="H1373" s="68"/>
    </row>
    <row r="1374" spans="1:8" x14ac:dyDescent="0.2">
      <c r="A1374" s="67"/>
      <c r="B1374" s="67"/>
      <c r="C1374" s="67"/>
      <c r="D1374" s="67"/>
      <c r="E1374" s="67"/>
      <c r="F1374" s="67"/>
      <c r="G1374" s="67"/>
      <c r="H1374" s="68"/>
    </row>
    <row r="1375" spans="1:8" x14ac:dyDescent="0.2">
      <c r="A1375" s="67"/>
      <c r="B1375" s="67"/>
      <c r="C1375" s="67"/>
      <c r="D1375" s="67"/>
      <c r="E1375" s="67"/>
      <c r="F1375" s="67"/>
      <c r="G1375" s="67"/>
      <c r="H1375" s="68"/>
    </row>
    <row r="1376" spans="1:8" x14ac:dyDescent="0.2">
      <c r="A1376" s="67"/>
      <c r="B1376" s="67"/>
      <c r="C1376" s="67"/>
      <c r="D1376" s="67"/>
      <c r="E1376" s="67"/>
      <c r="F1376" s="67"/>
      <c r="G1376" s="67"/>
      <c r="H1376" s="68"/>
    </row>
    <row r="1377" spans="1:8" x14ac:dyDescent="0.2">
      <c r="A1377" s="67"/>
      <c r="B1377" s="67"/>
      <c r="C1377" s="67"/>
      <c r="D1377" s="67"/>
      <c r="E1377" s="67"/>
      <c r="F1377" s="67"/>
      <c r="G1377" s="67"/>
      <c r="H1377" s="68"/>
    </row>
    <row r="1378" spans="1:8" x14ac:dyDescent="0.2">
      <c r="A1378" s="67"/>
      <c r="B1378" s="67"/>
      <c r="C1378" s="67"/>
      <c r="D1378" s="67"/>
      <c r="E1378" s="67"/>
      <c r="F1378" s="67"/>
      <c r="G1378" s="67"/>
      <c r="H1378" s="68"/>
    </row>
    <row r="1379" spans="1:8" x14ac:dyDescent="0.2">
      <c r="A1379" s="67"/>
      <c r="B1379" s="67"/>
      <c r="C1379" s="67"/>
      <c r="D1379" s="67"/>
      <c r="E1379" s="67"/>
      <c r="F1379" s="67"/>
      <c r="G1379" s="67"/>
      <c r="H1379" s="68"/>
    </row>
    <row r="1380" spans="1:8" x14ac:dyDescent="0.2">
      <c r="A1380" s="67"/>
      <c r="B1380" s="67"/>
      <c r="C1380" s="67"/>
      <c r="D1380" s="67"/>
      <c r="E1380" s="67"/>
      <c r="F1380" s="67"/>
      <c r="G1380" s="67"/>
      <c r="H1380" s="68"/>
    </row>
    <row r="1381" spans="1:8" x14ac:dyDescent="0.2">
      <c r="A1381" s="67"/>
      <c r="B1381" s="67"/>
      <c r="C1381" s="67"/>
      <c r="D1381" s="67"/>
      <c r="E1381" s="67"/>
      <c r="F1381" s="67"/>
      <c r="G1381" s="67"/>
      <c r="H1381" s="68"/>
    </row>
    <row r="1382" spans="1:8" x14ac:dyDescent="0.2">
      <c r="A1382" s="67"/>
      <c r="B1382" s="67"/>
      <c r="C1382" s="67"/>
      <c r="D1382" s="67"/>
      <c r="E1382" s="67"/>
      <c r="F1382" s="67"/>
      <c r="G1382" s="67"/>
      <c r="H1382" s="68"/>
    </row>
    <row r="1383" spans="1:8" x14ac:dyDescent="0.2">
      <c r="A1383" s="67"/>
      <c r="B1383" s="67"/>
      <c r="C1383" s="67"/>
      <c r="D1383" s="67"/>
      <c r="E1383" s="67"/>
      <c r="F1383" s="67"/>
      <c r="G1383" s="67"/>
      <c r="H1383" s="68"/>
    </row>
    <row r="1384" spans="1:8" x14ac:dyDescent="0.2">
      <c r="A1384" s="67"/>
      <c r="B1384" s="67"/>
      <c r="C1384" s="67"/>
      <c r="D1384" s="67"/>
      <c r="E1384" s="67"/>
      <c r="F1384" s="67"/>
      <c r="G1384" s="67"/>
      <c r="H1384" s="68"/>
    </row>
    <row r="1385" spans="1:8" x14ac:dyDescent="0.2">
      <c r="A1385" s="67"/>
      <c r="B1385" s="67"/>
      <c r="C1385" s="67"/>
      <c r="D1385" s="67"/>
      <c r="E1385" s="67"/>
      <c r="F1385" s="67"/>
      <c r="G1385" s="67"/>
      <c r="H1385" s="68"/>
    </row>
    <row r="1386" spans="1:8" x14ac:dyDescent="0.2">
      <c r="A1386" s="67"/>
      <c r="B1386" s="67"/>
      <c r="C1386" s="67"/>
      <c r="D1386" s="67"/>
      <c r="E1386" s="67"/>
      <c r="F1386" s="67"/>
      <c r="G1386" s="67"/>
      <c r="H1386" s="68"/>
    </row>
    <row r="1387" spans="1:8" x14ac:dyDescent="0.2">
      <c r="A1387" s="67"/>
      <c r="B1387" s="67"/>
      <c r="C1387" s="67"/>
      <c r="D1387" s="67"/>
      <c r="E1387" s="67"/>
      <c r="F1387" s="67"/>
      <c r="G1387" s="67"/>
      <c r="H1387" s="68"/>
    </row>
    <row r="1388" spans="1:8" x14ac:dyDescent="0.2">
      <c r="A1388" s="67"/>
      <c r="B1388" s="67"/>
      <c r="C1388" s="67"/>
      <c r="D1388" s="67"/>
      <c r="E1388" s="67"/>
      <c r="F1388" s="67"/>
      <c r="G1388" s="67"/>
      <c r="H1388" s="68"/>
    </row>
    <row r="1389" spans="1:8" x14ac:dyDescent="0.2">
      <c r="A1389" s="67"/>
      <c r="B1389" s="67"/>
      <c r="C1389" s="67"/>
      <c r="D1389" s="67"/>
      <c r="E1389" s="67"/>
      <c r="F1389" s="67"/>
      <c r="G1389" s="67"/>
      <c r="H1389" s="68"/>
    </row>
    <row r="1390" spans="1:8" x14ac:dyDescent="0.2">
      <c r="A1390" s="67"/>
      <c r="B1390" s="67"/>
      <c r="C1390" s="67"/>
      <c r="D1390" s="67"/>
      <c r="E1390" s="67"/>
      <c r="F1390" s="67"/>
      <c r="G1390" s="67"/>
      <c r="H1390" s="68"/>
    </row>
    <row r="1391" spans="1:8" x14ac:dyDescent="0.2">
      <c r="A1391" s="67"/>
      <c r="B1391" s="67"/>
      <c r="C1391" s="67"/>
      <c r="D1391" s="67"/>
      <c r="E1391" s="67"/>
      <c r="F1391" s="67"/>
      <c r="G1391" s="67"/>
      <c r="H1391" s="68"/>
    </row>
    <row r="1392" spans="1:8" x14ac:dyDescent="0.2">
      <c r="A1392" s="67"/>
      <c r="B1392" s="67"/>
      <c r="C1392" s="67"/>
      <c r="D1392" s="67"/>
      <c r="E1392" s="67"/>
      <c r="F1392" s="67"/>
      <c r="G1392" s="67"/>
      <c r="H1392" s="68"/>
    </row>
    <row r="1393" spans="1:8" x14ac:dyDescent="0.2">
      <c r="A1393" s="67"/>
      <c r="B1393" s="67"/>
      <c r="C1393" s="67"/>
      <c r="D1393" s="67"/>
      <c r="E1393" s="67"/>
      <c r="F1393" s="67"/>
      <c r="G1393" s="67"/>
      <c r="H1393" s="68"/>
    </row>
    <row r="1394" spans="1:8" x14ac:dyDescent="0.2">
      <c r="A1394" s="67"/>
      <c r="B1394" s="67"/>
      <c r="C1394" s="67"/>
      <c r="D1394" s="67"/>
      <c r="E1394" s="67"/>
      <c r="F1394" s="67"/>
      <c r="G1394" s="67"/>
      <c r="H1394" s="68"/>
    </row>
    <row r="1395" spans="1:8" x14ac:dyDescent="0.2">
      <c r="A1395" s="67"/>
      <c r="B1395" s="67"/>
      <c r="C1395" s="67"/>
      <c r="D1395" s="67"/>
      <c r="E1395" s="67"/>
      <c r="F1395" s="67"/>
      <c r="G1395" s="67"/>
      <c r="H1395" s="68"/>
    </row>
    <row r="1396" spans="1:8" x14ac:dyDescent="0.2">
      <c r="A1396" s="67"/>
      <c r="B1396" s="67"/>
      <c r="C1396" s="67"/>
      <c r="D1396" s="67"/>
      <c r="E1396" s="67"/>
      <c r="F1396" s="67"/>
      <c r="G1396" s="67"/>
      <c r="H1396" s="68"/>
    </row>
    <row r="1397" spans="1:8" x14ac:dyDescent="0.2">
      <c r="A1397" s="67"/>
      <c r="B1397" s="67"/>
      <c r="C1397" s="67"/>
      <c r="D1397" s="67"/>
      <c r="E1397" s="67"/>
      <c r="F1397" s="67"/>
      <c r="G1397" s="67"/>
      <c r="H1397" s="68"/>
    </row>
    <row r="1398" spans="1:8" x14ac:dyDescent="0.2">
      <c r="A1398" s="67"/>
      <c r="B1398" s="67"/>
      <c r="C1398" s="67"/>
      <c r="D1398" s="67"/>
      <c r="E1398" s="67"/>
      <c r="F1398" s="67"/>
      <c r="G1398" s="67"/>
      <c r="H1398" s="68"/>
    </row>
    <row r="1399" spans="1:8" x14ac:dyDescent="0.2">
      <c r="A1399" s="67"/>
      <c r="B1399" s="67"/>
      <c r="C1399" s="67"/>
      <c r="D1399" s="67"/>
      <c r="E1399" s="67"/>
      <c r="F1399" s="67"/>
      <c r="G1399" s="67"/>
      <c r="H1399" s="68"/>
    </row>
    <row r="1400" spans="1:8" x14ac:dyDescent="0.2">
      <c r="A1400" s="67"/>
      <c r="B1400" s="67"/>
      <c r="C1400" s="67"/>
      <c r="D1400" s="67"/>
      <c r="E1400" s="67"/>
      <c r="F1400" s="67"/>
      <c r="G1400" s="67"/>
      <c r="H1400" s="68"/>
    </row>
    <row r="1401" spans="1:8" x14ac:dyDescent="0.2">
      <c r="A1401" s="67"/>
      <c r="B1401" s="67"/>
      <c r="C1401" s="67"/>
      <c r="D1401" s="67"/>
      <c r="E1401" s="67"/>
      <c r="F1401" s="67"/>
      <c r="G1401" s="67"/>
      <c r="H1401" s="68"/>
    </row>
    <row r="1402" spans="1:8" x14ac:dyDescent="0.2">
      <c r="A1402" s="67"/>
      <c r="B1402" s="67"/>
      <c r="C1402" s="67"/>
      <c r="D1402" s="67"/>
      <c r="E1402" s="67"/>
      <c r="F1402" s="67"/>
      <c r="G1402" s="67"/>
      <c r="H1402" s="68"/>
    </row>
    <row r="1403" spans="1:8" x14ac:dyDescent="0.2">
      <c r="A1403" s="67"/>
      <c r="B1403" s="67"/>
      <c r="C1403" s="67"/>
      <c r="D1403" s="67"/>
      <c r="E1403" s="67"/>
      <c r="F1403" s="67"/>
      <c r="G1403" s="67"/>
      <c r="H1403" s="68"/>
    </row>
    <row r="1404" spans="1:8" x14ac:dyDescent="0.2">
      <c r="A1404" s="67"/>
      <c r="B1404" s="67"/>
      <c r="C1404" s="67"/>
      <c r="D1404" s="67"/>
      <c r="E1404" s="67"/>
      <c r="F1404" s="67"/>
      <c r="G1404" s="67"/>
      <c r="H1404" s="68"/>
    </row>
    <row r="1405" spans="1:8" x14ac:dyDescent="0.2">
      <c r="A1405" s="67"/>
      <c r="B1405" s="67"/>
      <c r="C1405" s="67"/>
      <c r="D1405" s="67"/>
      <c r="E1405" s="67"/>
      <c r="F1405" s="67"/>
      <c r="G1405" s="67"/>
      <c r="H1405" s="68"/>
    </row>
    <row r="1406" spans="1:8" x14ac:dyDescent="0.2">
      <c r="A1406" s="67"/>
      <c r="B1406" s="67"/>
      <c r="C1406" s="67"/>
      <c r="D1406" s="67"/>
      <c r="E1406" s="67"/>
      <c r="F1406" s="67"/>
      <c r="G1406" s="67"/>
      <c r="H1406" s="68"/>
    </row>
    <row r="1407" spans="1:8" x14ac:dyDescent="0.2">
      <c r="A1407" s="67"/>
      <c r="B1407" s="67"/>
      <c r="C1407" s="67"/>
      <c r="D1407" s="67"/>
      <c r="E1407" s="67"/>
      <c r="F1407" s="67"/>
      <c r="G1407" s="67"/>
      <c r="H1407" s="68"/>
    </row>
    <row r="1408" spans="1:8" x14ac:dyDescent="0.2">
      <c r="A1408" s="67"/>
      <c r="B1408" s="67"/>
      <c r="C1408" s="67"/>
      <c r="D1408" s="67"/>
      <c r="E1408" s="67"/>
      <c r="F1408" s="67"/>
      <c r="G1408" s="67"/>
      <c r="H1408" s="68"/>
    </row>
    <row r="1409" spans="1:8" x14ac:dyDescent="0.2">
      <c r="A1409" s="67"/>
      <c r="B1409" s="67"/>
      <c r="C1409" s="67"/>
      <c r="D1409" s="67"/>
      <c r="E1409" s="67"/>
      <c r="F1409" s="67"/>
      <c r="G1409" s="67"/>
      <c r="H1409" s="68"/>
    </row>
    <row r="1410" spans="1:8" x14ac:dyDescent="0.2">
      <c r="A1410" s="67"/>
      <c r="B1410" s="67"/>
      <c r="C1410" s="67"/>
      <c r="D1410" s="67"/>
      <c r="E1410" s="67"/>
      <c r="F1410" s="67"/>
      <c r="G1410" s="67"/>
      <c r="H1410" s="68"/>
    </row>
    <row r="1411" spans="1:8" x14ac:dyDescent="0.2">
      <c r="A1411" s="67"/>
      <c r="B1411" s="67"/>
      <c r="C1411" s="67"/>
      <c r="D1411" s="67"/>
      <c r="E1411" s="67"/>
      <c r="F1411" s="67"/>
      <c r="G1411" s="67"/>
      <c r="H1411" s="68"/>
    </row>
    <row r="1412" spans="1:8" x14ac:dyDescent="0.2">
      <c r="A1412" s="67"/>
      <c r="B1412" s="67"/>
      <c r="C1412" s="67"/>
      <c r="D1412" s="67"/>
      <c r="E1412" s="67"/>
      <c r="F1412" s="67"/>
      <c r="G1412" s="67"/>
      <c r="H1412" s="68"/>
    </row>
    <row r="1413" spans="1:8" x14ac:dyDescent="0.2">
      <c r="A1413" s="67"/>
      <c r="B1413" s="67"/>
      <c r="C1413" s="67"/>
      <c r="D1413" s="67"/>
      <c r="E1413" s="67"/>
      <c r="F1413" s="67"/>
      <c r="G1413" s="67"/>
      <c r="H1413" s="68"/>
    </row>
    <row r="1414" spans="1:8" x14ac:dyDescent="0.2">
      <c r="A1414" s="67"/>
      <c r="B1414" s="67"/>
      <c r="C1414" s="67"/>
      <c r="D1414" s="67"/>
      <c r="E1414" s="67"/>
      <c r="F1414" s="67"/>
      <c r="G1414" s="67"/>
      <c r="H1414" s="68"/>
    </row>
    <row r="1415" spans="1:8" x14ac:dyDescent="0.2">
      <c r="A1415" s="67"/>
      <c r="B1415" s="67"/>
      <c r="C1415" s="67"/>
      <c r="D1415" s="67"/>
      <c r="E1415" s="67"/>
      <c r="F1415" s="67"/>
      <c r="G1415" s="67"/>
      <c r="H1415" s="68"/>
    </row>
    <row r="1416" spans="1:8" x14ac:dyDescent="0.2">
      <c r="A1416" s="67"/>
      <c r="B1416" s="67"/>
      <c r="C1416" s="67"/>
      <c r="D1416" s="67"/>
      <c r="E1416" s="67"/>
      <c r="F1416" s="67"/>
      <c r="G1416" s="67"/>
      <c r="H1416" s="68"/>
    </row>
    <row r="1417" spans="1:8" x14ac:dyDescent="0.2">
      <c r="A1417" s="67"/>
      <c r="B1417" s="67"/>
      <c r="C1417" s="67"/>
      <c r="D1417" s="67"/>
      <c r="E1417" s="67"/>
      <c r="F1417" s="67"/>
      <c r="G1417" s="67"/>
      <c r="H1417" s="68"/>
    </row>
    <row r="1418" spans="1:8" x14ac:dyDescent="0.2">
      <c r="A1418" s="67"/>
      <c r="B1418" s="67"/>
      <c r="C1418" s="67"/>
      <c r="D1418" s="67"/>
      <c r="E1418" s="67"/>
      <c r="F1418" s="67"/>
      <c r="G1418" s="67"/>
      <c r="H1418" s="68"/>
    </row>
    <row r="1419" spans="1:8" x14ac:dyDescent="0.2">
      <c r="A1419" s="67"/>
      <c r="B1419" s="67"/>
      <c r="C1419" s="67"/>
      <c r="D1419" s="67"/>
      <c r="E1419" s="67"/>
      <c r="F1419" s="67"/>
      <c r="G1419" s="67"/>
      <c r="H1419" s="68"/>
    </row>
    <row r="1420" spans="1:8" x14ac:dyDescent="0.2">
      <c r="A1420" s="67"/>
      <c r="B1420" s="67"/>
      <c r="C1420" s="67"/>
      <c r="D1420" s="67"/>
      <c r="E1420" s="67"/>
      <c r="F1420" s="67"/>
      <c r="G1420" s="67"/>
      <c r="H1420" s="68"/>
    </row>
    <row r="1421" spans="1:8" x14ac:dyDescent="0.2">
      <c r="A1421" s="67"/>
      <c r="B1421" s="67"/>
      <c r="C1421" s="67"/>
      <c r="D1421" s="67"/>
      <c r="E1421" s="67"/>
      <c r="F1421" s="67"/>
      <c r="G1421" s="67"/>
      <c r="H1421" s="68"/>
    </row>
    <row r="1422" spans="1:8" x14ac:dyDescent="0.2">
      <c r="A1422" s="67"/>
      <c r="B1422" s="67"/>
      <c r="C1422" s="67"/>
      <c r="D1422" s="67"/>
      <c r="E1422" s="67"/>
      <c r="F1422" s="67"/>
      <c r="G1422" s="67"/>
      <c r="H1422" s="68"/>
    </row>
    <row r="1423" spans="1:8" x14ac:dyDescent="0.2">
      <c r="A1423" s="67"/>
      <c r="B1423" s="67"/>
      <c r="C1423" s="67"/>
      <c r="D1423" s="67"/>
      <c r="E1423" s="67"/>
      <c r="F1423" s="67"/>
      <c r="G1423" s="67"/>
      <c r="H1423" s="68"/>
    </row>
    <row r="1424" spans="1:8" x14ac:dyDescent="0.2">
      <c r="A1424" s="67"/>
      <c r="B1424" s="67"/>
      <c r="C1424" s="67"/>
      <c r="D1424" s="67"/>
      <c r="E1424" s="67"/>
      <c r="F1424" s="67"/>
      <c r="G1424" s="67"/>
      <c r="H1424" s="68"/>
    </row>
    <row r="1425" spans="1:8" x14ac:dyDescent="0.2">
      <c r="A1425" s="67"/>
      <c r="B1425" s="67"/>
      <c r="C1425" s="67"/>
      <c r="D1425" s="67"/>
      <c r="E1425" s="67"/>
      <c r="F1425" s="67"/>
      <c r="G1425" s="67"/>
      <c r="H1425" s="68"/>
    </row>
    <row r="1426" spans="1:8" x14ac:dyDescent="0.2">
      <c r="A1426" s="67"/>
      <c r="B1426" s="67"/>
      <c r="C1426" s="67"/>
      <c r="D1426" s="67"/>
      <c r="E1426" s="67"/>
      <c r="F1426" s="67"/>
      <c r="G1426" s="67"/>
      <c r="H1426" s="68"/>
    </row>
    <row r="1427" spans="1:8" x14ac:dyDescent="0.2">
      <c r="A1427" s="67"/>
      <c r="B1427" s="67"/>
      <c r="C1427" s="67"/>
      <c r="D1427" s="67"/>
      <c r="E1427" s="67"/>
      <c r="F1427" s="67"/>
      <c r="G1427" s="67"/>
      <c r="H1427" s="68"/>
    </row>
    <row r="1428" spans="1:8" x14ac:dyDescent="0.2">
      <c r="A1428" s="67"/>
      <c r="B1428" s="67"/>
      <c r="C1428" s="67"/>
      <c r="D1428" s="67"/>
      <c r="E1428" s="67"/>
      <c r="F1428" s="67"/>
      <c r="G1428" s="67"/>
      <c r="H1428" s="68"/>
    </row>
    <row r="1429" spans="1:8" x14ac:dyDescent="0.2">
      <c r="A1429" s="67"/>
      <c r="B1429" s="67"/>
      <c r="C1429" s="67"/>
      <c r="D1429" s="67"/>
      <c r="E1429" s="67"/>
      <c r="F1429" s="67"/>
      <c r="G1429" s="67"/>
      <c r="H1429" s="68"/>
    </row>
    <row r="1430" spans="1:8" x14ac:dyDescent="0.2">
      <c r="A1430" s="67"/>
      <c r="B1430" s="67"/>
      <c r="C1430" s="67"/>
      <c r="D1430" s="67"/>
      <c r="E1430" s="67"/>
      <c r="F1430" s="67"/>
      <c r="G1430" s="67"/>
      <c r="H1430" s="68"/>
    </row>
    <row r="1431" spans="1:8" x14ac:dyDescent="0.2">
      <c r="A1431" s="67"/>
      <c r="B1431" s="67"/>
      <c r="C1431" s="67"/>
      <c r="D1431" s="67"/>
      <c r="E1431" s="67"/>
      <c r="F1431" s="67"/>
      <c r="G1431" s="67"/>
      <c r="H1431" s="68"/>
    </row>
    <row r="1432" spans="1:8" x14ac:dyDescent="0.2">
      <c r="A1432" s="67"/>
      <c r="B1432" s="67"/>
      <c r="C1432" s="67"/>
      <c r="D1432" s="67"/>
      <c r="E1432" s="67"/>
      <c r="F1432" s="67"/>
      <c r="G1432" s="67"/>
      <c r="H1432" s="68"/>
    </row>
    <row r="1433" spans="1:8" x14ac:dyDescent="0.2">
      <c r="A1433" s="67"/>
      <c r="B1433" s="67"/>
      <c r="C1433" s="67"/>
      <c r="D1433" s="67"/>
      <c r="E1433" s="67"/>
      <c r="F1433" s="67"/>
      <c r="G1433" s="67"/>
      <c r="H1433" s="68"/>
    </row>
    <row r="1434" spans="1:8" x14ac:dyDescent="0.2">
      <c r="A1434" s="67"/>
      <c r="B1434" s="67"/>
      <c r="C1434" s="67"/>
      <c r="D1434" s="67"/>
      <c r="E1434" s="67"/>
      <c r="F1434" s="67"/>
      <c r="G1434" s="67"/>
      <c r="H1434" s="68"/>
    </row>
    <row r="1435" spans="1:8" x14ac:dyDescent="0.2">
      <c r="A1435" s="67"/>
      <c r="B1435" s="67"/>
      <c r="C1435" s="67"/>
      <c r="D1435" s="67"/>
      <c r="E1435" s="67"/>
      <c r="F1435" s="67"/>
      <c r="G1435" s="67"/>
      <c r="H1435" s="68"/>
    </row>
    <row r="1436" spans="1:8" x14ac:dyDescent="0.2">
      <c r="A1436" s="67"/>
      <c r="B1436" s="67"/>
      <c r="C1436" s="67"/>
      <c r="D1436" s="67"/>
      <c r="E1436" s="67"/>
      <c r="F1436" s="67"/>
      <c r="G1436" s="67"/>
      <c r="H1436" s="68"/>
    </row>
    <row r="1437" spans="1:8" x14ac:dyDescent="0.2">
      <c r="A1437" s="67"/>
      <c r="B1437" s="67"/>
      <c r="C1437" s="67"/>
      <c r="D1437" s="67"/>
      <c r="E1437" s="67"/>
      <c r="F1437" s="67"/>
      <c r="G1437" s="67"/>
      <c r="H1437" s="68"/>
    </row>
    <row r="1438" spans="1:8" x14ac:dyDescent="0.2">
      <c r="A1438" s="67"/>
      <c r="B1438" s="67"/>
      <c r="C1438" s="67"/>
      <c r="D1438" s="67"/>
      <c r="E1438" s="67"/>
      <c r="F1438" s="67"/>
      <c r="G1438" s="67"/>
      <c r="H1438" s="68"/>
    </row>
    <row r="1439" spans="1:8" x14ac:dyDescent="0.2">
      <c r="A1439" s="67"/>
      <c r="B1439" s="67"/>
      <c r="C1439" s="67"/>
      <c r="D1439" s="67"/>
      <c r="E1439" s="67"/>
      <c r="F1439" s="67"/>
      <c r="G1439" s="67"/>
      <c r="H1439" s="68"/>
    </row>
    <row r="1440" spans="1:8" x14ac:dyDescent="0.2">
      <c r="A1440" s="67"/>
      <c r="B1440" s="67"/>
      <c r="C1440" s="67"/>
      <c r="D1440" s="67"/>
      <c r="E1440" s="67"/>
      <c r="F1440" s="67"/>
      <c r="G1440" s="67"/>
      <c r="H1440" s="68"/>
    </row>
    <row r="1441" spans="1:8" x14ac:dyDescent="0.2">
      <c r="A1441" s="67"/>
      <c r="B1441" s="67"/>
      <c r="C1441" s="67"/>
      <c r="D1441" s="67"/>
      <c r="E1441" s="67"/>
      <c r="F1441" s="67"/>
      <c r="G1441" s="67"/>
      <c r="H1441" s="68"/>
    </row>
    <row r="1442" spans="1:8" x14ac:dyDescent="0.2">
      <c r="A1442" s="67"/>
      <c r="B1442" s="67"/>
      <c r="C1442" s="67"/>
      <c r="D1442" s="67"/>
      <c r="E1442" s="67"/>
      <c r="F1442" s="67"/>
      <c r="G1442" s="67"/>
      <c r="H1442" s="68"/>
    </row>
    <row r="1443" spans="1:8" x14ac:dyDescent="0.2">
      <c r="A1443" s="67"/>
      <c r="B1443" s="67"/>
      <c r="C1443" s="67"/>
      <c r="D1443" s="67"/>
      <c r="E1443" s="67"/>
      <c r="F1443" s="67"/>
      <c r="G1443" s="67"/>
      <c r="H1443" s="68"/>
    </row>
    <row r="1444" spans="1:8" x14ac:dyDescent="0.2">
      <c r="A1444" s="67"/>
      <c r="B1444" s="67"/>
      <c r="C1444" s="67"/>
      <c r="D1444" s="67"/>
      <c r="E1444" s="67"/>
      <c r="F1444" s="67"/>
      <c r="G1444" s="67"/>
      <c r="H1444" s="68"/>
    </row>
    <row r="1445" spans="1:8" x14ac:dyDescent="0.2">
      <c r="A1445" s="67"/>
      <c r="B1445" s="67"/>
      <c r="C1445" s="67"/>
      <c r="D1445" s="67"/>
      <c r="E1445" s="67"/>
      <c r="F1445" s="67"/>
      <c r="G1445" s="67"/>
      <c r="H1445" s="68"/>
    </row>
    <row r="1446" spans="1:8" x14ac:dyDescent="0.2">
      <c r="A1446" s="67"/>
      <c r="B1446" s="67"/>
      <c r="C1446" s="67"/>
      <c r="D1446" s="67"/>
      <c r="E1446" s="67"/>
      <c r="F1446" s="67"/>
      <c r="G1446" s="67"/>
      <c r="H1446" s="68"/>
    </row>
    <row r="1447" spans="1:8" x14ac:dyDescent="0.2">
      <c r="A1447" s="67"/>
      <c r="B1447" s="67"/>
      <c r="C1447" s="67"/>
      <c r="D1447" s="67"/>
      <c r="E1447" s="67"/>
      <c r="F1447" s="67"/>
      <c r="G1447" s="67"/>
      <c r="H1447" s="68"/>
    </row>
    <row r="1448" spans="1:8" x14ac:dyDescent="0.2">
      <c r="A1448" s="67"/>
      <c r="B1448" s="67"/>
      <c r="C1448" s="67"/>
      <c r="D1448" s="67"/>
      <c r="E1448" s="67"/>
      <c r="F1448" s="67"/>
      <c r="G1448" s="67"/>
      <c r="H1448" s="68"/>
    </row>
    <row r="1449" spans="1:8" x14ac:dyDescent="0.2">
      <c r="A1449" s="67"/>
      <c r="B1449" s="67"/>
      <c r="C1449" s="67"/>
      <c r="D1449" s="67"/>
      <c r="E1449" s="67"/>
      <c r="F1449" s="67"/>
      <c r="G1449" s="67"/>
      <c r="H1449" s="68"/>
    </row>
    <row r="1450" spans="1:8" x14ac:dyDescent="0.2">
      <c r="A1450" s="67"/>
      <c r="B1450" s="67"/>
      <c r="C1450" s="67"/>
      <c r="D1450" s="67"/>
      <c r="E1450" s="67"/>
      <c r="F1450" s="67"/>
      <c r="G1450" s="67"/>
      <c r="H1450" s="68"/>
    </row>
    <row r="1451" spans="1:8" x14ac:dyDescent="0.2">
      <c r="A1451" s="67"/>
      <c r="B1451" s="67"/>
      <c r="C1451" s="67"/>
      <c r="D1451" s="67"/>
      <c r="E1451" s="67"/>
      <c r="F1451" s="67"/>
      <c r="G1451" s="67"/>
      <c r="H1451" s="68"/>
    </row>
    <row r="1452" spans="1:8" x14ac:dyDescent="0.2">
      <c r="A1452" s="67"/>
      <c r="B1452" s="67"/>
      <c r="C1452" s="67"/>
      <c r="D1452" s="67"/>
      <c r="E1452" s="67"/>
      <c r="F1452" s="67"/>
      <c r="G1452" s="67"/>
      <c r="H1452" s="68"/>
    </row>
    <row r="1453" spans="1:8" x14ac:dyDescent="0.2">
      <c r="A1453" s="67"/>
      <c r="B1453" s="67"/>
      <c r="C1453" s="67"/>
      <c r="D1453" s="67"/>
      <c r="E1453" s="67"/>
      <c r="F1453" s="67"/>
      <c r="G1453" s="67"/>
      <c r="H1453" s="68"/>
    </row>
    <row r="1454" spans="1:8" x14ac:dyDescent="0.2">
      <c r="A1454" s="67"/>
      <c r="B1454" s="67"/>
      <c r="C1454" s="67"/>
      <c r="D1454" s="67"/>
      <c r="E1454" s="67"/>
      <c r="F1454" s="67"/>
      <c r="G1454" s="67"/>
      <c r="H1454" s="68"/>
    </row>
    <row r="1455" spans="1:8" x14ac:dyDescent="0.2">
      <c r="A1455" s="67"/>
      <c r="B1455" s="67"/>
      <c r="C1455" s="67"/>
      <c r="D1455" s="67"/>
      <c r="E1455" s="67"/>
      <c r="F1455" s="67"/>
      <c r="G1455" s="67"/>
      <c r="H1455" s="68"/>
    </row>
    <row r="1456" spans="1:8" x14ac:dyDescent="0.2">
      <c r="A1456" s="67"/>
      <c r="B1456" s="67"/>
      <c r="C1456" s="67"/>
      <c r="D1456" s="67"/>
      <c r="E1456" s="67"/>
      <c r="F1456" s="67"/>
      <c r="G1456" s="67"/>
      <c r="H1456" s="68"/>
    </row>
    <row r="1457" spans="1:8" x14ac:dyDescent="0.2">
      <c r="A1457" s="67"/>
      <c r="B1457" s="67"/>
      <c r="C1457" s="67"/>
      <c r="D1457" s="67"/>
      <c r="E1457" s="67"/>
      <c r="F1457" s="67"/>
      <c r="G1457" s="67"/>
      <c r="H1457" s="68"/>
    </row>
    <row r="1458" spans="1:8" x14ac:dyDescent="0.2">
      <c r="A1458" s="67"/>
      <c r="B1458" s="67"/>
      <c r="C1458" s="67"/>
      <c r="D1458" s="67"/>
      <c r="E1458" s="67"/>
      <c r="F1458" s="67"/>
      <c r="G1458" s="67"/>
      <c r="H1458" s="68"/>
    </row>
    <row r="1459" spans="1:8" x14ac:dyDescent="0.2">
      <c r="A1459" s="67"/>
      <c r="B1459" s="67"/>
      <c r="C1459" s="67"/>
      <c r="D1459" s="67"/>
      <c r="E1459" s="67"/>
      <c r="F1459" s="67"/>
      <c r="G1459" s="67"/>
      <c r="H1459" s="68"/>
    </row>
    <row r="1460" spans="1:8" x14ac:dyDescent="0.2">
      <c r="A1460" s="67"/>
      <c r="B1460" s="67"/>
      <c r="C1460" s="67"/>
      <c r="D1460" s="67"/>
      <c r="E1460" s="67"/>
      <c r="F1460" s="67"/>
      <c r="G1460" s="67"/>
      <c r="H1460" s="68"/>
    </row>
    <row r="1461" spans="1:8" x14ac:dyDescent="0.2">
      <c r="A1461" s="67"/>
      <c r="B1461" s="67"/>
      <c r="C1461" s="67"/>
      <c r="D1461" s="67"/>
      <c r="E1461" s="67"/>
      <c r="F1461" s="67"/>
      <c r="G1461" s="67"/>
      <c r="H1461" s="68"/>
    </row>
    <row r="1462" spans="1:8" x14ac:dyDescent="0.2">
      <c r="A1462" s="67"/>
      <c r="B1462" s="67"/>
      <c r="C1462" s="67"/>
      <c r="D1462" s="67"/>
      <c r="E1462" s="67"/>
      <c r="F1462" s="67"/>
      <c r="G1462" s="67"/>
      <c r="H1462" s="68"/>
    </row>
    <row r="1463" spans="1:8" x14ac:dyDescent="0.2">
      <c r="A1463" s="67"/>
      <c r="B1463" s="67"/>
      <c r="C1463" s="67"/>
      <c r="D1463" s="67"/>
      <c r="E1463" s="67"/>
      <c r="F1463" s="67"/>
      <c r="G1463" s="67"/>
      <c r="H1463" s="68"/>
    </row>
    <row r="1464" spans="1:8" x14ac:dyDescent="0.2">
      <c r="A1464" s="67"/>
      <c r="B1464" s="67"/>
      <c r="C1464" s="67"/>
      <c r="D1464" s="67"/>
      <c r="E1464" s="67"/>
      <c r="F1464" s="67"/>
      <c r="G1464" s="67"/>
      <c r="H1464" s="68"/>
    </row>
    <row r="1465" spans="1:8" x14ac:dyDescent="0.2">
      <c r="A1465" s="67"/>
      <c r="B1465" s="67"/>
      <c r="C1465" s="67"/>
      <c r="D1465" s="67"/>
      <c r="E1465" s="67"/>
      <c r="F1465" s="67"/>
      <c r="G1465" s="67"/>
      <c r="H1465" s="68"/>
    </row>
    <row r="1466" spans="1:8" x14ac:dyDescent="0.2">
      <c r="A1466" s="67"/>
      <c r="B1466" s="67"/>
      <c r="C1466" s="67"/>
      <c r="D1466" s="67"/>
      <c r="E1466" s="67"/>
      <c r="F1466" s="67"/>
      <c r="G1466" s="67"/>
      <c r="H1466" s="68"/>
    </row>
    <row r="1467" spans="1:8" x14ac:dyDescent="0.2">
      <c r="A1467" s="67"/>
      <c r="B1467" s="67"/>
      <c r="C1467" s="67"/>
      <c r="D1467" s="67"/>
      <c r="E1467" s="67"/>
      <c r="F1467" s="67"/>
      <c r="G1467" s="67"/>
      <c r="H1467" s="68"/>
    </row>
    <row r="1468" spans="1:8" x14ac:dyDescent="0.2">
      <c r="A1468" s="67"/>
      <c r="B1468" s="67"/>
      <c r="C1468" s="67"/>
      <c r="D1468" s="67"/>
      <c r="E1468" s="67"/>
      <c r="F1468" s="67"/>
      <c r="G1468" s="67"/>
      <c r="H1468" s="68"/>
    </row>
    <row r="1469" spans="1:8" x14ac:dyDescent="0.2">
      <c r="A1469" s="67"/>
      <c r="B1469" s="67"/>
      <c r="C1469" s="67"/>
      <c r="D1469" s="67"/>
      <c r="E1469" s="67"/>
      <c r="F1469" s="67"/>
      <c r="G1469" s="67"/>
      <c r="H1469" s="68"/>
    </row>
    <row r="1470" spans="1:8" x14ac:dyDescent="0.2">
      <c r="A1470" s="67"/>
      <c r="B1470" s="67"/>
      <c r="C1470" s="67"/>
      <c r="D1470" s="67"/>
      <c r="E1470" s="67"/>
      <c r="F1470" s="67"/>
      <c r="G1470" s="67"/>
      <c r="H1470" s="68"/>
    </row>
    <row r="1471" spans="1:8" x14ac:dyDescent="0.2">
      <c r="A1471" s="67"/>
      <c r="B1471" s="67"/>
      <c r="C1471" s="67"/>
      <c r="D1471" s="67"/>
      <c r="E1471" s="67"/>
      <c r="F1471" s="67"/>
      <c r="G1471" s="67"/>
      <c r="H1471" s="68"/>
    </row>
    <row r="1472" spans="1:8" x14ac:dyDescent="0.2">
      <c r="A1472" s="67"/>
      <c r="B1472" s="67"/>
      <c r="C1472" s="67"/>
      <c r="D1472" s="67"/>
      <c r="E1472" s="67"/>
      <c r="F1472" s="67"/>
      <c r="G1472" s="67"/>
      <c r="H1472" s="68"/>
    </row>
    <row r="1473" spans="1:8" x14ac:dyDescent="0.2">
      <c r="A1473" s="67"/>
      <c r="B1473" s="67"/>
      <c r="C1473" s="67"/>
      <c r="D1473" s="67"/>
      <c r="E1473" s="67"/>
      <c r="F1473" s="67"/>
      <c r="G1473" s="67"/>
      <c r="H1473" s="68"/>
    </row>
    <row r="1474" spans="1:8" x14ac:dyDescent="0.2">
      <c r="A1474" s="67"/>
      <c r="B1474" s="67"/>
      <c r="C1474" s="67"/>
      <c r="D1474" s="67"/>
      <c r="E1474" s="67"/>
      <c r="F1474" s="67"/>
      <c r="G1474" s="67"/>
      <c r="H1474" s="68"/>
    </row>
    <row r="1475" spans="1:8" x14ac:dyDescent="0.2">
      <c r="A1475" s="67"/>
      <c r="B1475" s="67"/>
      <c r="C1475" s="67"/>
      <c r="D1475" s="67"/>
      <c r="E1475" s="67"/>
      <c r="F1475" s="67"/>
      <c r="G1475" s="67"/>
      <c r="H1475" s="68"/>
    </row>
    <row r="1476" spans="1:8" x14ac:dyDescent="0.2">
      <c r="A1476" s="67"/>
      <c r="B1476" s="67"/>
      <c r="C1476" s="67"/>
      <c r="D1476" s="67"/>
      <c r="E1476" s="67"/>
      <c r="F1476" s="67"/>
      <c r="G1476" s="67"/>
      <c r="H1476" s="68"/>
    </row>
    <row r="1477" spans="1:8" x14ac:dyDescent="0.2">
      <c r="A1477" s="67"/>
      <c r="B1477" s="67"/>
      <c r="C1477" s="67"/>
      <c r="D1477" s="67"/>
      <c r="E1477" s="67"/>
      <c r="F1477" s="67"/>
      <c r="G1477" s="67"/>
      <c r="H1477" s="68"/>
    </row>
    <row r="1478" spans="1:8" x14ac:dyDescent="0.2">
      <c r="A1478" s="67"/>
      <c r="B1478" s="67"/>
      <c r="C1478" s="67"/>
      <c r="D1478" s="67"/>
      <c r="E1478" s="67"/>
      <c r="F1478" s="67"/>
      <c r="G1478" s="67"/>
      <c r="H1478" s="68"/>
    </row>
    <row r="1479" spans="1:8" x14ac:dyDescent="0.2">
      <c r="A1479" s="67"/>
      <c r="B1479" s="67"/>
      <c r="C1479" s="67"/>
      <c r="D1479" s="67"/>
      <c r="E1479" s="67"/>
      <c r="F1479" s="67"/>
      <c r="G1479" s="67"/>
      <c r="H1479" s="68"/>
    </row>
    <row r="1480" spans="1:8" x14ac:dyDescent="0.2">
      <c r="A1480" s="67"/>
      <c r="B1480" s="67"/>
      <c r="C1480" s="67"/>
      <c r="D1480" s="67"/>
      <c r="E1480" s="67"/>
      <c r="F1480" s="67"/>
      <c r="G1480" s="67"/>
      <c r="H1480" s="68"/>
    </row>
    <row r="1481" spans="1:8" x14ac:dyDescent="0.2">
      <c r="A1481" s="67"/>
      <c r="B1481" s="67"/>
      <c r="C1481" s="67"/>
      <c r="D1481" s="67"/>
      <c r="E1481" s="67"/>
      <c r="F1481" s="67"/>
      <c r="G1481" s="67"/>
      <c r="H1481" s="68"/>
    </row>
    <row r="1482" spans="1:8" x14ac:dyDescent="0.2">
      <c r="A1482" s="67"/>
      <c r="B1482" s="67"/>
      <c r="C1482" s="67"/>
      <c r="D1482" s="67"/>
      <c r="E1482" s="67"/>
      <c r="F1482" s="67"/>
      <c r="G1482" s="67"/>
      <c r="H1482" s="68"/>
    </row>
    <row r="1483" spans="1:8" x14ac:dyDescent="0.2">
      <c r="A1483" s="67"/>
      <c r="B1483" s="67"/>
      <c r="C1483" s="67"/>
      <c r="D1483" s="67"/>
      <c r="E1483" s="67"/>
      <c r="F1483" s="67"/>
      <c r="G1483" s="67"/>
      <c r="H1483" s="68"/>
    </row>
    <row r="1484" spans="1:8" x14ac:dyDescent="0.2">
      <c r="A1484" s="67"/>
      <c r="B1484" s="67"/>
      <c r="C1484" s="67"/>
      <c r="D1484" s="67"/>
      <c r="E1484" s="67"/>
      <c r="F1484" s="67"/>
      <c r="G1484" s="67"/>
      <c r="H1484" s="68"/>
    </row>
    <row r="1485" spans="1:8" x14ac:dyDescent="0.2">
      <c r="A1485" s="67"/>
      <c r="B1485" s="67"/>
      <c r="C1485" s="67"/>
      <c r="D1485" s="67"/>
      <c r="E1485" s="67"/>
      <c r="F1485" s="67"/>
      <c r="G1485" s="67"/>
      <c r="H1485" s="68"/>
    </row>
    <row r="1486" spans="1:8" x14ac:dyDescent="0.2">
      <c r="A1486" s="67"/>
      <c r="B1486" s="67"/>
      <c r="C1486" s="67"/>
      <c r="D1486" s="67"/>
      <c r="E1486" s="67"/>
      <c r="F1486" s="67"/>
      <c r="G1486" s="67"/>
      <c r="H1486" s="68"/>
    </row>
    <row r="1487" spans="1:8" x14ac:dyDescent="0.2">
      <c r="A1487" s="67"/>
      <c r="B1487" s="67"/>
      <c r="C1487" s="67"/>
      <c r="D1487" s="67"/>
      <c r="E1487" s="67"/>
      <c r="F1487" s="67"/>
      <c r="G1487" s="67"/>
      <c r="H1487" s="68"/>
    </row>
    <row r="1488" spans="1:8" x14ac:dyDescent="0.2">
      <c r="A1488" s="67"/>
      <c r="B1488" s="67"/>
      <c r="C1488" s="67"/>
      <c r="D1488" s="67"/>
      <c r="E1488" s="67"/>
      <c r="F1488" s="67"/>
      <c r="G1488" s="67"/>
      <c r="H1488" s="68"/>
    </row>
    <row r="1489" spans="1:8" x14ac:dyDescent="0.2">
      <c r="A1489" s="67"/>
      <c r="B1489" s="67"/>
      <c r="C1489" s="67"/>
      <c r="D1489" s="67"/>
      <c r="E1489" s="67"/>
      <c r="F1489" s="67"/>
      <c r="G1489" s="67"/>
      <c r="H1489" s="68"/>
    </row>
    <row r="1490" spans="1:8" x14ac:dyDescent="0.2">
      <c r="A1490" s="67"/>
      <c r="B1490" s="67"/>
      <c r="C1490" s="67"/>
      <c r="D1490" s="67"/>
      <c r="E1490" s="67"/>
      <c r="F1490" s="67"/>
      <c r="G1490" s="67"/>
      <c r="H1490" s="68"/>
    </row>
    <row r="1491" spans="1:8" x14ac:dyDescent="0.2">
      <c r="A1491" s="67"/>
      <c r="B1491" s="67"/>
      <c r="C1491" s="67"/>
      <c r="D1491" s="67"/>
      <c r="E1491" s="67"/>
      <c r="F1491" s="67"/>
      <c r="G1491" s="67"/>
      <c r="H1491" s="68"/>
    </row>
    <row r="1492" spans="1:8" x14ac:dyDescent="0.2">
      <c r="A1492" s="67"/>
      <c r="B1492" s="67"/>
      <c r="C1492" s="67"/>
      <c r="D1492" s="67"/>
      <c r="E1492" s="67"/>
      <c r="F1492" s="67"/>
      <c r="G1492" s="67"/>
      <c r="H1492" s="68"/>
    </row>
    <row r="1493" spans="1:8" x14ac:dyDescent="0.2">
      <c r="A1493" s="67"/>
      <c r="B1493" s="67"/>
      <c r="C1493" s="67"/>
      <c r="D1493" s="67"/>
      <c r="E1493" s="67"/>
      <c r="F1493" s="67"/>
      <c r="G1493" s="67"/>
      <c r="H1493" s="68"/>
    </row>
    <row r="1494" spans="1:8" x14ac:dyDescent="0.2">
      <c r="A1494" s="67"/>
      <c r="B1494" s="67"/>
      <c r="C1494" s="67"/>
      <c r="D1494" s="67"/>
      <c r="E1494" s="67"/>
      <c r="F1494" s="67"/>
      <c r="G1494" s="67"/>
      <c r="H1494" s="68"/>
    </row>
    <row r="1495" spans="1:8" x14ac:dyDescent="0.2">
      <c r="A1495" s="67"/>
      <c r="B1495" s="67"/>
      <c r="C1495" s="67"/>
      <c r="D1495" s="67"/>
      <c r="E1495" s="67"/>
      <c r="F1495" s="67"/>
      <c r="G1495" s="67"/>
      <c r="H1495" s="68"/>
    </row>
    <row r="1496" spans="1:8" x14ac:dyDescent="0.2">
      <c r="A1496" s="67"/>
      <c r="B1496" s="67"/>
      <c r="C1496" s="67"/>
      <c r="D1496" s="67"/>
      <c r="E1496" s="67"/>
      <c r="F1496" s="67"/>
      <c r="G1496" s="67"/>
      <c r="H1496" s="68"/>
    </row>
    <row r="1497" spans="1:8" x14ac:dyDescent="0.2">
      <c r="A1497" s="67"/>
      <c r="B1497" s="67"/>
      <c r="C1497" s="67"/>
      <c r="D1497" s="67"/>
      <c r="E1497" s="67"/>
      <c r="F1497" s="67"/>
      <c r="G1497" s="67"/>
      <c r="H1497" s="68"/>
    </row>
    <row r="1498" spans="1:8" x14ac:dyDescent="0.2">
      <c r="A1498" s="67"/>
      <c r="B1498" s="67"/>
      <c r="C1498" s="67"/>
      <c r="D1498" s="67"/>
      <c r="E1498" s="67"/>
      <c r="F1498" s="67"/>
      <c r="G1498" s="67"/>
      <c r="H1498" s="68"/>
    </row>
    <row r="1499" spans="1:8" x14ac:dyDescent="0.2">
      <c r="A1499" s="67"/>
      <c r="B1499" s="67"/>
      <c r="C1499" s="67"/>
      <c r="D1499" s="67"/>
      <c r="E1499" s="67"/>
      <c r="F1499" s="67"/>
      <c r="G1499" s="67"/>
      <c r="H1499" s="68"/>
    </row>
    <row r="1500" spans="1:8" x14ac:dyDescent="0.2">
      <c r="A1500" s="67"/>
      <c r="B1500" s="67"/>
      <c r="C1500" s="67"/>
      <c r="D1500" s="67"/>
      <c r="E1500" s="67"/>
      <c r="F1500" s="67"/>
      <c r="G1500" s="67"/>
      <c r="H1500" s="68"/>
    </row>
    <row r="1501" spans="1:8" x14ac:dyDescent="0.2">
      <c r="A1501" s="67"/>
      <c r="B1501" s="67"/>
      <c r="C1501" s="67"/>
      <c r="D1501" s="67"/>
      <c r="E1501" s="67"/>
      <c r="F1501" s="67"/>
      <c r="G1501" s="67"/>
      <c r="H1501" s="68"/>
    </row>
    <row r="1502" spans="1:8" x14ac:dyDescent="0.2">
      <c r="A1502" s="67"/>
      <c r="B1502" s="67"/>
      <c r="C1502" s="67"/>
      <c r="D1502" s="67"/>
      <c r="E1502" s="67"/>
      <c r="F1502" s="67"/>
      <c r="G1502" s="67"/>
      <c r="H1502" s="68"/>
    </row>
    <row r="1503" spans="1:8" x14ac:dyDescent="0.2">
      <c r="A1503" s="67"/>
      <c r="B1503" s="67"/>
      <c r="C1503" s="67"/>
      <c r="D1503" s="67"/>
      <c r="E1503" s="67"/>
      <c r="F1503" s="67"/>
      <c r="G1503" s="67"/>
      <c r="H1503" s="68"/>
    </row>
    <row r="1504" spans="1:8" x14ac:dyDescent="0.2">
      <c r="A1504" s="67"/>
      <c r="B1504" s="67"/>
      <c r="C1504" s="67"/>
      <c r="D1504" s="67"/>
      <c r="E1504" s="67"/>
      <c r="F1504" s="67"/>
      <c r="G1504" s="67"/>
      <c r="H1504" s="68"/>
    </row>
    <row r="1505" spans="1:8" x14ac:dyDescent="0.2">
      <c r="A1505" s="67"/>
      <c r="B1505" s="67"/>
      <c r="C1505" s="67"/>
      <c r="D1505" s="67"/>
      <c r="E1505" s="67"/>
      <c r="F1505" s="67"/>
      <c r="G1505" s="67"/>
      <c r="H1505" s="68"/>
    </row>
    <row r="1506" spans="1:8" x14ac:dyDescent="0.2">
      <c r="A1506" s="67"/>
      <c r="B1506" s="67"/>
      <c r="C1506" s="67"/>
      <c r="D1506" s="67"/>
      <c r="E1506" s="67"/>
      <c r="F1506" s="67"/>
      <c r="G1506" s="67"/>
      <c r="H1506" s="68"/>
    </row>
    <row r="1507" spans="1:8" x14ac:dyDescent="0.2">
      <c r="A1507" s="67"/>
      <c r="B1507" s="67"/>
      <c r="C1507" s="67"/>
      <c r="D1507" s="67"/>
      <c r="E1507" s="67"/>
      <c r="F1507" s="67"/>
      <c r="G1507" s="67"/>
      <c r="H1507" s="68"/>
    </row>
    <row r="1508" spans="1:8" x14ac:dyDescent="0.2">
      <c r="A1508" s="67"/>
      <c r="B1508" s="67"/>
      <c r="C1508" s="67"/>
      <c r="D1508" s="67"/>
      <c r="E1508" s="67"/>
      <c r="F1508" s="67"/>
      <c r="G1508" s="67"/>
      <c r="H1508" s="68"/>
    </row>
    <row r="1509" spans="1:8" x14ac:dyDescent="0.2">
      <c r="A1509" s="67"/>
      <c r="B1509" s="67"/>
      <c r="C1509" s="67"/>
      <c r="D1509" s="67"/>
      <c r="E1509" s="67"/>
      <c r="F1509" s="67"/>
      <c r="G1509" s="67"/>
      <c r="H1509" s="68"/>
    </row>
    <row r="1510" spans="1:8" x14ac:dyDescent="0.2">
      <c r="A1510" s="67"/>
      <c r="B1510" s="67"/>
      <c r="C1510" s="67"/>
      <c r="D1510" s="67"/>
      <c r="E1510" s="67"/>
      <c r="F1510" s="67"/>
      <c r="G1510" s="67"/>
      <c r="H1510" s="68"/>
    </row>
    <row r="1511" spans="1:8" x14ac:dyDescent="0.2">
      <c r="A1511" s="67"/>
      <c r="B1511" s="67"/>
      <c r="C1511" s="67"/>
      <c r="D1511" s="67"/>
      <c r="E1511" s="67"/>
      <c r="F1511" s="67"/>
      <c r="G1511" s="67"/>
      <c r="H1511" s="68"/>
    </row>
    <row r="1512" spans="1:8" x14ac:dyDescent="0.2">
      <c r="A1512" s="67"/>
      <c r="B1512" s="67"/>
      <c r="C1512" s="67"/>
      <c r="D1512" s="67"/>
      <c r="E1512" s="67"/>
      <c r="F1512" s="67"/>
      <c r="G1512" s="67"/>
      <c r="H1512" s="68"/>
    </row>
    <row r="1513" spans="1:8" x14ac:dyDescent="0.2">
      <c r="A1513" s="67"/>
      <c r="B1513" s="67"/>
      <c r="C1513" s="67"/>
      <c r="D1513" s="67"/>
      <c r="E1513" s="67"/>
      <c r="F1513" s="67"/>
      <c r="G1513" s="67"/>
      <c r="H1513" s="68"/>
    </row>
    <row r="1514" spans="1:8" x14ac:dyDescent="0.2">
      <c r="A1514" s="67"/>
      <c r="B1514" s="67"/>
      <c r="C1514" s="67"/>
      <c r="D1514" s="67"/>
      <c r="E1514" s="67"/>
      <c r="F1514" s="67"/>
      <c r="G1514" s="67"/>
      <c r="H1514" s="68"/>
    </row>
    <row r="1515" spans="1:8" x14ac:dyDescent="0.2">
      <c r="A1515" s="67"/>
      <c r="B1515" s="67"/>
      <c r="C1515" s="67"/>
      <c r="D1515" s="67"/>
      <c r="E1515" s="67"/>
      <c r="F1515" s="67"/>
      <c r="G1515" s="67"/>
      <c r="H1515" s="68"/>
    </row>
    <row r="1516" spans="1:8" x14ac:dyDescent="0.2">
      <c r="A1516" s="67"/>
      <c r="B1516" s="67"/>
      <c r="C1516" s="67"/>
      <c r="D1516" s="67"/>
      <c r="E1516" s="67"/>
      <c r="F1516" s="67"/>
      <c r="G1516" s="67"/>
      <c r="H1516" s="68"/>
    </row>
    <row r="1517" spans="1:8" x14ac:dyDescent="0.2">
      <c r="A1517" s="67"/>
      <c r="B1517" s="67"/>
      <c r="C1517" s="67"/>
      <c r="D1517" s="67"/>
      <c r="E1517" s="67"/>
      <c r="F1517" s="67"/>
      <c r="G1517" s="67"/>
      <c r="H1517" s="68"/>
    </row>
    <row r="1518" spans="1:8" x14ac:dyDescent="0.2">
      <c r="A1518" s="67"/>
      <c r="B1518" s="67"/>
      <c r="C1518" s="67"/>
      <c r="D1518" s="67"/>
      <c r="E1518" s="67"/>
      <c r="F1518" s="67"/>
      <c r="G1518" s="67"/>
      <c r="H1518" s="68"/>
    </row>
    <row r="1519" spans="1:8" x14ac:dyDescent="0.2">
      <c r="A1519" s="67"/>
      <c r="B1519" s="67"/>
      <c r="C1519" s="67"/>
      <c r="D1519" s="67"/>
      <c r="E1519" s="67"/>
      <c r="F1519" s="67"/>
      <c r="G1519" s="67"/>
      <c r="H1519" s="68"/>
    </row>
    <row r="1520" spans="1:8" x14ac:dyDescent="0.2">
      <c r="A1520" s="67"/>
      <c r="B1520" s="67"/>
      <c r="C1520" s="67"/>
      <c r="D1520" s="67"/>
      <c r="E1520" s="67"/>
      <c r="F1520" s="67"/>
      <c r="G1520" s="67"/>
      <c r="H1520" s="68"/>
    </row>
    <row r="1521" spans="1:8" x14ac:dyDescent="0.2">
      <c r="A1521" s="67"/>
      <c r="B1521" s="67"/>
      <c r="C1521" s="67"/>
      <c r="D1521" s="67"/>
      <c r="E1521" s="67"/>
      <c r="F1521" s="67"/>
      <c r="G1521" s="67"/>
      <c r="H1521" s="68"/>
    </row>
    <row r="1522" spans="1:8" x14ac:dyDescent="0.2">
      <c r="A1522" s="67"/>
      <c r="B1522" s="67"/>
      <c r="C1522" s="67"/>
      <c r="D1522" s="67"/>
      <c r="E1522" s="67"/>
      <c r="F1522" s="67"/>
      <c r="G1522" s="67"/>
      <c r="H1522" s="68"/>
    </row>
    <row r="1523" spans="1:8" x14ac:dyDescent="0.2">
      <c r="A1523" s="67"/>
      <c r="B1523" s="67"/>
      <c r="C1523" s="67"/>
      <c r="D1523" s="67"/>
      <c r="E1523" s="67"/>
      <c r="F1523" s="67"/>
      <c r="G1523" s="67"/>
      <c r="H1523" s="68"/>
    </row>
    <row r="1524" spans="1:8" x14ac:dyDescent="0.2">
      <c r="A1524" s="67"/>
      <c r="B1524" s="67"/>
      <c r="C1524" s="67"/>
      <c r="D1524" s="67"/>
      <c r="E1524" s="67"/>
      <c r="F1524" s="67"/>
      <c r="G1524" s="67"/>
      <c r="H1524" s="68"/>
    </row>
    <row r="1525" spans="1:8" x14ac:dyDescent="0.2">
      <c r="A1525" s="67"/>
      <c r="B1525" s="67"/>
      <c r="C1525" s="67"/>
      <c r="D1525" s="67"/>
      <c r="E1525" s="67"/>
      <c r="F1525" s="67"/>
      <c r="G1525" s="67"/>
      <c r="H1525" s="68"/>
    </row>
    <row r="1526" spans="1:8" x14ac:dyDescent="0.2">
      <c r="A1526" s="67"/>
      <c r="B1526" s="67"/>
      <c r="C1526" s="67"/>
      <c r="D1526" s="67"/>
      <c r="E1526" s="67"/>
      <c r="F1526" s="67"/>
      <c r="G1526" s="67"/>
      <c r="H1526" s="68"/>
    </row>
    <row r="1527" spans="1:8" x14ac:dyDescent="0.2">
      <c r="A1527" s="67"/>
      <c r="B1527" s="67"/>
      <c r="C1527" s="67"/>
      <c r="D1527" s="67"/>
      <c r="E1527" s="67"/>
      <c r="F1527" s="67"/>
      <c r="G1527" s="67"/>
      <c r="H1527" s="68"/>
    </row>
    <row r="1528" spans="1:8" x14ac:dyDescent="0.2">
      <c r="A1528" s="67"/>
      <c r="B1528" s="67"/>
      <c r="C1528" s="67"/>
      <c r="D1528" s="67"/>
      <c r="E1528" s="67"/>
      <c r="F1528" s="67"/>
      <c r="G1528" s="67"/>
      <c r="H1528" s="68"/>
    </row>
    <row r="1529" spans="1:8" x14ac:dyDescent="0.2">
      <c r="A1529" s="67"/>
      <c r="B1529" s="67"/>
      <c r="C1529" s="67"/>
      <c r="D1529" s="67"/>
      <c r="E1529" s="67"/>
      <c r="F1529" s="67"/>
      <c r="G1529" s="67"/>
      <c r="H1529" s="68"/>
    </row>
    <row r="1530" spans="1:8" x14ac:dyDescent="0.2">
      <c r="A1530" s="67"/>
      <c r="B1530" s="67"/>
      <c r="C1530" s="67"/>
      <c r="D1530" s="67"/>
      <c r="E1530" s="67"/>
      <c r="F1530" s="67"/>
      <c r="G1530" s="67"/>
      <c r="H1530" s="68"/>
    </row>
    <row r="1531" spans="1:8" x14ac:dyDescent="0.2">
      <c r="A1531" s="67"/>
      <c r="B1531" s="67"/>
      <c r="C1531" s="67"/>
      <c r="D1531" s="67"/>
      <c r="E1531" s="67"/>
      <c r="F1531" s="67"/>
      <c r="G1531" s="67"/>
      <c r="H1531" s="68"/>
    </row>
    <row r="1532" spans="1:8" x14ac:dyDescent="0.2">
      <c r="A1532" s="67"/>
      <c r="B1532" s="67"/>
      <c r="C1532" s="67"/>
      <c r="D1532" s="67"/>
      <c r="E1532" s="67"/>
      <c r="F1532" s="67"/>
      <c r="G1532" s="67"/>
      <c r="H1532" s="68"/>
    </row>
    <row r="1533" spans="1:8" x14ac:dyDescent="0.2">
      <c r="A1533" s="67"/>
      <c r="B1533" s="67"/>
      <c r="C1533" s="67"/>
      <c r="D1533" s="67"/>
      <c r="E1533" s="67"/>
      <c r="F1533" s="67"/>
      <c r="G1533" s="67"/>
      <c r="H1533" s="68"/>
    </row>
    <row r="1534" spans="1:8" x14ac:dyDescent="0.2">
      <c r="A1534" s="67"/>
      <c r="B1534" s="67"/>
      <c r="C1534" s="67"/>
      <c r="D1534" s="67"/>
      <c r="E1534" s="67"/>
      <c r="F1534" s="67"/>
      <c r="G1534" s="67"/>
      <c r="H1534" s="68"/>
    </row>
    <row r="1535" spans="1:8" x14ac:dyDescent="0.2">
      <c r="A1535" s="67"/>
      <c r="B1535" s="67"/>
      <c r="C1535" s="67"/>
      <c r="D1535" s="67"/>
      <c r="E1535" s="67"/>
      <c r="F1535" s="67"/>
      <c r="G1535" s="67"/>
      <c r="H1535" s="68"/>
    </row>
    <row r="1536" spans="1:8" x14ac:dyDescent="0.2">
      <c r="A1536" s="67"/>
      <c r="B1536" s="67"/>
      <c r="C1536" s="67"/>
      <c r="D1536" s="67"/>
      <c r="E1536" s="67"/>
      <c r="F1536" s="67"/>
      <c r="G1536" s="67"/>
      <c r="H1536" s="68"/>
    </row>
    <row r="1537" spans="1:8" x14ac:dyDescent="0.2">
      <c r="A1537" s="67"/>
      <c r="B1537" s="67"/>
      <c r="C1537" s="67"/>
      <c r="D1537" s="67"/>
      <c r="E1537" s="67"/>
      <c r="F1537" s="67"/>
      <c r="G1537" s="67"/>
      <c r="H1537" s="68"/>
    </row>
    <row r="1538" spans="1:8" x14ac:dyDescent="0.2">
      <c r="A1538" s="67"/>
      <c r="B1538" s="67"/>
      <c r="C1538" s="67"/>
      <c r="D1538" s="67"/>
      <c r="E1538" s="67"/>
      <c r="F1538" s="67"/>
      <c r="G1538" s="67"/>
      <c r="H1538" s="68"/>
    </row>
    <row r="1539" spans="1:8" x14ac:dyDescent="0.2">
      <c r="A1539" s="67"/>
      <c r="B1539" s="67"/>
      <c r="C1539" s="67"/>
      <c r="D1539" s="67"/>
      <c r="E1539" s="67"/>
      <c r="F1539" s="67"/>
      <c r="G1539" s="67"/>
      <c r="H1539" s="68"/>
    </row>
    <row r="1540" spans="1:8" x14ac:dyDescent="0.2">
      <c r="A1540" s="67"/>
      <c r="B1540" s="67"/>
      <c r="C1540" s="67"/>
      <c r="D1540" s="67"/>
      <c r="E1540" s="67"/>
      <c r="F1540" s="67"/>
      <c r="G1540" s="67"/>
      <c r="H1540" s="68"/>
    </row>
    <row r="1541" spans="1:8" x14ac:dyDescent="0.2">
      <c r="A1541" s="67"/>
      <c r="B1541" s="67"/>
      <c r="C1541" s="67"/>
      <c r="D1541" s="67"/>
      <c r="E1541" s="67"/>
      <c r="F1541" s="67"/>
      <c r="G1541" s="67"/>
      <c r="H1541" s="68"/>
    </row>
    <row r="1542" spans="1:8" x14ac:dyDescent="0.2">
      <c r="A1542" s="67"/>
      <c r="B1542" s="67"/>
      <c r="C1542" s="67"/>
      <c r="D1542" s="67"/>
      <c r="E1542" s="67"/>
      <c r="F1542" s="67"/>
      <c r="G1542" s="67"/>
      <c r="H1542" s="68"/>
    </row>
    <row r="1543" spans="1:8" x14ac:dyDescent="0.2">
      <c r="A1543" s="67"/>
      <c r="B1543" s="67"/>
      <c r="C1543" s="67"/>
      <c r="D1543" s="67"/>
      <c r="E1543" s="67"/>
      <c r="F1543" s="67"/>
      <c r="G1543" s="67"/>
      <c r="H1543" s="68"/>
    </row>
    <row r="1544" spans="1:8" x14ac:dyDescent="0.2">
      <c r="A1544" s="67"/>
      <c r="B1544" s="67"/>
      <c r="C1544" s="67"/>
      <c r="D1544" s="67"/>
      <c r="E1544" s="67"/>
      <c r="F1544" s="67"/>
      <c r="G1544" s="67"/>
      <c r="H1544" s="68"/>
    </row>
    <row r="1545" spans="1:8" x14ac:dyDescent="0.2">
      <c r="A1545" s="67"/>
      <c r="B1545" s="67"/>
      <c r="C1545" s="67"/>
      <c r="D1545" s="67"/>
      <c r="E1545" s="67"/>
      <c r="F1545" s="67"/>
      <c r="G1545" s="67"/>
      <c r="H1545" s="68"/>
    </row>
    <row r="1546" spans="1:8" x14ac:dyDescent="0.2">
      <c r="A1546" s="67"/>
      <c r="B1546" s="67"/>
      <c r="C1546" s="67"/>
      <c r="D1546" s="67"/>
      <c r="E1546" s="67"/>
      <c r="F1546" s="67"/>
      <c r="G1546" s="67"/>
      <c r="H1546" s="68"/>
    </row>
    <row r="1547" spans="1:8" x14ac:dyDescent="0.2">
      <c r="A1547" s="67"/>
      <c r="B1547" s="67"/>
      <c r="C1547" s="67"/>
      <c r="D1547" s="67"/>
      <c r="E1547" s="67"/>
      <c r="F1547" s="67"/>
      <c r="G1547" s="67"/>
      <c r="H1547" s="68"/>
    </row>
    <row r="1548" spans="1:8" x14ac:dyDescent="0.2">
      <c r="A1548" s="67"/>
      <c r="B1548" s="67"/>
      <c r="C1548" s="67"/>
      <c r="D1548" s="67"/>
      <c r="E1548" s="67"/>
      <c r="F1548" s="67"/>
      <c r="G1548" s="67"/>
      <c r="H1548" s="68"/>
    </row>
    <row r="1549" spans="1:8" x14ac:dyDescent="0.2">
      <c r="A1549" s="67"/>
      <c r="B1549" s="67"/>
      <c r="C1549" s="67"/>
      <c r="D1549" s="67"/>
      <c r="E1549" s="67"/>
      <c r="F1549" s="67"/>
      <c r="G1549" s="67"/>
      <c r="H1549" s="68"/>
    </row>
    <row r="1550" spans="1:8" x14ac:dyDescent="0.2">
      <c r="A1550" s="67"/>
      <c r="B1550" s="67"/>
      <c r="C1550" s="67"/>
      <c r="D1550" s="67"/>
      <c r="E1550" s="67"/>
      <c r="F1550" s="67"/>
      <c r="G1550" s="67"/>
      <c r="H1550" s="68"/>
    </row>
    <row r="1551" spans="1:8" x14ac:dyDescent="0.2">
      <c r="A1551" s="67"/>
      <c r="B1551" s="67"/>
      <c r="C1551" s="67"/>
      <c r="D1551" s="67"/>
      <c r="E1551" s="67"/>
      <c r="F1551" s="67"/>
      <c r="G1551" s="67"/>
      <c r="H1551" s="68"/>
    </row>
    <row r="1552" spans="1:8" x14ac:dyDescent="0.2">
      <c r="A1552" s="67"/>
      <c r="B1552" s="67"/>
      <c r="C1552" s="67"/>
      <c r="D1552" s="67"/>
      <c r="E1552" s="67"/>
      <c r="F1552" s="67"/>
      <c r="G1552" s="67"/>
      <c r="H1552" s="68"/>
    </row>
    <row r="1553" spans="1:8" x14ac:dyDescent="0.2">
      <c r="A1553" s="67"/>
      <c r="B1553" s="67"/>
      <c r="C1553" s="67"/>
      <c r="D1553" s="67"/>
      <c r="E1553" s="67"/>
      <c r="F1553" s="67"/>
      <c r="G1553" s="67"/>
      <c r="H1553" s="68"/>
    </row>
    <row r="1554" spans="1:8" x14ac:dyDescent="0.2">
      <c r="A1554" s="67"/>
      <c r="B1554" s="67"/>
      <c r="C1554" s="67"/>
      <c r="D1554" s="67"/>
      <c r="E1554" s="67"/>
      <c r="F1554" s="67"/>
      <c r="G1554" s="67"/>
      <c r="H1554" s="68"/>
    </row>
    <row r="1555" spans="1:8" x14ac:dyDescent="0.2">
      <c r="A1555" s="67"/>
      <c r="B1555" s="67"/>
      <c r="C1555" s="67"/>
      <c r="D1555" s="67"/>
      <c r="E1555" s="67"/>
      <c r="F1555" s="67"/>
      <c r="G1555" s="67"/>
      <c r="H1555" s="68"/>
    </row>
    <row r="1556" spans="1:8" x14ac:dyDescent="0.2">
      <c r="A1556" s="67"/>
      <c r="B1556" s="67"/>
      <c r="C1556" s="67"/>
      <c r="D1556" s="67"/>
      <c r="E1556" s="67"/>
      <c r="F1556" s="67"/>
      <c r="G1556" s="67"/>
      <c r="H1556" s="68"/>
    </row>
    <row r="1557" spans="1:8" x14ac:dyDescent="0.2">
      <c r="A1557" s="67"/>
      <c r="B1557" s="67"/>
      <c r="C1557" s="67"/>
      <c r="D1557" s="67"/>
      <c r="E1557" s="67"/>
      <c r="F1557" s="67"/>
      <c r="G1557" s="67"/>
      <c r="H1557" s="68"/>
    </row>
    <row r="1558" spans="1:8" x14ac:dyDescent="0.2">
      <c r="A1558" s="67"/>
      <c r="B1558" s="67"/>
      <c r="C1558" s="67"/>
      <c r="D1558" s="67"/>
      <c r="E1558" s="67"/>
      <c r="F1558" s="67"/>
      <c r="G1558" s="67"/>
      <c r="H1558" s="68"/>
    </row>
    <row r="1559" spans="1:8" x14ac:dyDescent="0.2">
      <c r="A1559" s="67"/>
      <c r="B1559" s="67"/>
      <c r="C1559" s="67"/>
      <c r="D1559" s="67"/>
      <c r="E1559" s="67"/>
      <c r="F1559" s="67"/>
      <c r="G1559" s="67"/>
      <c r="H1559" s="68"/>
    </row>
    <row r="1560" spans="1:8" x14ac:dyDescent="0.2">
      <c r="A1560" s="67"/>
      <c r="B1560" s="67"/>
      <c r="C1560" s="67"/>
      <c r="D1560" s="67"/>
      <c r="E1560" s="67"/>
      <c r="F1560" s="67"/>
      <c r="G1560" s="67"/>
      <c r="H1560" s="68"/>
    </row>
    <row r="1561" spans="1:8" x14ac:dyDescent="0.2">
      <c r="A1561" s="67"/>
      <c r="B1561" s="67"/>
      <c r="C1561" s="67"/>
      <c r="D1561" s="67"/>
      <c r="E1561" s="67"/>
      <c r="F1561" s="67"/>
      <c r="G1561" s="67"/>
      <c r="H1561" s="68"/>
    </row>
    <row r="1562" spans="1:8" x14ac:dyDescent="0.2">
      <c r="A1562" s="67"/>
      <c r="B1562" s="67"/>
      <c r="C1562" s="67"/>
      <c r="D1562" s="67"/>
      <c r="E1562" s="67"/>
      <c r="F1562" s="67"/>
      <c r="G1562" s="67"/>
      <c r="H1562" s="68"/>
    </row>
    <row r="1563" spans="1:8" x14ac:dyDescent="0.2">
      <c r="A1563" s="67"/>
      <c r="B1563" s="67"/>
      <c r="C1563" s="67"/>
      <c r="D1563" s="67"/>
      <c r="E1563" s="67"/>
      <c r="F1563" s="67"/>
      <c r="G1563" s="67"/>
      <c r="H1563" s="68"/>
    </row>
    <row r="1564" spans="1:8" x14ac:dyDescent="0.2">
      <c r="A1564" s="67"/>
      <c r="B1564" s="67"/>
      <c r="C1564" s="67"/>
      <c r="D1564" s="67"/>
      <c r="E1564" s="67"/>
      <c r="F1564" s="67"/>
      <c r="G1564" s="67"/>
      <c r="H1564" s="68"/>
    </row>
    <row r="1565" spans="1:8" x14ac:dyDescent="0.2">
      <c r="A1565" s="67"/>
      <c r="B1565" s="67"/>
      <c r="C1565" s="67"/>
      <c r="D1565" s="67"/>
      <c r="E1565" s="67"/>
      <c r="F1565" s="67"/>
      <c r="G1565" s="67"/>
      <c r="H1565" s="68"/>
    </row>
    <row r="1566" spans="1:8" x14ac:dyDescent="0.2">
      <c r="A1566" s="67"/>
      <c r="B1566" s="67"/>
      <c r="C1566" s="67"/>
      <c r="D1566" s="67"/>
      <c r="E1566" s="67"/>
      <c r="F1566" s="67"/>
      <c r="G1566" s="67"/>
      <c r="H1566" s="68"/>
    </row>
    <row r="1567" spans="1:8" x14ac:dyDescent="0.2">
      <c r="A1567" s="67"/>
      <c r="B1567" s="67"/>
      <c r="C1567" s="67"/>
      <c r="D1567" s="67"/>
      <c r="E1567" s="67"/>
      <c r="F1567" s="67"/>
      <c r="G1567" s="67"/>
      <c r="H1567" s="68"/>
    </row>
    <row r="1568" spans="1:8" x14ac:dyDescent="0.2">
      <c r="A1568" s="67"/>
      <c r="B1568" s="67"/>
      <c r="C1568" s="67"/>
      <c r="D1568" s="67"/>
      <c r="E1568" s="67"/>
      <c r="F1568" s="67"/>
      <c r="G1568" s="67"/>
      <c r="H1568" s="68"/>
    </row>
    <row r="1569" spans="1:8" x14ac:dyDescent="0.2">
      <c r="A1569" s="67"/>
      <c r="B1569" s="67"/>
      <c r="C1569" s="67"/>
      <c r="D1569" s="67"/>
      <c r="E1569" s="67"/>
      <c r="F1569" s="67"/>
      <c r="G1569" s="67"/>
      <c r="H1569" s="68"/>
    </row>
    <row r="1570" spans="1:8" x14ac:dyDescent="0.2">
      <c r="A1570" s="67"/>
      <c r="B1570" s="67"/>
      <c r="C1570" s="67"/>
      <c r="D1570" s="67"/>
      <c r="E1570" s="67"/>
      <c r="F1570" s="67"/>
      <c r="G1570" s="67"/>
      <c r="H1570" s="68"/>
    </row>
    <row r="1571" spans="1:8" x14ac:dyDescent="0.2">
      <c r="A1571" s="67"/>
      <c r="B1571" s="67"/>
      <c r="C1571" s="67"/>
      <c r="D1571" s="67"/>
      <c r="E1571" s="67"/>
      <c r="F1571" s="67"/>
      <c r="G1571" s="67"/>
      <c r="H1571" s="68"/>
    </row>
    <row r="1572" spans="1:8" x14ac:dyDescent="0.2">
      <c r="A1572" s="67"/>
      <c r="B1572" s="67"/>
      <c r="C1572" s="67"/>
      <c r="D1572" s="67"/>
      <c r="E1572" s="67"/>
      <c r="F1572" s="67"/>
      <c r="G1572" s="67"/>
      <c r="H1572" s="68"/>
    </row>
    <row r="1573" spans="1:8" x14ac:dyDescent="0.2">
      <c r="A1573" s="67"/>
      <c r="B1573" s="67"/>
      <c r="C1573" s="67"/>
      <c r="D1573" s="67"/>
      <c r="E1573" s="67"/>
      <c r="F1573" s="67"/>
      <c r="G1573" s="67"/>
      <c r="H1573" s="68"/>
    </row>
    <row r="1574" spans="1:8" x14ac:dyDescent="0.2">
      <c r="A1574" s="67"/>
      <c r="B1574" s="67"/>
      <c r="C1574" s="67"/>
      <c r="D1574" s="67"/>
      <c r="E1574" s="67"/>
      <c r="F1574" s="67"/>
      <c r="G1574" s="67"/>
      <c r="H1574" s="68"/>
    </row>
    <row r="1575" spans="1:8" x14ac:dyDescent="0.2">
      <c r="A1575" s="67"/>
      <c r="B1575" s="67"/>
      <c r="C1575" s="67"/>
      <c r="D1575" s="67"/>
      <c r="E1575" s="67"/>
      <c r="F1575" s="67"/>
      <c r="G1575" s="67"/>
      <c r="H1575" s="68"/>
    </row>
    <row r="1576" spans="1:8" x14ac:dyDescent="0.2">
      <c r="A1576" s="67"/>
      <c r="B1576" s="67"/>
      <c r="C1576" s="67"/>
      <c r="D1576" s="67"/>
      <c r="E1576" s="67"/>
      <c r="F1576" s="67"/>
      <c r="G1576" s="67"/>
      <c r="H1576" s="68"/>
    </row>
    <row r="1577" spans="1:8" x14ac:dyDescent="0.2">
      <c r="A1577" s="67"/>
      <c r="B1577" s="67"/>
      <c r="C1577" s="67"/>
      <c r="D1577" s="67"/>
      <c r="E1577" s="67"/>
      <c r="F1577" s="67"/>
      <c r="G1577" s="67"/>
      <c r="H1577" s="68"/>
    </row>
    <row r="1578" spans="1:8" x14ac:dyDescent="0.2">
      <c r="A1578" s="67"/>
      <c r="B1578" s="67"/>
      <c r="C1578" s="67"/>
      <c r="D1578" s="67"/>
      <c r="E1578" s="67"/>
      <c r="F1578" s="67"/>
      <c r="G1578" s="67"/>
      <c r="H1578" s="68"/>
    </row>
    <row r="1579" spans="1:8" x14ac:dyDescent="0.2">
      <c r="A1579" s="67"/>
      <c r="B1579" s="67"/>
      <c r="C1579" s="67"/>
      <c r="D1579" s="67"/>
      <c r="E1579" s="67"/>
      <c r="F1579" s="67"/>
      <c r="G1579" s="67"/>
      <c r="H1579" s="68"/>
    </row>
    <row r="1580" spans="1:8" x14ac:dyDescent="0.2">
      <c r="A1580" s="67"/>
      <c r="B1580" s="67"/>
      <c r="C1580" s="67"/>
      <c r="D1580" s="67"/>
      <c r="E1580" s="67"/>
      <c r="F1580" s="67"/>
      <c r="G1580" s="67"/>
      <c r="H1580" s="68"/>
    </row>
    <row r="1581" spans="1:8" x14ac:dyDescent="0.2">
      <c r="A1581" s="67"/>
      <c r="B1581" s="67"/>
      <c r="C1581" s="67"/>
      <c r="D1581" s="67"/>
      <c r="E1581" s="67"/>
      <c r="F1581" s="67"/>
      <c r="G1581" s="67"/>
      <c r="H1581" s="68"/>
    </row>
    <row r="1582" spans="1:8" x14ac:dyDescent="0.2">
      <c r="A1582" s="67"/>
      <c r="B1582" s="67"/>
      <c r="C1582" s="67"/>
      <c r="D1582" s="67"/>
      <c r="E1582" s="67"/>
      <c r="F1582" s="67"/>
      <c r="G1582" s="67"/>
      <c r="H1582" s="68"/>
    </row>
    <row r="1583" spans="1:8" x14ac:dyDescent="0.2">
      <c r="A1583" s="67"/>
      <c r="B1583" s="67"/>
      <c r="C1583" s="67"/>
      <c r="D1583" s="67"/>
      <c r="E1583" s="67"/>
      <c r="F1583" s="67"/>
      <c r="G1583" s="67"/>
      <c r="H1583" s="68"/>
    </row>
    <row r="1584" spans="1:8" x14ac:dyDescent="0.2">
      <c r="A1584" s="67"/>
      <c r="B1584" s="67"/>
      <c r="C1584" s="67"/>
      <c r="D1584" s="67"/>
      <c r="E1584" s="67"/>
      <c r="F1584" s="67"/>
      <c r="G1584" s="67"/>
      <c r="H1584" s="68"/>
    </row>
    <row r="1585" spans="1:8" x14ac:dyDescent="0.2">
      <c r="A1585" s="67"/>
      <c r="B1585" s="67"/>
      <c r="C1585" s="67"/>
      <c r="D1585" s="67"/>
      <c r="E1585" s="67"/>
      <c r="F1585" s="67"/>
      <c r="G1585" s="67"/>
      <c r="H1585" s="68"/>
    </row>
    <row r="1586" spans="1:8" x14ac:dyDescent="0.2">
      <c r="A1586" s="67"/>
      <c r="B1586" s="67"/>
      <c r="C1586" s="67"/>
      <c r="D1586" s="67"/>
      <c r="E1586" s="67"/>
      <c r="F1586" s="67"/>
      <c r="G1586" s="67"/>
      <c r="H1586" s="68"/>
    </row>
    <row r="1587" spans="1:8" x14ac:dyDescent="0.2">
      <c r="A1587" s="67"/>
      <c r="B1587" s="67"/>
      <c r="C1587" s="67"/>
      <c r="D1587" s="67"/>
      <c r="E1587" s="67"/>
      <c r="F1587" s="67"/>
      <c r="G1587" s="67"/>
      <c r="H1587" s="68"/>
    </row>
    <row r="1588" spans="1:8" x14ac:dyDescent="0.2">
      <c r="A1588" s="67"/>
      <c r="B1588" s="67"/>
      <c r="C1588" s="67"/>
      <c r="D1588" s="67"/>
      <c r="E1588" s="67"/>
      <c r="F1588" s="67"/>
      <c r="G1588" s="67"/>
      <c r="H1588" s="68"/>
    </row>
    <row r="1589" spans="1:8" x14ac:dyDescent="0.2">
      <c r="A1589" s="67"/>
      <c r="B1589" s="67"/>
      <c r="C1589" s="67"/>
      <c r="D1589" s="67"/>
      <c r="E1589" s="67"/>
      <c r="F1589" s="67"/>
      <c r="G1589" s="67"/>
      <c r="H1589" s="68"/>
    </row>
    <row r="1590" spans="1:8" x14ac:dyDescent="0.2">
      <c r="A1590" s="67"/>
      <c r="B1590" s="67"/>
      <c r="C1590" s="67"/>
      <c r="D1590" s="67"/>
      <c r="E1590" s="67"/>
      <c r="F1590" s="67"/>
      <c r="G1590" s="67"/>
      <c r="H1590" s="68"/>
    </row>
    <row r="1591" spans="1:8" x14ac:dyDescent="0.2">
      <c r="A1591" s="67"/>
      <c r="B1591" s="67"/>
      <c r="C1591" s="67"/>
      <c r="D1591" s="67"/>
      <c r="E1591" s="67"/>
      <c r="F1591" s="67"/>
      <c r="G1591" s="67"/>
      <c r="H1591" s="68"/>
    </row>
    <row r="1592" spans="1:8" x14ac:dyDescent="0.2">
      <c r="A1592" s="67"/>
      <c r="B1592" s="67"/>
      <c r="C1592" s="67"/>
      <c r="D1592" s="67"/>
      <c r="E1592" s="67"/>
      <c r="F1592" s="67"/>
      <c r="G1592" s="67"/>
      <c r="H1592" s="68"/>
    </row>
    <row r="1593" spans="1:8" x14ac:dyDescent="0.2">
      <c r="A1593" s="67"/>
      <c r="B1593" s="67"/>
      <c r="C1593" s="67"/>
      <c r="D1593" s="67"/>
      <c r="E1593" s="67"/>
      <c r="F1593" s="67"/>
      <c r="G1593" s="67"/>
      <c r="H1593" s="68"/>
    </row>
    <row r="1594" spans="1:8" x14ac:dyDescent="0.2">
      <c r="A1594" s="67"/>
      <c r="B1594" s="67"/>
      <c r="C1594" s="67"/>
      <c r="D1594" s="67"/>
      <c r="E1594" s="67"/>
      <c r="F1594" s="67"/>
      <c r="G1594" s="67"/>
      <c r="H1594" s="68"/>
    </row>
    <row r="1595" spans="1:8" x14ac:dyDescent="0.2">
      <c r="A1595" s="67"/>
      <c r="B1595" s="67"/>
      <c r="C1595" s="67"/>
      <c r="D1595" s="67"/>
      <c r="E1595" s="67"/>
      <c r="F1595" s="67"/>
      <c r="G1595" s="67"/>
      <c r="H1595" s="68"/>
    </row>
    <row r="1596" spans="1:8" x14ac:dyDescent="0.2">
      <c r="A1596" s="67"/>
      <c r="B1596" s="67"/>
      <c r="C1596" s="67"/>
      <c r="D1596" s="67"/>
      <c r="E1596" s="67"/>
      <c r="F1596" s="67"/>
      <c r="G1596" s="67"/>
      <c r="H1596" s="68"/>
    </row>
    <row r="1597" spans="1:8" x14ac:dyDescent="0.2">
      <c r="A1597" s="67"/>
      <c r="B1597" s="67"/>
      <c r="C1597" s="67"/>
      <c r="D1597" s="67"/>
      <c r="E1597" s="67"/>
      <c r="F1597" s="67"/>
      <c r="G1597" s="67"/>
      <c r="H1597" s="68"/>
    </row>
    <row r="1598" spans="1:8" x14ac:dyDescent="0.2">
      <c r="A1598" s="67"/>
      <c r="B1598" s="67"/>
      <c r="C1598" s="67"/>
      <c r="D1598" s="67"/>
      <c r="E1598" s="67"/>
      <c r="F1598" s="67"/>
      <c r="G1598" s="67"/>
      <c r="H1598" s="68"/>
    </row>
    <row r="1599" spans="1:8" x14ac:dyDescent="0.2">
      <c r="A1599" s="67"/>
      <c r="B1599" s="67"/>
      <c r="C1599" s="67"/>
      <c r="D1599" s="67"/>
      <c r="E1599" s="67"/>
      <c r="F1599" s="67"/>
      <c r="G1599" s="67"/>
      <c r="H1599" s="68"/>
    </row>
    <row r="1600" spans="1:8" x14ac:dyDescent="0.2">
      <c r="A1600" s="67"/>
      <c r="B1600" s="67"/>
      <c r="C1600" s="67"/>
      <c r="D1600" s="67"/>
      <c r="E1600" s="67"/>
      <c r="F1600" s="67"/>
      <c r="G1600" s="67"/>
      <c r="H1600" s="68"/>
    </row>
    <row r="1601" spans="1:8" x14ac:dyDescent="0.2">
      <c r="A1601" s="67"/>
      <c r="B1601" s="67"/>
      <c r="C1601" s="67"/>
      <c r="D1601" s="67"/>
      <c r="E1601" s="67"/>
      <c r="F1601" s="67"/>
      <c r="G1601" s="67"/>
      <c r="H1601" s="68"/>
    </row>
    <row r="1602" spans="1:8" x14ac:dyDescent="0.2">
      <c r="A1602" s="67"/>
      <c r="B1602" s="67"/>
      <c r="C1602" s="67"/>
      <c r="D1602" s="67"/>
      <c r="E1602" s="67"/>
      <c r="F1602" s="67"/>
      <c r="G1602" s="67"/>
      <c r="H1602" s="68"/>
    </row>
    <row r="1603" spans="1:8" x14ac:dyDescent="0.2">
      <c r="A1603" s="67"/>
      <c r="B1603" s="67"/>
      <c r="C1603" s="67"/>
      <c r="D1603" s="67"/>
      <c r="E1603" s="67"/>
      <c r="F1603" s="67"/>
      <c r="G1603" s="67"/>
      <c r="H1603" s="68"/>
    </row>
    <row r="1604" spans="1:8" x14ac:dyDescent="0.2">
      <c r="A1604" s="67"/>
      <c r="B1604" s="67"/>
      <c r="C1604" s="67"/>
      <c r="D1604" s="67"/>
      <c r="E1604" s="67"/>
      <c r="F1604" s="67"/>
      <c r="G1604" s="67"/>
      <c r="H1604" s="68"/>
    </row>
    <row r="1605" spans="1:8" x14ac:dyDescent="0.2">
      <c r="A1605" s="67"/>
      <c r="B1605" s="67"/>
      <c r="C1605" s="67"/>
      <c r="D1605" s="67"/>
      <c r="E1605" s="67"/>
      <c r="F1605" s="67"/>
      <c r="G1605" s="67"/>
      <c r="H1605" s="68"/>
    </row>
    <row r="1606" spans="1:8" x14ac:dyDescent="0.2">
      <c r="A1606" s="67"/>
      <c r="B1606" s="67"/>
      <c r="C1606" s="67"/>
      <c r="D1606" s="67"/>
      <c r="E1606" s="67"/>
      <c r="F1606" s="67"/>
      <c r="G1606" s="67"/>
      <c r="H1606" s="68"/>
    </row>
    <row r="1607" spans="1:8" x14ac:dyDescent="0.2">
      <c r="A1607" s="67"/>
      <c r="B1607" s="67"/>
      <c r="C1607" s="67"/>
      <c r="D1607" s="67"/>
      <c r="E1607" s="67"/>
      <c r="F1607" s="67"/>
      <c r="G1607" s="67"/>
      <c r="H1607" s="68"/>
    </row>
    <row r="1608" spans="1:8" x14ac:dyDescent="0.2">
      <c r="A1608" s="67"/>
      <c r="B1608" s="67"/>
      <c r="C1608" s="67"/>
      <c r="D1608" s="67"/>
      <c r="E1608" s="67"/>
      <c r="F1608" s="67"/>
      <c r="G1608" s="67"/>
      <c r="H1608" s="68"/>
    </row>
    <row r="1609" spans="1:8" x14ac:dyDescent="0.2">
      <c r="A1609" s="67"/>
      <c r="B1609" s="67"/>
      <c r="C1609" s="67"/>
      <c r="D1609" s="67"/>
      <c r="E1609" s="67"/>
      <c r="F1609" s="67"/>
      <c r="G1609" s="67"/>
      <c r="H1609" s="68"/>
    </row>
    <row r="1610" spans="1:8" x14ac:dyDescent="0.2">
      <c r="A1610" s="67"/>
      <c r="B1610" s="67"/>
      <c r="C1610" s="67"/>
      <c r="D1610" s="67"/>
      <c r="E1610" s="67"/>
      <c r="F1610" s="67"/>
      <c r="G1610" s="67"/>
      <c r="H1610" s="68"/>
    </row>
    <row r="1611" spans="1:8" x14ac:dyDescent="0.2">
      <c r="A1611" s="67"/>
      <c r="B1611" s="67"/>
      <c r="C1611" s="67"/>
      <c r="D1611" s="67"/>
      <c r="E1611" s="67"/>
      <c r="F1611" s="67"/>
      <c r="G1611" s="67"/>
      <c r="H1611" s="68"/>
    </row>
    <row r="1612" spans="1:8" x14ac:dyDescent="0.2">
      <c r="A1612" s="67"/>
      <c r="B1612" s="67"/>
      <c r="C1612" s="67"/>
      <c r="D1612" s="67"/>
      <c r="E1612" s="67"/>
      <c r="F1612" s="67"/>
      <c r="G1612" s="67"/>
      <c r="H1612" s="68"/>
    </row>
    <row r="1613" spans="1:8" x14ac:dyDescent="0.2">
      <c r="A1613" s="67"/>
      <c r="B1613" s="67"/>
      <c r="C1613" s="67"/>
      <c r="D1613" s="67"/>
      <c r="E1613" s="67"/>
      <c r="F1613" s="67"/>
      <c r="G1613" s="67"/>
      <c r="H1613" s="68"/>
    </row>
    <row r="1614" spans="1:8" x14ac:dyDescent="0.2">
      <c r="A1614" s="67"/>
      <c r="B1614" s="67"/>
      <c r="C1614" s="67"/>
      <c r="D1614" s="67"/>
      <c r="E1614" s="67"/>
      <c r="F1614" s="67"/>
      <c r="G1614" s="67"/>
      <c r="H1614" s="68"/>
    </row>
    <row r="1615" spans="1:8" x14ac:dyDescent="0.2">
      <c r="A1615" s="67"/>
      <c r="B1615" s="67"/>
      <c r="C1615" s="67"/>
      <c r="D1615" s="67"/>
      <c r="E1615" s="67"/>
      <c r="F1615" s="67"/>
      <c r="G1615" s="67"/>
      <c r="H1615" s="68"/>
    </row>
    <row r="1616" spans="1:8" x14ac:dyDescent="0.2">
      <c r="A1616" s="67"/>
      <c r="B1616" s="67"/>
      <c r="C1616" s="67"/>
      <c r="D1616" s="67"/>
      <c r="E1616" s="67"/>
      <c r="F1616" s="67"/>
      <c r="G1616" s="67"/>
      <c r="H1616" s="68"/>
    </row>
    <row r="1617" spans="1:8" x14ac:dyDescent="0.2">
      <c r="A1617" s="67"/>
      <c r="B1617" s="67"/>
      <c r="C1617" s="67"/>
      <c r="D1617" s="67"/>
      <c r="E1617" s="67"/>
      <c r="F1617" s="67"/>
      <c r="G1617" s="67"/>
      <c r="H1617" s="68"/>
    </row>
    <row r="1618" spans="1:8" x14ac:dyDescent="0.2">
      <c r="A1618" s="67"/>
      <c r="B1618" s="67"/>
      <c r="C1618" s="67"/>
      <c r="D1618" s="67"/>
      <c r="E1618" s="67"/>
      <c r="F1618" s="67"/>
      <c r="G1618" s="67"/>
      <c r="H1618" s="68"/>
    </row>
    <row r="1619" spans="1:8" x14ac:dyDescent="0.2">
      <c r="A1619" s="67"/>
      <c r="B1619" s="67"/>
      <c r="C1619" s="67"/>
      <c r="D1619" s="67"/>
      <c r="E1619" s="67"/>
      <c r="F1619" s="67"/>
      <c r="G1619" s="67"/>
      <c r="H1619" s="68"/>
    </row>
    <row r="1620" spans="1:8" x14ac:dyDescent="0.2">
      <c r="A1620" s="67"/>
      <c r="B1620" s="67"/>
      <c r="C1620" s="67"/>
      <c r="D1620" s="67"/>
      <c r="E1620" s="67"/>
      <c r="F1620" s="67"/>
      <c r="G1620" s="67"/>
      <c r="H1620" s="68"/>
    </row>
    <row r="1621" spans="1:8" x14ac:dyDescent="0.2">
      <c r="A1621" s="67"/>
      <c r="B1621" s="67"/>
      <c r="C1621" s="67"/>
      <c r="D1621" s="67"/>
      <c r="E1621" s="67"/>
      <c r="F1621" s="67"/>
      <c r="G1621" s="67"/>
      <c r="H1621" s="68"/>
    </row>
    <row r="1622" spans="1:8" x14ac:dyDescent="0.2">
      <c r="A1622" s="67"/>
      <c r="B1622" s="67"/>
      <c r="C1622" s="67"/>
      <c r="D1622" s="67"/>
      <c r="E1622" s="67"/>
      <c r="F1622" s="67"/>
      <c r="G1622" s="67"/>
      <c r="H1622" s="68"/>
    </row>
    <row r="1623" spans="1:8" x14ac:dyDescent="0.2">
      <c r="A1623" s="67"/>
      <c r="B1623" s="67"/>
      <c r="C1623" s="67"/>
      <c r="D1623" s="67"/>
      <c r="E1623" s="67"/>
      <c r="F1623" s="67"/>
      <c r="G1623" s="67"/>
      <c r="H1623" s="68"/>
    </row>
    <row r="1624" spans="1:8" x14ac:dyDescent="0.2">
      <c r="A1624" s="67"/>
      <c r="B1624" s="67"/>
      <c r="C1624" s="67"/>
      <c r="D1624" s="67"/>
      <c r="E1624" s="67"/>
      <c r="F1624" s="67"/>
      <c r="G1624" s="67"/>
      <c r="H1624" s="68"/>
    </row>
    <row r="1625" spans="1:8" x14ac:dyDescent="0.2">
      <c r="A1625" s="67"/>
      <c r="B1625" s="67"/>
      <c r="C1625" s="67"/>
      <c r="D1625" s="67"/>
      <c r="E1625" s="67"/>
      <c r="F1625" s="67"/>
      <c r="G1625" s="67"/>
      <c r="H1625" s="68"/>
    </row>
    <row r="1626" spans="1:8" x14ac:dyDescent="0.2">
      <c r="A1626" s="67"/>
      <c r="B1626" s="67"/>
      <c r="C1626" s="67"/>
      <c r="D1626" s="67"/>
      <c r="E1626" s="67"/>
      <c r="F1626" s="67"/>
      <c r="G1626" s="67"/>
      <c r="H1626" s="68"/>
    </row>
    <row r="1627" spans="1:8" x14ac:dyDescent="0.2">
      <c r="A1627" s="67"/>
      <c r="B1627" s="67"/>
      <c r="C1627" s="67"/>
      <c r="D1627" s="67"/>
      <c r="E1627" s="67"/>
      <c r="F1627" s="67"/>
      <c r="G1627" s="67"/>
      <c r="H1627" s="68"/>
    </row>
    <row r="1628" spans="1:8" x14ac:dyDescent="0.2">
      <c r="A1628" s="67"/>
      <c r="B1628" s="67"/>
      <c r="C1628" s="67"/>
      <c r="D1628" s="67"/>
      <c r="E1628" s="67"/>
      <c r="F1628" s="67"/>
      <c r="G1628" s="67"/>
      <c r="H1628" s="68"/>
    </row>
    <row r="1629" spans="1:8" x14ac:dyDescent="0.2">
      <c r="A1629" s="67"/>
      <c r="B1629" s="67"/>
      <c r="C1629" s="67"/>
      <c r="D1629" s="67"/>
      <c r="E1629" s="67"/>
      <c r="F1629" s="67"/>
      <c r="G1629" s="67"/>
      <c r="H1629" s="68"/>
    </row>
    <row r="1630" spans="1:8" x14ac:dyDescent="0.2">
      <c r="A1630" s="67"/>
      <c r="B1630" s="67"/>
      <c r="C1630" s="67"/>
      <c r="D1630" s="67"/>
      <c r="E1630" s="67"/>
      <c r="F1630" s="67"/>
      <c r="G1630" s="67"/>
      <c r="H1630" s="68"/>
    </row>
    <row r="1631" spans="1:8" x14ac:dyDescent="0.2">
      <c r="A1631" s="67"/>
      <c r="B1631" s="67"/>
      <c r="C1631" s="67"/>
      <c r="D1631" s="67"/>
      <c r="E1631" s="67"/>
      <c r="F1631" s="67"/>
      <c r="G1631" s="67"/>
      <c r="H1631" s="68"/>
    </row>
    <row r="1632" spans="1:8" x14ac:dyDescent="0.2">
      <c r="A1632" s="67"/>
      <c r="B1632" s="67"/>
      <c r="C1632" s="67"/>
      <c r="D1632" s="67"/>
      <c r="E1632" s="67"/>
      <c r="F1632" s="67"/>
      <c r="G1632" s="67"/>
      <c r="H1632" s="68"/>
    </row>
    <row r="1633" spans="1:8" x14ac:dyDescent="0.2">
      <c r="A1633" s="67"/>
      <c r="B1633" s="67"/>
      <c r="C1633" s="67"/>
      <c r="D1633" s="67"/>
      <c r="E1633" s="67"/>
      <c r="F1633" s="67"/>
      <c r="G1633" s="67"/>
      <c r="H1633" s="68"/>
    </row>
    <row r="1634" spans="1:8" x14ac:dyDescent="0.2">
      <c r="A1634" s="67"/>
      <c r="B1634" s="67"/>
      <c r="C1634" s="67"/>
      <c r="D1634" s="67"/>
      <c r="E1634" s="67"/>
      <c r="F1634" s="67"/>
      <c r="G1634" s="67"/>
      <c r="H1634" s="68"/>
    </row>
    <row r="1635" spans="1:8" x14ac:dyDescent="0.2">
      <c r="A1635" s="67"/>
      <c r="B1635" s="67"/>
      <c r="C1635" s="67"/>
      <c r="D1635" s="67"/>
      <c r="E1635" s="67"/>
      <c r="F1635" s="67"/>
      <c r="G1635" s="67"/>
      <c r="H1635" s="68"/>
    </row>
    <row r="1636" spans="1:8" x14ac:dyDescent="0.2">
      <c r="A1636" s="67"/>
      <c r="B1636" s="67"/>
      <c r="C1636" s="67"/>
      <c r="D1636" s="67"/>
      <c r="E1636" s="67"/>
      <c r="F1636" s="67"/>
      <c r="G1636" s="67"/>
      <c r="H1636" s="68"/>
    </row>
    <row r="1637" spans="1:8" x14ac:dyDescent="0.2">
      <c r="A1637" s="67"/>
      <c r="B1637" s="67"/>
      <c r="C1637" s="67"/>
      <c r="D1637" s="67"/>
      <c r="E1637" s="67"/>
      <c r="F1637" s="67"/>
      <c r="G1637" s="67"/>
      <c r="H1637" s="68"/>
    </row>
    <row r="1638" spans="1:8" x14ac:dyDescent="0.2">
      <c r="A1638" s="67"/>
      <c r="B1638" s="67"/>
      <c r="C1638" s="67"/>
      <c r="D1638" s="67"/>
      <c r="E1638" s="67"/>
      <c r="F1638" s="67"/>
      <c r="G1638" s="67"/>
      <c r="H1638" s="68"/>
    </row>
    <row r="1639" spans="1:8" x14ac:dyDescent="0.2">
      <c r="A1639" s="67"/>
      <c r="B1639" s="67"/>
      <c r="C1639" s="67"/>
      <c r="D1639" s="67"/>
      <c r="E1639" s="67"/>
      <c r="F1639" s="67"/>
      <c r="G1639" s="67"/>
      <c r="H1639" s="68"/>
    </row>
    <row r="1640" spans="1:8" x14ac:dyDescent="0.2">
      <c r="A1640" s="67"/>
      <c r="B1640" s="67"/>
      <c r="C1640" s="67"/>
      <c r="D1640" s="67"/>
      <c r="E1640" s="67"/>
      <c r="F1640" s="67"/>
      <c r="G1640" s="67"/>
      <c r="H1640" s="68"/>
    </row>
    <row r="1641" spans="1:8" x14ac:dyDescent="0.2">
      <c r="A1641" s="67"/>
      <c r="B1641" s="67"/>
      <c r="C1641" s="67"/>
      <c r="D1641" s="67"/>
      <c r="E1641" s="67"/>
      <c r="F1641" s="67"/>
      <c r="G1641" s="67"/>
      <c r="H1641" s="68"/>
    </row>
    <row r="1642" spans="1:8" x14ac:dyDescent="0.2">
      <c r="A1642" s="67"/>
      <c r="B1642" s="67"/>
      <c r="C1642" s="67"/>
      <c r="D1642" s="67"/>
      <c r="E1642" s="67"/>
      <c r="F1642" s="67"/>
      <c r="G1642" s="67"/>
      <c r="H1642" s="68"/>
    </row>
    <row r="1643" spans="1:8" x14ac:dyDescent="0.2">
      <c r="A1643" s="67"/>
      <c r="B1643" s="67"/>
      <c r="C1643" s="67"/>
      <c r="D1643" s="67"/>
      <c r="E1643" s="67"/>
      <c r="F1643" s="67"/>
      <c r="G1643" s="67"/>
      <c r="H1643" s="68"/>
    </row>
    <row r="1644" spans="1:8" x14ac:dyDescent="0.2">
      <c r="A1644" s="67"/>
      <c r="B1644" s="67"/>
      <c r="C1644" s="67"/>
      <c r="D1644" s="67"/>
      <c r="E1644" s="67"/>
      <c r="F1644" s="67"/>
      <c r="G1644" s="67"/>
      <c r="H1644" s="68"/>
    </row>
    <row r="1645" spans="1:8" x14ac:dyDescent="0.2">
      <c r="A1645" s="67"/>
      <c r="B1645" s="67"/>
      <c r="C1645" s="67"/>
      <c r="D1645" s="67"/>
      <c r="E1645" s="67"/>
      <c r="F1645" s="67"/>
      <c r="G1645" s="67"/>
      <c r="H1645" s="68"/>
    </row>
    <row r="1646" spans="1:8" x14ac:dyDescent="0.2">
      <c r="A1646" s="67"/>
      <c r="B1646" s="67"/>
      <c r="C1646" s="67"/>
      <c r="D1646" s="67"/>
      <c r="E1646" s="67"/>
      <c r="F1646" s="67"/>
      <c r="G1646" s="67"/>
      <c r="H1646" s="68"/>
    </row>
    <row r="1647" spans="1:8" x14ac:dyDescent="0.2">
      <c r="A1647" s="67"/>
      <c r="B1647" s="67"/>
      <c r="C1647" s="67"/>
      <c r="D1647" s="67"/>
      <c r="E1647" s="67"/>
      <c r="F1647" s="67"/>
      <c r="G1647" s="67"/>
      <c r="H1647" s="68"/>
    </row>
    <row r="1648" spans="1:8" x14ac:dyDescent="0.2">
      <c r="A1648" s="67"/>
      <c r="B1648" s="67"/>
      <c r="C1648" s="67"/>
      <c r="D1648" s="67"/>
      <c r="E1648" s="67"/>
      <c r="F1648" s="67"/>
      <c r="G1648" s="67"/>
      <c r="H1648" s="68"/>
    </row>
    <row r="1649" spans="1:8" x14ac:dyDescent="0.2">
      <c r="A1649" s="67"/>
      <c r="B1649" s="67"/>
      <c r="C1649" s="67"/>
      <c r="D1649" s="67"/>
      <c r="E1649" s="67"/>
      <c r="F1649" s="67"/>
      <c r="G1649" s="67"/>
      <c r="H1649" s="68"/>
    </row>
    <row r="1650" spans="1:8" x14ac:dyDescent="0.2">
      <c r="A1650" s="67"/>
      <c r="B1650" s="67"/>
      <c r="C1650" s="67"/>
      <c r="D1650" s="67"/>
      <c r="E1650" s="67"/>
      <c r="F1650" s="67"/>
      <c r="G1650" s="67"/>
      <c r="H1650" s="68"/>
    </row>
    <row r="1651" spans="1:8" x14ac:dyDescent="0.2">
      <c r="A1651" s="67"/>
      <c r="B1651" s="67"/>
      <c r="C1651" s="67"/>
      <c r="D1651" s="67"/>
      <c r="E1651" s="67"/>
      <c r="F1651" s="67"/>
      <c r="G1651" s="67"/>
      <c r="H1651" s="68"/>
    </row>
    <row r="1652" spans="1:8" x14ac:dyDescent="0.2">
      <c r="A1652" s="67"/>
      <c r="B1652" s="67"/>
      <c r="C1652" s="67"/>
      <c r="D1652" s="67"/>
      <c r="E1652" s="67"/>
      <c r="F1652" s="67"/>
      <c r="G1652" s="67"/>
      <c r="H1652" s="68"/>
    </row>
    <row r="1653" spans="1:8" x14ac:dyDescent="0.2">
      <c r="A1653" s="67"/>
      <c r="B1653" s="67"/>
      <c r="C1653" s="67"/>
      <c r="D1653" s="67"/>
      <c r="E1653" s="67"/>
      <c r="F1653" s="67"/>
      <c r="G1653" s="67"/>
      <c r="H1653" s="68"/>
    </row>
    <row r="1654" spans="1:8" x14ac:dyDescent="0.2">
      <c r="A1654" s="67"/>
      <c r="B1654" s="67"/>
      <c r="C1654" s="67"/>
      <c r="D1654" s="67"/>
      <c r="E1654" s="67"/>
      <c r="F1654" s="67"/>
      <c r="G1654" s="67"/>
      <c r="H1654" s="68"/>
    </row>
    <row r="1655" spans="1:8" x14ac:dyDescent="0.2">
      <c r="A1655" s="67"/>
      <c r="B1655" s="67"/>
      <c r="C1655" s="67"/>
      <c r="D1655" s="67"/>
      <c r="E1655" s="67"/>
      <c r="F1655" s="67"/>
      <c r="G1655" s="67"/>
      <c r="H1655" s="68"/>
    </row>
    <row r="1656" spans="1:8" x14ac:dyDescent="0.2">
      <c r="A1656" s="67"/>
      <c r="B1656" s="67"/>
      <c r="C1656" s="67"/>
      <c r="D1656" s="67"/>
      <c r="E1656" s="67"/>
      <c r="F1656" s="67"/>
      <c r="G1656" s="67"/>
      <c r="H1656" s="68"/>
    </row>
    <row r="1657" spans="1:8" x14ac:dyDescent="0.2">
      <c r="A1657" s="67"/>
      <c r="B1657" s="67"/>
      <c r="C1657" s="67"/>
      <c r="D1657" s="67"/>
      <c r="E1657" s="67"/>
      <c r="F1657" s="67"/>
      <c r="G1657" s="67"/>
      <c r="H1657" s="68"/>
    </row>
    <row r="1658" spans="1:8" x14ac:dyDescent="0.2">
      <c r="A1658" s="67"/>
      <c r="B1658" s="67"/>
      <c r="C1658" s="67"/>
      <c r="D1658" s="67"/>
      <c r="E1658" s="67"/>
      <c r="F1658" s="67"/>
      <c r="G1658" s="67"/>
      <c r="H1658" s="68"/>
    </row>
    <row r="1659" spans="1:8" x14ac:dyDescent="0.2">
      <c r="A1659" s="67"/>
      <c r="B1659" s="67"/>
      <c r="C1659" s="67"/>
      <c r="D1659" s="67"/>
      <c r="E1659" s="67"/>
      <c r="F1659" s="67"/>
      <c r="G1659" s="67"/>
      <c r="H1659" s="68"/>
    </row>
    <row r="1660" spans="1:8" x14ac:dyDescent="0.2">
      <c r="A1660" s="67"/>
      <c r="B1660" s="67"/>
      <c r="C1660" s="67"/>
      <c r="D1660" s="67"/>
      <c r="E1660" s="67"/>
      <c r="F1660" s="67"/>
      <c r="G1660" s="67"/>
      <c r="H1660" s="68"/>
    </row>
    <row r="1661" spans="1:8" x14ac:dyDescent="0.2">
      <c r="A1661" s="67"/>
      <c r="B1661" s="67"/>
      <c r="C1661" s="67"/>
      <c r="D1661" s="67"/>
      <c r="E1661" s="67"/>
      <c r="F1661" s="67"/>
      <c r="G1661" s="67"/>
      <c r="H1661" s="68"/>
    </row>
    <row r="1662" spans="1:8" x14ac:dyDescent="0.2">
      <c r="A1662" s="67"/>
      <c r="B1662" s="67"/>
      <c r="C1662" s="67"/>
      <c r="D1662" s="67"/>
      <c r="E1662" s="67"/>
      <c r="F1662" s="67"/>
      <c r="G1662" s="67"/>
      <c r="H1662" s="68"/>
    </row>
    <row r="1663" spans="1:8" x14ac:dyDescent="0.2">
      <c r="A1663" s="67"/>
      <c r="B1663" s="67"/>
      <c r="C1663" s="67"/>
      <c r="D1663" s="67"/>
      <c r="E1663" s="67"/>
      <c r="F1663" s="67"/>
      <c r="G1663" s="67"/>
      <c r="H1663" s="68"/>
    </row>
    <row r="1664" spans="1:8" x14ac:dyDescent="0.2">
      <c r="A1664" s="67"/>
      <c r="B1664" s="67"/>
      <c r="C1664" s="67"/>
      <c r="D1664" s="67"/>
      <c r="E1664" s="67"/>
      <c r="F1664" s="67"/>
      <c r="G1664" s="67"/>
      <c r="H1664" s="68"/>
    </row>
    <row r="1665" spans="1:8" x14ac:dyDescent="0.2">
      <c r="A1665" s="67"/>
      <c r="B1665" s="67"/>
      <c r="C1665" s="67"/>
      <c r="D1665" s="67"/>
      <c r="E1665" s="67"/>
      <c r="F1665" s="67"/>
      <c r="G1665" s="67"/>
      <c r="H1665" s="68"/>
    </row>
    <row r="1666" spans="1:8" x14ac:dyDescent="0.2">
      <c r="A1666" s="67"/>
      <c r="B1666" s="67"/>
      <c r="C1666" s="67"/>
      <c r="D1666" s="67"/>
      <c r="E1666" s="67"/>
      <c r="F1666" s="67"/>
      <c r="G1666" s="67"/>
      <c r="H1666" s="68"/>
    </row>
    <row r="1667" spans="1:8" x14ac:dyDescent="0.2">
      <c r="A1667" s="67"/>
      <c r="B1667" s="67"/>
      <c r="C1667" s="67"/>
      <c r="D1667" s="67"/>
      <c r="E1667" s="67"/>
      <c r="F1667" s="67"/>
      <c r="G1667" s="67"/>
      <c r="H1667" s="68"/>
    </row>
    <row r="1668" spans="1:8" x14ac:dyDescent="0.2">
      <c r="A1668" s="67"/>
      <c r="B1668" s="67"/>
      <c r="C1668" s="67"/>
      <c r="D1668" s="67"/>
      <c r="E1668" s="67"/>
      <c r="F1668" s="67"/>
      <c r="G1668" s="67"/>
      <c r="H1668" s="68"/>
    </row>
    <row r="1669" spans="1:8" x14ac:dyDescent="0.2">
      <c r="A1669" s="67"/>
      <c r="B1669" s="67"/>
      <c r="C1669" s="67"/>
      <c r="D1669" s="67"/>
      <c r="E1669" s="67"/>
      <c r="F1669" s="67"/>
      <c r="G1669" s="67"/>
      <c r="H1669" s="68"/>
    </row>
    <row r="1670" spans="1:8" x14ac:dyDescent="0.2">
      <c r="A1670" s="67"/>
      <c r="B1670" s="67"/>
      <c r="C1670" s="67"/>
      <c r="D1670" s="67"/>
      <c r="E1670" s="67"/>
      <c r="F1670" s="67"/>
      <c r="G1670" s="67"/>
      <c r="H1670" s="68"/>
    </row>
    <row r="1671" spans="1:8" x14ac:dyDescent="0.2">
      <c r="A1671" s="67"/>
      <c r="B1671" s="67"/>
      <c r="C1671" s="67"/>
      <c r="D1671" s="67"/>
      <c r="E1671" s="67"/>
      <c r="F1671" s="67"/>
      <c r="G1671" s="67"/>
      <c r="H1671" s="68"/>
    </row>
    <row r="1672" spans="1:8" x14ac:dyDescent="0.2">
      <c r="A1672" s="67"/>
      <c r="B1672" s="67"/>
      <c r="C1672" s="67"/>
      <c r="D1672" s="67"/>
      <c r="E1672" s="67"/>
      <c r="F1672" s="67"/>
      <c r="G1672" s="67"/>
      <c r="H1672" s="68"/>
    </row>
    <row r="1673" spans="1:8" x14ac:dyDescent="0.2">
      <c r="A1673" s="67"/>
      <c r="B1673" s="67"/>
      <c r="C1673" s="67"/>
      <c r="D1673" s="67"/>
      <c r="E1673" s="67"/>
      <c r="F1673" s="67"/>
      <c r="G1673" s="67"/>
      <c r="H1673" s="68"/>
    </row>
    <row r="1674" spans="1:8" x14ac:dyDescent="0.2">
      <c r="A1674" s="67"/>
      <c r="B1674" s="67"/>
      <c r="C1674" s="67"/>
      <c r="D1674" s="67"/>
      <c r="E1674" s="67"/>
      <c r="F1674" s="67"/>
      <c r="G1674" s="67"/>
      <c r="H1674" s="68"/>
    </row>
    <row r="1675" spans="1:8" x14ac:dyDescent="0.2">
      <c r="A1675" s="67"/>
      <c r="B1675" s="67"/>
      <c r="C1675" s="67"/>
      <c r="D1675" s="67"/>
      <c r="E1675" s="67"/>
      <c r="F1675" s="67"/>
      <c r="G1675" s="67"/>
      <c r="H1675" s="68"/>
    </row>
    <row r="1676" spans="1:8" x14ac:dyDescent="0.2">
      <c r="A1676" s="67"/>
      <c r="B1676" s="67"/>
      <c r="C1676" s="67"/>
      <c r="D1676" s="67"/>
      <c r="E1676" s="67"/>
      <c r="F1676" s="67"/>
      <c r="G1676" s="67"/>
      <c r="H1676" s="68"/>
    </row>
    <row r="1677" spans="1:8" x14ac:dyDescent="0.2">
      <c r="A1677" s="67"/>
      <c r="B1677" s="67"/>
      <c r="C1677" s="67"/>
      <c r="D1677" s="67"/>
      <c r="E1677" s="67"/>
      <c r="F1677" s="67"/>
      <c r="G1677" s="67"/>
      <c r="H1677" s="68"/>
    </row>
    <row r="1678" spans="1:8" x14ac:dyDescent="0.2">
      <c r="A1678" s="67"/>
      <c r="B1678" s="67"/>
      <c r="C1678" s="67"/>
      <c r="D1678" s="67"/>
      <c r="E1678" s="67"/>
      <c r="F1678" s="67"/>
      <c r="G1678" s="67"/>
      <c r="H1678" s="68"/>
    </row>
    <row r="1679" spans="1:8" x14ac:dyDescent="0.2">
      <c r="A1679" s="67"/>
      <c r="B1679" s="67"/>
      <c r="C1679" s="67"/>
      <c r="D1679" s="67"/>
      <c r="E1679" s="67"/>
      <c r="F1679" s="67"/>
      <c r="G1679" s="67"/>
      <c r="H1679" s="68"/>
    </row>
    <row r="1680" spans="1:8" x14ac:dyDescent="0.2">
      <c r="A1680" s="67"/>
      <c r="B1680" s="67"/>
      <c r="C1680" s="67"/>
      <c r="D1680" s="67"/>
      <c r="E1680" s="67"/>
      <c r="F1680" s="67"/>
      <c r="G1680" s="67"/>
      <c r="H1680" s="68"/>
    </row>
    <row r="1681" spans="1:8" x14ac:dyDescent="0.2">
      <c r="A1681" s="67"/>
      <c r="B1681" s="67"/>
      <c r="C1681" s="67"/>
      <c r="D1681" s="67"/>
      <c r="E1681" s="67"/>
      <c r="F1681" s="67"/>
      <c r="G1681" s="67"/>
      <c r="H1681" s="68"/>
    </row>
    <row r="1682" spans="1:8" x14ac:dyDescent="0.2">
      <c r="A1682" s="67"/>
      <c r="B1682" s="67"/>
      <c r="C1682" s="67"/>
      <c r="D1682" s="67"/>
      <c r="E1682" s="67"/>
      <c r="F1682" s="67"/>
      <c r="G1682" s="67"/>
      <c r="H1682" s="68"/>
    </row>
    <row r="1683" spans="1:8" x14ac:dyDescent="0.2">
      <c r="A1683" s="67"/>
      <c r="B1683" s="67"/>
      <c r="C1683" s="67"/>
      <c r="D1683" s="67"/>
      <c r="E1683" s="67"/>
      <c r="F1683" s="67"/>
      <c r="G1683" s="67"/>
      <c r="H1683" s="68"/>
    </row>
    <row r="1684" spans="1:8" x14ac:dyDescent="0.2">
      <c r="A1684" s="67"/>
      <c r="B1684" s="67"/>
      <c r="C1684" s="67"/>
      <c r="D1684" s="67"/>
      <c r="E1684" s="67"/>
      <c r="F1684" s="67"/>
      <c r="G1684" s="67"/>
      <c r="H1684" s="68"/>
    </row>
    <row r="1685" spans="1:8" x14ac:dyDescent="0.2">
      <c r="A1685" s="67"/>
      <c r="B1685" s="67"/>
      <c r="C1685" s="67"/>
      <c r="D1685" s="67"/>
      <c r="E1685" s="67"/>
      <c r="F1685" s="67"/>
      <c r="G1685" s="67"/>
      <c r="H1685" s="68"/>
    </row>
    <row r="1686" spans="1:8" x14ac:dyDescent="0.2">
      <c r="A1686" s="67"/>
      <c r="B1686" s="67"/>
      <c r="C1686" s="67"/>
      <c r="D1686" s="67"/>
      <c r="E1686" s="67"/>
      <c r="F1686" s="67"/>
      <c r="G1686" s="67"/>
      <c r="H1686" s="68"/>
    </row>
    <row r="1687" spans="1:8" x14ac:dyDescent="0.2">
      <c r="A1687" s="67"/>
      <c r="B1687" s="67"/>
      <c r="C1687" s="67"/>
      <c r="D1687" s="67"/>
      <c r="E1687" s="67"/>
      <c r="F1687" s="67"/>
      <c r="G1687" s="67"/>
      <c r="H1687" s="68"/>
    </row>
    <row r="1688" spans="1:8" x14ac:dyDescent="0.2">
      <c r="A1688" s="67"/>
      <c r="B1688" s="67"/>
      <c r="C1688" s="67"/>
      <c r="D1688" s="67"/>
      <c r="E1688" s="67"/>
      <c r="F1688" s="67"/>
      <c r="G1688" s="67"/>
      <c r="H1688" s="68"/>
    </row>
    <row r="1689" spans="1:8" x14ac:dyDescent="0.2">
      <c r="A1689" s="67"/>
      <c r="B1689" s="67"/>
      <c r="C1689" s="67"/>
      <c r="D1689" s="67"/>
      <c r="E1689" s="67"/>
      <c r="F1689" s="67"/>
      <c r="G1689" s="67"/>
      <c r="H1689" s="68"/>
    </row>
    <row r="1690" spans="1:8" x14ac:dyDescent="0.2">
      <c r="A1690" s="67"/>
      <c r="B1690" s="67"/>
      <c r="C1690" s="67"/>
      <c r="D1690" s="67"/>
      <c r="E1690" s="67"/>
      <c r="F1690" s="67"/>
      <c r="G1690" s="67"/>
      <c r="H1690" s="68"/>
    </row>
    <row r="1691" spans="1:8" x14ac:dyDescent="0.2">
      <c r="A1691" s="67"/>
      <c r="B1691" s="67"/>
      <c r="C1691" s="67"/>
      <c r="D1691" s="67"/>
      <c r="E1691" s="67"/>
      <c r="F1691" s="67"/>
      <c r="G1691" s="67"/>
      <c r="H1691" s="68"/>
    </row>
    <row r="1692" spans="1:8" x14ac:dyDescent="0.2">
      <c r="A1692" s="67"/>
      <c r="B1692" s="67"/>
      <c r="C1692" s="67"/>
      <c r="D1692" s="67"/>
      <c r="E1692" s="67"/>
      <c r="F1692" s="67"/>
      <c r="G1692" s="67"/>
      <c r="H1692" s="68"/>
    </row>
    <row r="1693" spans="1:8" x14ac:dyDescent="0.2">
      <c r="A1693" s="67"/>
      <c r="B1693" s="67"/>
      <c r="C1693" s="67"/>
      <c r="D1693" s="67"/>
      <c r="E1693" s="67"/>
      <c r="F1693" s="67"/>
      <c r="G1693" s="67"/>
      <c r="H1693" s="68"/>
    </row>
    <row r="1694" spans="1:8" x14ac:dyDescent="0.2">
      <c r="A1694" s="67"/>
      <c r="B1694" s="67"/>
      <c r="C1694" s="67"/>
      <c r="D1694" s="67"/>
      <c r="E1694" s="67"/>
      <c r="F1694" s="67"/>
      <c r="G1694" s="67"/>
      <c r="H1694" s="68"/>
    </row>
    <row r="1695" spans="1:8" x14ac:dyDescent="0.2">
      <c r="A1695" s="67"/>
      <c r="B1695" s="67"/>
      <c r="C1695" s="67"/>
      <c r="D1695" s="67"/>
      <c r="E1695" s="67"/>
      <c r="F1695" s="67"/>
      <c r="G1695" s="67"/>
      <c r="H1695" s="68"/>
    </row>
    <row r="1696" spans="1:8" x14ac:dyDescent="0.2">
      <c r="A1696" s="67"/>
      <c r="B1696" s="67"/>
      <c r="C1696" s="67"/>
      <c r="D1696" s="67"/>
      <c r="E1696" s="67"/>
      <c r="F1696" s="67"/>
      <c r="G1696" s="67"/>
      <c r="H1696" s="68"/>
    </row>
    <row r="1697" spans="1:8" x14ac:dyDescent="0.2">
      <c r="A1697" s="67"/>
      <c r="B1697" s="67"/>
      <c r="C1697" s="67"/>
      <c r="D1697" s="67"/>
      <c r="E1697" s="67"/>
      <c r="F1697" s="67"/>
      <c r="G1697" s="67"/>
      <c r="H1697" s="68"/>
    </row>
    <row r="1698" spans="1:8" x14ac:dyDescent="0.2">
      <c r="A1698" s="67"/>
      <c r="B1698" s="67"/>
      <c r="C1698" s="67"/>
      <c r="D1698" s="67"/>
      <c r="E1698" s="67"/>
      <c r="F1698" s="67"/>
      <c r="G1698" s="67"/>
      <c r="H1698" s="68"/>
    </row>
    <row r="1699" spans="1:8" x14ac:dyDescent="0.2">
      <c r="A1699" s="67"/>
      <c r="B1699" s="67"/>
      <c r="C1699" s="67"/>
      <c r="D1699" s="67"/>
      <c r="E1699" s="67"/>
      <c r="F1699" s="67"/>
      <c r="G1699" s="67"/>
      <c r="H1699" s="68"/>
    </row>
    <row r="1700" spans="1:8" x14ac:dyDescent="0.2">
      <c r="A1700" s="67"/>
      <c r="B1700" s="67"/>
      <c r="C1700" s="67"/>
      <c r="D1700" s="67"/>
      <c r="E1700" s="67"/>
      <c r="F1700" s="67"/>
      <c r="G1700" s="67"/>
      <c r="H1700" s="68"/>
    </row>
    <row r="1701" spans="1:8" x14ac:dyDescent="0.2">
      <c r="A1701" s="67"/>
      <c r="B1701" s="67"/>
      <c r="C1701" s="67"/>
      <c r="D1701" s="67"/>
      <c r="E1701" s="67"/>
      <c r="F1701" s="67"/>
      <c r="G1701" s="67"/>
      <c r="H1701" s="68"/>
    </row>
    <row r="1702" spans="1:8" x14ac:dyDescent="0.2">
      <c r="A1702" s="67"/>
      <c r="B1702" s="67"/>
      <c r="C1702" s="67"/>
      <c r="D1702" s="67"/>
      <c r="E1702" s="67"/>
      <c r="F1702" s="67"/>
      <c r="G1702" s="67"/>
      <c r="H1702" s="68"/>
    </row>
    <row r="1703" spans="1:8" x14ac:dyDescent="0.2">
      <c r="A1703" s="67"/>
      <c r="B1703" s="67"/>
      <c r="C1703" s="67"/>
      <c r="D1703" s="67"/>
      <c r="E1703" s="67"/>
      <c r="F1703" s="67"/>
      <c r="G1703" s="67"/>
      <c r="H1703" s="68"/>
    </row>
    <row r="1704" spans="1:8" x14ac:dyDescent="0.2">
      <c r="A1704" s="67"/>
      <c r="B1704" s="67"/>
      <c r="C1704" s="67"/>
      <c r="D1704" s="67"/>
      <c r="E1704" s="67"/>
      <c r="F1704" s="67"/>
      <c r="G1704" s="67"/>
      <c r="H1704" s="68"/>
    </row>
    <row r="1705" spans="1:8" x14ac:dyDescent="0.2">
      <c r="A1705" s="67"/>
      <c r="B1705" s="67"/>
      <c r="C1705" s="67"/>
      <c r="D1705" s="67"/>
      <c r="E1705" s="67"/>
      <c r="F1705" s="67"/>
      <c r="G1705" s="67"/>
      <c r="H1705" s="68"/>
    </row>
    <row r="1706" spans="1:8" x14ac:dyDescent="0.2">
      <c r="A1706" s="67"/>
      <c r="B1706" s="67"/>
      <c r="C1706" s="67"/>
      <c r="D1706" s="67"/>
      <c r="E1706" s="67"/>
      <c r="F1706" s="67"/>
      <c r="G1706" s="67"/>
      <c r="H1706" s="68"/>
    </row>
    <row r="1707" spans="1:8" x14ac:dyDescent="0.2">
      <c r="A1707" s="67"/>
      <c r="B1707" s="67"/>
      <c r="C1707" s="67"/>
      <c r="D1707" s="67"/>
      <c r="E1707" s="67"/>
      <c r="F1707" s="67"/>
      <c r="G1707" s="67"/>
      <c r="H1707" s="68"/>
    </row>
    <row r="1708" spans="1:8" x14ac:dyDescent="0.2">
      <c r="A1708" s="67"/>
      <c r="B1708" s="67"/>
      <c r="C1708" s="67"/>
      <c r="D1708" s="67"/>
      <c r="E1708" s="67"/>
      <c r="F1708" s="67"/>
      <c r="G1708" s="67"/>
      <c r="H1708" s="68"/>
    </row>
    <row r="1709" spans="1:8" x14ac:dyDescent="0.2">
      <c r="A1709" s="67"/>
      <c r="B1709" s="67"/>
      <c r="C1709" s="67"/>
      <c r="D1709" s="67"/>
      <c r="E1709" s="67"/>
      <c r="F1709" s="67"/>
      <c r="G1709" s="67"/>
      <c r="H1709" s="68"/>
    </row>
    <row r="1710" spans="1:8" x14ac:dyDescent="0.2">
      <c r="A1710" s="67"/>
      <c r="B1710" s="67"/>
      <c r="C1710" s="67"/>
      <c r="D1710" s="67"/>
      <c r="E1710" s="67"/>
      <c r="F1710" s="67"/>
      <c r="G1710" s="67"/>
      <c r="H1710" s="68"/>
    </row>
    <row r="1711" spans="1:8" x14ac:dyDescent="0.2">
      <c r="A1711" s="67"/>
      <c r="B1711" s="67"/>
      <c r="C1711" s="67"/>
      <c r="D1711" s="67"/>
      <c r="E1711" s="67"/>
      <c r="F1711" s="67"/>
      <c r="G1711" s="67"/>
      <c r="H1711" s="68"/>
    </row>
    <row r="1712" spans="1:8" x14ac:dyDescent="0.2">
      <c r="A1712" s="67"/>
      <c r="B1712" s="67"/>
      <c r="C1712" s="67"/>
      <c r="D1712" s="67"/>
      <c r="E1712" s="67"/>
      <c r="F1712" s="67"/>
      <c r="G1712" s="67"/>
      <c r="H1712" s="68"/>
    </row>
    <row r="1713" spans="1:8" x14ac:dyDescent="0.2">
      <c r="A1713" s="67"/>
      <c r="B1713" s="67"/>
      <c r="C1713" s="67"/>
      <c r="D1713" s="67"/>
      <c r="E1713" s="67"/>
      <c r="F1713" s="67"/>
      <c r="G1713" s="67"/>
      <c r="H1713" s="68"/>
    </row>
    <row r="1714" spans="1:8" x14ac:dyDescent="0.2">
      <c r="A1714" s="67"/>
      <c r="B1714" s="67"/>
      <c r="C1714" s="67"/>
      <c r="D1714" s="67"/>
      <c r="E1714" s="67"/>
      <c r="F1714" s="67"/>
      <c r="G1714" s="67"/>
      <c r="H1714" s="68"/>
    </row>
    <row r="1715" spans="1:8" x14ac:dyDescent="0.2">
      <c r="A1715" s="67"/>
      <c r="B1715" s="67"/>
      <c r="C1715" s="67"/>
      <c r="D1715" s="67"/>
      <c r="E1715" s="67"/>
      <c r="F1715" s="67"/>
      <c r="G1715" s="67"/>
      <c r="H1715" s="68"/>
    </row>
    <row r="1716" spans="1:8" x14ac:dyDescent="0.2">
      <c r="A1716" s="67"/>
      <c r="B1716" s="67"/>
      <c r="C1716" s="67"/>
      <c r="D1716" s="67"/>
      <c r="E1716" s="67"/>
      <c r="F1716" s="67"/>
      <c r="G1716" s="67"/>
      <c r="H1716" s="68"/>
    </row>
    <row r="1717" spans="1:8" x14ac:dyDescent="0.2">
      <c r="A1717" s="67"/>
      <c r="B1717" s="67"/>
      <c r="C1717" s="67"/>
      <c r="D1717" s="67"/>
      <c r="E1717" s="67"/>
      <c r="F1717" s="67"/>
      <c r="G1717" s="67"/>
      <c r="H1717" s="68"/>
    </row>
    <row r="1718" spans="1:8" x14ac:dyDescent="0.2">
      <c r="A1718" s="67"/>
      <c r="B1718" s="67"/>
      <c r="C1718" s="67"/>
      <c r="D1718" s="67"/>
      <c r="E1718" s="67"/>
      <c r="F1718" s="67"/>
      <c r="G1718" s="67"/>
      <c r="H1718" s="68"/>
    </row>
    <row r="1719" spans="1:8" x14ac:dyDescent="0.2">
      <c r="A1719" s="67"/>
      <c r="B1719" s="67"/>
      <c r="C1719" s="67"/>
      <c r="D1719" s="67"/>
      <c r="E1719" s="67"/>
      <c r="F1719" s="67"/>
      <c r="G1719" s="67"/>
      <c r="H1719" s="68"/>
    </row>
    <row r="1720" spans="1:8" x14ac:dyDescent="0.2">
      <c r="A1720" s="67"/>
      <c r="B1720" s="67"/>
      <c r="C1720" s="67"/>
      <c r="D1720" s="67"/>
      <c r="E1720" s="67"/>
      <c r="F1720" s="67"/>
      <c r="G1720" s="67"/>
      <c r="H1720" s="68"/>
    </row>
    <row r="1721" spans="1:8" x14ac:dyDescent="0.2">
      <c r="A1721" s="67"/>
      <c r="B1721" s="67"/>
      <c r="C1721" s="67"/>
      <c r="D1721" s="67"/>
      <c r="E1721" s="67"/>
      <c r="F1721" s="67"/>
      <c r="G1721" s="67"/>
      <c r="H1721" s="68"/>
    </row>
    <row r="1722" spans="1:8" x14ac:dyDescent="0.2">
      <c r="A1722" s="67"/>
      <c r="B1722" s="67"/>
      <c r="C1722" s="67"/>
      <c r="D1722" s="67"/>
      <c r="E1722" s="67"/>
      <c r="F1722" s="67"/>
      <c r="G1722" s="67"/>
      <c r="H1722" s="68"/>
    </row>
    <row r="1723" spans="1:8" x14ac:dyDescent="0.2">
      <c r="A1723" s="67"/>
      <c r="B1723" s="67"/>
      <c r="C1723" s="67"/>
      <c r="D1723" s="67"/>
      <c r="E1723" s="67"/>
      <c r="F1723" s="67"/>
      <c r="G1723" s="67"/>
      <c r="H1723" s="68"/>
    </row>
    <row r="1724" spans="1:8" x14ac:dyDescent="0.2">
      <c r="A1724" s="67"/>
      <c r="B1724" s="67"/>
      <c r="C1724" s="67"/>
      <c r="D1724" s="67"/>
      <c r="E1724" s="67"/>
      <c r="F1724" s="67"/>
      <c r="G1724" s="67"/>
      <c r="H1724" s="68"/>
    </row>
    <row r="1725" spans="1:8" x14ac:dyDescent="0.2">
      <c r="A1725" s="67"/>
      <c r="B1725" s="67"/>
      <c r="C1725" s="67"/>
      <c r="D1725" s="67"/>
      <c r="E1725" s="67"/>
      <c r="F1725" s="67"/>
      <c r="G1725" s="67"/>
      <c r="H1725" s="68"/>
    </row>
    <row r="1726" spans="1:8" x14ac:dyDescent="0.2">
      <c r="A1726" s="67"/>
      <c r="B1726" s="67"/>
      <c r="C1726" s="67"/>
      <c r="D1726" s="67"/>
      <c r="E1726" s="67"/>
      <c r="F1726" s="67"/>
      <c r="G1726" s="67"/>
      <c r="H1726" s="68"/>
    </row>
    <row r="1727" spans="1:8" x14ac:dyDescent="0.2">
      <c r="A1727" s="67"/>
      <c r="B1727" s="67"/>
      <c r="C1727" s="67"/>
      <c r="D1727" s="67"/>
      <c r="E1727" s="67"/>
      <c r="F1727" s="67"/>
      <c r="G1727" s="67"/>
      <c r="H1727" s="68"/>
    </row>
    <row r="1728" spans="1:8" x14ac:dyDescent="0.2">
      <c r="A1728" s="67"/>
      <c r="B1728" s="67"/>
      <c r="C1728" s="67"/>
      <c r="D1728" s="67"/>
      <c r="E1728" s="67"/>
      <c r="F1728" s="67"/>
      <c r="G1728" s="67"/>
      <c r="H1728" s="68"/>
    </row>
    <row r="1729" spans="1:8" x14ac:dyDescent="0.2">
      <c r="A1729" s="67"/>
      <c r="B1729" s="67"/>
      <c r="C1729" s="67"/>
      <c r="D1729" s="67"/>
      <c r="E1729" s="67"/>
      <c r="F1729" s="67"/>
      <c r="G1729" s="67"/>
      <c r="H1729" s="68"/>
    </row>
    <row r="1730" spans="1:8" x14ac:dyDescent="0.2">
      <c r="A1730" s="67"/>
      <c r="B1730" s="67"/>
      <c r="C1730" s="67"/>
      <c r="D1730" s="67"/>
      <c r="E1730" s="67"/>
      <c r="F1730" s="67"/>
      <c r="G1730" s="67"/>
      <c r="H1730" s="68"/>
    </row>
    <row r="1731" spans="1:8" x14ac:dyDescent="0.2">
      <c r="A1731" s="67"/>
      <c r="B1731" s="67"/>
      <c r="C1731" s="67"/>
      <c r="D1731" s="67"/>
      <c r="E1731" s="67"/>
      <c r="F1731" s="67"/>
      <c r="G1731" s="67"/>
      <c r="H1731" s="68"/>
    </row>
    <row r="1732" spans="1:8" x14ac:dyDescent="0.2">
      <c r="A1732" s="67"/>
      <c r="B1732" s="67"/>
      <c r="C1732" s="67"/>
      <c r="D1732" s="67"/>
      <c r="E1732" s="67"/>
      <c r="F1732" s="67"/>
      <c r="G1732" s="67"/>
      <c r="H1732" s="68"/>
    </row>
    <row r="1733" spans="1:8" x14ac:dyDescent="0.2">
      <c r="A1733" s="67"/>
      <c r="B1733" s="67"/>
      <c r="C1733" s="67"/>
      <c r="D1733" s="67"/>
      <c r="E1733" s="67"/>
      <c r="F1733" s="67"/>
      <c r="G1733" s="67"/>
      <c r="H1733" s="68"/>
    </row>
    <row r="1734" spans="1:8" x14ac:dyDescent="0.2">
      <c r="A1734" s="67"/>
      <c r="B1734" s="67"/>
      <c r="C1734" s="67"/>
      <c r="D1734" s="67"/>
      <c r="E1734" s="67"/>
      <c r="F1734" s="67"/>
      <c r="G1734" s="67"/>
      <c r="H1734" s="68"/>
    </row>
    <row r="1735" spans="1:8" x14ac:dyDescent="0.2">
      <c r="A1735" s="67"/>
      <c r="B1735" s="67"/>
      <c r="C1735" s="67"/>
      <c r="D1735" s="67"/>
      <c r="E1735" s="67"/>
      <c r="F1735" s="67"/>
      <c r="G1735" s="67"/>
      <c r="H1735" s="68"/>
    </row>
    <row r="1736" spans="1:8" x14ac:dyDescent="0.2">
      <c r="A1736" s="67"/>
      <c r="B1736" s="67"/>
      <c r="C1736" s="67"/>
      <c r="D1736" s="67"/>
      <c r="E1736" s="67"/>
      <c r="F1736" s="67"/>
      <c r="G1736" s="67"/>
      <c r="H1736" s="68"/>
    </row>
    <row r="1737" spans="1:8" x14ac:dyDescent="0.2">
      <c r="A1737" s="67"/>
      <c r="B1737" s="67"/>
      <c r="C1737" s="67"/>
      <c r="D1737" s="67"/>
      <c r="E1737" s="67"/>
      <c r="F1737" s="67"/>
      <c r="G1737" s="67"/>
      <c r="H1737" s="68"/>
    </row>
    <row r="1738" spans="1:8" x14ac:dyDescent="0.2">
      <c r="A1738" s="67"/>
      <c r="B1738" s="67"/>
      <c r="C1738" s="67"/>
      <c r="D1738" s="67"/>
      <c r="E1738" s="67"/>
      <c r="F1738" s="67"/>
      <c r="G1738" s="67"/>
      <c r="H1738" s="68"/>
    </row>
    <row r="1739" spans="1:8" x14ac:dyDescent="0.2">
      <c r="A1739" s="67"/>
      <c r="B1739" s="67"/>
      <c r="C1739" s="67"/>
      <c r="D1739" s="67"/>
      <c r="E1739" s="67"/>
      <c r="F1739" s="67"/>
      <c r="G1739" s="67"/>
      <c r="H1739" s="68"/>
    </row>
    <row r="1740" spans="1:8" x14ac:dyDescent="0.2">
      <c r="A1740" s="67"/>
      <c r="B1740" s="67"/>
      <c r="C1740" s="67"/>
      <c r="D1740" s="67"/>
      <c r="E1740" s="67"/>
      <c r="F1740" s="67"/>
      <c r="G1740" s="67"/>
      <c r="H1740" s="68"/>
    </row>
    <row r="1741" spans="1:8" x14ac:dyDescent="0.2">
      <c r="A1741" s="67"/>
      <c r="B1741" s="67"/>
      <c r="C1741" s="67"/>
      <c r="D1741" s="67"/>
      <c r="E1741" s="67"/>
      <c r="F1741" s="67"/>
      <c r="G1741" s="67"/>
      <c r="H1741" s="68"/>
    </row>
    <row r="1742" spans="1:8" x14ac:dyDescent="0.2">
      <c r="A1742" s="67"/>
      <c r="B1742" s="67"/>
      <c r="C1742" s="67"/>
      <c r="D1742" s="67"/>
      <c r="E1742" s="67"/>
      <c r="F1742" s="67"/>
      <c r="G1742" s="67"/>
      <c r="H1742" s="68"/>
    </row>
    <row r="1743" spans="1:8" x14ac:dyDescent="0.2">
      <c r="A1743" s="67"/>
      <c r="B1743" s="67"/>
      <c r="C1743" s="67"/>
      <c r="D1743" s="67"/>
      <c r="E1743" s="67"/>
      <c r="F1743" s="67"/>
      <c r="G1743" s="67"/>
      <c r="H1743" s="68"/>
    </row>
    <row r="1744" spans="1:8" x14ac:dyDescent="0.2">
      <c r="A1744" s="67"/>
      <c r="B1744" s="67"/>
      <c r="C1744" s="67"/>
      <c r="D1744" s="67"/>
      <c r="E1744" s="67"/>
      <c r="F1744" s="67"/>
      <c r="G1744" s="67"/>
      <c r="H1744" s="68"/>
    </row>
    <row r="1745" spans="1:8" x14ac:dyDescent="0.2">
      <c r="A1745" s="67"/>
      <c r="B1745" s="67"/>
      <c r="C1745" s="67"/>
      <c r="D1745" s="67"/>
      <c r="E1745" s="67"/>
      <c r="F1745" s="67"/>
      <c r="G1745" s="67"/>
      <c r="H1745" s="68"/>
    </row>
    <row r="1746" spans="1:8" x14ac:dyDescent="0.2">
      <c r="A1746" s="67"/>
      <c r="B1746" s="67"/>
      <c r="C1746" s="67"/>
      <c r="D1746" s="67"/>
      <c r="E1746" s="67"/>
      <c r="F1746" s="67"/>
      <c r="G1746" s="67"/>
      <c r="H1746" s="68"/>
    </row>
    <row r="1747" spans="1:8" x14ac:dyDescent="0.2">
      <c r="A1747" s="67"/>
      <c r="B1747" s="67"/>
      <c r="C1747" s="67"/>
      <c r="D1747" s="67"/>
      <c r="E1747" s="67"/>
      <c r="F1747" s="67"/>
      <c r="G1747" s="67"/>
      <c r="H1747" s="68"/>
    </row>
    <row r="1748" spans="1:8" x14ac:dyDescent="0.2">
      <c r="A1748" s="67"/>
      <c r="B1748" s="67"/>
      <c r="C1748" s="67"/>
      <c r="D1748" s="67"/>
      <c r="E1748" s="67"/>
      <c r="F1748" s="67"/>
      <c r="G1748" s="67"/>
      <c r="H1748" s="68"/>
    </row>
    <row r="1749" spans="1:8" x14ac:dyDescent="0.2">
      <c r="A1749" s="67"/>
      <c r="B1749" s="67"/>
      <c r="C1749" s="67"/>
      <c r="D1749" s="67"/>
      <c r="E1749" s="67"/>
      <c r="F1749" s="67"/>
      <c r="G1749" s="67"/>
      <c r="H1749" s="68"/>
    </row>
    <row r="1750" spans="1:8" x14ac:dyDescent="0.2">
      <c r="A1750" s="67"/>
      <c r="B1750" s="67"/>
      <c r="C1750" s="67"/>
      <c r="D1750" s="67"/>
      <c r="E1750" s="67"/>
      <c r="F1750" s="67"/>
      <c r="G1750" s="67"/>
      <c r="H1750" s="68"/>
    </row>
    <row r="1751" spans="1:8" x14ac:dyDescent="0.2">
      <c r="A1751" s="67"/>
      <c r="B1751" s="67"/>
      <c r="C1751" s="67"/>
      <c r="D1751" s="67"/>
      <c r="E1751" s="67"/>
      <c r="F1751" s="67"/>
      <c r="G1751" s="67"/>
      <c r="H1751" s="68"/>
    </row>
    <row r="1752" spans="1:8" x14ac:dyDescent="0.2">
      <c r="A1752" s="67"/>
      <c r="B1752" s="67"/>
      <c r="C1752" s="67"/>
      <c r="D1752" s="67"/>
      <c r="E1752" s="67"/>
      <c r="F1752" s="67"/>
      <c r="G1752" s="67"/>
      <c r="H1752" s="68"/>
    </row>
    <row r="1753" spans="1:8" x14ac:dyDescent="0.2">
      <c r="A1753" s="67"/>
      <c r="B1753" s="67"/>
      <c r="C1753" s="67"/>
      <c r="D1753" s="67"/>
      <c r="E1753" s="67"/>
      <c r="F1753" s="67"/>
      <c r="G1753" s="67"/>
      <c r="H1753" s="68"/>
    </row>
    <row r="1754" spans="1:8" x14ac:dyDescent="0.2">
      <c r="A1754" s="67"/>
      <c r="B1754" s="67"/>
      <c r="C1754" s="67"/>
      <c r="D1754" s="67"/>
      <c r="E1754" s="67"/>
      <c r="F1754" s="67"/>
      <c r="G1754" s="67"/>
      <c r="H1754" s="68"/>
    </row>
    <row r="1755" spans="1:8" x14ac:dyDescent="0.2">
      <c r="A1755" s="67"/>
      <c r="B1755" s="67"/>
      <c r="C1755" s="67"/>
      <c r="D1755" s="67"/>
      <c r="E1755" s="67"/>
      <c r="F1755" s="67"/>
      <c r="G1755" s="67"/>
      <c r="H1755" s="68"/>
    </row>
    <row r="1756" spans="1:8" x14ac:dyDescent="0.2">
      <c r="A1756" s="67"/>
      <c r="B1756" s="67"/>
      <c r="C1756" s="67"/>
      <c r="D1756" s="67"/>
      <c r="E1756" s="67"/>
      <c r="F1756" s="67"/>
      <c r="G1756" s="67"/>
      <c r="H1756" s="68"/>
    </row>
    <row r="1757" spans="1:8" x14ac:dyDescent="0.2">
      <c r="A1757" s="67"/>
      <c r="B1757" s="67"/>
      <c r="C1757" s="67"/>
      <c r="D1757" s="67"/>
      <c r="E1757" s="67"/>
      <c r="F1757" s="67"/>
      <c r="G1757" s="67"/>
      <c r="H1757" s="68"/>
    </row>
    <row r="1758" spans="1:8" x14ac:dyDescent="0.2">
      <c r="A1758" s="67"/>
      <c r="B1758" s="67"/>
      <c r="C1758" s="67"/>
      <c r="D1758" s="67"/>
      <c r="E1758" s="67"/>
      <c r="F1758" s="67"/>
      <c r="G1758" s="67"/>
      <c r="H1758" s="68"/>
    </row>
    <row r="1759" spans="1:8" x14ac:dyDescent="0.2">
      <c r="A1759" s="67"/>
      <c r="B1759" s="67"/>
      <c r="C1759" s="67"/>
      <c r="D1759" s="67"/>
      <c r="E1759" s="67"/>
      <c r="F1759" s="67"/>
      <c r="G1759" s="67"/>
      <c r="H1759" s="68"/>
    </row>
    <row r="1760" spans="1:8" x14ac:dyDescent="0.2">
      <c r="A1760" s="67"/>
      <c r="B1760" s="67"/>
      <c r="C1760" s="67"/>
      <c r="D1760" s="67"/>
      <c r="E1760" s="67"/>
      <c r="F1760" s="67"/>
      <c r="G1760" s="67"/>
      <c r="H1760" s="68"/>
    </row>
    <row r="1761" spans="1:8" x14ac:dyDescent="0.2">
      <c r="A1761" s="67"/>
      <c r="B1761" s="67"/>
      <c r="C1761" s="67"/>
      <c r="D1761" s="67"/>
      <c r="E1761" s="67"/>
      <c r="F1761" s="67"/>
      <c r="G1761" s="67"/>
      <c r="H1761" s="68"/>
    </row>
    <row r="1762" spans="1:8" x14ac:dyDescent="0.2">
      <c r="A1762" s="67"/>
      <c r="B1762" s="67"/>
      <c r="C1762" s="67"/>
      <c r="D1762" s="67"/>
      <c r="E1762" s="67"/>
      <c r="F1762" s="67"/>
      <c r="G1762" s="67"/>
      <c r="H1762" s="68"/>
    </row>
    <row r="1763" spans="1:8" x14ac:dyDescent="0.2">
      <c r="A1763" s="67"/>
      <c r="B1763" s="67"/>
      <c r="C1763" s="67"/>
      <c r="D1763" s="67"/>
      <c r="E1763" s="67"/>
      <c r="F1763" s="67"/>
      <c r="G1763" s="67"/>
      <c r="H1763" s="68"/>
    </row>
    <row r="1764" spans="1:8" x14ac:dyDescent="0.2">
      <c r="A1764" s="67"/>
      <c r="B1764" s="67"/>
      <c r="C1764" s="67"/>
      <c r="D1764" s="67"/>
      <c r="E1764" s="67"/>
      <c r="F1764" s="67"/>
      <c r="G1764" s="67"/>
      <c r="H1764" s="68"/>
    </row>
    <row r="1765" spans="1:8" x14ac:dyDescent="0.2">
      <c r="A1765" s="67"/>
      <c r="B1765" s="67"/>
      <c r="C1765" s="67"/>
      <c r="D1765" s="67"/>
      <c r="E1765" s="67"/>
      <c r="F1765" s="67"/>
      <c r="G1765" s="67"/>
      <c r="H1765" s="68"/>
    </row>
    <row r="1766" spans="1:8" x14ac:dyDescent="0.2">
      <c r="A1766" s="67"/>
      <c r="B1766" s="67"/>
      <c r="C1766" s="67"/>
      <c r="D1766" s="67"/>
      <c r="E1766" s="67"/>
      <c r="F1766" s="67"/>
      <c r="G1766" s="67"/>
      <c r="H1766" s="68"/>
    </row>
    <row r="1767" spans="1:8" x14ac:dyDescent="0.2">
      <c r="A1767" s="67"/>
      <c r="B1767" s="67"/>
      <c r="C1767" s="67"/>
      <c r="D1767" s="67"/>
      <c r="E1767" s="67"/>
      <c r="F1767" s="67"/>
      <c r="G1767" s="67"/>
      <c r="H1767" s="68"/>
    </row>
    <row r="1768" spans="1:8" x14ac:dyDescent="0.2">
      <c r="A1768" s="67"/>
      <c r="B1768" s="67"/>
      <c r="C1768" s="67"/>
      <c r="D1768" s="67"/>
      <c r="E1768" s="67"/>
      <c r="F1768" s="67"/>
      <c r="G1768" s="67"/>
      <c r="H1768" s="68"/>
    </row>
    <row r="1769" spans="1:8" x14ac:dyDescent="0.2">
      <c r="A1769" s="67"/>
      <c r="B1769" s="67"/>
      <c r="C1769" s="67"/>
      <c r="D1769" s="67"/>
      <c r="E1769" s="67"/>
      <c r="F1769" s="67"/>
      <c r="G1769" s="67"/>
      <c r="H1769" s="68"/>
    </row>
    <row r="1770" spans="1:8" x14ac:dyDescent="0.2">
      <c r="A1770" s="67"/>
      <c r="B1770" s="67"/>
      <c r="C1770" s="67"/>
      <c r="D1770" s="67"/>
      <c r="E1770" s="67"/>
      <c r="F1770" s="67"/>
      <c r="G1770" s="67"/>
      <c r="H1770" s="68"/>
    </row>
    <row r="1771" spans="1:8" x14ac:dyDescent="0.2">
      <c r="A1771" s="67"/>
      <c r="B1771" s="67"/>
      <c r="C1771" s="67"/>
      <c r="D1771" s="67"/>
      <c r="E1771" s="67"/>
      <c r="F1771" s="67"/>
      <c r="G1771" s="67"/>
      <c r="H1771" s="68"/>
    </row>
    <row r="1772" spans="1:8" x14ac:dyDescent="0.2">
      <c r="A1772" s="67"/>
      <c r="B1772" s="67"/>
      <c r="C1772" s="67"/>
      <c r="D1772" s="67"/>
      <c r="E1772" s="67"/>
      <c r="F1772" s="67"/>
      <c r="G1772" s="67"/>
      <c r="H1772" s="68"/>
    </row>
    <row r="1773" spans="1:8" x14ac:dyDescent="0.2">
      <c r="A1773" s="67"/>
      <c r="B1773" s="67"/>
      <c r="C1773" s="67"/>
      <c r="D1773" s="67"/>
      <c r="E1773" s="67"/>
      <c r="F1773" s="67"/>
      <c r="G1773" s="67"/>
      <c r="H1773" s="6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2474"/>
  <sheetViews>
    <sheetView topLeftCell="B1" workbookViewId="0"/>
  </sheetViews>
  <sheetFormatPr defaultColWidth="12.5703125" defaultRowHeight="15.75" customHeight="1" x14ac:dyDescent="0.2"/>
  <cols>
    <col min="1" max="1" width="55.140625" hidden="1" customWidth="1"/>
    <col min="2" max="7" width="55.140625" customWidth="1"/>
    <col min="8" max="8" width="114.5703125" customWidth="1"/>
  </cols>
  <sheetData>
    <row r="1" spans="1:8" ht="12.75" x14ac:dyDescent="0.2">
      <c r="A1" s="3" t="s">
        <v>15717</v>
      </c>
      <c r="B1" s="69"/>
      <c r="C1" s="69"/>
      <c r="D1" s="69"/>
      <c r="E1" s="69"/>
      <c r="F1" s="69"/>
      <c r="G1" s="69"/>
      <c r="H1" s="70" t="s">
        <v>2</v>
      </c>
    </row>
    <row r="2" spans="1:8" ht="15.75" customHeight="1" x14ac:dyDescent="0.25">
      <c r="A2" s="71" t="s">
        <v>15718</v>
      </c>
      <c r="B2" s="71" t="s">
        <v>15719</v>
      </c>
      <c r="C2" s="71"/>
      <c r="D2" s="71"/>
      <c r="E2" s="71"/>
      <c r="F2" s="71"/>
      <c r="G2" s="71"/>
      <c r="H2" s="71"/>
    </row>
    <row r="3" spans="1:8" ht="12.75" x14ac:dyDescent="0.2">
      <c r="A3" s="72">
        <v>318</v>
      </c>
      <c r="B3" s="72">
        <v>318</v>
      </c>
      <c r="C3" s="72"/>
      <c r="D3" s="72"/>
      <c r="E3" s="72"/>
      <c r="F3" s="72"/>
      <c r="G3" s="72"/>
      <c r="H3" s="72"/>
    </row>
    <row r="4" spans="1:8" ht="38.25" x14ac:dyDescent="0.2">
      <c r="A4" s="73" t="s">
        <v>15720</v>
      </c>
      <c r="B4" s="73" t="s">
        <v>29</v>
      </c>
      <c r="C4" s="73" t="s">
        <v>30</v>
      </c>
      <c r="D4" s="73"/>
      <c r="E4" s="73"/>
      <c r="F4" s="73"/>
      <c r="G4" s="73"/>
      <c r="H4" s="73" t="s">
        <v>15721</v>
      </c>
    </row>
    <row r="5" spans="1:8" ht="51" x14ac:dyDescent="0.2">
      <c r="A5" s="74" t="s">
        <v>15722</v>
      </c>
      <c r="B5" s="74" t="s">
        <v>47</v>
      </c>
      <c r="C5" s="74" t="s">
        <v>15723</v>
      </c>
      <c r="D5" s="74"/>
      <c r="E5" s="74"/>
      <c r="F5" s="74"/>
      <c r="G5" s="74"/>
      <c r="H5" s="74" t="s">
        <v>15724</v>
      </c>
    </row>
    <row r="6" spans="1:8" ht="51" x14ac:dyDescent="0.2">
      <c r="A6" s="75" t="s">
        <v>15725</v>
      </c>
      <c r="B6" s="75" t="s">
        <v>50</v>
      </c>
      <c r="C6" s="75" t="s">
        <v>15726</v>
      </c>
      <c r="D6" s="75"/>
      <c r="E6" s="75"/>
      <c r="F6" s="75"/>
      <c r="G6" s="75"/>
      <c r="H6" s="76" t="s">
        <v>15727</v>
      </c>
    </row>
    <row r="7" spans="1:8" ht="38.25" x14ac:dyDescent="0.2">
      <c r="A7" s="74" t="s">
        <v>15728</v>
      </c>
      <c r="B7" s="74" t="s">
        <v>53</v>
      </c>
      <c r="C7" s="74" t="s">
        <v>15729</v>
      </c>
      <c r="D7" s="74"/>
      <c r="E7" s="74"/>
      <c r="F7" s="74"/>
      <c r="G7" s="74"/>
      <c r="H7" s="73" t="s">
        <v>15730</v>
      </c>
    </row>
    <row r="8" spans="1:8" ht="76.5" x14ac:dyDescent="0.2">
      <c r="A8" s="22" t="s">
        <v>15731</v>
      </c>
      <c r="B8" s="22" t="s">
        <v>56</v>
      </c>
      <c r="C8" s="22" t="s">
        <v>15732</v>
      </c>
      <c r="D8" s="22"/>
      <c r="E8" s="22"/>
      <c r="F8" s="22"/>
      <c r="G8" s="22"/>
      <c r="H8" s="73" t="s">
        <v>15733</v>
      </c>
    </row>
    <row r="9" spans="1:8" ht="102" x14ac:dyDescent="0.2">
      <c r="A9" s="49" t="s">
        <v>15734</v>
      </c>
      <c r="B9" s="49" t="s">
        <v>59</v>
      </c>
      <c r="C9" s="49" t="s">
        <v>15735</v>
      </c>
      <c r="D9" s="49"/>
      <c r="E9" s="49"/>
      <c r="F9" s="49"/>
      <c r="G9" s="49"/>
      <c r="H9" s="75" t="s">
        <v>15736</v>
      </c>
    </row>
    <row r="10" spans="1:8" ht="51" x14ac:dyDescent="0.2">
      <c r="A10" s="74" t="s">
        <v>15737</v>
      </c>
      <c r="B10" s="74" t="s">
        <v>62</v>
      </c>
      <c r="C10" s="74" t="s">
        <v>15738</v>
      </c>
      <c r="D10" s="74"/>
      <c r="E10" s="74"/>
      <c r="F10" s="74"/>
      <c r="G10" s="74"/>
      <c r="H10" s="73" t="s">
        <v>15739</v>
      </c>
    </row>
    <row r="11" spans="1:8" ht="25.5" x14ac:dyDescent="0.2">
      <c r="A11" s="14" t="s">
        <v>15740</v>
      </c>
      <c r="B11" s="14" t="s">
        <v>65</v>
      </c>
      <c r="C11" s="14" t="s">
        <v>66</v>
      </c>
      <c r="D11" s="14"/>
      <c r="E11" s="14"/>
      <c r="F11" s="14"/>
      <c r="G11" s="14"/>
      <c r="H11" s="74" t="s">
        <v>15741</v>
      </c>
    </row>
    <row r="12" spans="1:8" ht="25.5" x14ac:dyDescent="0.2">
      <c r="A12" s="76" t="s">
        <v>15742</v>
      </c>
      <c r="B12" s="76" t="s">
        <v>71</v>
      </c>
      <c r="C12" s="76" t="s">
        <v>15743</v>
      </c>
      <c r="D12" s="76"/>
      <c r="E12" s="76"/>
      <c r="F12" s="76"/>
      <c r="G12" s="76"/>
      <c r="H12" s="75" t="s">
        <v>15744</v>
      </c>
    </row>
    <row r="13" spans="1:8" ht="204" x14ac:dyDescent="0.2">
      <c r="A13" s="46" t="s">
        <v>15745</v>
      </c>
      <c r="B13" s="46" t="s">
        <v>132</v>
      </c>
      <c r="C13" s="46" t="s">
        <v>133</v>
      </c>
      <c r="D13" s="46"/>
      <c r="E13" s="46"/>
      <c r="F13" s="46"/>
      <c r="G13" s="46"/>
      <c r="H13" s="75" t="s">
        <v>15746</v>
      </c>
    </row>
    <row r="14" spans="1:8" ht="102" x14ac:dyDescent="0.2">
      <c r="A14" s="74" t="s">
        <v>15747</v>
      </c>
      <c r="B14" s="74" t="s">
        <v>135</v>
      </c>
      <c r="C14" s="74" t="s">
        <v>15748</v>
      </c>
      <c r="D14" s="74"/>
      <c r="E14" s="74"/>
      <c r="F14" s="74"/>
      <c r="G14" s="74"/>
      <c r="H14" s="14" t="s">
        <v>15749</v>
      </c>
    </row>
    <row r="15" spans="1:8" ht="51" x14ac:dyDescent="0.2">
      <c r="A15" s="74" t="s">
        <v>15750</v>
      </c>
      <c r="B15" s="74" t="s">
        <v>138</v>
      </c>
      <c r="C15" s="74" t="s">
        <v>15751</v>
      </c>
      <c r="D15" s="74"/>
      <c r="E15" s="74"/>
      <c r="F15" s="74"/>
      <c r="G15" s="74"/>
      <c r="H15" s="74" t="s">
        <v>15752</v>
      </c>
    </row>
    <row r="16" spans="1:8" ht="63.75" x14ac:dyDescent="0.2">
      <c r="A16" s="76" t="s">
        <v>15753</v>
      </c>
      <c r="B16" s="76" t="s">
        <v>206</v>
      </c>
      <c r="C16" s="76" t="s">
        <v>207</v>
      </c>
      <c r="D16" s="76"/>
      <c r="E16" s="76"/>
      <c r="F16" s="76"/>
      <c r="G16" s="76"/>
      <c r="H16" s="75" t="s">
        <v>15754</v>
      </c>
    </row>
    <row r="17" spans="1:8" ht="25.5" x14ac:dyDescent="0.2">
      <c r="A17" s="14" t="s">
        <v>15755</v>
      </c>
      <c r="B17" s="14" t="s">
        <v>209</v>
      </c>
      <c r="C17" s="14" t="s">
        <v>210</v>
      </c>
      <c r="D17" s="14"/>
      <c r="E17" s="14"/>
      <c r="F17" s="14"/>
      <c r="G17" s="14"/>
      <c r="H17" s="73" t="s">
        <v>15756</v>
      </c>
    </row>
    <row r="18" spans="1:8" ht="165.75" x14ac:dyDescent="0.2">
      <c r="A18" s="75" t="s">
        <v>15757</v>
      </c>
      <c r="B18" s="75" t="s">
        <v>228</v>
      </c>
      <c r="C18" s="75" t="s">
        <v>15758</v>
      </c>
      <c r="D18" s="75"/>
      <c r="E18" s="75"/>
      <c r="F18" s="75"/>
      <c r="G18" s="75"/>
      <c r="H18" s="75" t="s">
        <v>15759</v>
      </c>
    </row>
    <row r="19" spans="1:8" ht="63.75" x14ac:dyDescent="0.2">
      <c r="A19" s="74" t="s">
        <v>15760</v>
      </c>
      <c r="B19" s="74" t="s">
        <v>293</v>
      </c>
      <c r="C19" s="74" t="s">
        <v>15761</v>
      </c>
      <c r="D19" s="74"/>
      <c r="E19" s="74"/>
      <c r="F19" s="74"/>
      <c r="G19" s="74"/>
      <c r="H19" s="74" t="s">
        <v>15762</v>
      </c>
    </row>
    <row r="20" spans="1:8" ht="89.25" x14ac:dyDescent="0.2">
      <c r="A20" s="73" t="s">
        <v>15763</v>
      </c>
      <c r="B20" s="73" t="s">
        <v>368</v>
      </c>
      <c r="C20" s="73" t="s">
        <v>369</v>
      </c>
      <c r="D20" s="73"/>
      <c r="E20" s="73"/>
      <c r="F20" s="73"/>
      <c r="G20" s="73"/>
      <c r="H20" s="74" t="s">
        <v>15764</v>
      </c>
    </row>
    <row r="21" spans="1:8" ht="25.5" x14ac:dyDescent="0.2">
      <c r="A21" s="76" t="s">
        <v>15765</v>
      </c>
      <c r="B21" s="76" t="s">
        <v>465</v>
      </c>
      <c r="C21" s="76" t="s">
        <v>15766</v>
      </c>
      <c r="D21" s="76" t="s">
        <v>15767</v>
      </c>
      <c r="E21" s="76"/>
      <c r="F21" s="76"/>
      <c r="G21" s="76"/>
      <c r="H21" s="76" t="s">
        <v>15768</v>
      </c>
    </row>
    <row r="22" spans="1:8" ht="25.5" x14ac:dyDescent="0.2">
      <c r="A22" s="73" t="s">
        <v>15769</v>
      </c>
      <c r="B22" s="73" t="s">
        <v>468</v>
      </c>
      <c r="C22" s="73" t="s">
        <v>15766</v>
      </c>
      <c r="D22" s="73" t="s">
        <v>15770</v>
      </c>
      <c r="E22" s="73"/>
      <c r="F22" s="73"/>
      <c r="G22" s="73"/>
      <c r="H22" s="73" t="s">
        <v>15771</v>
      </c>
    </row>
    <row r="23" spans="1:8" ht="25.5" x14ac:dyDescent="0.2">
      <c r="A23" s="73" t="s">
        <v>15772</v>
      </c>
      <c r="B23" s="73" t="s">
        <v>471</v>
      </c>
      <c r="C23" s="73" t="s">
        <v>15766</v>
      </c>
      <c r="D23" s="73" t="s">
        <v>15773</v>
      </c>
      <c r="E23" s="73"/>
      <c r="F23" s="73"/>
      <c r="G23" s="73"/>
      <c r="H23" s="73" t="s">
        <v>15774</v>
      </c>
    </row>
    <row r="24" spans="1:8" ht="25.5" x14ac:dyDescent="0.2">
      <c r="A24" s="76" t="s">
        <v>15775</v>
      </c>
      <c r="B24" s="76" t="s">
        <v>474</v>
      </c>
      <c r="C24" s="76" t="s">
        <v>15766</v>
      </c>
      <c r="D24" s="76" t="s">
        <v>15776</v>
      </c>
      <c r="E24" s="76"/>
      <c r="F24" s="76"/>
      <c r="G24" s="76"/>
      <c r="H24" s="76" t="s">
        <v>15777</v>
      </c>
    </row>
    <row r="25" spans="1:8" ht="25.5" x14ac:dyDescent="0.2">
      <c r="A25" s="73" t="s">
        <v>15778</v>
      </c>
      <c r="B25" s="73" t="s">
        <v>476</v>
      </c>
      <c r="C25" s="73" t="s">
        <v>15766</v>
      </c>
      <c r="D25" s="73" t="s">
        <v>15779</v>
      </c>
      <c r="E25" s="73"/>
      <c r="F25" s="73"/>
      <c r="G25" s="73"/>
      <c r="H25" s="73" t="s">
        <v>15780</v>
      </c>
    </row>
    <row r="26" spans="1:8" ht="25.5" x14ac:dyDescent="0.2">
      <c r="A26" s="73" t="s">
        <v>15781</v>
      </c>
      <c r="B26" s="73" t="s">
        <v>478</v>
      </c>
      <c r="C26" s="73" t="s">
        <v>15766</v>
      </c>
      <c r="D26" s="73" t="s">
        <v>15782</v>
      </c>
      <c r="E26" s="73"/>
      <c r="F26" s="73"/>
      <c r="G26" s="73"/>
      <c r="H26" s="73" t="s">
        <v>15783</v>
      </c>
    </row>
    <row r="27" spans="1:8" ht="51" x14ac:dyDescent="0.2">
      <c r="A27" s="75" t="s">
        <v>15784</v>
      </c>
      <c r="B27" s="75" t="s">
        <v>500</v>
      </c>
      <c r="C27" s="75" t="s">
        <v>15785</v>
      </c>
      <c r="D27" s="75"/>
      <c r="E27" s="75"/>
      <c r="F27" s="75"/>
      <c r="G27" s="75"/>
      <c r="H27" s="46" t="s">
        <v>15786</v>
      </c>
    </row>
    <row r="28" spans="1:8" ht="51" x14ac:dyDescent="0.2">
      <c r="A28" s="74" t="s">
        <v>15787</v>
      </c>
      <c r="B28" s="74" t="s">
        <v>503</v>
      </c>
      <c r="C28" s="74" t="s">
        <v>15788</v>
      </c>
      <c r="D28" s="74"/>
      <c r="E28" s="74"/>
      <c r="F28" s="74"/>
      <c r="G28" s="74"/>
      <c r="H28" s="14" t="s">
        <v>15789</v>
      </c>
    </row>
    <row r="29" spans="1:8" ht="38.25" x14ac:dyDescent="0.2">
      <c r="A29" s="74" t="s">
        <v>15790</v>
      </c>
      <c r="B29" s="74" t="s">
        <v>506</v>
      </c>
      <c r="C29" s="74" t="s">
        <v>15791</v>
      </c>
      <c r="D29" s="74"/>
      <c r="E29" s="74"/>
      <c r="F29" s="74"/>
      <c r="G29" s="74"/>
      <c r="H29" s="14" t="s">
        <v>15792</v>
      </c>
    </row>
    <row r="30" spans="1:8" ht="51" x14ac:dyDescent="0.2">
      <c r="A30" s="75" t="s">
        <v>15793</v>
      </c>
      <c r="B30" s="75" t="s">
        <v>517</v>
      </c>
      <c r="C30" s="75" t="s">
        <v>15794</v>
      </c>
      <c r="D30" s="75"/>
      <c r="E30" s="75"/>
      <c r="F30" s="75"/>
      <c r="G30" s="75"/>
      <c r="H30" s="76" t="s">
        <v>15795</v>
      </c>
    </row>
    <row r="31" spans="1:8" ht="63.75" x14ac:dyDescent="0.2">
      <c r="A31" s="74" t="s">
        <v>15796</v>
      </c>
      <c r="B31" s="74" t="s">
        <v>520</v>
      </c>
      <c r="C31" s="74" t="s">
        <v>15797</v>
      </c>
      <c r="D31" s="74"/>
      <c r="E31" s="74"/>
      <c r="F31" s="74"/>
      <c r="G31" s="74"/>
      <c r="H31" s="73" t="s">
        <v>15798</v>
      </c>
    </row>
    <row r="32" spans="1:8" ht="76.5" x14ac:dyDescent="0.2">
      <c r="A32" s="74" t="s">
        <v>15799</v>
      </c>
      <c r="B32" s="74" t="s">
        <v>523</v>
      </c>
      <c r="C32" s="74" t="s">
        <v>15800</v>
      </c>
      <c r="D32" s="74"/>
      <c r="E32" s="74"/>
      <c r="F32" s="74"/>
      <c r="G32" s="74"/>
      <c r="H32" s="73" t="s">
        <v>15801</v>
      </c>
    </row>
    <row r="33" spans="1:8" ht="63.75" x14ac:dyDescent="0.2">
      <c r="A33" s="75" t="s">
        <v>15802</v>
      </c>
      <c r="B33" s="75" t="s">
        <v>526</v>
      </c>
      <c r="C33" s="75" t="s">
        <v>15803</v>
      </c>
      <c r="D33" s="75"/>
      <c r="E33" s="75"/>
      <c r="F33" s="75"/>
      <c r="G33" s="75"/>
      <c r="H33" s="76" t="s">
        <v>15804</v>
      </c>
    </row>
    <row r="34" spans="1:8" ht="63.75" x14ac:dyDescent="0.2">
      <c r="A34" s="74" t="s">
        <v>15805</v>
      </c>
      <c r="B34" s="74" t="s">
        <v>529</v>
      </c>
      <c r="C34" s="74" t="s">
        <v>15806</v>
      </c>
      <c r="D34" s="74"/>
      <c r="E34" s="74"/>
      <c r="F34" s="74"/>
      <c r="G34" s="74"/>
      <c r="H34" s="73" t="s">
        <v>15807</v>
      </c>
    </row>
    <row r="35" spans="1:8" ht="114.75" x14ac:dyDescent="0.2">
      <c r="A35" s="75" t="s">
        <v>15808</v>
      </c>
      <c r="B35" s="75" t="s">
        <v>602</v>
      </c>
      <c r="C35" s="75" t="s">
        <v>15809</v>
      </c>
      <c r="D35" s="75"/>
      <c r="E35" s="75"/>
      <c r="F35" s="75"/>
      <c r="G35" s="75"/>
      <c r="H35" s="75" t="s">
        <v>15810</v>
      </c>
    </row>
    <row r="36" spans="1:8" ht="114.75" x14ac:dyDescent="0.2">
      <c r="A36" s="74" t="s">
        <v>15811</v>
      </c>
      <c r="B36" s="74" t="s">
        <v>605</v>
      </c>
      <c r="C36" s="74" t="s">
        <v>15812</v>
      </c>
      <c r="D36" s="74"/>
      <c r="E36" s="74"/>
      <c r="F36" s="74"/>
      <c r="G36" s="74"/>
      <c r="H36" s="74" t="s">
        <v>15813</v>
      </c>
    </row>
    <row r="37" spans="1:8" ht="76.5" x14ac:dyDescent="0.2">
      <c r="A37" s="73" t="s">
        <v>15814</v>
      </c>
      <c r="B37" s="73" t="s">
        <v>608</v>
      </c>
      <c r="C37" s="73" t="s">
        <v>15815</v>
      </c>
      <c r="D37" s="73"/>
      <c r="E37" s="73"/>
      <c r="F37" s="73"/>
      <c r="G37" s="73"/>
      <c r="H37" s="73" t="s">
        <v>15816</v>
      </c>
    </row>
    <row r="38" spans="1:8" ht="63.75" x14ac:dyDescent="0.2">
      <c r="A38" s="75" t="s">
        <v>15817</v>
      </c>
      <c r="B38" s="75" t="s">
        <v>613</v>
      </c>
      <c r="C38" s="75" t="s">
        <v>15818</v>
      </c>
      <c r="D38" s="75"/>
      <c r="E38" s="75"/>
      <c r="F38" s="75"/>
      <c r="G38" s="75"/>
      <c r="H38" s="46" t="s">
        <v>15819</v>
      </c>
    </row>
    <row r="39" spans="1:8" ht="76.5" x14ac:dyDescent="0.2">
      <c r="A39" s="74" t="s">
        <v>15820</v>
      </c>
      <c r="B39" s="74" t="s">
        <v>616</v>
      </c>
      <c r="C39" s="74" t="s">
        <v>15821</v>
      </c>
      <c r="D39" s="74"/>
      <c r="E39" s="74"/>
      <c r="F39" s="74"/>
      <c r="G39" s="74"/>
      <c r="H39" s="14" t="s">
        <v>15822</v>
      </c>
    </row>
    <row r="40" spans="1:8" ht="76.5" x14ac:dyDescent="0.2">
      <c r="A40" s="74" t="s">
        <v>15823</v>
      </c>
      <c r="B40" s="74" t="s">
        <v>618</v>
      </c>
      <c r="C40" s="74" t="s">
        <v>15824</v>
      </c>
      <c r="D40" s="74"/>
      <c r="E40" s="74"/>
      <c r="F40" s="74"/>
      <c r="G40" s="74"/>
      <c r="H40" s="14" t="s">
        <v>15825</v>
      </c>
    </row>
    <row r="41" spans="1:8" ht="51" x14ac:dyDescent="0.2">
      <c r="A41" s="75" t="s">
        <v>15826</v>
      </c>
      <c r="B41" s="75" t="s">
        <v>621</v>
      </c>
      <c r="C41" s="75" t="s">
        <v>15827</v>
      </c>
      <c r="D41" s="75"/>
      <c r="E41" s="75"/>
      <c r="F41" s="75"/>
      <c r="G41" s="75"/>
      <c r="H41" s="46" t="s">
        <v>15828</v>
      </c>
    </row>
    <row r="42" spans="1:8" ht="63.75" x14ac:dyDescent="0.2">
      <c r="A42" s="74" t="s">
        <v>15829</v>
      </c>
      <c r="B42" s="74" t="s">
        <v>623</v>
      </c>
      <c r="C42" s="74" t="s">
        <v>15830</v>
      </c>
      <c r="D42" s="74"/>
      <c r="E42" s="74"/>
      <c r="F42" s="74"/>
      <c r="G42" s="74"/>
      <c r="H42" s="14" t="s">
        <v>15831</v>
      </c>
    </row>
    <row r="43" spans="1:8" ht="102" x14ac:dyDescent="0.2">
      <c r="A43" s="74" t="s">
        <v>15832</v>
      </c>
      <c r="B43" s="74" t="s">
        <v>632</v>
      </c>
      <c r="C43" s="74" t="s">
        <v>15833</v>
      </c>
      <c r="D43" s="74"/>
      <c r="E43" s="74"/>
      <c r="F43" s="74"/>
      <c r="G43" s="74"/>
      <c r="H43" s="14" t="s">
        <v>15834</v>
      </c>
    </row>
    <row r="44" spans="1:8" ht="114.75" x14ac:dyDescent="0.2">
      <c r="A44" s="75" t="s">
        <v>15835</v>
      </c>
      <c r="B44" s="75" t="s">
        <v>635</v>
      </c>
      <c r="C44" s="75" t="s">
        <v>15836</v>
      </c>
      <c r="D44" s="75"/>
      <c r="E44" s="75"/>
      <c r="F44" s="75"/>
      <c r="G44" s="75"/>
      <c r="H44" s="46" t="s">
        <v>15837</v>
      </c>
    </row>
    <row r="45" spans="1:8" ht="114.75" x14ac:dyDescent="0.2">
      <c r="A45" s="74" t="s">
        <v>15838</v>
      </c>
      <c r="B45" s="74" t="s">
        <v>637</v>
      </c>
      <c r="C45" s="74" t="s">
        <v>15839</v>
      </c>
      <c r="D45" s="74"/>
      <c r="E45" s="74"/>
      <c r="F45" s="74"/>
      <c r="G45" s="74"/>
      <c r="H45" s="14" t="s">
        <v>15840</v>
      </c>
    </row>
    <row r="46" spans="1:8" ht="114.75" x14ac:dyDescent="0.2">
      <c r="A46" s="74" t="s">
        <v>15841</v>
      </c>
      <c r="B46" s="74" t="s">
        <v>640</v>
      </c>
      <c r="C46" s="74" t="s">
        <v>15842</v>
      </c>
      <c r="D46" s="74"/>
      <c r="E46" s="74"/>
      <c r="F46" s="74"/>
      <c r="G46" s="74"/>
      <c r="H46" s="22" t="s">
        <v>15843</v>
      </c>
    </row>
    <row r="47" spans="1:8" ht="76.5" x14ac:dyDescent="0.2">
      <c r="A47" s="75" t="s">
        <v>15844</v>
      </c>
      <c r="B47" s="75" t="s">
        <v>643</v>
      </c>
      <c r="C47" s="75" t="s">
        <v>15845</v>
      </c>
      <c r="D47" s="75"/>
      <c r="E47" s="75"/>
      <c r="F47" s="75"/>
      <c r="G47" s="75"/>
      <c r="H47" s="46" t="s">
        <v>15846</v>
      </c>
    </row>
    <row r="48" spans="1:8" ht="63.75" x14ac:dyDescent="0.2">
      <c r="A48" s="74" t="s">
        <v>15847</v>
      </c>
      <c r="B48" s="74" t="s">
        <v>648</v>
      </c>
      <c r="C48" s="74" t="s">
        <v>15848</v>
      </c>
      <c r="D48" s="74"/>
      <c r="E48" s="74"/>
      <c r="F48" s="74"/>
      <c r="G48" s="74"/>
      <c r="H48" s="14" t="s">
        <v>15849</v>
      </c>
    </row>
    <row r="49" spans="1:8" ht="63.75" x14ac:dyDescent="0.2">
      <c r="A49" s="74" t="s">
        <v>15850</v>
      </c>
      <c r="B49" s="74" t="s">
        <v>651</v>
      </c>
      <c r="C49" s="74" t="s">
        <v>15851</v>
      </c>
      <c r="D49" s="74"/>
      <c r="E49" s="74"/>
      <c r="F49" s="74"/>
      <c r="G49" s="74"/>
      <c r="H49" s="14" t="s">
        <v>15852</v>
      </c>
    </row>
    <row r="50" spans="1:8" ht="38.25" x14ac:dyDescent="0.2">
      <c r="A50" s="75" t="s">
        <v>15853</v>
      </c>
      <c r="B50" s="75" t="s">
        <v>654</v>
      </c>
      <c r="C50" s="75" t="s">
        <v>15854</v>
      </c>
      <c r="D50" s="75"/>
      <c r="E50" s="75"/>
      <c r="F50" s="75"/>
      <c r="G50" s="75"/>
      <c r="H50" s="75" t="s">
        <v>15855</v>
      </c>
    </row>
    <row r="51" spans="1:8" ht="76.5" x14ac:dyDescent="0.2">
      <c r="A51" s="74" t="s">
        <v>15856</v>
      </c>
      <c r="B51" s="74" t="s">
        <v>657</v>
      </c>
      <c r="C51" s="74" t="s">
        <v>15857</v>
      </c>
      <c r="D51" s="74"/>
      <c r="E51" s="74"/>
      <c r="F51" s="74"/>
      <c r="G51" s="74"/>
      <c r="H51" s="74" t="s">
        <v>15858</v>
      </c>
    </row>
    <row r="52" spans="1:8" ht="51" x14ac:dyDescent="0.2">
      <c r="A52" s="74" t="s">
        <v>15859</v>
      </c>
      <c r="B52" s="74" t="s">
        <v>660</v>
      </c>
      <c r="C52" s="74" t="s">
        <v>15860</v>
      </c>
      <c r="D52" s="74"/>
      <c r="E52" s="74"/>
      <c r="F52" s="74"/>
      <c r="G52" s="74"/>
      <c r="H52" s="74" t="s">
        <v>15861</v>
      </c>
    </row>
    <row r="53" spans="1:8" ht="89.25" x14ac:dyDescent="0.2">
      <c r="A53" s="75" t="s">
        <v>15862</v>
      </c>
      <c r="B53" s="75" t="s">
        <v>663</v>
      </c>
      <c r="C53" s="75" t="s">
        <v>15863</v>
      </c>
      <c r="D53" s="75"/>
      <c r="E53" s="75"/>
      <c r="F53" s="75"/>
      <c r="G53" s="75"/>
      <c r="H53" s="76" t="s">
        <v>15864</v>
      </c>
    </row>
    <row r="54" spans="1:8" ht="89.25" x14ac:dyDescent="0.2">
      <c r="A54" s="74" t="s">
        <v>15865</v>
      </c>
      <c r="B54" s="74" t="s">
        <v>666</v>
      </c>
      <c r="C54" s="74" t="s">
        <v>15866</v>
      </c>
      <c r="D54" s="74"/>
      <c r="E54" s="74"/>
      <c r="F54" s="74"/>
      <c r="G54" s="74"/>
      <c r="H54" s="73" t="s">
        <v>15867</v>
      </c>
    </row>
    <row r="55" spans="1:8" ht="76.5" x14ac:dyDescent="0.2">
      <c r="A55" s="74" t="s">
        <v>15868</v>
      </c>
      <c r="B55" s="74" t="s">
        <v>669</v>
      </c>
      <c r="C55" s="74" t="s">
        <v>15869</v>
      </c>
      <c r="D55" s="74"/>
      <c r="E55" s="74"/>
      <c r="F55" s="74"/>
      <c r="G55" s="74"/>
      <c r="H55" s="73" t="s">
        <v>15870</v>
      </c>
    </row>
    <row r="56" spans="1:8" ht="76.5" x14ac:dyDescent="0.2">
      <c r="A56" s="75" t="s">
        <v>15871</v>
      </c>
      <c r="B56" s="75" t="s">
        <v>672</v>
      </c>
      <c r="C56" s="75" t="s">
        <v>15872</v>
      </c>
      <c r="D56" s="75"/>
      <c r="E56" s="75"/>
      <c r="F56" s="75"/>
      <c r="G56" s="75"/>
      <c r="H56" s="76" t="s">
        <v>15873</v>
      </c>
    </row>
    <row r="57" spans="1:8" ht="76.5" x14ac:dyDescent="0.2">
      <c r="A57" s="74" t="s">
        <v>15874</v>
      </c>
      <c r="B57" s="74" t="s">
        <v>675</v>
      </c>
      <c r="C57" s="74" t="s">
        <v>15875</v>
      </c>
      <c r="D57" s="74"/>
      <c r="E57" s="74"/>
      <c r="F57" s="74"/>
      <c r="G57" s="74"/>
      <c r="H57" s="73" t="s">
        <v>15876</v>
      </c>
    </row>
    <row r="58" spans="1:8" ht="25.5" x14ac:dyDescent="0.2">
      <c r="A58" s="74" t="s">
        <v>15877</v>
      </c>
      <c r="B58" s="74" t="s">
        <v>686</v>
      </c>
      <c r="C58" s="74" t="s">
        <v>15878</v>
      </c>
      <c r="D58" s="74"/>
      <c r="E58" s="74"/>
      <c r="F58" s="74"/>
      <c r="G58" s="74"/>
      <c r="H58" s="74" t="s">
        <v>15879</v>
      </c>
    </row>
    <row r="59" spans="1:8" ht="25.5" x14ac:dyDescent="0.2">
      <c r="A59" s="75" t="s">
        <v>15880</v>
      </c>
      <c r="B59" s="75" t="s">
        <v>691</v>
      </c>
      <c r="C59" s="75" t="s">
        <v>15881</v>
      </c>
      <c r="D59" s="75"/>
      <c r="E59" s="75"/>
      <c r="F59" s="75"/>
      <c r="G59" s="75"/>
      <c r="H59" s="75" t="s">
        <v>15882</v>
      </c>
    </row>
    <row r="60" spans="1:8" ht="25.5" x14ac:dyDescent="0.2">
      <c r="A60" s="74" t="s">
        <v>15883</v>
      </c>
      <c r="B60" s="74" t="s">
        <v>694</v>
      </c>
      <c r="C60" s="74" t="s">
        <v>15884</v>
      </c>
      <c r="D60" s="74"/>
      <c r="E60" s="74"/>
      <c r="F60" s="74"/>
      <c r="G60" s="74"/>
      <c r="H60" s="74" t="s">
        <v>15885</v>
      </c>
    </row>
    <row r="61" spans="1:8" ht="51" x14ac:dyDescent="0.2">
      <c r="A61" s="74" t="s">
        <v>15886</v>
      </c>
      <c r="B61" s="74" t="s">
        <v>697</v>
      </c>
      <c r="C61" s="74" t="s">
        <v>15887</v>
      </c>
      <c r="D61" s="74"/>
      <c r="E61" s="74"/>
      <c r="F61" s="74"/>
      <c r="G61" s="74"/>
      <c r="H61" s="73" t="s">
        <v>15888</v>
      </c>
    </row>
    <row r="62" spans="1:8" ht="38.25" x14ac:dyDescent="0.2">
      <c r="A62" s="75" t="s">
        <v>15889</v>
      </c>
      <c r="B62" s="75" t="s">
        <v>702</v>
      </c>
      <c r="C62" s="75" t="s">
        <v>15890</v>
      </c>
      <c r="D62" s="75"/>
      <c r="E62" s="75"/>
      <c r="F62" s="75"/>
      <c r="G62" s="75"/>
      <c r="H62" s="76" t="s">
        <v>15891</v>
      </c>
    </row>
    <row r="63" spans="1:8" ht="38.25" x14ac:dyDescent="0.2">
      <c r="A63" s="74" t="s">
        <v>15892</v>
      </c>
      <c r="B63" s="74" t="s">
        <v>707</v>
      </c>
      <c r="C63" s="74" t="s">
        <v>15893</v>
      </c>
      <c r="D63" s="74"/>
      <c r="E63" s="74"/>
      <c r="F63" s="74"/>
      <c r="G63" s="74"/>
      <c r="H63" s="74" t="s">
        <v>15894</v>
      </c>
    </row>
    <row r="64" spans="1:8" ht="38.25" x14ac:dyDescent="0.2">
      <c r="A64" s="74" t="s">
        <v>15895</v>
      </c>
      <c r="B64" s="74" t="s">
        <v>710</v>
      </c>
      <c r="C64" s="74" t="s">
        <v>15896</v>
      </c>
      <c r="D64" s="74" t="s">
        <v>15897</v>
      </c>
      <c r="E64" s="74"/>
      <c r="F64" s="74"/>
      <c r="G64" s="74"/>
      <c r="H64" s="14" t="s">
        <v>15898</v>
      </c>
    </row>
    <row r="65" spans="1:8" ht="38.25" x14ac:dyDescent="0.2">
      <c r="A65" s="75" t="s">
        <v>15899</v>
      </c>
      <c r="B65" s="75" t="s">
        <v>712</v>
      </c>
      <c r="C65" s="75" t="s">
        <v>15900</v>
      </c>
      <c r="D65" s="75"/>
      <c r="E65" s="75"/>
      <c r="F65" s="75"/>
      <c r="G65" s="75"/>
      <c r="H65" s="46" t="s">
        <v>15901</v>
      </c>
    </row>
    <row r="66" spans="1:8" ht="38.25" x14ac:dyDescent="0.2">
      <c r="A66" s="74" t="s">
        <v>15902</v>
      </c>
      <c r="B66" s="74" t="s">
        <v>716</v>
      </c>
      <c r="C66" s="74" t="s">
        <v>15903</v>
      </c>
      <c r="D66" s="74" t="s">
        <v>15904</v>
      </c>
      <c r="E66" s="74"/>
      <c r="F66" s="74"/>
      <c r="G66" s="74"/>
      <c r="H66" s="14" t="s">
        <v>15905</v>
      </c>
    </row>
    <row r="67" spans="1:8" ht="51" x14ac:dyDescent="0.2">
      <c r="A67" s="74" t="s">
        <v>15906</v>
      </c>
      <c r="B67" s="74" t="s">
        <v>721</v>
      </c>
      <c r="C67" s="74" t="s">
        <v>15907</v>
      </c>
      <c r="D67" s="74"/>
      <c r="E67" s="74"/>
      <c r="F67" s="74"/>
      <c r="G67" s="74"/>
      <c r="H67" s="73" t="s">
        <v>15908</v>
      </c>
    </row>
    <row r="68" spans="1:8" ht="38.25" x14ac:dyDescent="0.2">
      <c r="A68" s="75" t="s">
        <v>15909</v>
      </c>
      <c r="B68" s="75" t="s">
        <v>724</v>
      </c>
      <c r="C68" s="75" t="s">
        <v>15910</v>
      </c>
      <c r="D68" s="75"/>
      <c r="E68" s="75"/>
      <c r="F68" s="75"/>
      <c r="G68" s="75"/>
      <c r="H68" s="46" t="s">
        <v>15911</v>
      </c>
    </row>
    <row r="69" spans="1:8" ht="38.25" x14ac:dyDescent="0.2">
      <c r="A69" s="74" t="s">
        <v>15912</v>
      </c>
      <c r="B69" s="74" t="s">
        <v>726</v>
      </c>
      <c r="C69" s="74" t="s">
        <v>15913</v>
      </c>
      <c r="D69" s="74"/>
      <c r="E69" s="74"/>
      <c r="F69" s="74"/>
      <c r="G69" s="74"/>
      <c r="H69" s="14" t="s">
        <v>15914</v>
      </c>
    </row>
    <row r="70" spans="1:8" ht="38.25" x14ac:dyDescent="0.2">
      <c r="A70" s="74" t="s">
        <v>15915</v>
      </c>
      <c r="B70" s="74" t="s">
        <v>728</v>
      </c>
      <c r="C70" s="74" t="s">
        <v>15916</v>
      </c>
      <c r="D70" s="74"/>
      <c r="E70" s="74"/>
      <c r="F70" s="74"/>
      <c r="G70" s="74"/>
      <c r="H70" s="73" t="s">
        <v>15917</v>
      </c>
    </row>
    <row r="71" spans="1:8" ht="89.25" x14ac:dyDescent="0.2">
      <c r="A71" s="75" t="s">
        <v>15918</v>
      </c>
      <c r="B71" s="75" t="s">
        <v>731</v>
      </c>
      <c r="C71" s="75" t="s">
        <v>15919</v>
      </c>
      <c r="D71" s="75"/>
      <c r="E71" s="75"/>
      <c r="F71" s="75"/>
      <c r="G71" s="75"/>
      <c r="H71" s="75" t="s">
        <v>15920</v>
      </c>
    </row>
    <row r="72" spans="1:8" ht="76.5" x14ac:dyDescent="0.2">
      <c r="A72" s="74" t="s">
        <v>15921</v>
      </c>
      <c r="B72" s="74" t="s">
        <v>736</v>
      </c>
      <c r="C72" s="74" t="s">
        <v>15922</v>
      </c>
      <c r="D72" s="74"/>
      <c r="E72" s="74"/>
      <c r="F72" s="74"/>
      <c r="G72" s="74"/>
      <c r="H72" s="73" t="s">
        <v>15923</v>
      </c>
    </row>
    <row r="73" spans="1:8" ht="38.25" x14ac:dyDescent="0.2">
      <c r="A73" s="74" t="s">
        <v>15924</v>
      </c>
      <c r="B73" s="74" t="s">
        <v>739</v>
      </c>
      <c r="C73" s="74" t="s">
        <v>15925</v>
      </c>
      <c r="D73" s="74"/>
      <c r="E73" s="74"/>
      <c r="F73" s="74"/>
      <c r="G73" s="74"/>
      <c r="H73" s="73" t="s">
        <v>15926</v>
      </c>
    </row>
    <row r="74" spans="1:8" ht="89.25" x14ac:dyDescent="0.2">
      <c r="A74" s="75" t="s">
        <v>15927</v>
      </c>
      <c r="B74" s="75" t="s">
        <v>744</v>
      </c>
      <c r="C74" s="75" t="s">
        <v>15928</v>
      </c>
      <c r="D74" s="75"/>
      <c r="E74" s="75"/>
      <c r="F74" s="75"/>
      <c r="G74" s="75"/>
      <c r="H74" s="49" t="s">
        <v>15929</v>
      </c>
    </row>
    <row r="75" spans="1:8" ht="38.25" x14ac:dyDescent="0.2">
      <c r="A75" s="74" t="s">
        <v>15930</v>
      </c>
      <c r="B75" s="74" t="s">
        <v>747</v>
      </c>
      <c r="C75" s="74" t="s">
        <v>15931</v>
      </c>
      <c r="D75" s="74"/>
      <c r="E75" s="74"/>
      <c r="F75" s="74"/>
      <c r="G75" s="74"/>
      <c r="H75" s="14" t="s">
        <v>15932</v>
      </c>
    </row>
    <row r="76" spans="1:8" ht="25.5" x14ac:dyDescent="0.2">
      <c r="A76" s="74" t="s">
        <v>15933</v>
      </c>
      <c r="B76" s="74" t="s">
        <v>762</v>
      </c>
      <c r="C76" s="74" t="s">
        <v>15934</v>
      </c>
      <c r="D76" s="74"/>
      <c r="E76" s="74"/>
      <c r="F76" s="74"/>
      <c r="G76" s="74"/>
      <c r="H76" s="14" t="s">
        <v>15935</v>
      </c>
    </row>
    <row r="77" spans="1:8" ht="25.5" x14ac:dyDescent="0.2">
      <c r="A77" s="76" t="s">
        <v>15936</v>
      </c>
      <c r="B77" s="76" t="s">
        <v>771</v>
      </c>
      <c r="C77" s="76" t="s">
        <v>772</v>
      </c>
      <c r="D77" s="76"/>
      <c r="E77" s="76"/>
      <c r="F77" s="76"/>
      <c r="G77" s="76"/>
      <c r="H77" s="46" t="s">
        <v>15937</v>
      </c>
    </row>
    <row r="78" spans="1:8" ht="38.25" x14ac:dyDescent="0.2">
      <c r="A78" s="74" t="s">
        <v>15938</v>
      </c>
      <c r="B78" s="74" t="s">
        <v>800</v>
      </c>
      <c r="C78" s="74" t="s">
        <v>15939</v>
      </c>
      <c r="D78" s="74"/>
      <c r="E78" s="74"/>
      <c r="F78" s="74"/>
      <c r="G78" s="74"/>
      <c r="H78" s="14" t="s">
        <v>15940</v>
      </c>
    </row>
    <row r="79" spans="1:8" ht="38.25" x14ac:dyDescent="0.2">
      <c r="A79" s="74" t="s">
        <v>15941</v>
      </c>
      <c r="B79" s="74" t="s">
        <v>802</v>
      </c>
      <c r="C79" s="74" t="s">
        <v>15942</v>
      </c>
      <c r="D79" s="74"/>
      <c r="E79" s="74"/>
      <c r="F79" s="74"/>
      <c r="G79" s="74"/>
      <c r="H79" s="14" t="s">
        <v>15943</v>
      </c>
    </row>
    <row r="80" spans="1:8" ht="38.25" x14ac:dyDescent="0.2">
      <c r="A80" s="75" t="s">
        <v>15944</v>
      </c>
      <c r="B80" s="75" t="s">
        <v>804</v>
      </c>
      <c r="C80" s="75" t="s">
        <v>15945</v>
      </c>
      <c r="D80" s="75"/>
      <c r="E80" s="75"/>
      <c r="F80" s="75"/>
      <c r="G80" s="75"/>
      <c r="H80" s="46" t="s">
        <v>15946</v>
      </c>
    </row>
    <row r="81" spans="1:8" ht="25.5" x14ac:dyDescent="0.2">
      <c r="A81" s="74" t="s">
        <v>15947</v>
      </c>
      <c r="B81" s="74" t="s">
        <v>814</v>
      </c>
      <c r="C81" s="74" t="s">
        <v>15948</v>
      </c>
      <c r="D81" s="74"/>
      <c r="E81" s="74"/>
      <c r="F81" s="74"/>
      <c r="G81" s="74"/>
      <c r="H81" s="14" t="s">
        <v>15949</v>
      </c>
    </row>
    <row r="82" spans="1:8" ht="25.5" x14ac:dyDescent="0.2">
      <c r="A82" s="74" t="s">
        <v>15950</v>
      </c>
      <c r="B82" s="74" t="s">
        <v>817</v>
      </c>
      <c r="C82" s="74" t="s">
        <v>15951</v>
      </c>
      <c r="D82" s="74"/>
      <c r="E82" s="74"/>
      <c r="F82" s="74"/>
      <c r="G82" s="74"/>
      <c r="H82" s="14" t="s">
        <v>15952</v>
      </c>
    </row>
    <row r="83" spans="1:8" ht="25.5" x14ac:dyDescent="0.2">
      <c r="A83" s="75" t="s">
        <v>15953</v>
      </c>
      <c r="B83" s="75" t="s">
        <v>820</v>
      </c>
      <c r="C83" s="75" t="s">
        <v>15954</v>
      </c>
      <c r="D83" s="75"/>
      <c r="E83" s="75"/>
      <c r="F83" s="75"/>
      <c r="G83" s="75"/>
      <c r="H83" s="46" t="s">
        <v>15955</v>
      </c>
    </row>
    <row r="84" spans="1:8" ht="25.5" x14ac:dyDescent="0.2">
      <c r="A84" s="14" t="s">
        <v>15956</v>
      </c>
      <c r="B84" s="14" t="s">
        <v>823</v>
      </c>
      <c r="C84" s="14" t="s">
        <v>824</v>
      </c>
      <c r="D84" s="14"/>
      <c r="E84" s="14"/>
      <c r="F84" s="14"/>
      <c r="G84" s="14"/>
      <c r="H84" s="74" t="s">
        <v>15957</v>
      </c>
    </row>
    <row r="85" spans="1:8" ht="38.25" x14ac:dyDescent="0.2">
      <c r="A85" s="73" t="s">
        <v>15958</v>
      </c>
      <c r="B85" s="73" t="s">
        <v>826</v>
      </c>
      <c r="C85" s="73" t="s">
        <v>827</v>
      </c>
      <c r="D85" s="73"/>
      <c r="E85" s="73"/>
      <c r="F85" s="73"/>
      <c r="G85" s="73"/>
      <c r="H85" s="14" t="s">
        <v>15959</v>
      </c>
    </row>
    <row r="86" spans="1:8" ht="25.5" x14ac:dyDescent="0.2">
      <c r="A86" s="76" t="s">
        <v>15960</v>
      </c>
      <c r="B86" s="76" t="s">
        <v>829</v>
      </c>
      <c r="C86" s="76" t="s">
        <v>15961</v>
      </c>
      <c r="D86" s="76"/>
      <c r="E86" s="76"/>
      <c r="F86" s="76"/>
      <c r="G86" s="76"/>
      <c r="H86" s="46" t="s">
        <v>15962</v>
      </c>
    </row>
    <row r="87" spans="1:8" ht="38.25" x14ac:dyDescent="0.2">
      <c r="A87" s="74" t="s">
        <v>15963</v>
      </c>
      <c r="B87" s="74" t="s">
        <v>832</v>
      </c>
      <c r="C87" s="74" t="s">
        <v>15964</v>
      </c>
      <c r="D87" s="74" t="s">
        <v>15965</v>
      </c>
      <c r="E87" s="74"/>
      <c r="F87" s="74"/>
      <c r="G87" s="74"/>
      <c r="H87" s="14" t="s">
        <v>15966</v>
      </c>
    </row>
    <row r="88" spans="1:8" ht="51" x14ac:dyDescent="0.2">
      <c r="A88" s="74" t="s">
        <v>15967</v>
      </c>
      <c r="B88" s="74" t="s">
        <v>835</v>
      </c>
      <c r="C88" s="74" t="s">
        <v>15968</v>
      </c>
      <c r="D88" s="74" t="s">
        <v>15969</v>
      </c>
      <c r="E88" s="74" t="s">
        <v>15970</v>
      </c>
      <c r="F88" s="74"/>
      <c r="G88" s="74"/>
      <c r="H88" s="74" t="s">
        <v>15971</v>
      </c>
    </row>
    <row r="89" spans="1:8" ht="51" x14ac:dyDescent="0.2">
      <c r="A89" s="75" t="s">
        <v>15972</v>
      </c>
      <c r="B89" s="75" t="s">
        <v>838</v>
      </c>
      <c r="C89" s="75" t="s">
        <v>15973</v>
      </c>
      <c r="D89" s="75" t="s">
        <v>15974</v>
      </c>
      <c r="E89" s="75"/>
      <c r="F89" s="75"/>
      <c r="G89" s="75"/>
      <c r="H89" s="46" t="s">
        <v>15975</v>
      </c>
    </row>
    <row r="90" spans="1:8" ht="38.25" x14ac:dyDescent="0.2">
      <c r="A90" s="74" t="s">
        <v>15976</v>
      </c>
      <c r="B90" s="74" t="s">
        <v>840</v>
      </c>
      <c r="C90" s="74" t="s">
        <v>15977</v>
      </c>
      <c r="D90" s="74"/>
      <c r="E90" s="74"/>
      <c r="F90" s="74"/>
      <c r="G90" s="74"/>
      <c r="H90" s="14" t="s">
        <v>15978</v>
      </c>
    </row>
    <row r="91" spans="1:8" ht="38.25" x14ac:dyDescent="0.2">
      <c r="A91" s="74" t="s">
        <v>15979</v>
      </c>
      <c r="B91" s="74" t="s">
        <v>15980</v>
      </c>
      <c r="C91" s="74" t="s">
        <v>15981</v>
      </c>
      <c r="D91" s="74"/>
      <c r="E91" s="74"/>
      <c r="F91" s="74"/>
      <c r="G91" s="74"/>
      <c r="H91" s="14" t="s">
        <v>15982</v>
      </c>
    </row>
    <row r="92" spans="1:8" ht="38.25" x14ac:dyDescent="0.2">
      <c r="A92" s="75" t="s">
        <v>15983</v>
      </c>
      <c r="B92" s="75" t="s">
        <v>15984</v>
      </c>
      <c r="C92" s="75" t="s">
        <v>15985</v>
      </c>
      <c r="D92" s="75"/>
      <c r="E92" s="75"/>
      <c r="F92" s="75"/>
      <c r="G92" s="75"/>
      <c r="H92" s="75" t="s">
        <v>15986</v>
      </c>
    </row>
    <row r="93" spans="1:8" ht="38.25" x14ac:dyDescent="0.2">
      <c r="A93" s="74" t="s">
        <v>15987</v>
      </c>
      <c r="B93" s="74" t="s">
        <v>846</v>
      </c>
      <c r="C93" s="74" t="s">
        <v>15988</v>
      </c>
      <c r="D93" s="74" t="s">
        <v>15989</v>
      </c>
      <c r="E93" s="74"/>
      <c r="F93" s="74"/>
      <c r="G93" s="74"/>
      <c r="H93" s="14" t="s">
        <v>15990</v>
      </c>
    </row>
    <row r="94" spans="1:8" ht="38.25" x14ac:dyDescent="0.2">
      <c r="A94" s="73" t="s">
        <v>15991</v>
      </c>
      <c r="B94" s="73" t="s">
        <v>849</v>
      </c>
      <c r="C94" s="73" t="s">
        <v>15992</v>
      </c>
      <c r="D94" s="73" t="s">
        <v>15993</v>
      </c>
      <c r="E94" s="73"/>
      <c r="F94" s="73"/>
      <c r="G94" s="73"/>
      <c r="H94" s="14" t="s">
        <v>15994</v>
      </c>
    </row>
    <row r="95" spans="1:8" ht="38.25" x14ac:dyDescent="0.2">
      <c r="A95" s="75" t="s">
        <v>15995</v>
      </c>
      <c r="B95" s="75" t="s">
        <v>851</v>
      </c>
      <c r="C95" s="75" t="s">
        <v>15996</v>
      </c>
      <c r="D95" s="75"/>
      <c r="E95" s="75"/>
      <c r="F95" s="75"/>
      <c r="G95" s="75"/>
      <c r="H95" s="75" t="s">
        <v>15997</v>
      </c>
    </row>
    <row r="96" spans="1:8" ht="25.5" x14ac:dyDescent="0.2">
      <c r="A96" s="74" t="s">
        <v>15998</v>
      </c>
      <c r="B96" s="74" t="s">
        <v>854</v>
      </c>
      <c r="C96" s="74" t="s">
        <v>15999</v>
      </c>
      <c r="D96" s="74"/>
      <c r="E96" s="74"/>
      <c r="F96" s="74"/>
      <c r="G96" s="74"/>
      <c r="H96" s="14" t="s">
        <v>16000</v>
      </c>
    </row>
    <row r="97" spans="1:8" ht="38.25" x14ac:dyDescent="0.2">
      <c r="A97" s="74" t="s">
        <v>16001</v>
      </c>
      <c r="B97" s="74" t="s">
        <v>857</v>
      </c>
      <c r="C97" s="74" t="s">
        <v>16002</v>
      </c>
      <c r="D97" s="74"/>
      <c r="E97" s="74"/>
      <c r="F97" s="74"/>
      <c r="G97" s="74"/>
      <c r="H97" s="74" t="s">
        <v>16003</v>
      </c>
    </row>
    <row r="98" spans="1:8" ht="12.75" x14ac:dyDescent="0.2">
      <c r="A98" s="46" t="s">
        <v>16004</v>
      </c>
      <c r="B98" s="46" t="s">
        <v>863</v>
      </c>
      <c r="C98" s="46" t="s">
        <v>864</v>
      </c>
      <c r="D98" s="46"/>
      <c r="E98" s="46"/>
      <c r="F98" s="46"/>
      <c r="G98" s="46"/>
      <c r="H98" s="46" t="s">
        <v>16005</v>
      </c>
    </row>
    <row r="99" spans="1:8" ht="25.5" x14ac:dyDescent="0.2">
      <c r="A99" s="14" t="s">
        <v>16006</v>
      </c>
      <c r="B99" s="14" t="s">
        <v>866</v>
      </c>
      <c r="C99" s="14" t="s">
        <v>867</v>
      </c>
      <c r="D99" s="14"/>
      <c r="E99" s="14"/>
      <c r="F99" s="14"/>
      <c r="G99" s="14"/>
      <c r="H99" s="14" t="s">
        <v>16007</v>
      </c>
    </row>
    <row r="100" spans="1:8" ht="12.75" x14ac:dyDescent="0.2">
      <c r="A100" s="14" t="s">
        <v>16008</v>
      </c>
      <c r="B100" s="14" t="s">
        <v>873</v>
      </c>
      <c r="C100" s="14" t="s">
        <v>874</v>
      </c>
      <c r="D100" s="14"/>
      <c r="E100" s="14"/>
      <c r="F100" s="14"/>
      <c r="G100" s="14"/>
      <c r="H100" s="14" t="s">
        <v>16009</v>
      </c>
    </row>
    <row r="101" spans="1:8" ht="12.75" x14ac:dyDescent="0.2">
      <c r="A101" s="46" t="s">
        <v>16010</v>
      </c>
      <c r="B101" s="46" t="s">
        <v>900</v>
      </c>
      <c r="C101" s="46" t="s">
        <v>901</v>
      </c>
      <c r="D101" s="46"/>
      <c r="E101" s="46"/>
      <c r="F101" s="46"/>
      <c r="G101" s="46"/>
      <c r="H101" s="46" t="s">
        <v>16011</v>
      </c>
    </row>
    <row r="102" spans="1:8" ht="38.25" x14ac:dyDescent="0.2">
      <c r="A102" s="74" t="s">
        <v>16012</v>
      </c>
      <c r="B102" s="74" t="s">
        <v>976</v>
      </c>
      <c r="C102" s="74" t="s">
        <v>16013</v>
      </c>
      <c r="D102" s="74"/>
      <c r="E102" s="74"/>
      <c r="F102" s="74"/>
      <c r="G102" s="74"/>
      <c r="H102" s="74" t="s">
        <v>16014</v>
      </c>
    </row>
    <row r="103" spans="1:8" ht="38.25" x14ac:dyDescent="0.2">
      <c r="A103" s="74" t="s">
        <v>16015</v>
      </c>
      <c r="B103" s="74" t="s">
        <v>979</v>
      </c>
      <c r="C103" s="74" t="s">
        <v>16016</v>
      </c>
      <c r="D103" s="74"/>
      <c r="E103" s="74"/>
      <c r="F103" s="74"/>
      <c r="G103" s="74"/>
      <c r="H103" s="74" t="s">
        <v>16017</v>
      </c>
    </row>
    <row r="104" spans="1:8" ht="38.25" x14ac:dyDescent="0.2">
      <c r="A104" s="75" t="s">
        <v>16018</v>
      </c>
      <c r="B104" s="75" t="s">
        <v>981</v>
      </c>
      <c r="C104" s="75" t="s">
        <v>16019</v>
      </c>
      <c r="D104" s="75"/>
      <c r="E104" s="75"/>
      <c r="F104" s="75"/>
      <c r="G104" s="75"/>
      <c r="H104" s="75" t="s">
        <v>16020</v>
      </c>
    </row>
    <row r="105" spans="1:8" ht="38.25" x14ac:dyDescent="0.2">
      <c r="A105" s="74" t="s">
        <v>16021</v>
      </c>
      <c r="B105" s="74" t="s">
        <v>983</v>
      </c>
      <c r="C105" s="74" t="s">
        <v>16022</v>
      </c>
      <c r="D105" s="74"/>
      <c r="E105" s="74"/>
      <c r="F105" s="74"/>
      <c r="G105" s="74"/>
      <c r="H105" s="14" t="s">
        <v>16023</v>
      </c>
    </row>
    <row r="106" spans="1:8" ht="38.25" x14ac:dyDescent="0.2">
      <c r="A106" s="74" t="s">
        <v>16024</v>
      </c>
      <c r="B106" s="74" t="s">
        <v>986</v>
      </c>
      <c r="C106" s="74" t="s">
        <v>16025</v>
      </c>
      <c r="D106" s="74"/>
      <c r="E106" s="74"/>
      <c r="F106" s="74"/>
      <c r="G106" s="74"/>
      <c r="H106" s="14" t="s">
        <v>16026</v>
      </c>
    </row>
    <row r="107" spans="1:8" ht="38.25" x14ac:dyDescent="0.2">
      <c r="A107" s="75" t="s">
        <v>16027</v>
      </c>
      <c r="B107" s="75" t="s">
        <v>988</v>
      </c>
      <c r="C107" s="75" t="s">
        <v>16028</v>
      </c>
      <c r="D107" s="75"/>
      <c r="E107" s="75"/>
      <c r="F107" s="75"/>
      <c r="G107" s="75"/>
      <c r="H107" s="46" t="s">
        <v>16029</v>
      </c>
    </row>
    <row r="108" spans="1:8" ht="89.25" x14ac:dyDescent="0.2">
      <c r="A108" s="74" t="s">
        <v>16030</v>
      </c>
      <c r="B108" s="74" t="s">
        <v>1082</v>
      </c>
      <c r="C108" s="74" t="s">
        <v>16031</v>
      </c>
      <c r="D108" s="74"/>
      <c r="E108" s="74"/>
      <c r="F108" s="74"/>
      <c r="G108" s="74"/>
      <c r="H108" s="73" t="s">
        <v>16032</v>
      </c>
    </row>
    <row r="109" spans="1:8" ht="89.25" x14ac:dyDescent="0.2">
      <c r="A109" s="74" t="s">
        <v>16033</v>
      </c>
      <c r="B109" s="74" t="s">
        <v>1085</v>
      </c>
      <c r="C109" s="74" t="s">
        <v>16034</v>
      </c>
      <c r="D109" s="74"/>
      <c r="E109" s="74"/>
      <c r="F109" s="74"/>
      <c r="G109" s="74"/>
      <c r="H109" s="73" t="s">
        <v>16035</v>
      </c>
    </row>
    <row r="110" spans="1:8" ht="89.25" x14ac:dyDescent="0.2">
      <c r="A110" s="75" t="s">
        <v>16036</v>
      </c>
      <c r="B110" s="75" t="s">
        <v>1088</v>
      </c>
      <c r="C110" s="75" t="s">
        <v>16037</v>
      </c>
      <c r="D110" s="75"/>
      <c r="E110" s="75"/>
      <c r="F110" s="75"/>
      <c r="G110" s="75"/>
      <c r="H110" s="76" t="s">
        <v>16038</v>
      </c>
    </row>
    <row r="111" spans="1:8" ht="89.25" x14ac:dyDescent="0.2">
      <c r="A111" s="74" t="s">
        <v>16039</v>
      </c>
      <c r="B111" s="74" t="s">
        <v>1090</v>
      </c>
      <c r="C111" s="74" t="s">
        <v>16040</v>
      </c>
      <c r="D111" s="74"/>
      <c r="E111" s="74"/>
      <c r="F111" s="74"/>
      <c r="G111" s="74"/>
      <c r="H111" s="73" t="s">
        <v>16041</v>
      </c>
    </row>
    <row r="112" spans="1:8" ht="89.25" x14ac:dyDescent="0.2">
      <c r="A112" s="74" t="s">
        <v>16042</v>
      </c>
      <c r="B112" s="74" t="s">
        <v>1093</v>
      </c>
      <c r="C112" s="74" t="s">
        <v>16043</v>
      </c>
      <c r="D112" s="74"/>
      <c r="E112" s="74"/>
      <c r="F112" s="74"/>
      <c r="G112" s="74"/>
      <c r="H112" s="73" t="s">
        <v>16044</v>
      </c>
    </row>
    <row r="113" spans="1:8" ht="89.25" x14ac:dyDescent="0.2">
      <c r="A113" s="75" t="s">
        <v>16045</v>
      </c>
      <c r="B113" s="75" t="s">
        <v>1096</v>
      </c>
      <c r="C113" s="75" t="s">
        <v>16046</v>
      </c>
      <c r="D113" s="75"/>
      <c r="E113" s="75"/>
      <c r="F113" s="75"/>
      <c r="G113" s="75"/>
      <c r="H113" s="76" t="s">
        <v>16047</v>
      </c>
    </row>
    <row r="114" spans="1:8" ht="89.25" x14ac:dyDescent="0.2">
      <c r="A114" s="74" t="s">
        <v>16048</v>
      </c>
      <c r="B114" s="74" t="s">
        <v>1099</v>
      </c>
      <c r="C114" s="74" t="s">
        <v>16049</v>
      </c>
      <c r="D114" s="74"/>
      <c r="E114" s="74"/>
      <c r="F114" s="74"/>
      <c r="G114" s="74"/>
      <c r="H114" s="73" t="s">
        <v>16050</v>
      </c>
    </row>
    <row r="115" spans="1:8" ht="89.25" x14ac:dyDescent="0.2">
      <c r="A115" s="74" t="s">
        <v>16051</v>
      </c>
      <c r="B115" s="74" t="s">
        <v>1101</v>
      </c>
      <c r="C115" s="74" t="s">
        <v>16052</v>
      </c>
      <c r="D115" s="74"/>
      <c r="E115" s="74"/>
      <c r="F115" s="74"/>
      <c r="G115" s="74"/>
      <c r="H115" s="73" t="s">
        <v>16053</v>
      </c>
    </row>
    <row r="116" spans="1:8" ht="89.25" x14ac:dyDescent="0.2">
      <c r="A116" s="75" t="s">
        <v>16054</v>
      </c>
      <c r="B116" s="75" t="s">
        <v>1103</v>
      </c>
      <c r="C116" s="75" t="s">
        <v>16055</v>
      </c>
      <c r="D116" s="75"/>
      <c r="E116" s="75"/>
      <c r="F116" s="75"/>
      <c r="G116" s="75"/>
      <c r="H116" s="76" t="s">
        <v>16056</v>
      </c>
    </row>
    <row r="117" spans="1:8" ht="89.25" x14ac:dyDescent="0.2">
      <c r="A117" s="74" t="s">
        <v>16057</v>
      </c>
      <c r="B117" s="74" t="s">
        <v>1106</v>
      </c>
      <c r="C117" s="74" t="s">
        <v>16058</v>
      </c>
      <c r="D117" s="74"/>
      <c r="E117" s="74"/>
      <c r="F117" s="74"/>
      <c r="G117" s="74"/>
      <c r="H117" s="73" t="s">
        <v>16059</v>
      </c>
    </row>
    <row r="118" spans="1:8" ht="89.25" x14ac:dyDescent="0.2">
      <c r="A118" s="74" t="s">
        <v>16060</v>
      </c>
      <c r="B118" s="74" t="s">
        <v>1109</v>
      </c>
      <c r="C118" s="74" t="s">
        <v>16061</v>
      </c>
      <c r="D118" s="74"/>
      <c r="E118" s="74"/>
      <c r="F118" s="74"/>
      <c r="G118" s="74"/>
      <c r="H118" s="73" t="s">
        <v>16062</v>
      </c>
    </row>
    <row r="119" spans="1:8" ht="89.25" x14ac:dyDescent="0.2">
      <c r="A119" s="75" t="s">
        <v>16063</v>
      </c>
      <c r="B119" s="75" t="s">
        <v>1112</v>
      </c>
      <c r="C119" s="75" t="s">
        <v>16064</v>
      </c>
      <c r="D119" s="75"/>
      <c r="E119" s="75"/>
      <c r="F119" s="75"/>
      <c r="G119" s="75"/>
      <c r="H119" s="76" t="s">
        <v>16065</v>
      </c>
    </row>
    <row r="120" spans="1:8" ht="89.25" x14ac:dyDescent="0.2">
      <c r="A120" s="74" t="s">
        <v>16066</v>
      </c>
      <c r="B120" s="74" t="s">
        <v>1115</v>
      </c>
      <c r="C120" s="74" t="s">
        <v>16067</v>
      </c>
      <c r="D120" s="74"/>
      <c r="E120" s="74"/>
      <c r="F120" s="74"/>
      <c r="G120" s="74"/>
      <c r="H120" s="74" t="s">
        <v>16068</v>
      </c>
    </row>
    <row r="121" spans="1:8" ht="89.25" x14ac:dyDescent="0.2">
      <c r="A121" s="74" t="s">
        <v>16069</v>
      </c>
      <c r="B121" s="74" t="s">
        <v>1118</v>
      </c>
      <c r="C121" s="74" t="s">
        <v>16070</v>
      </c>
      <c r="D121" s="74"/>
      <c r="E121" s="74"/>
      <c r="F121" s="74"/>
      <c r="G121" s="74"/>
      <c r="H121" s="74" t="s">
        <v>16071</v>
      </c>
    </row>
    <row r="122" spans="1:8" ht="89.25" x14ac:dyDescent="0.2">
      <c r="A122" s="75" t="s">
        <v>16072</v>
      </c>
      <c r="B122" s="75" t="s">
        <v>1121</v>
      </c>
      <c r="C122" s="75" t="s">
        <v>16073</v>
      </c>
      <c r="D122" s="75"/>
      <c r="E122" s="75"/>
      <c r="F122" s="75"/>
      <c r="G122" s="75"/>
      <c r="H122" s="75" t="s">
        <v>16074</v>
      </c>
    </row>
    <row r="123" spans="1:8" ht="89.25" x14ac:dyDescent="0.2">
      <c r="A123" s="74" t="s">
        <v>16075</v>
      </c>
      <c r="B123" s="74" t="s">
        <v>1123</v>
      </c>
      <c r="C123" s="74" t="s">
        <v>16076</v>
      </c>
      <c r="D123" s="74"/>
      <c r="E123" s="74"/>
      <c r="F123" s="74"/>
      <c r="G123" s="74"/>
      <c r="H123" s="73" t="s">
        <v>16077</v>
      </c>
    </row>
    <row r="124" spans="1:8" ht="89.25" x14ac:dyDescent="0.2">
      <c r="A124" s="74" t="s">
        <v>16078</v>
      </c>
      <c r="B124" s="74" t="s">
        <v>1126</v>
      </c>
      <c r="C124" s="74" t="s">
        <v>16079</v>
      </c>
      <c r="D124" s="74"/>
      <c r="E124" s="74"/>
      <c r="F124" s="74"/>
      <c r="G124" s="74"/>
      <c r="H124" s="73" t="s">
        <v>16080</v>
      </c>
    </row>
    <row r="125" spans="1:8" ht="89.25" x14ac:dyDescent="0.2">
      <c r="A125" s="75" t="s">
        <v>16081</v>
      </c>
      <c r="B125" s="75" t="s">
        <v>1128</v>
      </c>
      <c r="C125" s="75" t="s">
        <v>16082</v>
      </c>
      <c r="D125" s="75"/>
      <c r="E125" s="75"/>
      <c r="F125" s="75"/>
      <c r="G125" s="75"/>
      <c r="H125" s="76" t="s">
        <v>16083</v>
      </c>
    </row>
    <row r="126" spans="1:8" ht="63.75" x14ac:dyDescent="0.2">
      <c r="A126" s="74" t="s">
        <v>16084</v>
      </c>
      <c r="B126" s="74" t="s">
        <v>1160</v>
      </c>
      <c r="C126" s="74" t="s">
        <v>16085</v>
      </c>
      <c r="D126" s="74"/>
      <c r="E126" s="74"/>
      <c r="F126" s="74"/>
      <c r="G126" s="74"/>
      <c r="H126" s="73" t="s">
        <v>16086</v>
      </c>
    </row>
    <row r="127" spans="1:8" ht="63.75" x14ac:dyDescent="0.2">
      <c r="A127" s="74" t="s">
        <v>16087</v>
      </c>
      <c r="B127" s="74" t="s">
        <v>1163</v>
      </c>
      <c r="C127" s="74" t="s">
        <v>16088</v>
      </c>
      <c r="D127" s="74"/>
      <c r="E127" s="74"/>
      <c r="F127" s="74"/>
      <c r="G127" s="74"/>
      <c r="H127" s="73" t="s">
        <v>16089</v>
      </c>
    </row>
    <row r="128" spans="1:8" ht="63.75" x14ac:dyDescent="0.2">
      <c r="A128" s="75" t="s">
        <v>16090</v>
      </c>
      <c r="B128" s="75" t="s">
        <v>1166</v>
      </c>
      <c r="C128" s="75" t="s">
        <v>16091</v>
      </c>
      <c r="D128" s="75"/>
      <c r="E128" s="75"/>
      <c r="F128" s="75"/>
      <c r="G128" s="75"/>
      <c r="H128" s="76" t="s">
        <v>16092</v>
      </c>
    </row>
    <row r="129" spans="1:8" ht="63.75" x14ac:dyDescent="0.2">
      <c r="A129" s="74" t="s">
        <v>16093</v>
      </c>
      <c r="B129" s="74" t="s">
        <v>1168</v>
      </c>
      <c r="C129" s="74" t="s">
        <v>16094</v>
      </c>
      <c r="D129" s="74"/>
      <c r="E129" s="74"/>
      <c r="F129" s="74"/>
      <c r="G129" s="74"/>
      <c r="H129" s="73" t="s">
        <v>16095</v>
      </c>
    </row>
    <row r="130" spans="1:8" ht="63.75" x14ac:dyDescent="0.2">
      <c r="A130" s="74" t="s">
        <v>16096</v>
      </c>
      <c r="B130" s="74" t="s">
        <v>1170</v>
      </c>
      <c r="C130" s="74" t="s">
        <v>16097</v>
      </c>
      <c r="D130" s="74"/>
      <c r="E130" s="74"/>
      <c r="F130" s="74"/>
      <c r="G130" s="74"/>
      <c r="H130" s="73" t="s">
        <v>16098</v>
      </c>
    </row>
    <row r="131" spans="1:8" ht="63.75" x14ac:dyDescent="0.2">
      <c r="A131" s="75" t="s">
        <v>16099</v>
      </c>
      <c r="B131" s="75" t="s">
        <v>1173</v>
      </c>
      <c r="C131" s="75" t="s">
        <v>16100</v>
      </c>
      <c r="D131" s="75"/>
      <c r="E131" s="75"/>
      <c r="F131" s="75"/>
      <c r="G131" s="75"/>
      <c r="H131" s="76" t="s">
        <v>16101</v>
      </c>
    </row>
    <row r="132" spans="1:8" ht="63.75" x14ac:dyDescent="0.2">
      <c r="A132" s="74" t="s">
        <v>16102</v>
      </c>
      <c r="B132" s="74" t="s">
        <v>1176</v>
      </c>
      <c r="C132" s="74" t="s">
        <v>16103</v>
      </c>
      <c r="D132" s="74"/>
      <c r="E132" s="74"/>
      <c r="F132" s="74"/>
      <c r="G132" s="74"/>
      <c r="H132" s="73" t="s">
        <v>16104</v>
      </c>
    </row>
    <row r="133" spans="1:8" ht="76.5" x14ac:dyDescent="0.2">
      <c r="A133" s="74" t="s">
        <v>16105</v>
      </c>
      <c r="B133" s="74" t="s">
        <v>1178</v>
      </c>
      <c r="C133" s="74" t="s">
        <v>16106</v>
      </c>
      <c r="D133" s="74"/>
      <c r="E133" s="74"/>
      <c r="F133" s="74"/>
      <c r="G133" s="74"/>
      <c r="H133" s="73" t="s">
        <v>16107</v>
      </c>
    </row>
    <row r="134" spans="1:8" ht="76.5" x14ac:dyDescent="0.2">
      <c r="A134" s="75" t="s">
        <v>16108</v>
      </c>
      <c r="B134" s="75" t="s">
        <v>1181</v>
      </c>
      <c r="C134" s="75" t="s">
        <v>16109</v>
      </c>
      <c r="D134" s="75"/>
      <c r="E134" s="75"/>
      <c r="F134" s="75"/>
      <c r="G134" s="75"/>
      <c r="H134" s="76" t="s">
        <v>16110</v>
      </c>
    </row>
    <row r="135" spans="1:8" ht="63.75" x14ac:dyDescent="0.2">
      <c r="A135" s="74" t="s">
        <v>16111</v>
      </c>
      <c r="B135" s="74" t="s">
        <v>1206</v>
      </c>
      <c r="C135" s="74" t="s">
        <v>16112</v>
      </c>
      <c r="D135" s="74"/>
      <c r="E135" s="74"/>
      <c r="F135" s="74"/>
      <c r="G135" s="74"/>
      <c r="H135" s="73" t="s">
        <v>16113</v>
      </c>
    </row>
    <row r="136" spans="1:8" ht="63.75" x14ac:dyDescent="0.2">
      <c r="A136" s="74" t="s">
        <v>16114</v>
      </c>
      <c r="B136" s="74" t="s">
        <v>1209</v>
      </c>
      <c r="C136" s="74" t="s">
        <v>16115</v>
      </c>
      <c r="D136" s="74"/>
      <c r="E136" s="74"/>
      <c r="F136" s="74"/>
      <c r="G136" s="74"/>
      <c r="H136" s="73" t="s">
        <v>16116</v>
      </c>
    </row>
    <row r="137" spans="1:8" ht="51" x14ac:dyDescent="0.2">
      <c r="A137" s="75" t="s">
        <v>16117</v>
      </c>
      <c r="B137" s="75" t="s">
        <v>1212</v>
      </c>
      <c r="C137" s="75" t="s">
        <v>16118</v>
      </c>
      <c r="D137" s="75"/>
      <c r="E137" s="75"/>
      <c r="F137" s="75"/>
      <c r="G137" s="75"/>
      <c r="H137" s="76" t="s">
        <v>16119</v>
      </c>
    </row>
    <row r="138" spans="1:8" ht="51" x14ac:dyDescent="0.2">
      <c r="A138" s="74" t="s">
        <v>16120</v>
      </c>
      <c r="B138" s="74" t="s">
        <v>1215</v>
      </c>
      <c r="C138" s="74" t="s">
        <v>16121</v>
      </c>
      <c r="D138" s="74"/>
      <c r="E138" s="74"/>
      <c r="F138" s="74"/>
      <c r="G138" s="74"/>
      <c r="H138" s="73" t="s">
        <v>16122</v>
      </c>
    </row>
    <row r="139" spans="1:8" ht="63.75" x14ac:dyDescent="0.2">
      <c r="A139" s="74" t="s">
        <v>16123</v>
      </c>
      <c r="B139" s="74" t="s">
        <v>1218</v>
      </c>
      <c r="C139" s="74" t="s">
        <v>16124</v>
      </c>
      <c r="D139" s="74"/>
      <c r="E139" s="74"/>
      <c r="F139" s="74"/>
      <c r="G139" s="74"/>
      <c r="H139" s="73" t="s">
        <v>16125</v>
      </c>
    </row>
    <row r="140" spans="1:8" ht="51" x14ac:dyDescent="0.2">
      <c r="A140" s="75" t="s">
        <v>16126</v>
      </c>
      <c r="B140" s="75" t="s">
        <v>1221</v>
      </c>
      <c r="C140" s="75" t="s">
        <v>16127</v>
      </c>
      <c r="D140" s="75"/>
      <c r="E140" s="75"/>
      <c r="F140" s="75"/>
      <c r="G140" s="75"/>
      <c r="H140" s="75" t="s">
        <v>16128</v>
      </c>
    </row>
    <row r="141" spans="1:8" ht="63.75" x14ac:dyDescent="0.2">
      <c r="A141" s="74" t="s">
        <v>16129</v>
      </c>
      <c r="B141" s="74" t="s">
        <v>1224</v>
      </c>
      <c r="C141" s="74" t="s">
        <v>16130</v>
      </c>
      <c r="D141" s="74"/>
      <c r="E141" s="74"/>
      <c r="F141" s="74"/>
      <c r="G141" s="74"/>
      <c r="H141" s="74" t="s">
        <v>16131</v>
      </c>
    </row>
    <row r="142" spans="1:8" ht="51" x14ac:dyDescent="0.2">
      <c r="A142" s="73" t="s">
        <v>16132</v>
      </c>
      <c r="B142" s="73" t="s">
        <v>1227</v>
      </c>
      <c r="C142" s="73" t="s">
        <v>16133</v>
      </c>
      <c r="D142" s="73"/>
      <c r="E142" s="73"/>
      <c r="F142" s="73"/>
      <c r="G142" s="73"/>
      <c r="H142" s="73" t="s">
        <v>16134</v>
      </c>
    </row>
    <row r="143" spans="1:8" ht="51" x14ac:dyDescent="0.2">
      <c r="A143" s="76" t="s">
        <v>16135</v>
      </c>
      <c r="B143" s="76" t="s">
        <v>1230</v>
      </c>
      <c r="C143" s="76" t="s">
        <v>1231</v>
      </c>
      <c r="D143" s="76"/>
      <c r="E143" s="76"/>
      <c r="F143" s="76"/>
      <c r="G143" s="76"/>
      <c r="H143" s="76" t="s">
        <v>16136</v>
      </c>
    </row>
    <row r="144" spans="1:8" ht="76.5" x14ac:dyDescent="0.2">
      <c r="A144" s="74" t="s">
        <v>16137</v>
      </c>
      <c r="B144" s="74" t="s">
        <v>1261</v>
      </c>
      <c r="C144" s="74" t="s">
        <v>16138</v>
      </c>
      <c r="D144" s="74"/>
      <c r="E144" s="74"/>
      <c r="F144" s="74"/>
      <c r="G144" s="74"/>
      <c r="H144" s="73" t="s">
        <v>16139</v>
      </c>
    </row>
    <row r="145" spans="1:8" ht="76.5" x14ac:dyDescent="0.2">
      <c r="A145" s="74" t="s">
        <v>16140</v>
      </c>
      <c r="B145" s="74" t="s">
        <v>1264</v>
      </c>
      <c r="C145" s="74" t="s">
        <v>16141</v>
      </c>
      <c r="D145" s="74"/>
      <c r="E145" s="74"/>
      <c r="F145" s="74"/>
      <c r="G145" s="74"/>
      <c r="H145" s="73" t="s">
        <v>16142</v>
      </c>
    </row>
    <row r="146" spans="1:8" ht="76.5" x14ac:dyDescent="0.2">
      <c r="A146" s="75" t="s">
        <v>16143</v>
      </c>
      <c r="B146" s="75" t="s">
        <v>1266</v>
      </c>
      <c r="C146" s="75" t="s">
        <v>16144</v>
      </c>
      <c r="D146" s="75"/>
      <c r="E146" s="75"/>
      <c r="F146" s="75"/>
      <c r="G146" s="75"/>
      <c r="H146" s="76" t="s">
        <v>16145</v>
      </c>
    </row>
    <row r="147" spans="1:8" ht="76.5" x14ac:dyDescent="0.2">
      <c r="A147" s="74" t="s">
        <v>16146</v>
      </c>
      <c r="B147" s="74" t="s">
        <v>1268</v>
      </c>
      <c r="C147" s="74" t="s">
        <v>16147</v>
      </c>
      <c r="D147" s="74"/>
      <c r="E147" s="74"/>
      <c r="F147" s="74"/>
      <c r="G147" s="74"/>
      <c r="H147" s="73" t="s">
        <v>16148</v>
      </c>
    </row>
    <row r="148" spans="1:8" ht="76.5" x14ac:dyDescent="0.2">
      <c r="A148" s="74" t="s">
        <v>16149</v>
      </c>
      <c r="B148" s="74" t="s">
        <v>1271</v>
      </c>
      <c r="C148" s="74" t="s">
        <v>16150</v>
      </c>
      <c r="D148" s="74"/>
      <c r="E148" s="74"/>
      <c r="F148" s="74"/>
      <c r="G148" s="74"/>
      <c r="H148" s="73" t="s">
        <v>16151</v>
      </c>
    </row>
    <row r="149" spans="1:8" ht="76.5" x14ac:dyDescent="0.2">
      <c r="A149" s="75" t="s">
        <v>16152</v>
      </c>
      <c r="B149" s="75" t="s">
        <v>1289</v>
      </c>
      <c r="C149" s="75" t="s">
        <v>16153</v>
      </c>
      <c r="D149" s="75"/>
      <c r="E149" s="75"/>
      <c r="F149" s="75"/>
      <c r="G149" s="75"/>
      <c r="H149" s="76" t="s">
        <v>16154</v>
      </c>
    </row>
    <row r="150" spans="1:8" ht="76.5" x14ac:dyDescent="0.2">
      <c r="A150" s="74" t="s">
        <v>16155</v>
      </c>
      <c r="B150" s="74" t="s">
        <v>1292</v>
      </c>
      <c r="C150" s="74" t="s">
        <v>16156</v>
      </c>
      <c r="D150" s="74"/>
      <c r="E150" s="74"/>
      <c r="F150" s="74"/>
      <c r="G150" s="74"/>
      <c r="H150" s="73" t="s">
        <v>16157</v>
      </c>
    </row>
    <row r="151" spans="1:8" ht="76.5" x14ac:dyDescent="0.2">
      <c r="A151" s="74" t="s">
        <v>16158</v>
      </c>
      <c r="B151" s="74" t="s">
        <v>1295</v>
      </c>
      <c r="C151" s="74" t="s">
        <v>16159</v>
      </c>
      <c r="D151" s="74"/>
      <c r="E151" s="74"/>
      <c r="F151" s="74"/>
      <c r="G151" s="74"/>
      <c r="H151" s="73" t="s">
        <v>16160</v>
      </c>
    </row>
    <row r="152" spans="1:8" ht="76.5" x14ac:dyDescent="0.2">
      <c r="A152" s="75" t="s">
        <v>16161</v>
      </c>
      <c r="B152" s="75" t="s">
        <v>1298</v>
      </c>
      <c r="C152" s="75" t="s">
        <v>16162</v>
      </c>
      <c r="D152" s="75"/>
      <c r="E152" s="75"/>
      <c r="F152" s="75"/>
      <c r="G152" s="75"/>
      <c r="H152" s="76" t="s">
        <v>16163</v>
      </c>
    </row>
    <row r="153" spans="1:8" ht="76.5" x14ac:dyDescent="0.2">
      <c r="A153" s="74" t="s">
        <v>16164</v>
      </c>
      <c r="B153" s="74" t="s">
        <v>1301</v>
      </c>
      <c r="C153" s="74" t="s">
        <v>16165</v>
      </c>
      <c r="D153" s="74"/>
      <c r="E153" s="74"/>
      <c r="F153" s="74"/>
      <c r="G153" s="74"/>
      <c r="H153" s="73" t="s">
        <v>16166</v>
      </c>
    </row>
    <row r="154" spans="1:8" ht="76.5" x14ac:dyDescent="0.2">
      <c r="A154" s="74" t="s">
        <v>16167</v>
      </c>
      <c r="B154" s="74" t="s">
        <v>1304</v>
      </c>
      <c r="C154" s="74" t="s">
        <v>16168</v>
      </c>
      <c r="D154" s="74"/>
      <c r="E154" s="74"/>
      <c r="F154" s="74"/>
      <c r="G154" s="74"/>
      <c r="H154" s="73" t="s">
        <v>16169</v>
      </c>
    </row>
    <row r="155" spans="1:8" ht="76.5" x14ac:dyDescent="0.2">
      <c r="A155" s="75" t="s">
        <v>16170</v>
      </c>
      <c r="B155" s="75" t="s">
        <v>1306</v>
      </c>
      <c r="C155" s="75" t="s">
        <v>16171</v>
      </c>
      <c r="D155" s="75"/>
      <c r="E155" s="75"/>
      <c r="F155" s="75"/>
      <c r="G155" s="75"/>
      <c r="H155" s="76" t="s">
        <v>16172</v>
      </c>
    </row>
    <row r="156" spans="1:8" ht="76.5" x14ac:dyDescent="0.2">
      <c r="A156" s="74" t="s">
        <v>16173</v>
      </c>
      <c r="B156" s="74" t="s">
        <v>1308</v>
      </c>
      <c r="C156" s="74" t="s">
        <v>16174</v>
      </c>
      <c r="D156" s="74"/>
      <c r="E156" s="74"/>
      <c r="F156" s="74"/>
      <c r="G156" s="74"/>
      <c r="H156" s="73" t="s">
        <v>16175</v>
      </c>
    </row>
    <row r="157" spans="1:8" ht="76.5" x14ac:dyDescent="0.2">
      <c r="A157" s="74" t="s">
        <v>16176</v>
      </c>
      <c r="B157" s="74" t="s">
        <v>1310</v>
      </c>
      <c r="C157" s="74" t="s">
        <v>16177</v>
      </c>
      <c r="D157" s="74"/>
      <c r="E157" s="74"/>
      <c r="F157" s="74"/>
      <c r="G157" s="74"/>
      <c r="H157" s="73" t="s">
        <v>16178</v>
      </c>
    </row>
    <row r="158" spans="1:8" ht="76.5" x14ac:dyDescent="0.2">
      <c r="A158" s="75" t="s">
        <v>16179</v>
      </c>
      <c r="B158" s="75" t="s">
        <v>1312</v>
      </c>
      <c r="C158" s="75" t="s">
        <v>16180</v>
      </c>
      <c r="D158" s="75"/>
      <c r="E158" s="75"/>
      <c r="F158" s="75"/>
      <c r="G158" s="75"/>
      <c r="H158" s="76" t="s">
        <v>16181</v>
      </c>
    </row>
    <row r="159" spans="1:8" ht="51" x14ac:dyDescent="0.2">
      <c r="A159" s="74" t="s">
        <v>16182</v>
      </c>
      <c r="B159" s="74" t="s">
        <v>1318</v>
      </c>
      <c r="C159" s="74" t="s">
        <v>16183</v>
      </c>
      <c r="D159" s="74"/>
      <c r="E159" s="74"/>
      <c r="F159" s="74"/>
      <c r="G159" s="74"/>
      <c r="H159" s="73" t="s">
        <v>16184</v>
      </c>
    </row>
    <row r="160" spans="1:8" ht="51" x14ac:dyDescent="0.2">
      <c r="A160" s="74" t="s">
        <v>16185</v>
      </c>
      <c r="B160" s="74" t="s">
        <v>1321</v>
      </c>
      <c r="C160" s="74" t="s">
        <v>16186</v>
      </c>
      <c r="D160" s="74"/>
      <c r="E160" s="74"/>
      <c r="F160" s="74"/>
      <c r="G160" s="74"/>
      <c r="H160" s="73" t="s">
        <v>16187</v>
      </c>
    </row>
    <row r="161" spans="1:8" ht="63.75" x14ac:dyDescent="0.2">
      <c r="A161" s="75" t="s">
        <v>16188</v>
      </c>
      <c r="B161" s="75" t="s">
        <v>1326</v>
      </c>
      <c r="C161" s="75" t="s">
        <v>16189</v>
      </c>
      <c r="D161" s="75"/>
      <c r="E161" s="75"/>
      <c r="F161" s="75"/>
      <c r="G161" s="75"/>
      <c r="H161" s="76" t="s">
        <v>16190</v>
      </c>
    </row>
    <row r="162" spans="1:8" ht="63.75" x14ac:dyDescent="0.2">
      <c r="A162" s="74" t="s">
        <v>16191</v>
      </c>
      <c r="B162" s="74" t="s">
        <v>1329</v>
      </c>
      <c r="C162" s="74" t="s">
        <v>16192</v>
      </c>
      <c r="D162" s="74"/>
      <c r="E162" s="74"/>
      <c r="F162" s="74"/>
      <c r="G162" s="74"/>
      <c r="H162" s="73" t="s">
        <v>16193</v>
      </c>
    </row>
    <row r="163" spans="1:8" ht="63.75" x14ac:dyDescent="0.2">
      <c r="A163" s="74" t="s">
        <v>16194</v>
      </c>
      <c r="B163" s="74" t="s">
        <v>1332</v>
      </c>
      <c r="C163" s="74" t="s">
        <v>16195</v>
      </c>
      <c r="D163" s="74"/>
      <c r="E163" s="74"/>
      <c r="F163" s="74"/>
      <c r="G163" s="74"/>
      <c r="H163" s="74" t="s">
        <v>16196</v>
      </c>
    </row>
    <row r="164" spans="1:8" ht="63.75" x14ac:dyDescent="0.2">
      <c r="A164" s="75" t="s">
        <v>16197</v>
      </c>
      <c r="B164" s="75" t="s">
        <v>1335</v>
      </c>
      <c r="C164" s="75" t="s">
        <v>16198</v>
      </c>
      <c r="D164" s="75"/>
      <c r="E164" s="75"/>
      <c r="F164" s="75"/>
      <c r="G164" s="75"/>
      <c r="H164" s="76" t="s">
        <v>16199</v>
      </c>
    </row>
    <row r="165" spans="1:8" ht="63.75" x14ac:dyDescent="0.2">
      <c r="A165" s="74" t="s">
        <v>16200</v>
      </c>
      <c r="B165" s="74" t="s">
        <v>1338</v>
      </c>
      <c r="C165" s="74" t="s">
        <v>16201</v>
      </c>
      <c r="D165" s="74"/>
      <c r="E165" s="74"/>
      <c r="F165" s="74"/>
      <c r="G165" s="74"/>
      <c r="H165" s="73" t="s">
        <v>16202</v>
      </c>
    </row>
    <row r="166" spans="1:8" ht="63.75" x14ac:dyDescent="0.2">
      <c r="A166" s="74" t="s">
        <v>16203</v>
      </c>
      <c r="B166" s="74" t="s">
        <v>1341</v>
      </c>
      <c r="C166" s="74" t="s">
        <v>16204</v>
      </c>
      <c r="D166" s="74"/>
      <c r="E166" s="74"/>
      <c r="F166" s="74"/>
      <c r="G166" s="74"/>
      <c r="H166" s="74" t="s">
        <v>16205</v>
      </c>
    </row>
    <row r="167" spans="1:8" ht="63.75" x14ac:dyDescent="0.2">
      <c r="A167" s="75" t="s">
        <v>16206</v>
      </c>
      <c r="B167" s="75" t="s">
        <v>1344</v>
      </c>
      <c r="C167" s="75" t="s">
        <v>16207</v>
      </c>
      <c r="D167" s="75"/>
      <c r="E167" s="75"/>
      <c r="F167" s="75"/>
      <c r="G167" s="75"/>
      <c r="H167" s="75" t="s">
        <v>16208</v>
      </c>
    </row>
    <row r="168" spans="1:8" ht="63.75" x14ac:dyDescent="0.2">
      <c r="A168" s="74" t="s">
        <v>16209</v>
      </c>
      <c r="B168" s="74" t="s">
        <v>1346</v>
      </c>
      <c r="C168" s="74" t="s">
        <v>16210</v>
      </c>
      <c r="D168" s="74"/>
      <c r="E168" s="74"/>
      <c r="F168" s="74"/>
      <c r="G168" s="74"/>
      <c r="H168" s="74" t="s">
        <v>16211</v>
      </c>
    </row>
    <row r="169" spans="1:8" ht="51" x14ac:dyDescent="0.2">
      <c r="A169" s="74" t="s">
        <v>16212</v>
      </c>
      <c r="B169" s="74" t="s">
        <v>1348</v>
      </c>
      <c r="C169" s="74" t="s">
        <v>16213</v>
      </c>
      <c r="D169" s="74"/>
      <c r="E169" s="74"/>
      <c r="F169" s="74"/>
      <c r="G169" s="74"/>
      <c r="H169" s="74" t="s">
        <v>16214</v>
      </c>
    </row>
    <row r="170" spans="1:8" ht="51" x14ac:dyDescent="0.2">
      <c r="A170" s="75" t="s">
        <v>16215</v>
      </c>
      <c r="B170" s="75" t="s">
        <v>1351</v>
      </c>
      <c r="C170" s="75" t="s">
        <v>16216</v>
      </c>
      <c r="D170" s="75"/>
      <c r="E170" s="75"/>
      <c r="F170" s="75"/>
      <c r="G170" s="75"/>
      <c r="H170" s="75" t="s">
        <v>16217</v>
      </c>
    </row>
    <row r="171" spans="1:8" ht="76.5" x14ac:dyDescent="0.2">
      <c r="A171" s="74" t="s">
        <v>16218</v>
      </c>
      <c r="B171" s="74" t="s">
        <v>1353</v>
      </c>
      <c r="C171" s="74" t="s">
        <v>16219</v>
      </c>
      <c r="D171" s="74"/>
      <c r="E171" s="74"/>
      <c r="F171" s="74"/>
      <c r="G171" s="74"/>
      <c r="H171" s="74" t="s">
        <v>16220</v>
      </c>
    </row>
    <row r="172" spans="1:8" ht="76.5" x14ac:dyDescent="0.2">
      <c r="A172" s="74" t="s">
        <v>16221</v>
      </c>
      <c r="B172" s="74" t="s">
        <v>1356</v>
      </c>
      <c r="C172" s="74" t="s">
        <v>16222</v>
      </c>
      <c r="D172" s="74"/>
      <c r="E172" s="74"/>
      <c r="F172" s="74"/>
      <c r="G172" s="74"/>
      <c r="H172" s="74" t="s">
        <v>16223</v>
      </c>
    </row>
    <row r="173" spans="1:8" ht="76.5" x14ac:dyDescent="0.2">
      <c r="A173" s="75" t="s">
        <v>16224</v>
      </c>
      <c r="B173" s="75" t="s">
        <v>1359</v>
      </c>
      <c r="C173" s="75" t="s">
        <v>16225</v>
      </c>
      <c r="D173" s="75"/>
      <c r="E173" s="75"/>
      <c r="F173" s="75"/>
      <c r="G173" s="75"/>
      <c r="H173" s="75" t="s">
        <v>16226</v>
      </c>
    </row>
    <row r="174" spans="1:8" ht="76.5" x14ac:dyDescent="0.2">
      <c r="A174" s="74" t="s">
        <v>16227</v>
      </c>
      <c r="B174" s="74" t="s">
        <v>1362</v>
      </c>
      <c r="C174" s="74" t="s">
        <v>16228</v>
      </c>
      <c r="D174" s="74"/>
      <c r="E174" s="74"/>
      <c r="F174" s="74"/>
      <c r="G174" s="74"/>
      <c r="H174" s="74" t="s">
        <v>16229</v>
      </c>
    </row>
    <row r="175" spans="1:8" ht="76.5" x14ac:dyDescent="0.2">
      <c r="A175" s="74" t="s">
        <v>16230</v>
      </c>
      <c r="B175" s="74" t="s">
        <v>1365</v>
      </c>
      <c r="C175" s="74" t="s">
        <v>16231</v>
      </c>
      <c r="D175" s="74"/>
      <c r="E175" s="74"/>
      <c r="F175" s="74"/>
      <c r="G175" s="74"/>
      <c r="H175" s="74" t="s">
        <v>16232</v>
      </c>
    </row>
    <row r="176" spans="1:8" ht="76.5" x14ac:dyDescent="0.2">
      <c r="A176" s="75" t="s">
        <v>16233</v>
      </c>
      <c r="B176" s="75" t="s">
        <v>1368</v>
      </c>
      <c r="C176" s="75" t="s">
        <v>16234</v>
      </c>
      <c r="D176" s="75"/>
      <c r="E176" s="75"/>
      <c r="F176" s="75"/>
      <c r="G176" s="75"/>
      <c r="H176" s="75" t="s">
        <v>16235</v>
      </c>
    </row>
    <row r="177" spans="1:8" ht="89.25" x14ac:dyDescent="0.2">
      <c r="A177" s="74" t="s">
        <v>16236</v>
      </c>
      <c r="B177" s="74" t="s">
        <v>1371</v>
      </c>
      <c r="C177" s="74" t="s">
        <v>16237</v>
      </c>
      <c r="D177" s="74"/>
      <c r="E177" s="74"/>
      <c r="F177" s="74"/>
      <c r="G177" s="74"/>
      <c r="H177" s="74" t="s">
        <v>16238</v>
      </c>
    </row>
    <row r="178" spans="1:8" ht="76.5" x14ac:dyDescent="0.2">
      <c r="A178" s="74" t="s">
        <v>16239</v>
      </c>
      <c r="B178" s="74" t="s">
        <v>1374</v>
      </c>
      <c r="C178" s="74" t="s">
        <v>16240</v>
      </c>
      <c r="D178" s="74"/>
      <c r="E178" s="74"/>
      <c r="F178" s="74"/>
      <c r="G178" s="74"/>
      <c r="H178" s="74" t="s">
        <v>16241</v>
      </c>
    </row>
    <row r="179" spans="1:8" ht="89.25" x14ac:dyDescent="0.2">
      <c r="A179" s="75" t="s">
        <v>16242</v>
      </c>
      <c r="B179" s="75" t="s">
        <v>1377</v>
      </c>
      <c r="C179" s="75" t="s">
        <v>16243</v>
      </c>
      <c r="D179" s="75"/>
      <c r="E179" s="75"/>
      <c r="F179" s="75"/>
      <c r="G179" s="75"/>
      <c r="H179" s="75" t="s">
        <v>16244</v>
      </c>
    </row>
    <row r="180" spans="1:8" ht="89.25" x14ac:dyDescent="0.2">
      <c r="A180" s="74" t="s">
        <v>16245</v>
      </c>
      <c r="B180" s="74" t="s">
        <v>1380</v>
      </c>
      <c r="C180" s="74" t="s">
        <v>16246</v>
      </c>
      <c r="D180" s="74"/>
      <c r="E180" s="74"/>
      <c r="F180" s="74"/>
      <c r="G180" s="74"/>
      <c r="H180" s="74" t="s">
        <v>16247</v>
      </c>
    </row>
    <row r="181" spans="1:8" ht="89.25" x14ac:dyDescent="0.2">
      <c r="A181" s="74" t="s">
        <v>16248</v>
      </c>
      <c r="B181" s="74" t="s">
        <v>1383</v>
      </c>
      <c r="C181" s="74" t="s">
        <v>16249</v>
      </c>
      <c r="D181" s="74"/>
      <c r="E181" s="74"/>
      <c r="F181" s="74"/>
      <c r="G181" s="74"/>
      <c r="H181" s="74" t="s">
        <v>16250</v>
      </c>
    </row>
    <row r="182" spans="1:8" ht="89.25" x14ac:dyDescent="0.2">
      <c r="A182" s="75" t="s">
        <v>16251</v>
      </c>
      <c r="B182" s="75" t="s">
        <v>1385</v>
      </c>
      <c r="C182" s="75" t="s">
        <v>16252</v>
      </c>
      <c r="D182" s="75"/>
      <c r="E182" s="75"/>
      <c r="F182" s="75"/>
      <c r="G182" s="75"/>
      <c r="H182" s="75" t="s">
        <v>16253</v>
      </c>
    </row>
    <row r="183" spans="1:8" ht="89.25" x14ac:dyDescent="0.2">
      <c r="A183" s="74" t="s">
        <v>16254</v>
      </c>
      <c r="B183" s="74" t="s">
        <v>1388</v>
      </c>
      <c r="C183" s="74" t="s">
        <v>16255</v>
      </c>
      <c r="D183" s="74"/>
      <c r="E183" s="74"/>
      <c r="F183" s="74"/>
      <c r="G183" s="74"/>
      <c r="H183" s="74" t="s">
        <v>16256</v>
      </c>
    </row>
    <row r="184" spans="1:8" ht="89.25" x14ac:dyDescent="0.2">
      <c r="A184" s="74" t="s">
        <v>16257</v>
      </c>
      <c r="B184" s="74" t="s">
        <v>1390</v>
      </c>
      <c r="C184" s="74" t="s">
        <v>16258</v>
      </c>
      <c r="D184" s="74"/>
      <c r="E184" s="74"/>
      <c r="F184" s="74"/>
      <c r="G184" s="74"/>
      <c r="H184" s="74" t="s">
        <v>16259</v>
      </c>
    </row>
    <row r="185" spans="1:8" ht="89.25" x14ac:dyDescent="0.2">
      <c r="A185" s="75" t="s">
        <v>16260</v>
      </c>
      <c r="B185" s="75" t="s">
        <v>1393</v>
      </c>
      <c r="C185" s="75" t="s">
        <v>16261</v>
      </c>
      <c r="D185" s="75"/>
      <c r="E185" s="75"/>
      <c r="F185" s="75"/>
      <c r="G185" s="75"/>
      <c r="H185" s="75" t="s">
        <v>16262</v>
      </c>
    </row>
    <row r="186" spans="1:8" ht="76.5" x14ac:dyDescent="0.2">
      <c r="A186" s="74" t="s">
        <v>16263</v>
      </c>
      <c r="B186" s="74" t="s">
        <v>1397</v>
      </c>
      <c r="C186" s="74" t="s">
        <v>16264</v>
      </c>
      <c r="D186" s="74"/>
      <c r="E186" s="74"/>
      <c r="F186" s="74"/>
      <c r="G186" s="74"/>
      <c r="H186" s="73" t="s">
        <v>16265</v>
      </c>
    </row>
    <row r="187" spans="1:8" ht="76.5" x14ac:dyDescent="0.2">
      <c r="A187" s="74" t="s">
        <v>16266</v>
      </c>
      <c r="B187" s="74" t="s">
        <v>1400</v>
      </c>
      <c r="C187" s="74" t="s">
        <v>16267</v>
      </c>
      <c r="D187" s="74"/>
      <c r="E187" s="74"/>
      <c r="F187" s="74"/>
      <c r="G187" s="74"/>
      <c r="H187" s="73" t="s">
        <v>16268</v>
      </c>
    </row>
    <row r="188" spans="1:8" ht="51" x14ac:dyDescent="0.2">
      <c r="A188" s="75" t="s">
        <v>16269</v>
      </c>
      <c r="B188" s="75" t="s">
        <v>1402</v>
      </c>
      <c r="C188" s="75" t="s">
        <v>16270</v>
      </c>
      <c r="D188" s="75"/>
      <c r="E188" s="75"/>
      <c r="F188" s="75"/>
      <c r="G188" s="75"/>
      <c r="H188" s="76" t="s">
        <v>16271</v>
      </c>
    </row>
    <row r="189" spans="1:8" ht="51" x14ac:dyDescent="0.2">
      <c r="A189" s="74" t="s">
        <v>16272</v>
      </c>
      <c r="B189" s="74" t="s">
        <v>1407</v>
      </c>
      <c r="C189" s="74" t="s">
        <v>16273</v>
      </c>
      <c r="D189" s="74"/>
      <c r="E189" s="74"/>
      <c r="F189" s="74"/>
      <c r="G189" s="74"/>
      <c r="H189" s="73" t="s">
        <v>16274</v>
      </c>
    </row>
    <row r="190" spans="1:8" ht="51" x14ac:dyDescent="0.2">
      <c r="A190" s="74" t="s">
        <v>16275</v>
      </c>
      <c r="B190" s="74" t="s">
        <v>1410</v>
      </c>
      <c r="C190" s="74" t="s">
        <v>16276</v>
      </c>
      <c r="D190" s="74"/>
      <c r="E190" s="74"/>
      <c r="F190" s="74"/>
      <c r="G190" s="74"/>
      <c r="H190" s="73" t="s">
        <v>16277</v>
      </c>
    </row>
    <row r="191" spans="1:8" ht="12.75" x14ac:dyDescent="0.2">
      <c r="A191" s="46" t="s">
        <v>16278</v>
      </c>
      <c r="B191" s="46" t="s">
        <v>1416</v>
      </c>
      <c r="C191" s="46" t="s">
        <v>1417</v>
      </c>
      <c r="D191" s="46"/>
      <c r="E191" s="46"/>
      <c r="F191" s="46"/>
      <c r="G191" s="46"/>
      <c r="H191" s="46" t="s">
        <v>16279</v>
      </c>
    </row>
    <row r="192" spans="1:8" ht="25.5" x14ac:dyDescent="0.2">
      <c r="A192" s="74" t="s">
        <v>16280</v>
      </c>
      <c r="B192" s="74" t="s">
        <v>1461</v>
      </c>
      <c r="C192" s="74" t="s">
        <v>16281</v>
      </c>
      <c r="D192" s="74"/>
      <c r="E192" s="74"/>
      <c r="F192" s="74"/>
      <c r="G192" s="74"/>
      <c r="H192" s="14" t="s">
        <v>16282</v>
      </c>
    </row>
    <row r="193" spans="1:8" ht="25.5" x14ac:dyDescent="0.2">
      <c r="A193" s="14" t="s">
        <v>16283</v>
      </c>
      <c r="B193" s="14" t="s">
        <v>1474</v>
      </c>
      <c r="C193" s="14" t="s">
        <v>1475</v>
      </c>
      <c r="D193" s="14"/>
      <c r="E193" s="14"/>
      <c r="F193" s="14"/>
      <c r="G193" s="14"/>
      <c r="H193" s="73" t="s">
        <v>16284</v>
      </c>
    </row>
    <row r="194" spans="1:8" ht="89.25" x14ac:dyDescent="0.2">
      <c r="A194" s="75" t="s">
        <v>16285</v>
      </c>
      <c r="B194" s="75" t="s">
        <v>1493</v>
      </c>
      <c r="C194" s="75" t="s">
        <v>16286</v>
      </c>
      <c r="D194" s="75"/>
      <c r="E194" s="75"/>
      <c r="F194" s="75"/>
      <c r="G194" s="75"/>
      <c r="H194" s="46" t="s">
        <v>16287</v>
      </c>
    </row>
    <row r="195" spans="1:8" ht="165.75" x14ac:dyDescent="0.2">
      <c r="A195" s="22" t="s">
        <v>16288</v>
      </c>
      <c r="B195" s="22" t="s">
        <v>16289</v>
      </c>
      <c r="C195" s="22"/>
      <c r="D195" s="22"/>
      <c r="E195" s="22"/>
      <c r="F195" s="22"/>
      <c r="G195" s="22"/>
      <c r="H195" s="74" t="s">
        <v>16290</v>
      </c>
    </row>
    <row r="196" spans="1:8" ht="63.75" x14ac:dyDescent="0.2">
      <c r="A196" s="75" t="s">
        <v>16291</v>
      </c>
      <c r="B196" s="75" t="s">
        <v>16292</v>
      </c>
      <c r="C196" s="75"/>
      <c r="D196" s="75"/>
      <c r="E196" s="75"/>
      <c r="F196" s="75"/>
      <c r="G196" s="75"/>
      <c r="H196" s="75" t="s">
        <v>16293</v>
      </c>
    </row>
    <row r="197" spans="1:8" ht="51" x14ac:dyDescent="0.2">
      <c r="A197" s="74" t="s">
        <v>16294</v>
      </c>
      <c r="B197" s="74" t="s">
        <v>1507</v>
      </c>
      <c r="C197" s="74" t="s">
        <v>16295</v>
      </c>
      <c r="D197" s="74"/>
      <c r="E197" s="74"/>
      <c r="F197" s="74"/>
      <c r="G197" s="74"/>
      <c r="H197" s="74" t="s">
        <v>16296</v>
      </c>
    </row>
    <row r="198" spans="1:8" ht="127.5" x14ac:dyDescent="0.2">
      <c r="A198" s="22" t="s">
        <v>16297</v>
      </c>
      <c r="B198" s="22" t="s">
        <v>16298</v>
      </c>
      <c r="C198" s="22"/>
      <c r="D198" s="22"/>
      <c r="E198" s="22"/>
      <c r="F198" s="22"/>
      <c r="G198" s="22"/>
      <c r="H198" s="74" t="s">
        <v>16299</v>
      </c>
    </row>
    <row r="199" spans="1:8" ht="63.75" x14ac:dyDescent="0.2">
      <c r="A199" s="75" t="s">
        <v>16300</v>
      </c>
      <c r="B199" s="75" t="s">
        <v>16301</v>
      </c>
      <c r="C199" s="75"/>
      <c r="D199" s="75"/>
      <c r="E199" s="75"/>
      <c r="F199" s="75"/>
      <c r="G199" s="75"/>
      <c r="H199" s="76" t="s">
        <v>16302</v>
      </c>
    </row>
    <row r="200" spans="1:8" ht="307.5" x14ac:dyDescent="0.2">
      <c r="A200" s="49" t="s">
        <v>16303</v>
      </c>
      <c r="B200" s="49" t="s">
        <v>1516</v>
      </c>
      <c r="C200" s="49" t="s">
        <v>16304</v>
      </c>
      <c r="D200" s="49"/>
      <c r="E200" s="49"/>
      <c r="F200" s="49"/>
      <c r="G200" s="49"/>
      <c r="H200" s="75" t="s">
        <v>16305</v>
      </c>
    </row>
    <row r="201" spans="1:8" ht="178.5" x14ac:dyDescent="0.2">
      <c r="A201" s="49" t="s">
        <v>16306</v>
      </c>
      <c r="B201" s="49" t="s">
        <v>1521</v>
      </c>
      <c r="C201" s="49" t="s">
        <v>16307</v>
      </c>
      <c r="D201" s="49"/>
      <c r="E201" s="49"/>
      <c r="F201" s="49"/>
      <c r="G201" s="49"/>
      <c r="H201" s="75" t="s">
        <v>16308</v>
      </c>
    </row>
    <row r="202" spans="1:8" ht="192.75" x14ac:dyDescent="0.2">
      <c r="A202" s="49" t="s">
        <v>16309</v>
      </c>
      <c r="B202" s="49" t="s">
        <v>1528</v>
      </c>
      <c r="C202" s="49" t="s">
        <v>16310</v>
      </c>
      <c r="D202" s="49"/>
      <c r="E202" s="49"/>
      <c r="F202" s="49"/>
      <c r="G202" s="49"/>
      <c r="H202" s="75" t="s">
        <v>16311</v>
      </c>
    </row>
    <row r="203" spans="1:8" ht="63.75" x14ac:dyDescent="0.2">
      <c r="A203" s="22" t="s">
        <v>16312</v>
      </c>
      <c r="B203" s="22" t="s">
        <v>16313</v>
      </c>
      <c r="C203" s="22"/>
      <c r="D203" s="22"/>
      <c r="E203" s="22"/>
      <c r="F203" s="22"/>
      <c r="G203" s="22"/>
      <c r="H203" s="74" t="s">
        <v>16314</v>
      </c>
    </row>
    <row r="204" spans="1:8" ht="63.75" x14ac:dyDescent="0.2">
      <c r="A204" s="75" t="s">
        <v>16315</v>
      </c>
      <c r="B204" s="75" t="s">
        <v>16316</v>
      </c>
      <c r="C204" s="75"/>
      <c r="D204" s="75"/>
      <c r="E204" s="75"/>
      <c r="F204" s="75"/>
      <c r="G204" s="75"/>
      <c r="H204" s="75" t="s">
        <v>16317</v>
      </c>
    </row>
    <row r="205" spans="1:8" ht="114.75" x14ac:dyDescent="0.2">
      <c r="A205" s="22" t="s">
        <v>16318</v>
      </c>
      <c r="B205" s="22" t="s">
        <v>1537</v>
      </c>
      <c r="C205" s="22" t="s">
        <v>16319</v>
      </c>
      <c r="D205" s="22"/>
      <c r="E205" s="22"/>
      <c r="F205" s="22"/>
      <c r="G205" s="22"/>
      <c r="H205" s="74" t="s">
        <v>16320</v>
      </c>
    </row>
    <row r="206" spans="1:8" ht="127.5" x14ac:dyDescent="0.2">
      <c r="A206" s="49" t="s">
        <v>16321</v>
      </c>
      <c r="B206" s="49" t="s">
        <v>1540</v>
      </c>
      <c r="C206" s="49" t="s">
        <v>16322</v>
      </c>
      <c r="D206" s="49"/>
      <c r="E206" s="49"/>
      <c r="F206" s="49"/>
      <c r="G206" s="49"/>
      <c r="H206" s="75" t="s">
        <v>16323</v>
      </c>
    </row>
    <row r="207" spans="1:8" ht="178.5" x14ac:dyDescent="0.2">
      <c r="A207" s="22" t="s">
        <v>16324</v>
      </c>
      <c r="B207" s="22" t="s">
        <v>16325</v>
      </c>
      <c r="C207" s="22"/>
      <c r="D207" s="22"/>
      <c r="E207" s="22"/>
      <c r="F207" s="22"/>
      <c r="G207" s="22"/>
      <c r="H207" s="74" t="s">
        <v>16326</v>
      </c>
    </row>
    <row r="208" spans="1:8" ht="51" x14ac:dyDescent="0.2">
      <c r="A208" s="75" t="s">
        <v>16327</v>
      </c>
      <c r="B208" s="75" t="s">
        <v>16328</v>
      </c>
      <c r="C208" s="75"/>
      <c r="D208" s="75"/>
      <c r="E208" s="75"/>
      <c r="F208" s="75"/>
      <c r="G208" s="75"/>
      <c r="H208" s="75" t="s">
        <v>16329</v>
      </c>
    </row>
    <row r="209" spans="1:8" ht="12.75" x14ac:dyDescent="0.2">
      <c r="A209" s="77"/>
      <c r="B209" s="77"/>
      <c r="C209" s="77"/>
      <c r="D209" s="77"/>
      <c r="E209" s="77"/>
      <c r="F209" s="77"/>
      <c r="G209" s="77"/>
      <c r="H209" s="76" t="s">
        <v>16330</v>
      </c>
    </row>
    <row r="210" spans="1:8" ht="12.75" x14ac:dyDescent="0.2">
      <c r="A210" s="78"/>
      <c r="B210" s="78"/>
      <c r="C210" s="78"/>
      <c r="D210" s="78"/>
      <c r="E210" s="78"/>
      <c r="F210" s="78"/>
      <c r="G210" s="78"/>
      <c r="H210" s="79" t="s">
        <v>16331</v>
      </c>
    </row>
    <row r="211" spans="1:8" ht="12.75" x14ac:dyDescent="0.2">
      <c r="A211" s="78"/>
      <c r="B211" s="78"/>
      <c r="C211" s="78"/>
      <c r="D211" s="78"/>
      <c r="E211" s="78"/>
      <c r="F211" s="78"/>
      <c r="G211" s="78"/>
      <c r="H211" s="79" t="s">
        <v>16332</v>
      </c>
    </row>
    <row r="212" spans="1:8" ht="12.75" x14ac:dyDescent="0.2">
      <c r="A212" s="78"/>
      <c r="B212" s="78"/>
      <c r="C212" s="78"/>
      <c r="D212" s="78"/>
      <c r="E212" s="78"/>
      <c r="F212" s="78"/>
      <c r="G212" s="78"/>
      <c r="H212" s="79" t="s">
        <v>16333</v>
      </c>
    </row>
    <row r="213" spans="1:8" ht="12.75" x14ac:dyDescent="0.2">
      <c r="A213" s="78"/>
      <c r="B213" s="78"/>
      <c r="C213" s="78"/>
      <c r="D213" s="78"/>
      <c r="E213" s="78"/>
      <c r="F213" s="78"/>
      <c r="G213" s="78"/>
      <c r="H213" s="79" t="s">
        <v>16334</v>
      </c>
    </row>
    <row r="214" spans="1:8" ht="12.75" x14ac:dyDescent="0.2">
      <c r="A214" s="78"/>
      <c r="B214" s="78"/>
      <c r="C214" s="78"/>
      <c r="D214" s="78"/>
      <c r="E214" s="78"/>
      <c r="F214" s="78"/>
      <c r="G214" s="78"/>
      <c r="H214" s="79" t="s">
        <v>16335</v>
      </c>
    </row>
    <row r="215" spans="1:8" ht="12.75" x14ac:dyDescent="0.2">
      <c r="A215" s="78"/>
      <c r="B215" s="78"/>
      <c r="C215" s="78"/>
      <c r="D215" s="78"/>
      <c r="E215" s="78"/>
      <c r="F215" s="78"/>
      <c r="G215" s="78"/>
      <c r="H215" s="79" t="s">
        <v>16336</v>
      </c>
    </row>
    <row r="216" spans="1:8" ht="12.75" x14ac:dyDescent="0.2">
      <c r="A216" s="78"/>
      <c r="B216" s="78"/>
      <c r="C216" s="78"/>
      <c r="D216" s="78"/>
      <c r="E216" s="78"/>
      <c r="F216" s="78"/>
      <c r="G216" s="78"/>
      <c r="H216" s="79" t="s">
        <v>16337</v>
      </c>
    </row>
    <row r="217" spans="1:8" ht="12.75" x14ac:dyDescent="0.2">
      <c r="A217" s="78"/>
      <c r="B217" s="78"/>
      <c r="C217" s="78"/>
      <c r="D217" s="78"/>
      <c r="E217" s="78"/>
      <c r="F217" s="78"/>
      <c r="G217" s="78"/>
      <c r="H217" s="79" t="s">
        <v>16338</v>
      </c>
    </row>
    <row r="218" spans="1:8" ht="12.75" x14ac:dyDescent="0.2">
      <c r="A218" s="78"/>
      <c r="B218" s="78"/>
      <c r="C218" s="78"/>
      <c r="D218" s="78"/>
      <c r="E218" s="78"/>
      <c r="F218" s="78"/>
      <c r="G218" s="78"/>
      <c r="H218" s="79" t="s">
        <v>16339</v>
      </c>
    </row>
    <row r="219" spans="1:8" ht="12.75" x14ac:dyDescent="0.2">
      <c r="A219" s="78"/>
      <c r="B219" s="78"/>
      <c r="C219" s="78"/>
      <c r="D219" s="78"/>
      <c r="E219" s="78"/>
      <c r="F219" s="78"/>
      <c r="G219" s="78"/>
      <c r="H219" s="79" t="s">
        <v>16340</v>
      </c>
    </row>
    <row r="220" spans="1:8" ht="12.75" x14ac:dyDescent="0.2">
      <c r="A220" s="78"/>
      <c r="B220" s="78"/>
      <c r="C220" s="78"/>
      <c r="D220" s="78"/>
      <c r="E220" s="78"/>
      <c r="F220" s="78"/>
      <c r="G220" s="78"/>
      <c r="H220" s="79" t="s">
        <v>16341</v>
      </c>
    </row>
    <row r="221" spans="1:8" ht="12.75" x14ac:dyDescent="0.2">
      <c r="A221" s="79" t="s">
        <v>16342</v>
      </c>
      <c r="B221" s="79" t="s">
        <v>16343</v>
      </c>
      <c r="C221" s="79"/>
      <c r="D221" s="79"/>
      <c r="E221" s="79"/>
      <c r="F221" s="79"/>
      <c r="G221" s="79"/>
      <c r="H221" s="79" t="s">
        <v>16344</v>
      </c>
    </row>
    <row r="222" spans="1:8" ht="12.75" x14ac:dyDescent="0.2">
      <c r="A222" s="79" t="s">
        <v>16345</v>
      </c>
      <c r="B222" s="79" t="s">
        <v>16346</v>
      </c>
      <c r="C222" s="79"/>
      <c r="D222" s="79"/>
      <c r="E222" s="79"/>
      <c r="F222" s="79"/>
      <c r="G222" s="79"/>
      <c r="H222" s="79" t="s">
        <v>16347</v>
      </c>
    </row>
    <row r="223" spans="1:8" ht="12.75" x14ac:dyDescent="0.2">
      <c r="A223" s="79" t="s">
        <v>16348</v>
      </c>
      <c r="B223" s="79" t="s">
        <v>16349</v>
      </c>
      <c r="C223" s="79"/>
      <c r="D223" s="79"/>
      <c r="E223" s="79"/>
      <c r="F223" s="79"/>
      <c r="G223" s="79"/>
      <c r="H223" s="79" t="s">
        <v>16350</v>
      </c>
    </row>
    <row r="224" spans="1:8" ht="12.75" x14ac:dyDescent="0.2">
      <c r="A224" s="79" t="s">
        <v>16351</v>
      </c>
      <c r="B224" s="79" t="s">
        <v>16352</v>
      </c>
      <c r="C224" s="79"/>
      <c r="D224" s="79"/>
      <c r="E224" s="79"/>
      <c r="F224" s="79"/>
      <c r="G224" s="79"/>
      <c r="H224" s="79" t="s">
        <v>16353</v>
      </c>
    </row>
    <row r="225" spans="1:8" ht="12.75" x14ac:dyDescent="0.2">
      <c r="A225" s="78"/>
      <c r="B225" s="78"/>
      <c r="C225" s="78"/>
      <c r="D225" s="78"/>
      <c r="E225" s="78"/>
      <c r="F225" s="78"/>
      <c r="G225" s="78"/>
      <c r="H225" s="79" t="s">
        <v>16354</v>
      </c>
    </row>
    <row r="226" spans="1:8" ht="12.75" x14ac:dyDescent="0.2">
      <c r="A226" s="78"/>
      <c r="B226" s="78"/>
      <c r="C226" s="78"/>
      <c r="D226" s="78"/>
      <c r="E226" s="78"/>
      <c r="F226" s="78"/>
      <c r="G226" s="78"/>
      <c r="H226" s="79" t="s">
        <v>16355</v>
      </c>
    </row>
    <row r="227" spans="1:8" ht="12.75" x14ac:dyDescent="0.2">
      <c r="A227" s="78"/>
      <c r="B227" s="78"/>
      <c r="C227" s="78"/>
      <c r="D227" s="78"/>
      <c r="E227" s="78"/>
      <c r="F227" s="78"/>
      <c r="G227" s="78"/>
      <c r="H227" s="79" t="s">
        <v>16356</v>
      </c>
    </row>
    <row r="228" spans="1:8" ht="12.75" x14ac:dyDescent="0.2">
      <c r="A228" s="78"/>
      <c r="B228" s="78"/>
      <c r="C228" s="78"/>
      <c r="D228" s="78"/>
      <c r="E228" s="78"/>
      <c r="F228" s="78"/>
      <c r="G228" s="78"/>
      <c r="H228" s="79" t="s">
        <v>16357</v>
      </c>
    </row>
    <row r="229" spans="1:8" ht="12.75" x14ac:dyDescent="0.2">
      <c r="A229" s="78"/>
      <c r="B229" s="78"/>
      <c r="C229" s="78"/>
      <c r="D229" s="78"/>
      <c r="E229" s="78"/>
      <c r="F229" s="78"/>
      <c r="G229" s="78"/>
      <c r="H229" s="79" t="s">
        <v>16358</v>
      </c>
    </row>
    <row r="230" spans="1:8" ht="12.75" x14ac:dyDescent="0.2">
      <c r="A230" s="78"/>
      <c r="B230" s="78"/>
      <c r="C230" s="78"/>
      <c r="D230" s="78"/>
      <c r="E230" s="78"/>
      <c r="F230" s="78"/>
      <c r="G230" s="78"/>
      <c r="H230" s="79" t="s">
        <v>16359</v>
      </c>
    </row>
    <row r="231" spans="1:8" ht="12.75" x14ac:dyDescent="0.2">
      <c r="A231" s="78"/>
      <c r="B231" s="78"/>
      <c r="C231" s="78"/>
      <c r="D231" s="78"/>
      <c r="E231" s="78"/>
      <c r="F231" s="78"/>
      <c r="G231" s="78"/>
      <c r="H231" s="79" t="s">
        <v>16360</v>
      </c>
    </row>
    <row r="232" spans="1:8" ht="12.75" x14ac:dyDescent="0.2">
      <c r="A232" s="78"/>
      <c r="B232" s="78"/>
      <c r="C232" s="78"/>
      <c r="D232" s="78"/>
      <c r="E232" s="78"/>
      <c r="F232" s="78"/>
      <c r="G232" s="78"/>
      <c r="H232" s="79" t="s">
        <v>16361</v>
      </c>
    </row>
    <row r="233" spans="1:8" ht="12.75" x14ac:dyDescent="0.2">
      <c r="A233" s="78"/>
      <c r="B233" s="78"/>
      <c r="C233" s="78"/>
      <c r="D233" s="78"/>
      <c r="E233" s="78"/>
      <c r="F233" s="78"/>
      <c r="G233" s="78"/>
      <c r="H233" s="79" t="s">
        <v>16362</v>
      </c>
    </row>
    <row r="234" spans="1:8" ht="12.75" x14ac:dyDescent="0.2">
      <c r="A234" s="78"/>
      <c r="B234" s="78"/>
      <c r="C234" s="78"/>
      <c r="D234" s="78"/>
      <c r="E234" s="78"/>
      <c r="F234" s="78"/>
      <c r="G234" s="78"/>
      <c r="H234" s="79" t="s">
        <v>16363</v>
      </c>
    </row>
    <row r="235" spans="1:8" ht="12.75" x14ac:dyDescent="0.2">
      <c r="A235" s="78"/>
      <c r="B235" s="78"/>
      <c r="C235" s="78"/>
      <c r="D235" s="78"/>
      <c r="E235" s="78"/>
      <c r="F235" s="78"/>
      <c r="G235" s="78"/>
      <c r="H235" s="79" t="s">
        <v>16364</v>
      </c>
    </row>
    <row r="236" spans="1:8" ht="12.75" x14ac:dyDescent="0.2">
      <c r="A236" s="78"/>
      <c r="B236" s="78"/>
      <c r="C236" s="78"/>
      <c r="D236" s="78"/>
      <c r="E236" s="78"/>
      <c r="F236" s="78"/>
      <c r="G236" s="78"/>
      <c r="H236" s="79" t="s">
        <v>16365</v>
      </c>
    </row>
    <row r="237" spans="1:8" ht="102" x14ac:dyDescent="0.2">
      <c r="A237" s="49" t="s">
        <v>16366</v>
      </c>
      <c r="B237" s="49" t="s">
        <v>16367</v>
      </c>
      <c r="C237" s="49"/>
      <c r="D237" s="49"/>
      <c r="E237" s="49"/>
      <c r="F237" s="49"/>
      <c r="G237" s="49"/>
      <c r="H237" s="75" t="s">
        <v>16368</v>
      </c>
    </row>
    <row r="238" spans="1:8" ht="216.75" x14ac:dyDescent="0.2">
      <c r="A238" s="49" t="s">
        <v>16369</v>
      </c>
      <c r="B238" s="49" t="s">
        <v>1555</v>
      </c>
      <c r="C238" s="49" t="s">
        <v>16370</v>
      </c>
      <c r="D238" s="49"/>
      <c r="E238" s="49"/>
      <c r="F238" s="49"/>
      <c r="G238" s="49"/>
      <c r="H238" s="75" t="s">
        <v>16371</v>
      </c>
    </row>
    <row r="239" spans="1:8" ht="12.75" x14ac:dyDescent="0.2">
      <c r="A239" s="77"/>
      <c r="B239" s="77"/>
      <c r="C239" s="77"/>
      <c r="D239" s="77"/>
      <c r="E239" s="77"/>
      <c r="F239" s="77"/>
      <c r="G239" s="77"/>
      <c r="H239" s="76" t="s">
        <v>16372</v>
      </c>
    </row>
    <row r="240" spans="1:8" ht="12.75" x14ac:dyDescent="0.2">
      <c r="A240" s="78"/>
      <c r="B240" s="78"/>
      <c r="C240" s="78"/>
      <c r="D240" s="78"/>
      <c r="E240" s="78"/>
      <c r="F240" s="78"/>
      <c r="G240" s="78"/>
      <c r="H240" s="79" t="s">
        <v>16373</v>
      </c>
    </row>
    <row r="241" spans="1:8" ht="12.75" x14ac:dyDescent="0.2">
      <c r="A241" s="78"/>
      <c r="B241" s="78"/>
      <c r="C241" s="78"/>
      <c r="D241" s="78"/>
      <c r="E241" s="78"/>
      <c r="F241" s="78"/>
      <c r="G241" s="78"/>
      <c r="H241" s="79" t="s">
        <v>16374</v>
      </c>
    </row>
    <row r="242" spans="1:8" ht="12.75" x14ac:dyDescent="0.2">
      <c r="A242" s="78"/>
      <c r="B242" s="78"/>
      <c r="C242" s="78"/>
      <c r="D242" s="78"/>
      <c r="E242" s="78"/>
      <c r="F242" s="78"/>
      <c r="G242" s="78"/>
      <c r="H242" s="79" t="s">
        <v>16375</v>
      </c>
    </row>
    <row r="243" spans="1:8" ht="12.75" x14ac:dyDescent="0.2">
      <c r="A243" s="78"/>
      <c r="B243" s="78"/>
      <c r="C243" s="78"/>
      <c r="D243" s="78"/>
      <c r="E243" s="78"/>
      <c r="F243" s="78"/>
      <c r="G243" s="78"/>
      <c r="H243" s="79" t="s">
        <v>16376</v>
      </c>
    </row>
    <row r="244" spans="1:8" ht="12.75" x14ac:dyDescent="0.2">
      <c r="A244" s="78"/>
      <c r="B244" s="78"/>
      <c r="C244" s="78"/>
      <c r="D244" s="78"/>
      <c r="E244" s="78"/>
      <c r="F244" s="78"/>
      <c r="G244" s="78"/>
      <c r="H244" s="79" t="s">
        <v>16377</v>
      </c>
    </row>
    <row r="245" spans="1:8" ht="12.75" x14ac:dyDescent="0.2">
      <c r="A245" s="78"/>
      <c r="B245" s="78"/>
      <c r="C245" s="78"/>
      <c r="D245" s="78"/>
      <c r="E245" s="78"/>
      <c r="F245" s="78"/>
      <c r="G245" s="78"/>
      <c r="H245" s="79" t="s">
        <v>16378</v>
      </c>
    </row>
    <row r="246" spans="1:8" ht="12.75" x14ac:dyDescent="0.2">
      <c r="A246" s="78"/>
      <c r="B246" s="78"/>
      <c r="C246" s="78"/>
      <c r="D246" s="78"/>
      <c r="E246" s="78"/>
      <c r="F246" s="78"/>
      <c r="G246" s="78"/>
      <c r="H246" s="79" t="s">
        <v>16379</v>
      </c>
    </row>
    <row r="247" spans="1:8" ht="12.75" x14ac:dyDescent="0.2">
      <c r="A247" s="78"/>
      <c r="B247" s="78"/>
      <c r="C247" s="78"/>
      <c r="D247" s="78"/>
      <c r="E247" s="78"/>
      <c r="F247" s="78"/>
      <c r="G247" s="78"/>
      <c r="H247" s="79" t="s">
        <v>16380</v>
      </c>
    </row>
    <row r="248" spans="1:8" ht="12.75" x14ac:dyDescent="0.2">
      <c r="A248" s="78"/>
      <c r="B248" s="78"/>
      <c r="C248" s="78"/>
      <c r="D248" s="78"/>
      <c r="E248" s="78"/>
      <c r="F248" s="78"/>
      <c r="G248" s="78"/>
      <c r="H248" s="79" t="s">
        <v>16381</v>
      </c>
    </row>
    <row r="249" spans="1:8" ht="12.75" x14ac:dyDescent="0.2">
      <c r="A249" s="78"/>
      <c r="B249" s="78"/>
      <c r="C249" s="78"/>
      <c r="D249" s="78"/>
      <c r="E249" s="78"/>
      <c r="F249" s="78"/>
      <c r="G249" s="78"/>
      <c r="H249" s="79" t="s">
        <v>16382</v>
      </c>
    </row>
    <row r="250" spans="1:8" ht="12.75" x14ac:dyDescent="0.2">
      <c r="A250" s="78"/>
      <c r="B250" s="78"/>
      <c r="C250" s="78"/>
      <c r="D250" s="78"/>
      <c r="E250" s="78"/>
      <c r="F250" s="78"/>
      <c r="G250" s="78"/>
      <c r="H250" s="79" t="s">
        <v>16383</v>
      </c>
    </row>
    <row r="251" spans="1:8" ht="12.75" x14ac:dyDescent="0.2">
      <c r="A251" s="78"/>
      <c r="B251" s="78"/>
      <c r="C251" s="78"/>
      <c r="D251" s="78"/>
      <c r="E251" s="78"/>
      <c r="F251" s="78"/>
      <c r="G251" s="78"/>
      <c r="H251" s="79" t="s">
        <v>16384</v>
      </c>
    </row>
    <row r="252" spans="1:8" ht="12.75" x14ac:dyDescent="0.2">
      <c r="A252" s="78"/>
      <c r="B252" s="78"/>
      <c r="C252" s="78"/>
      <c r="D252" s="78"/>
      <c r="E252" s="78"/>
      <c r="F252" s="78"/>
      <c r="G252" s="78"/>
      <c r="H252" s="79" t="s">
        <v>16385</v>
      </c>
    </row>
    <row r="253" spans="1:8" ht="12.75" x14ac:dyDescent="0.2">
      <c r="A253" s="78"/>
      <c r="B253" s="78"/>
      <c r="C253" s="78"/>
      <c r="D253" s="78"/>
      <c r="E253" s="78"/>
      <c r="F253" s="78"/>
      <c r="G253" s="78"/>
      <c r="H253" s="79" t="s">
        <v>16386</v>
      </c>
    </row>
    <row r="254" spans="1:8" ht="38.25" x14ac:dyDescent="0.2">
      <c r="A254" s="80" t="s">
        <v>16387</v>
      </c>
      <c r="B254" s="80" t="s">
        <v>16388</v>
      </c>
      <c r="C254" s="80"/>
      <c r="D254" s="80"/>
      <c r="E254" s="80"/>
      <c r="F254" s="80"/>
      <c r="G254" s="80"/>
      <c r="H254" s="80" t="s">
        <v>16389</v>
      </c>
    </row>
    <row r="255" spans="1:8" ht="12.75" x14ac:dyDescent="0.2">
      <c r="A255" s="78"/>
      <c r="B255" s="78"/>
      <c r="C255" s="78"/>
      <c r="D255" s="78"/>
      <c r="E255" s="78"/>
      <c r="F255" s="78"/>
      <c r="G255" s="78"/>
      <c r="H255" s="79" t="s">
        <v>16390</v>
      </c>
    </row>
    <row r="256" spans="1:8" ht="12.75" x14ac:dyDescent="0.2">
      <c r="A256" s="78"/>
      <c r="B256" s="78"/>
      <c r="C256" s="78"/>
      <c r="D256" s="78"/>
      <c r="E256" s="78"/>
      <c r="F256" s="78"/>
      <c r="G256" s="78"/>
      <c r="H256" s="79" t="s">
        <v>16391</v>
      </c>
    </row>
    <row r="257" spans="1:8" ht="12.75" x14ac:dyDescent="0.2">
      <c r="A257" s="78"/>
      <c r="B257" s="78"/>
      <c r="C257" s="78"/>
      <c r="D257" s="78"/>
      <c r="E257" s="78"/>
      <c r="F257" s="78"/>
      <c r="G257" s="78"/>
      <c r="H257" s="79" t="s">
        <v>16392</v>
      </c>
    </row>
    <row r="258" spans="1:8" ht="12.75" x14ac:dyDescent="0.2">
      <c r="A258" s="78"/>
      <c r="B258" s="78"/>
      <c r="C258" s="78"/>
      <c r="D258" s="78"/>
      <c r="E258" s="78"/>
      <c r="F258" s="78"/>
      <c r="G258" s="78"/>
      <c r="H258" s="79" t="s">
        <v>16393</v>
      </c>
    </row>
    <row r="259" spans="1:8" ht="12.75" x14ac:dyDescent="0.2">
      <c r="A259" s="78"/>
      <c r="B259" s="78"/>
      <c r="C259" s="78"/>
      <c r="D259" s="78"/>
      <c r="E259" s="78"/>
      <c r="F259" s="78"/>
      <c r="G259" s="78"/>
      <c r="H259" s="79" t="s">
        <v>16394</v>
      </c>
    </row>
    <row r="260" spans="1:8" ht="12.75" x14ac:dyDescent="0.2">
      <c r="A260" s="78"/>
      <c r="B260" s="78"/>
      <c r="C260" s="78"/>
      <c r="D260" s="78"/>
      <c r="E260" s="78"/>
      <c r="F260" s="78"/>
      <c r="G260" s="78"/>
      <c r="H260" s="79" t="s">
        <v>16395</v>
      </c>
    </row>
    <row r="261" spans="1:8" ht="12.75" x14ac:dyDescent="0.2">
      <c r="A261" s="78"/>
      <c r="B261" s="78"/>
      <c r="C261" s="78"/>
      <c r="D261" s="78"/>
      <c r="E261" s="78"/>
      <c r="F261" s="78"/>
      <c r="G261" s="78"/>
      <c r="H261" s="79" t="s">
        <v>16396</v>
      </c>
    </row>
    <row r="262" spans="1:8" ht="12.75" x14ac:dyDescent="0.2">
      <c r="A262" s="78"/>
      <c r="B262" s="78"/>
      <c r="C262" s="78"/>
      <c r="D262" s="78"/>
      <c r="E262" s="78"/>
      <c r="F262" s="78"/>
      <c r="G262" s="78"/>
      <c r="H262" s="79" t="s">
        <v>16397</v>
      </c>
    </row>
    <row r="263" spans="1:8" ht="12.75" x14ac:dyDescent="0.2">
      <c r="A263" s="78"/>
      <c r="B263" s="78"/>
      <c r="C263" s="78"/>
      <c r="D263" s="78"/>
      <c r="E263" s="78"/>
      <c r="F263" s="78"/>
      <c r="G263" s="78"/>
      <c r="H263" s="79" t="s">
        <v>16398</v>
      </c>
    </row>
    <row r="264" spans="1:8" ht="12.75" x14ac:dyDescent="0.2">
      <c r="A264" s="78"/>
      <c r="B264" s="78"/>
      <c r="C264" s="78"/>
      <c r="D264" s="78"/>
      <c r="E264" s="78"/>
      <c r="F264" s="78"/>
      <c r="G264" s="78"/>
      <c r="H264" s="79" t="s">
        <v>16399</v>
      </c>
    </row>
    <row r="265" spans="1:8" ht="12.75" x14ac:dyDescent="0.2">
      <c r="A265" s="78"/>
      <c r="B265" s="78"/>
      <c r="C265" s="78"/>
      <c r="D265" s="78"/>
      <c r="E265" s="78"/>
      <c r="F265" s="78"/>
      <c r="G265" s="78"/>
      <c r="H265" s="79" t="s">
        <v>16400</v>
      </c>
    </row>
    <row r="266" spans="1:8" ht="12.75" x14ac:dyDescent="0.2">
      <c r="A266" s="78"/>
      <c r="B266" s="78"/>
      <c r="C266" s="78"/>
      <c r="D266" s="78"/>
      <c r="E266" s="78"/>
      <c r="F266" s="78"/>
      <c r="G266" s="78"/>
      <c r="H266" s="79" t="s">
        <v>16401</v>
      </c>
    </row>
    <row r="267" spans="1:8" ht="12.75" x14ac:dyDescent="0.2">
      <c r="A267" s="78"/>
      <c r="B267" s="78"/>
      <c r="C267" s="78"/>
      <c r="D267" s="78"/>
      <c r="E267" s="78"/>
      <c r="F267" s="78"/>
      <c r="G267" s="78"/>
      <c r="H267" s="79" t="s">
        <v>16402</v>
      </c>
    </row>
    <row r="268" spans="1:8" ht="12.75" x14ac:dyDescent="0.2">
      <c r="A268" s="78"/>
      <c r="B268" s="78"/>
      <c r="C268" s="78"/>
      <c r="D268" s="78"/>
      <c r="E268" s="78"/>
      <c r="F268" s="78"/>
      <c r="G268" s="78"/>
      <c r="H268" s="79" t="s">
        <v>16403</v>
      </c>
    </row>
    <row r="269" spans="1:8" ht="12.75" x14ac:dyDescent="0.2">
      <c r="A269" s="81"/>
      <c r="B269" s="81"/>
      <c r="C269" s="81"/>
      <c r="D269" s="81"/>
      <c r="E269" s="81"/>
      <c r="F269" s="81"/>
      <c r="G269" s="81"/>
      <c r="H269" s="79" t="s">
        <v>16404</v>
      </c>
    </row>
    <row r="270" spans="1:8" ht="114.75" x14ac:dyDescent="0.2">
      <c r="A270" s="22" t="s">
        <v>16405</v>
      </c>
      <c r="B270" s="22" t="s">
        <v>16406</v>
      </c>
      <c r="C270" s="22"/>
      <c r="D270" s="22"/>
      <c r="E270" s="22"/>
      <c r="F270" s="22"/>
      <c r="G270" s="22"/>
      <c r="H270" s="74" t="s">
        <v>16407</v>
      </c>
    </row>
    <row r="271" spans="1:8" ht="153" x14ac:dyDescent="0.2">
      <c r="A271" s="49" t="s">
        <v>16408</v>
      </c>
      <c r="B271" s="49" t="s">
        <v>1564</v>
      </c>
      <c r="C271" s="49" t="s">
        <v>16409</v>
      </c>
      <c r="D271" s="49"/>
      <c r="E271" s="49"/>
      <c r="F271" s="49"/>
      <c r="G271" s="49"/>
      <c r="H271" s="75" t="s">
        <v>16410</v>
      </c>
    </row>
    <row r="272" spans="1:8" ht="102" x14ac:dyDescent="0.2">
      <c r="A272" s="22" t="s">
        <v>16411</v>
      </c>
      <c r="B272" s="22" t="s">
        <v>1569</v>
      </c>
      <c r="C272" s="22" t="s">
        <v>16412</v>
      </c>
      <c r="D272" s="22"/>
      <c r="E272" s="22"/>
      <c r="F272" s="22"/>
      <c r="G272" s="22"/>
      <c r="H272" s="73" t="s">
        <v>16413</v>
      </c>
    </row>
    <row r="273" spans="1:8" ht="127.5" x14ac:dyDescent="0.2">
      <c r="A273" s="49" t="s">
        <v>16414</v>
      </c>
      <c r="B273" s="49" t="s">
        <v>16415</v>
      </c>
      <c r="C273" s="49"/>
      <c r="D273" s="49"/>
      <c r="E273" s="49"/>
      <c r="F273" s="49"/>
      <c r="G273" s="49"/>
      <c r="H273" s="75" t="s">
        <v>16416</v>
      </c>
    </row>
    <row r="274" spans="1:8" ht="102" x14ac:dyDescent="0.2">
      <c r="A274" s="14" t="s">
        <v>16417</v>
      </c>
      <c r="B274" s="14" t="s">
        <v>1574</v>
      </c>
      <c r="C274" s="14" t="s">
        <v>1575</v>
      </c>
      <c r="D274" s="14"/>
      <c r="E274" s="14"/>
      <c r="F274" s="14"/>
      <c r="G274" s="14"/>
      <c r="H274" s="73" t="s">
        <v>16418</v>
      </c>
    </row>
    <row r="275" spans="1:8" ht="51" x14ac:dyDescent="0.2">
      <c r="A275" s="73" t="s">
        <v>16419</v>
      </c>
      <c r="B275" s="73" t="s">
        <v>1577</v>
      </c>
      <c r="C275" s="73" t="s">
        <v>1578</v>
      </c>
      <c r="D275" s="73"/>
      <c r="E275" s="73"/>
      <c r="F275" s="73"/>
      <c r="G275" s="73"/>
      <c r="H275" s="74" t="s">
        <v>16420</v>
      </c>
    </row>
    <row r="276" spans="1:8" ht="63.75" x14ac:dyDescent="0.2">
      <c r="A276" s="75" t="s">
        <v>16421</v>
      </c>
      <c r="B276" s="75" t="s">
        <v>16422</v>
      </c>
      <c r="C276" s="75"/>
      <c r="D276" s="75"/>
      <c r="E276" s="75"/>
      <c r="F276" s="75"/>
      <c r="G276" s="75"/>
      <c r="H276" s="75" t="s">
        <v>16423</v>
      </c>
    </row>
    <row r="277" spans="1:8" ht="38.25" x14ac:dyDescent="0.2">
      <c r="A277" s="73" t="s">
        <v>16424</v>
      </c>
      <c r="B277" s="73" t="s">
        <v>1589</v>
      </c>
      <c r="C277" s="73" t="s">
        <v>1590</v>
      </c>
      <c r="D277" s="73"/>
      <c r="E277" s="73"/>
      <c r="F277" s="73"/>
      <c r="G277" s="73"/>
      <c r="H277" s="14" t="s">
        <v>16425</v>
      </c>
    </row>
    <row r="278" spans="1:8" ht="51" x14ac:dyDescent="0.2">
      <c r="A278" s="74" t="s">
        <v>16426</v>
      </c>
      <c r="B278" s="74" t="s">
        <v>16427</v>
      </c>
      <c r="C278" s="74"/>
      <c r="D278" s="74"/>
      <c r="E278" s="74"/>
      <c r="F278" s="74"/>
      <c r="G278" s="74"/>
      <c r="H278" s="73" t="s">
        <v>16428</v>
      </c>
    </row>
    <row r="279" spans="1:8" ht="63.75" x14ac:dyDescent="0.2">
      <c r="A279" s="75" t="s">
        <v>16429</v>
      </c>
      <c r="B279" s="75" t="s">
        <v>16430</v>
      </c>
      <c r="C279" s="75"/>
      <c r="D279" s="75"/>
      <c r="E279" s="75"/>
      <c r="F279" s="75"/>
      <c r="G279" s="75"/>
      <c r="H279" s="75" t="s">
        <v>16431</v>
      </c>
    </row>
    <row r="280" spans="1:8" ht="51" x14ac:dyDescent="0.2">
      <c r="A280" s="74" t="s">
        <v>16432</v>
      </c>
      <c r="B280" s="74" t="s">
        <v>16433</v>
      </c>
      <c r="C280" s="74"/>
      <c r="D280" s="74"/>
      <c r="E280" s="74"/>
      <c r="F280" s="74"/>
      <c r="G280" s="74"/>
      <c r="H280" s="73" t="s">
        <v>16434</v>
      </c>
    </row>
    <row r="281" spans="1:8" ht="63.75" x14ac:dyDescent="0.2">
      <c r="A281" s="74" t="s">
        <v>16435</v>
      </c>
      <c r="B281" s="74" t="s">
        <v>16436</v>
      </c>
      <c r="C281" s="74"/>
      <c r="D281" s="74"/>
      <c r="E281" s="74"/>
      <c r="F281" s="74"/>
      <c r="G281" s="74"/>
      <c r="H281" s="74" t="s">
        <v>16437</v>
      </c>
    </row>
    <row r="282" spans="1:8" ht="51" x14ac:dyDescent="0.2">
      <c r="A282" s="75" t="s">
        <v>16438</v>
      </c>
      <c r="B282" s="75" t="s">
        <v>16439</v>
      </c>
      <c r="C282" s="75"/>
      <c r="D282" s="75"/>
      <c r="E282" s="75"/>
      <c r="F282" s="75"/>
      <c r="G282" s="75"/>
      <c r="H282" s="76" t="s">
        <v>16440</v>
      </c>
    </row>
    <row r="283" spans="1:8" ht="63.75" x14ac:dyDescent="0.2">
      <c r="A283" s="74" t="s">
        <v>16441</v>
      </c>
      <c r="B283" s="74" t="s">
        <v>16442</v>
      </c>
      <c r="C283" s="74"/>
      <c r="D283" s="74"/>
      <c r="E283" s="74"/>
      <c r="F283" s="74"/>
      <c r="G283" s="74"/>
      <c r="H283" s="74" t="s">
        <v>16443</v>
      </c>
    </row>
    <row r="284" spans="1:8" ht="51" x14ac:dyDescent="0.2">
      <c r="A284" s="74" t="s">
        <v>16444</v>
      </c>
      <c r="B284" s="74" t="s">
        <v>16445</v>
      </c>
      <c r="C284" s="74"/>
      <c r="D284" s="74"/>
      <c r="E284" s="74"/>
      <c r="F284" s="74"/>
      <c r="G284" s="74"/>
      <c r="H284" s="73" t="s">
        <v>16446</v>
      </c>
    </row>
    <row r="285" spans="1:8" ht="63.75" x14ac:dyDescent="0.2">
      <c r="A285" s="75" t="s">
        <v>16447</v>
      </c>
      <c r="B285" s="75" t="s">
        <v>16448</v>
      </c>
      <c r="C285" s="75"/>
      <c r="D285" s="75"/>
      <c r="E285" s="75"/>
      <c r="F285" s="75"/>
      <c r="G285" s="75"/>
      <c r="H285" s="75" t="s">
        <v>16449</v>
      </c>
    </row>
    <row r="286" spans="1:8" ht="12.75" x14ac:dyDescent="0.2">
      <c r="A286" s="77"/>
      <c r="B286" s="77"/>
      <c r="C286" s="77"/>
      <c r="D286" s="77"/>
      <c r="E286" s="77"/>
      <c r="F286" s="77"/>
      <c r="G286" s="77"/>
      <c r="H286" s="76" t="s">
        <v>16450</v>
      </c>
    </row>
    <row r="287" spans="1:8" ht="12.75" x14ac:dyDescent="0.2">
      <c r="A287" s="78"/>
      <c r="B287" s="78"/>
      <c r="C287" s="78"/>
      <c r="D287" s="78"/>
      <c r="E287" s="78"/>
      <c r="F287" s="78"/>
      <c r="G287" s="78"/>
      <c r="H287" s="79" t="s">
        <v>16451</v>
      </c>
    </row>
    <row r="288" spans="1:8" ht="12.75" x14ac:dyDescent="0.2">
      <c r="A288" s="78"/>
      <c r="B288" s="78"/>
      <c r="C288" s="78"/>
      <c r="D288" s="78"/>
      <c r="E288" s="78"/>
      <c r="F288" s="78"/>
      <c r="G288" s="78"/>
      <c r="H288" s="79" t="s">
        <v>16452</v>
      </c>
    </row>
    <row r="289" spans="1:8" ht="12.75" x14ac:dyDescent="0.2">
      <c r="A289" s="78"/>
      <c r="B289" s="78"/>
      <c r="C289" s="78"/>
      <c r="D289" s="78"/>
      <c r="E289" s="78"/>
      <c r="F289" s="78"/>
      <c r="G289" s="78"/>
      <c r="H289" s="79" t="s">
        <v>16453</v>
      </c>
    </row>
    <row r="290" spans="1:8" ht="12.75" x14ac:dyDescent="0.2">
      <c r="A290" s="78"/>
      <c r="B290" s="78"/>
      <c r="C290" s="78"/>
      <c r="D290" s="78"/>
      <c r="E290" s="78"/>
      <c r="F290" s="78"/>
      <c r="G290" s="78"/>
      <c r="H290" s="79" t="s">
        <v>16454</v>
      </c>
    </row>
    <row r="291" spans="1:8" ht="12.75" x14ac:dyDescent="0.2">
      <c r="A291" s="78"/>
      <c r="B291" s="78"/>
      <c r="C291" s="78"/>
      <c r="D291" s="78"/>
      <c r="E291" s="78"/>
      <c r="F291" s="78"/>
      <c r="G291" s="78"/>
      <c r="H291" s="79" t="s">
        <v>16455</v>
      </c>
    </row>
    <row r="292" spans="1:8" ht="12.75" x14ac:dyDescent="0.2">
      <c r="A292" s="79" t="s">
        <v>16456</v>
      </c>
      <c r="B292" s="79" t="s">
        <v>1623</v>
      </c>
      <c r="C292" s="79" t="s">
        <v>16457</v>
      </c>
      <c r="D292" s="79"/>
      <c r="E292" s="79"/>
      <c r="F292" s="79"/>
      <c r="G292" s="79"/>
      <c r="H292" s="79" t="s">
        <v>16458</v>
      </c>
    </row>
    <row r="293" spans="1:8" ht="12.75" x14ac:dyDescent="0.2">
      <c r="A293" s="79" t="s">
        <v>16459</v>
      </c>
      <c r="B293" s="79" t="s">
        <v>16460</v>
      </c>
      <c r="C293" s="79"/>
      <c r="D293" s="79"/>
      <c r="E293" s="79"/>
      <c r="F293" s="79"/>
      <c r="G293" s="79"/>
      <c r="H293" s="79" t="s">
        <v>16461</v>
      </c>
    </row>
    <row r="294" spans="1:8" ht="12.75" x14ac:dyDescent="0.2">
      <c r="A294" s="79" t="s">
        <v>16462</v>
      </c>
      <c r="B294" s="79" t="s">
        <v>16463</v>
      </c>
      <c r="C294" s="79"/>
      <c r="D294" s="79"/>
      <c r="E294" s="79"/>
      <c r="F294" s="79"/>
      <c r="G294" s="79"/>
      <c r="H294" s="79" t="s">
        <v>16464</v>
      </c>
    </row>
    <row r="295" spans="1:8" ht="12.75" x14ac:dyDescent="0.2">
      <c r="A295" s="79" t="s">
        <v>16465</v>
      </c>
      <c r="B295" s="79" t="s">
        <v>16466</v>
      </c>
      <c r="C295" s="79"/>
      <c r="D295" s="79"/>
      <c r="E295" s="79"/>
      <c r="F295" s="79"/>
      <c r="G295" s="79"/>
      <c r="H295" s="79" t="s">
        <v>16467</v>
      </c>
    </row>
    <row r="296" spans="1:8" ht="12.75" x14ac:dyDescent="0.2">
      <c r="A296" s="78"/>
      <c r="B296" s="78"/>
      <c r="C296" s="78"/>
      <c r="D296" s="78"/>
      <c r="E296" s="78"/>
      <c r="F296" s="78"/>
      <c r="G296" s="78"/>
      <c r="H296" s="79" t="s">
        <v>16468</v>
      </c>
    </row>
    <row r="297" spans="1:8" ht="12.75" x14ac:dyDescent="0.2">
      <c r="A297" s="78"/>
      <c r="B297" s="78"/>
      <c r="C297" s="78"/>
      <c r="D297" s="78"/>
      <c r="E297" s="78"/>
      <c r="F297" s="78"/>
      <c r="G297" s="78"/>
      <c r="H297" s="79" t="s">
        <v>16469</v>
      </c>
    </row>
    <row r="298" spans="1:8" ht="12.75" x14ac:dyDescent="0.2">
      <c r="A298" s="78"/>
      <c r="B298" s="78"/>
      <c r="C298" s="78"/>
      <c r="D298" s="78"/>
      <c r="E298" s="78"/>
      <c r="F298" s="78"/>
      <c r="G298" s="78"/>
      <c r="H298" s="79" t="s">
        <v>16470</v>
      </c>
    </row>
    <row r="299" spans="1:8" ht="12.75" x14ac:dyDescent="0.2">
      <c r="A299" s="78"/>
      <c r="B299" s="78"/>
      <c r="C299" s="78"/>
      <c r="D299" s="78"/>
      <c r="E299" s="78"/>
      <c r="F299" s="78"/>
      <c r="G299" s="78"/>
      <c r="H299" s="79" t="s">
        <v>16471</v>
      </c>
    </row>
    <row r="300" spans="1:8" ht="12.75" x14ac:dyDescent="0.2">
      <c r="A300" s="78"/>
      <c r="B300" s="78"/>
      <c r="C300" s="78"/>
      <c r="D300" s="78"/>
      <c r="E300" s="78"/>
      <c r="F300" s="78"/>
      <c r="G300" s="78"/>
      <c r="H300" s="79" t="s">
        <v>16472</v>
      </c>
    </row>
    <row r="301" spans="1:8" ht="12.75" x14ac:dyDescent="0.2">
      <c r="A301" s="82"/>
      <c r="B301" s="82"/>
      <c r="C301" s="82"/>
      <c r="D301" s="82"/>
      <c r="E301" s="82"/>
      <c r="F301" s="82"/>
      <c r="G301" s="82"/>
      <c r="H301" s="83" t="s">
        <v>16473</v>
      </c>
    </row>
    <row r="302" spans="1:8" ht="12.75" x14ac:dyDescent="0.2">
      <c r="A302" s="77"/>
      <c r="B302" s="77"/>
      <c r="C302" s="77"/>
      <c r="D302" s="77"/>
      <c r="E302" s="77"/>
      <c r="F302" s="77"/>
      <c r="G302" s="77"/>
      <c r="H302" s="76" t="s">
        <v>16474</v>
      </c>
    </row>
    <row r="303" spans="1:8" ht="12.75" x14ac:dyDescent="0.2">
      <c r="A303" s="78"/>
      <c r="B303" s="78"/>
      <c r="C303" s="78"/>
      <c r="D303" s="78"/>
      <c r="E303" s="78"/>
      <c r="F303" s="78"/>
      <c r="G303" s="78"/>
      <c r="H303" s="79" t="s">
        <v>16475</v>
      </c>
    </row>
    <row r="304" spans="1:8" ht="12.75" x14ac:dyDescent="0.2">
      <c r="A304" s="78"/>
      <c r="B304" s="78"/>
      <c r="C304" s="78"/>
      <c r="D304" s="78"/>
      <c r="E304" s="78"/>
      <c r="F304" s="78"/>
      <c r="G304" s="78"/>
      <c r="H304" s="79" t="s">
        <v>16476</v>
      </c>
    </row>
    <row r="305" spans="1:8" ht="12.75" x14ac:dyDescent="0.2">
      <c r="A305" s="78"/>
      <c r="B305" s="78"/>
      <c r="C305" s="78"/>
      <c r="D305" s="78"/>
      <c r="E305" s="78"/>
      <c r="F305" s="78"/>
      <c r="G305" s="78"/>
      <c r="H305" s="79" t="s">
        <v>16477</v>
      </c>
    </row>
    <row r="306" spans="1:8" ht="25.5" x14ac:dyDescent="0.2">
      <c r="A306" s="80" t="s">
        <v>16478</v>
      </c>
      <c r="B306" s="80" t="s">
        <v>1626</v>
      </c>
      <c r="C306" s="80" t="s">
        <v>16479</v>
      </c>
      <c r="D306" s="80"/>
      <c r="E306" s="80"/>
      <c r="F306" s="80"/>
      <c r="G306" s="80"/>
      <c r="H306" s="80" t="s">
        <v>16480</v>
      </c>
    </row>
    <row r="307" spans="1:8" ht="12.75" x14ac:dyDescent="0.2">
      <c r="A307" s="78"/>
      <c r="B307" s="78"/>
      <c r="C307" s="78"/>
      <c r="D307" s="78"/>
      <c r="E307" s="78"/>
      <c r="F307" s="78"/>
      <c r="G307" s="78"/>
      <c r="H307" s="79" t="s">
        <v>16481</v>
      </c>
    </row>
    <row r="308" spans="1:8" ht="12.75" x14ac:dyDescent="0.2">
      <c r="A308" s="78"/>
      <c r="B308" s="78"/>
      <c r="C308" s="78"/>
      <c r="D308" s="78"/>
      <c r="E308" s="78"/>
      <c r="F308" s="78"/>
      <c r="G308" s="78"/>
      <c r="H308" s="79" t="s">
        <v>16482</v>
      </c>
    </row>
    <row r="309" spans="1:8" ht="12.75" x14ac:dyDescent="0.2">
      <c r="A309" s="78"/>
      <c r="B309" s="78"/>
      <c r="C309" s="78"/>
      <c r="D309" s="78"/>
      <c r="E309" s="78"/>
      <c r="F309" s="78"/>
      <c r="G309" s="78"/>
      <c r="H309" s="79" t="s">
        <v>16483</v>
      </c>
    </row>
    <row r="310" spans="1:8" ht="12.75" x14ac:dyDescent="0.2">
      <c r="A310" s="78"/>
      <c r="B310" s="78"/>
      <c r="C310" s="78"/>
      <c r="D310" s="78"/>
      <c r="E310" s="78"/>
      <c r="F310" s="78"/>
      <c r="G310" s="78"/>
      <c r="H310" s="79" t="s">
        <v>16484</v>
      </c>
    </row>
    <row r="311" spans="1:8" ht="76.5" x14ac:dyDescent="0.2">
      <c r="A311" s="22" t="s">
        <v>16485</v>
      </c>
      <c r="B311" s="22" t="s">
        <v>1629</v>
      </c>
      <c r="C311" s="22" t="s">
        <v>16486</v>
      </c>
      <c r="D311" s="22"/>
      <c r="E311" s="22"/>
      <c r="F311" s="22"/>
      <c r="G311" s="22"/>
      <c r="H311" s="74" t="s">
        <v>16487</v>
      </c>
    </row>
    <row r="312" spans="1:8" ht="63.75" x14ac:dyDescent="0.2">
      <c r="A312" s="75" t="s">
        <v>16488</v>
      </c>
      <c r="B312" s="75" t="s">
        <v>1632</v>
      </c>
      <c r="C312" s="75" t="s">
        <v>16489</v>
      </c>
      <c r="D312" s="75"/>
      <c r="E312" s="75"/>
      <c r="F312" s="75"/>
      <c r="G312" s="75"/>
      <c r="H312" s="75" t="s">
        <v>16490</v>
      </c>
    </row>
    <row r="313" spans="1:8" ht="114.75" x14ac:dyDescent="0.2">
      <c r="A313" s="49" t="s">
        <v>16491</v>
      </c>
      <c r="B313" s="49" t="s">
        <v>1635</v>
      </c>
      <c r="C313" s="49" t="s">
        <v>16492</v>
      </c>
      <c r="D313" s="49"/>
      <c r="E313" s="49"/>
      <c r="F313" s="49"/>
      <c r="G313" s="49"/>
      <c r="H313" s="75" t="s">
        <v>16493</v>
      </c>
    </row>
    <row r="314" spans="1:8" ht="178.5" x14ac:dyDescent="0.2">
      <c r="A314" s="49" t="s">
        <v>16494</v>
      </c>
      <c r="B314" s="49" t="s">
        <v>1638</v>
      </c>
      <c r="C314" s="49" t="s">
        <v>16495</v>
      </c>
      <c r="D314" s="49"/>
      <c r="E314" s="49"/>
      <c r="F314" s="49"/>
      <c r="G314" s="49"/>
      <c r="H314" s="75" t="s">
        <v>16496</v>
      </c>
    </row>
    <row r="315" spans="1:8" ht="191.25" x14ac:dyDescent="0.2">
      <c r="A315" s="22" t="s">
        <v>16497</v>
      </c>
      <c r="B315" s="22" t="s">
        <v>1641</v>
      </c>
      <c r="C315" s="22" t="s">
        <v>16498</v>
      </c>
      <c r="D315" s="22"/>
      <c r="E315" s="22"/>
      <c r="F315" s="22"/>
      <c r="G315" s="22"/>
      <c r="H315" s="74" t="s">
        <v>16499</v>
      </c>
    </row>
    <row r="316" spans="1:8" ht="25.5" x14ac:dyDescent="0.2">
      <c r="A316" s="76" t="s">
        <v>16500</v>
      </c>
      <c r="B316" s="76" t="s">
        <v>1644</v>
      </c>
      <c r="C316" s="76" t="s">
        <v>1645</v>
      </c>
      <c r="D316" s="76"/>
      <c r="E316" s="76"/>
      <c r="F316" s="76"/>
      <c r="G316" s="76"/>
      <c r="H316" s="75" t="s">
        <v>16501</v>
      </c>
    </row>
    <row r="317" spans="1:8" ht="25.5" x14ac:dyDescent="0.2">
      <c r="A317" s="74" t="s">
        <v>16502</v>
      </c>
      <c r="B317" s="74" t="s">
        <v>1647</v>
      </c>
      <c r="C317" s="74" t="s">
        <v>16503</v>
      </c>
      <c r="D317" s="74"/>
      <c r="E317" s="74"/>
      <c r="F317" s="74"/>
      <c r="G317" s="74"/>
      <c r="H317" s="14" t="s">
        <v>16504</v>
      </c>
    </row>
    <row r="318" spans="1:8" ht="51" x14ac:dyDescent="0.2">
      <c r="A318" s="14" t="s">
        <v>16505</v>
      </c>
      <c r="B318" s="14" t="s">
        <v>1650</v>
      </c>
      <c r="C318" s="14" t="s">
        <v>1651</v>
      </c>
      <c r="D318" s="14"/>
      <c r="E318" s="14"/>
      <c r="F318" s="14"/>
      <c r="G318" s="14"/>
      <c r="H318" s="74" t="s">
        <v>16506</v>
      </c>
    </row>
    <row r="319" spans="1:8" ht="114.75" x14ac:dyDescent="0.2">
      <c r="A319" s="49" t="s">
        <v>16507</v>
      </c>
      <c r="B319" s="49" t="s">
        <v>1653</v>
      </c>
      <c r="C319" s="49" t="s">
        <v>16508</v>
      </c>
      <c r="D319" s="49"/>
      <c r="E319" s="49"/>
      <c r="F319" s="49"/>
      <c r="G319" s="49"/>
      <c r="H319" s="75" t="s">
        <v>16509</v>
      </c>
    </row>
    <row r="320" spans="1:8" ht="38.25" x14ac:dyDescent="0.2">
      <c r="A320" s="74" t="s">
        <v>16510</v>
      </c>
      <c r="B320" s="74" t="s">
        <v>1658</v>
      </c>
      <c r="C320" s="74" t="s">
        <v>16511</v>
      </c>
      <c r="D320" s="74"/>
      <c r="E320" s="74"/>
      <c r="F320" s="74"/>
      <c r="G320" s="74"/>
      <c r="H320" s="74" t="s">
        <v>16512</v>
      </c>
    </row>
    <row r="321" spans="1:8" ht="51" x14ac:dyDescent="0.2">
      <c r="A321" s="74" t="s">
        <v>16513</v>
      </c>
      <c r="B321" s="74" t="s">
        <v>1661</v>
      </c>
      <c r="C321" s="74" t="s">
        <v>16514</v>
      </c>
      <c r="D321" s="74"/>
      <c r="E321" s="74"/>
      <c r="F321" s="74"/>
      <c r="G321" s="74"/>
      <c r="H321" s="74" t="s">
        <v>16515</v>
      </c>
    </row>
    <row r="322" spans="1:8" ht="76.5" x14ac:dyDescent="0.2">
      <c r="A322" s="46" t="s">
        <v>16516</v>
      </c>
      <c r="B322" s="46" t="s">
        <v>1664</v>
      </c>
      <c r="C322" s="46" t="s">
        <v>1665</v>
      </c>
      <c r="D322" s="46"/>
      <c r="E322" s="46"/>
      <c r="F322" s="46"/>
      <c r="G322" s="46"/>
      <c r="H322" s="75" t="s">
        <v>16517</v>
      </c>
    </row>
    <row r="323" spans="1:8" ht="25.5" x14ac:dyDescent="0.2">
      <c r="A323" s="76" t="s">
        <v>16518</v>
      </c>
      <c r="B323" s="76" t="s">
        <v>1669</v>
      </c>
      <c r="C323" s="76" t="s">
        <v>1670</v>
      </c>
      <c r="D323" s="76"/>
      <c r="E323" s="76"/>
      <c r="F323" s="76"/>
      <c r="G323" s="76"/>
      <c r="H323" s="76" t="s">
        <v>16519</v>
      </c>
    </row>
    <row r="324" spans="1:8" ht="178.5" x14ac:dyDescent="0.2">
      <c r="A324" s="49" t="s">
        <v>16520</v>
      </c>
      <c r="B324" s="49" t="s">
        <v>1672</v>
      </c>
      <c r="C324" s="49" t="s">
        <v>16521</v>
      </c>
      <c r="D324" s="49"/>
      <c r="E324" s="49"/>
      <c r="F324" s="49"/>
      <c r="G324" s="49"/>
      <c r="H324" s="75" t="s">
        <v>16522</v>
      </c>
    </row>
    <row r="325" spans="1:8" ht="165.75" x14ac:dyDescent="0.2">
      <c r="A325" s="22" t="s">
        <v>16523</v>
      </c>
      <c r="B325" s="22" t="s">
        <v>1675</v>
      </c>
      <c r="C325" s="22" t="s">
        <v>16524</v>
      </c>
      <c r="D325" s="22"/>
      <c r="E325" s="22"/>
      <c r="F325" s="22"/>
      <c r="G325" s="22"/>
      <c r="H325" s="74" t="s">
        <v>16525</v>
      </c>
    </row>
    <row r="326" spans="1:8" ht="38.25" x14ac:dyDescent="0.2">
      <c r="A326" s="75" t="s">
        <v>16526</v>
      </c>
      <c r="B326" s="75" t="s">
        <v>16527</v>
      </c>
      <c r="C326" s="75"/>
      <c r="D326" s="75"/>
      <c r="E326" s="75"/>
      <c r="F326" s="75"/>
      <c r="G326" s="75"/>
      <c r="H326" s="75" t="s">
        <v>16528</v>
      </c>
    </row>
    <row r="327" spans="1:8" ht="38.25" x14ac:dyDescent="0.2">
      <c r="A327" s="74" t="s">
        <v>16529</v>
      </c>
      <c r="B327" s="74" t="s">
        <v>1685</v>
      </c>
      <c r="C327" s="74" t="s">
        <v>16530</v>
      </c>
      <c r="D327" s="74"/>
      <c r="E327" s="74"/>
      <c r="F327" s="74"/>
      <c r="G327" s="74"/>
      <c r="H327" s="73" t="s">
        <v>16531</v>
      </c>
    </row>
    <row r="328" spans="1:8" ht="38.25" x14ac:dyDescent="0.2">
      <c r="A328" s="74" t="s">
        <v>16532</v>
      </c>
      <c r="B328" s="74" t="s">
        <v>1688</v>
      </c>
      <c r="C328" s="74" t="s">
        <v>16533</v>
      </c>
      <c r="D328" s="74"/>
      <c r="E328" s="74"/>
      <c r="F328" s="74"/>
      <c r="G328" s="74"/>
      <c r="H328" s="73" t="s">
        <v>16534</v>
      </c>
    </row>
    <row r="329" spans="1:8" ht="25.5" x14ac:dyDescent="0.2">
      <c r="A329" s="76" t="s">
        <v>16535</v>
      </c>
      <c r="B329" s="76" t="s">
        <v>1690</v>
      </c>
      <c r="C329" s="76" t="s">
        <v>1691</v>
      </c>
      <c r="D329" s="76"/>
      <c r="E329" s="76"/>
      <c r="F329" s="76"/>
      <c r="G329" s="76"/>
      <c r="H329" s="76" t="s">
        <v>16536</v>
      </c>
    </row>
    <row r="330" spans="1:8" ht="25.5" x14ac:dyDescent="0.2">
      <c r="A330" s="73" t="s">
        <v>16537</v>
      </c>
      <c r="B330" s="73" t="s">
        <v>1693</v>
      </c>
      <c r="C330" s="73" t="s">
        <v>1694</v>
      </c>
      <c r="D330" s="73"/>
      <c r="E330" s="73"/>
      <c r="F330" s="73"/>
      <c r="G330" s="73"/>
      <c r="H330" s="14" t="s">
        <v>16538</v>
      </c>
    </row>
    <row r="331" spans="1:8" ht="38.25" x14ac:dyDescent="0.2">
      <c r="A331" s="74" t="s">
        <v>16539</v>
      </c>
      <c r="B331" s="74" t="s">
        <v>1696</v>
      </c>
      <c r="C331" s="74" t="s">
        <v>16540</v>
      </c>
      <c r="D331" s="74"/>
      <c r="E331" s="74"/>
      <c r="F331" s="74"/>
      <c r="G331" s="74"/>
      <c r="H331" s="74" t="s">
        <v>16541</v>
      </c>
    </row>
    <row r="332" spans="1:8" ht="38.25" x14ac:dyDescent="0.2">
      <c r="A332" s="75" t="s">
        <v>16542</v>
      </c>
      <c r="B332" s="75" t="s">
        <v>1699</v>
      </c>
      <c r="C332" s="75" t="s">
        <v>16543</v>
      </c>
      <c r="D332" s="75"/>
      <c r="E332" s="75"/>
      <c r="F332" s="75"/>
      <c r="G332" s="75"/>
      <c r="H332" s="76" t="s">
        <v>16544</v>
      </c>
    </row>
    <row r="333" spans="1:8" ht="38.25" x14ac:dyDescent="0.2">
      <c r="A333" s="74" t="s">
        <v>16545</v>
      </c>
      <c r="B333" s="74" t="s">
        <v>1702</v>
      </c>
      <c r="C333" s="74" t="s">
        <v>16546</v>
      </c>
      <c r="D333" s="74"/>
      <c r="E333" s="74"/>
      <c r="F333" s="74"/>
      <c r="G333" s="74"/>
      <c r="H333" s="14" t="s">
        <v>16547</v>
      </c>
    </row>
    <row r="334" spans="1:8" ht="51" x14ac:dyDescent="0.2">
      <c r="A334" s="73" t="s">
        <v>16548</v>
      </c>
      <c r="B334" s="73" t="s">
        <v>1710</v>
      </c>
      <c r="C334" s="73" t="s">
        <v>1711</v>
      </c>
      <c r="D334" s="73"/>
      <c r="E334" s="73"/>
      <c r="F334" s="73"/>
      <c r="G334" s="73"/>
      <c r="H334" s="74" t="s">
        <v>16549</v>
      </c>
    </row>
    <row r="335" spans="1:8" ht="25.5" x14ac:dyDescent="0.2">
      <c r="A335" s="46" t="s">
        <v>16550</v>
      </c>
      <c r="B335" s="46" t="s">
        <v>1717</v>
      </c>
      <c r="C335" s="46" t="s">
        <v>1718</v>
      </c>
      <c r="D335" s="46"/>
      <c r="E335" s="46"/>
      <c r="F335" s="46"/>
      <c r="G335" s="46"/>
      <c r="H335" s="76" t="s">
        <v>16551</v>
      </c>
    </row>
    <row r="336" spans="1:8" ht="25.5" x14ac:dyDescent="0.2">
      <c r="A336" s="14" t="s">
        <v>16552</v>
      </c>
      <c r="B336" s="14" t="s">
        <v>1720</v>
      </c>
      <c r="C336" s="14" t="s">
        <v>1721</v>
      </c>
      <c r="D336" s="14"/>
      <c r="E336" s="14"/>
      <c r="F336" s="14"/>
      <c r="G336" s="14"/>
      <c r="H336" s="73" t="s">
        <v>16553</v>
      </c>
    </row>
    <row r="337" spans="1:8" ht="127.5" x14ac:dyDescent="0.2">
      <c r="A337" s="22" t="s">
        <v>16554</v>
      </c>
      <c r="B337" s="22" t="s">
        <v>1725</v>
      </c>
      <c r="C337" s="22" t="s">
        <v>16555</v>
      </c>
      <c r="D337" s="22"/>
      <c r="E337" s="22"/>
      <c r="F337" s="22"/>
      <c r="G337" s="22"/>
      <c r="H337" s="74" t="s">
        <v>16556</v>
      </c>
    </row>
    <row r="338" spans="1:8" ht="51" x14ac:dyDescent="0.2">
      <c r="A338" s="75" t="s">
        <v>16557</v>
      </c>
      <c r="B338" s="75" t="s">
        <v>1730</v>
      </c>
      <c r="C338" s="75" t="s">
        <v>16558</v>
      </c>
      <c r="D338" s="75"/>
      <c r="E338" s="75"/>
      <c r="F338" s="75"/>
      <c r="G338" s="75"/>
      <c r="H338" s="75" t="s">
        <v>16559</v>
      </c>
    </row>
    <row r="339" spans="1:8" ht="63.75" x14ac:dyDescent="0.2">
      <c r="A339" s="14" t="s">
        <v>16560</v>
      </c>
      <c r="B339" s="14" t="s">
        <v>1741</v>
      </c>
      <c r="C339" s="14" t="s">
        <v>1742</v>
      </c>
      <c r="D339" s="14"/>
      <c r="E339" s="14"/>
      <c r="F339" s="14"/>
      <c r="G339" s="14"/>
      <c r="H339" s="74" t="s">
        <v>16561</v>
      </c>
    </row>
    <row r="340" spans="1:8" ht="38.25" x14ac:dyDescent="0.2">
      <c r="A340" s="74" t="s">
        <v>16562</v>
      </c>
      <c r="B340" s="74" t="s">
        <v>1744</v>
      </c>
      <c r="C340" s="74" t="s">
        <v>16563</v>
      </c>
      <c r="D340" s="74"/>
      <c r="E340" s="74"/>
      <c r="F340" s="74"/>
      <c r="G340" s="74"/>
      <c r="H340" s="73" t="s">
        <v>16564</v>
      </c>
    </row>
    <row r="341" spans="1:8" ht="63.75" x14ac:dyDescent="0.2">
      <c r="A341" s="76" t="s">
        <v>16565</v>
      </c>
      <c r="B341" s="76" t="s">
        <v>1749</v>
      </c>
      <c r="C341" s="76" t="s">
        <v>16566</v>
      </c>
      <c r="D341" s="76"/>
      <c r="E341" s="76"/>
      <c r="F341" s="76"/>
      <c r="G341" s="76"/>
      <c r="H341" s="76" t="s">
        <v>16567</v>
      </c>
    </row>
    <row r="342" spans="1:8" ht="38.25" x14ac:dyDescent="0.2">
      <c r="A342" s="74" t="s">
        <v>16568</v>
      </c>
      <c r="B342" s="74" t="s">
        <v>1816</v>
      </c>
      <c r="C342" s="74" t="s">
        <v>16569</v>
      </c>
      <c r="D342" s="74"/>
      <c r="E342" s="74"/>
      <c r="F342" s="74"/>
      <c r="G342" s="74"/>
      <c r="H342" s="73" t="s">
        <v>16570</v>
      </c>
    </row>
    <row r="343" spans="1:8" ht="25.5" x14ac:dyDescent="0.2">
      <c r="A343" s="74" t="s">
        <v>16571</v>
      </c>
      <c r="B343" s="74" t="s">
        <v>1819</v>
      </c>
      <c r="C343" s="74" t="s">
        <v>16572</v>
      </c>
      <c r="D343" s="74"/>
      <c r="E343" s="74"/>
      <c r="F343" s="74"/>
      <c r="G343" s="74"/>
      <c r="H343" s="73" t="s">
        <v>16573</v>
      </c>
    </row>
    <row r="344" spans="1:8" ht="25.5" x14ac:dyDescent="0.2">
      <c r="A344" s="75" t="s">
        <v>16574</v>
      </c>
      <c r="B344" s="75" t="s">
        <v>1821</v>
      </c>
      <c r="C344" s="75" t="s">
        <v>16575</v>
      </c>
      <c r="D344" s="75"/>
      <c r="E344" s="75"/>
      <c r="F344" s="75"/>
      <c r="G344" s="75"/>
      <c r="H344" s="76" t="s">
        <v>16576</v>
      </c>
    </row>
    <row r="345" spans="1:8" ht="51" x14ac:dyDescent="0.2">
      <c r="A345" s="74" t="s">
        <v>16577</v>
      </c>
      <c r="B345" s="74" t="s">
        <v>1824</v>
      </c>
      <c r="C345" s="74" t="s">
        <v>16578</v>
      </c>
      <c r="D345" s="74"/>
      <c r="E345" s="74"/>
      <c r="F345" s="74"/>
      <c r="G345" s="74"/>
      <c r="H345" s="74" t="s">
        <v>16579</v>
      </c>
    </row>
    <row r="346" spans="1:8" ht="76.5" x14ac:dyDescent="0.2">
      <c r="A346" s="76" t="s">
        <v>16580</v>
      </c>
      <c r="B346" s="76" t="s">
        <v>1903</v>
      </c>
      <c r="C346" s="76" t="s">
        <v>1904</v>
      </c>
      <c r="D346" s="76"/>
      <c r="E346" s="76"/>
      <c r="F346" s="76"/>
      <c r="G346" s="76"/>
      <c r="H346" s="75" t="s">
        <v>16581</v>
      </c>
    </row>
    <row r="347" spans="1:8" ht="89.25" x14ac:dyDescent="0.2">
      <c r="A347" s="14" t="s">
        <v>16582</v>
      </c>
      <c r="B347" s="14" t="s">
        <v>1906</v>
      </c>
      <c r="C347" s="14" t="s">
        <v>1907</v>
      </c>
      <c r="D347" s="14"/>
      <c r="E347" s="14"/>
      <c r="F347" s="14"/>
      <c r="G347" s="14"/>
      <c r="H347" s="74" t="s">
        <v>16583</v>
      </c>
    </row>
    <row r="348" spans="1:8" ht="140.25" x14ac:dyDescent="0.2">
      <c r="A348" s="46" t="s">
        <v>16584</v>
      </c>
      <c r="B348" s="46" t="s">
        <v>1909</v>
      </c>
      <c r="C348" s="46" t="s">
        <v>16585</v>
      </c>
      <c r="D348" s="46"/>
      <c r="E348" s="46"/>
      <c r="F348" s="46"/>
      <c r="G348" s="46"/>
      <c r="H348" s="75" t="s">
        <v>16586</v>
      </c>
    </row>
    <row r="349" spans="1:8" ht="102" x14ac:dyDescent="0.2">
      <c r="A349" s="14" t="s">
        <v>16587</v>
      </c>
      <c r="B349" s="14" t="s">
        <v>1912</v>
      </c>
      <c r="C349" s="14" t="s">
        <v>1913</v>
      </c>
      <c r="D349" s="14"/>
      <c r="E349" s="14"/>
      <c r="F349" s="14"/>
      <c r="G349" s="14"/>
      <c r="H349" s="74" t="s">
        <v>16588</v>
      </c>
    </row>
    <row r="350" spans="1:8" ht="153" x14ac:dyDescent="0.2">
      <c r="A350" s="46" t="s">
        <v>16589</v>
      </c>
      <c r="B350" s="46" t="s">
        <v>1917</v>
      </c>
      <c r="C350" s="46" t="s">
        <v>1918</v>
      </c>
      <c r="D350" s="46"/>
      <c r="E350" s="46"/>
      <c r="F350" s="46"/>
      <c r="G350" s="46"/>
      <c r="H350" s="75" t="s">
        <v>16590</v>
      </c>
    </row>
    <row r="351" spans="1:8" ht="178.5" x14ac:dyDescent="0.2">
      <c r="A351" s="74" t="s">
        <v>16591</v>
      </c>
      <c r="B351" s="74" t="s">
        <v>1996</v>
      </c>
      <c r="C351" s="74" t="s">
        <v>16592</v>
      </c>
      <c r="D351" s="74" t="s">
        <v>16593</v>
      </c>
      <c r="E351" s="74"/>
      <c r="F351" s="74"/>
      <c r="G351" s="74"/>
      <c r="H351" s="74" t="s">
        <v>16594</v>
      </c>
    </row>
    <row r="352" spans="1:8" ht="63.75" x14ac:dyDescent="0.2">
      <c r="A352" s="46" t="s">
        <v>16595</v>
      </c>
      <c r="B352" s="46" t="s">
        <v>2019</v>
      </c>
      <c r="C352" s="46" t="s">
        <v>2020</v>
      </c>
      <c r="D352" s="46"/>
      <c r="E352" s="46"/>
      <c r="F352" s="46"/>
      <c r="G352" s="46"/>
      <c r="H352" s="75" t="s">
        <v>16596</v>
      </c>
    </row>
    <row r="353" spans="1:8" ht="25.5" x14ac:dyDescent="0.2">
      <c r="A353" s="74" t="s">
        <v>16597</v>
      </c>
      <c r="B353" s="74" t="s">
        <v>2024</v>
      </c>
      <c r="C353" s="74" t="s">
        <v>16598</v>
      </c>
      <c r="D353" s="74"/>
      <c r="E353" s="74"/>
      <c r="F353" s="74"/>
      <c r="G353" s="74"/>
      <c r="H353" s="74" t="s">
        <v>16599</v>
      </c>
    </row>
    <row r="354" spans="1:8" ht="38.25" x14ac:dyDescent="0.2">
      <c r="A354" s="74" t="s">
        <v>16600</v>
      </c>
      <c r="B354" s="74" t="s">
        <v>2027</v>
      </c>
      <c r="C354" s="74" t="s">
        <v>16601</v>
      </c>
      <c r="D354" s="74"/>
      <c r="E354" s="74"/>
      <c r="F354" s="74"/>
      <c r="G354" s="74"/>
      <c r="H354" s="74" t="s">
        <v>16602</v>
      </c>
    </row>
    <row r="355" spans="1:8" ht="25.5" x14ac:dyDescent="0.2">
      <c r="A355" s="75" t="s">
        <v>16603</v>
      </c>
      <c r="B355" s="75" t="s">
        <v>2030</v>
      </c>
      <c r="C355" s="75" t="s">
        <v>16604</v>
      </c>
      <c r="D355" s="75"/>
      <c r="E355" s="75"/>
      <c r="F355" s="75"/>
      <c r="G355" s="75"/>
      <c r="H355" s="46" t="s">
        <v>16605</v>
      </c>
    </row>
    <row r="356" spans="1:8" ht="38.25" x14ac:dyDescent="0.2">
      <c r="A356" s="74" t="s">
        <v>16606</v>
      </c>
      <c r="B356" s="74" t="s">
        <v>2033</v>
      </c>
      <c r="C356" s="74" t="s">
        <v>16607</v>
      </c>
      <c r="D356" s="74"/>
      <c r="E356" s="74"/>
      <c r="F356" s="74"/>
      <c r="G356" s="74"/>
      <c r="H356" s="74" t="s">
        <v>16608</v>
      </c>
    </row>
    <row r="357" spans="1:8" ht="38.25" x14ac:dyDescent="0.2">
      <c r="A357" s="74" t="s">
        <v>16609</v>
      </c>
      <c r="B357" s="74" t="s">
        <v>2036</v>
      </c>
      <c r="C357" s="74" t="s">
        <v>16610</v>
      </c>
      <c r="D357" s="74"/>
      <c r="E357" s="74"/>
      <c r="F357" s="74"/>
      <c r="G357" s="74"/>
      <c r="H357" s="73" t="s">
        <v>16611</v>
      </c>
    </row>
    <row r="358" spans="1:8" ht="25.5" x14ac:dyDescent="0.2">
      <c r="A358" s="75" t="s">
        <v>16612</v>
      </c>
      <c r="B358" s="75" t="s">
        <v>2039</v>
      </c>
      <c r="C358" s="75" t="s">
        <v>16613</v>
      </c>
      <c r="D358" s="75"/>
      <c r="E358" s="75"/>
      <c r="F358" s="75"/>
      <c r="G358" s="75"/>
      <c r="H358" s="76" t="s">
        <v>16614</v>
      </c>
    </row>
    <row r="359" spans="1:8" ht="25.5" x14ac:dyDescent="0.2">
      <c r="A359" s="74" t="s">
        <v>16615</v>
      </c>
      <c r="B359" s="74" t="s">
        <v>2042</v>
      </c>
      <c r="C359" s="74" t="s">
        <v>16616</v>
      </c>
      <c r="D359" s="74"/>
      <c r="E359" s="74"/>
      <c r="F359" s="74"/>
      <c r="G359" s="74"/>
      <c r="H359" s="14" t="s">
        <v>16617</v>
      </c>
    </row>
    <row r="360" spans="1:8" ht="38.25" x14ac:dyDescent="0.2">
      <c r="A360" s="74" t="s">
        <v>16618</v>
      </c>
      <c r="B360" s="74" t="s">
        <v>2053</v>
      </c>
      <c r="C360" s="74" t="s">
        <v>16619</v>
      </c>
      <c r="D360" s="74"/>
      <c r="E360" s="74"/>
      <c r="F360" s="74"/>
      <c r="G360" s="74"/>
      <c r="H360" s="74" t="s">
        <v>16620</v>
      </c>
    </row>
    <row r="361" spans="1:8" ht="38.25" x14ac:dyDescent="0.2">
      <c r="A361" s="76" t="s">
        <v>16621</v>
      </c>
      <c r="B361" s="76" t="s">
        <v>2056</v>
      </c>
      <c r="C361" s="76" t="s">
        <v>16622</v>
      </c>
      <c r="D361" s="76"/>
      <c r="E361" s="76"/>
      <c r="F361" s="76"/>
      <c r="G361" s="76"/>
      <c r="H361" s="76" t="s">
        <v>16623</v>
      </c>
    </row>
    <row r="362" spans="1:8" ht="63.75" x14ac:dyDescent="0.2">
      <c r="A362" s="14" t="s">
        <v>16624</v>
      </c>
      <c r="B362" s="14" t="s">
        <v>2061</v>
      </c>
      <c r="C362" s="14" t="s">
        <v>2062</v>
      </c>
      <c r="D362" s="14"/>
      <c r="E362" s="14"/>
      <c r="F362" s="14"/>
      <c r="G362" s="14"/>
      <c r="H362" s="73" t="s">
        <v>16625</v>
      </c>
    </row>
    <row r="363" spans="1:8" ht="25.5" x14ac:dyDescent="0.2">
      <c r="A363" s="14" t="s">
        <v>16626</v>
      </c>
      <c r="B363" s="14" t="s">
        <v>2064</v>
      </c>
      <c r="C363" s="14" t="s">
        <v>2065</v>
      </c>
      <c r="D363" s="14"/>
      <c r="E363" s="14"/>
      <c r="F363" s="14"/>
      <c r="G363" s="14"/>
      <c r="H363" s="73" t="s">
        <v>16627</v>
      </c>
    </row>
    <row r="364" spans="1:8" ht="51" x14ac:dyDescent="0.2">
      <c r="A364" s="75" t="s">
        <v>16628</v>
      </c>
      <c r="B364" s="75" t="s">
        <v>2069</v>
      </c>
      <c r="C364" s="75" t="s">
        <v>16629</v>
      </c>
      <c r="D364" s="75"/>
      <c r="E364" s="75"/>
      <c r="F364" s="75"/>
      <c r="G364" s="75"/>
      <c r="H364" s="75" t="s">
        <v>16630</v>
      </c>
    </row>
    <row r="365" spans="1:8" ht="51" x14ac:dyDescent="0.2">
      <c r="A365" s="74" t="s">
        <v>16631</v>
      </c>
      <c r="B365" s="74" t="s">
        <v>2072</v>
      </c>
      <c r="C365" s="74" t="s">
        <v>16632</v>
      </c>
      <c r="D365" s="74"/>
      <c r="E365" s="74"/>
      <c r="F365" s="74"/>
      <c r="G365" s="74"/>
      <c r="H365" s="74" t="s">
        <v>16633</v>
      </c>
    </row>
    <row r="366" spans="1:8" ht="25.5" x14ac:dyDescent="0.2">
      <c r="A366" s="74" t="s">
        <v>16634</v>
      </c>
      <c r="B366" s="74" t="s">
        <v>2075</v>
      </c>
      <c r="C366" s="74" t="s">
        <v>16635</v>
      </c>
      <c r="D366" s="74"/>
      <c r="E366" s="74"/>
      <c r="F366" s="74"/>
      <c r="G366" s="74"/>
      <c r="H366" s="74" t="s">
        <v>16636</v>
      </c>
    </row>
    <row r="367" spans="1:8" ht="38.25" x14ac:dyDescent="0.2">
      <c r="A367" s="75" t="s">
        <v>16637</v>
      </c>
      <c r="B367" s="75" t="s">
        <v>2080</v>
      </c>
      <c r="C367" s="75" t="s">
        <v>16638</v>
      </c>
      <c r="D367" s="75"/>
      <c r="E367" s="75"/>
      <c r="F367" s="75"/>
      <c r="G367" s="75"/>
      <c r="H367" s="76" t="s">
        <v>16639</v>
      </c>
    </row>
    <row r="368" spans="1:8" ht="63.75" x14ac:dyDescent="0.2">
      <c r="A368" s="74" t="s">
        <v>16640</v>
      </c>
      <c r="B368" s="74" t="s">
        <v>2083</v>
      </c>
      <c r="C368" s="74" t="s">
        <v>16641</v>
      </c>
      <c r="D368" s="74"/>
      <c r="E368" s="74"/>
      <c r="F368" s="74"/>
      <c r="G368" s="74"/>
      <c r="H368" s="73" t="s">
        <v>16642</v>
      </c>
    </row>
    <row r="369" spans="1:8" ht="51" x14ac:dyDescent="0.2">
      <c r="A369" s="14" t="s">
        <v>16643</v>
      </c>
      <c r="B369" s="14" t="s">
        <v>2086</v>
      </c>
      <c r="C369" s="14" t="s">
        <v>2087</v>
      </c>
      <c r="D369" s="14"/>
      <c r="E369" s="14"/>
      <c r="F369" s="14"/>
      <c r="G369" s="14"/>
      <c r="H369" s="73" t="s">
        <v>16644</v>
      </c>
    </row>
    <row r="370" spans="1:8" ht="38.25" x14ac:dyDescent="0.2">
      <c r="A370" s="75" t="s">
        <v>16645</v>
      </c>
      <c r="B370" s="75" t="s">
        <v>2091</v>
      </c>
      <c r="C370" s="75" t="s">
        <v>16646</v>
      </c>
      <c r="D370" s="75"/>
      <c r="E370" s="75"/>
      <c r="F370" s="75"/>
      <c r="G370" s="75"/>
      <c r="H370" s="76" t="s">
        <v>16647</v>
      </c>
    </row>
    <row r="371" spans="1:8" ht="51" x14ac:dyDescent="0.2">
      <c r="A371" s="74" t="s">
        <v>16648</v>
      </c>
      <c r="B371" s="74" t="s">
        <v>2094</v>
      </c>
      <c r="C371" s="74" t="s">
        <v>16649</v>
      </c>
      <c r="D371" s="74"/>
      <c r="E371" s="74"/>
      <c r="F371" s="74"/>
      <c r="G371" s="74"/>
      <c r="H371" s="74" t="s">
        <v>16650</v>
      </c>
    </row>
    <row r="372" spans="1:8" ht="25.5" x14ac:dyDescent="0.2">
      <c r="A372" s="74" t="s">
        <v>16651</v>
      </c>
      <c r="B372" s="74" t="s">
        <v>2098</v>
      </c>
      <c r="C372" s="74" t="s">
        <v>16652</v>
      </c>
      <c r="D372" s="74"/>
      <c r="E372" s="74"/>
      <c r="F372" s="74"/>
      <c r="G372" s="74"/>
      <c r="H372" s="73" t="s">
        <v>16653</v>
      </c>
    </row>
    <row r="373" spans="1:8" ht="12.75" x14ac:dyDescent="0.2">
      <c r="A373" s="46" t="s">
        <v>16654</v>
      </c>
      <c r="B373" s="46" t="s">
        <v>2101</v>
      </c>
      <c r="C373" s="46" t="s">
        <v>2102</v>
      </c>
      <c r="D373" s="46"/>
      <c r="E373" s="46"/>
      <c r="F373" s="46"/>
      <c r="G373" s="46"/>
      <c r="H373" s="46" t="s">
        <v>16655</v>
      </c>
    </row>
    <row r="374" spans="1:8" ht="51" x14ac:dyDescent="0.2">
      <c r="A374" s="74" t="s">
        <v>16656</v>
      </c>
      <c r="B374" s="74" t="s">
        <v>2106</v>
      </c>
      <c r="C374" s="74" t="s">
        <v>16657</v>
      </c>
      <c r="D374" s="74"/>
      <c r="E374" s="74"/>
      <c r="F374" s="74"/>
      <c r="G374" s="74"/>
      <c r="H374" s="73" t="s">
        <v>16658</v>
      </c>
    </row>
    <row r="375" spans="1:8" ht="63.75" x14ac:dyDescent="0.2">
      <c r="A375" s="74" t="s">
        <v>16659</v>
      </c>
      <c r="B375" s="74" t="s">
        <v>2109</v>
      </c>
      <c r="C375" s="74" t="s">
        <v>16660</v>
      </c>
      <c r="D375" s="74"/>
      <c r="E375" s="74"/>
      <c r="F375" s="74"/>
      <c r="G375" s="74"/>
      <c r="H375" s="73" t="s">
        <v>16661</v>
      </c>
    </row>
    <row r="376" spans="1:8" ht="51" x14ac:dyDescent="0.2">
      <c r="A376" s="75" t="s">
        <v>16662</v>
      </c>
      <c r="B376" s="75" t="s">
        <v>2112</v>
      </c>
      <c r="C376" s="75" t="s">
        <v>16663</v>
      </c>
      <c r="D376" s="75"/>
      <c r="E376" s="75"/>
      <c r="F376" s="75"/>
      <c r="G376" s="75"/>
      <c r="H376" s="75" t="s">
        <v>16664</v>
      </c>
    </row>
    <row r="377" spans="1:8" ht="51" x14ac:dyDescent="0.2">
      <c r="A377" s="74" t="s">
        <v>16665</v>
      </c>
      <c r="B377" s="74" t="s">
        <v>2115</v>
      </c>
      <c r="C377" s="74" t="s">
        <v>16666</v>
      </c>
      <c r="D377" s="74"/>
      <c r="E377" s="74"/>
      <c r="F377" s="74"/>
      <c r="G377" s="74"/>
      <c r="H377" s="73" t="s">
        <v>16667</v>
      </c>
    </row>
    <row r="378" spans="1:8" ht="38.25" x14ac:dyDescent="0.2">
      <c r="A378" s="74" t="s">
        <v>16668</v>
      </c>
      <c r="B378" s="74" t="s">
        <v>2118</v>
      </c>
      <c r="C378" s="74" t="s">
        <v>16669</v>
      </c>
      <c r="D378" s="74"/>
      <c r="E378" s="74"/>
      <c r="F378" s="74"/>
      <c r="G378" s="74"/>
      <c r="H378" s="73" t="s">
        <v>16670</v>
      </c>
    </row>
    <row r="379" spans="1:8" ht="25.5" x14ac:dyDescent="0.2">
      <c r="A379" s="75" t="s">
        <v>16671</v>
      </c>
      <c r="B379" s="75" t="s">
        <v>2121</v>
      </c>
      <c r="C379" s="75" t="s">
        <v>16672</v>
      </c>
      <c r="D379" s="75"/>
      <c r="E379" s="75"/>
      <c r="F379" s="75"/>
      <c r="G379" s="75"/>
      <c r="H379" s="46" t="s">
        <v>16673</v>
      </c>
    </row>
    <row r="380" spans="1:8" ht="63.75" x14ac:dyDescent="0.2">
      <c r="A380" s="22" t="s">
        <v>16674</v>
      </c>
      <c r="B380" s="22" t="s">
        <v>2124</v>
      </c>
      <c r="C380" s="22" t="s">
        <v>16675</v>
      </c>
      <c r="D380" s="22"/>
      <c r="E380" s="22"/>
      <c r="F380" s="22"/>
      <c r="G380" s="22"/>
      <c r="H380" s="73" t="s">
        <v>16676</v>
      </c>
    </row>
    <row r="381" spans="1:8" ht="51" x14ac:dyDescent="0.2">
      <c r="A381" s="74" t="s">
        <v>16677</v>
      </c>
      <c r="B381" s="74" t="s">
        <v>2127</v>
      </c>
      <c r="C381" s="74" t="s">
        <v>16678</v>
      </c>
      <c r="D381" s="74"/>
      <c r="E381" s="74"/>
      <c r="F381" s="74"/>
      <c r="G381" s="74"/>
      <c r="H381" s="73" t="s">
        <v>16679</v>
      </c>
    </row>
    <row r="382" spans="1:8" ht="38.25" x14ac:dyDescent="0.2">
      <c r="A382" s="75" t="s">
        <v>16680</v>
      </c>
      <c r="B382" s="75" t="s">
        <v>2130</v>
      </c>
      <c r="C382" s="75" t="s">
        <v>16681</v>
      </c>
      <c r="D382" s="75"/>
      <c r="E382" s="75"/>
      <c r="F382" s="75"/>
      <c r="G382" s="75"/>
      <c r="H382" s="76" t="s">
        <v>16682</v>
      </c>
    </row>
    <row r="383" spans="1:8" ht="76.5" x14ac:dyDescent="0.2">
      <c r="A383" s="74" t="s">
        <v>16683</v>
      </c>
      <c r="B383" s="74" t="s">
        <v>2133</v>
      </c>
      <c r="C383" s="74" t="s">
        <v>16684</v>
      </c>
      <c r="D383" s="74"/>
      <c r="E383" s="74"/>
      <c r="F383" s="74"/>
      <c r="G383" s="74"/>
      <c r="H383" s="74" t="s">
        <v>16685</v>
      </c>
    </row>
    <row r="384" spans="1:8" ht="38.25" x14ac:dyDescent="0.2">
      <c r="A384" s="74" t="s">
        <v>16686</v>
      </c>
      <c r="B384" s="74" t="s">
        <v>2138</v>
      </c>
      <c r="C384" s="74" t="s">
        <v>16687</v>
      </c>
      <c r="D384" s="74"/>
      <c r="E384" s="74"/>
      <c r="F384" s="74"/>
      <c r="G384" s="74"/>
      <c r="H384" s="73" t="s">
        <v>16688</v>
      </c>
    </row>
    <row r="385" spans="1:8" ht="38.25" x14ac:dyDescent="0.2">
      <c r="A385" s="75" t="s">
        <v>16689</v>
      </c>
      <c r="B385" s="75" t="s">
        <v>2140</v>
      </c>
      <c r="C385" s="75" t="s">
        <v>16690</v>
      </c>
      <c r="D385" s="75"/>
      <c r="E385" s="75"/>
      <c r="F385" s="75"/>
      <c r="G385" s="75"/>
      <c r="H385" s="76" t="s">
        <v>16691</v>
      </c>
    </row>
    <row r="386" spans="1:8" ht="38.25" x14ac:dyDescent="0.2">
      <c r="A386" s="74" t="s">
        <v>16692</v>
      </c>
      <c r="B386" s="74" t="s">
        <v>2143</v>
      </c>
      <c r="C386" s="74" t="s">
        <v>16693</v>
      </c>
      <c r="D386" s="74"/>
      <c r="E386" s="74"/>
      <c r="F386" s="74"/>
      <c r="G386" s="74"/>
      <c r="H386" s="73" t="s">
        <v>16694</v>
      </c>
    </row>
    <row r="387" spans="1:8" ht="38.25" x14ac:dyDescent="0.2">
      <c r="A387" s="14" t="s">
        <v>16695</v>
      </c>
      <c r="B387" s="14" t="s">
        <v>2146</v>
      </c>
      <c r="C387" s="14" t="s">
        <v>2147</v>
      </c>
      <c r="D387" s="14"/>
      <c r="E387" s="14"/>
      <c r="F387" s="14"/>
      <c r="G387" s="14"/>
      <c r="H387" s="74" t="s">
        <v>16696</v>
      </c>
    </row>
    <row r="388" spans="1:8" ht="63.75" x14ac:dyDescent="0.2">
      <c r="A388" s="75" t="s">
        <v>16697</v>
      </c>
      <c r="B388" s="75" t="s">
        <v>2151</v>
      </c>
      <c r="C388" s="75" t="s">
        <v>16698</v>
      </c>
      <c r="D388" s="75"/>
      <c r="E388" s="75"/>
      <c r="F388" s="75"/>
      <c r="G388" s="75"/>
      <c r="H388" s="75" t="s">
        <v>16699</v>
      </c>
    </row>
    <row r="389" spans="1:8" ht="12.75" x14ac:dyDescent="0.2">
      <c r="A389" s="14" t="s">
        <v>16700</v>
      </c>
      <c r="B389" s="14" t="s">
        <v>2153</v>
      </c>
      <c r="C389" s="14" t="s">
        <v>2154</v>
      </c>
      <c r="D389" s="14"/>
      <c r="E389" s="14"/>
      <c r="F389" s="14"/>
      <c r="G389" s="14"/>
      <c r="H389" s="14" t="s">
        <v>16701</v>
      </c>
    </row>
    <row r="390" spans="1:8" ht="51" x14ac:dyDescent="0.2">
      <c r="A390" s="74" t="s">
        <v>16702</v>
      </c>
      <c r="B390" s="74" t="s">
        <v>2164</v>
      </c>
      <c r="C390" s="74" t="s">
        <v>16703</v>
      </c>
      <c r="D390" s="74"/>
      <c r="E390" s="74"/>
      <c r="F390" s="74"/>
      <c r="G390" s="74"/>
      <c r="H390" s="73" t="s">
        <v>16704</v>
      </c>
    </row>
    <row r="391" spans="1:8" ht="38.25" x14ac:dyDescent="0.2">
      <c r="A391" s="46" t="s">
        <v>16705</v>
      </c>
      <c r="B391" s="46" t="s">
        <v>2166</v>
      </c>
      <c r="C391" s="46" t="s">
        <v>2167</v>
      </c>
      <c r="D391" s="46"/>
      <c r="E391" s="46"/>
      <c r="F391" s="46"/>
      <c r="G391" s="46"/>
      <c r="H391" s="76" t="s">
        <v>16706</v>
      </c>
    </row>
    <row r="392" spans="1:8" ht="38.25" x14ac:dyDescent="0.2">
      <c r="A392" s="14" t="s">
        <v>16707</v>
      </c>
      <c r="B392" s="14" t="s">
        <v>2169</v>
      </c>
      <c r="C392" s="14" t="s">
        <v>2170</v>
      </c>
      <c r="D392" s="14"/>
      <c r="E392" s="14"/>
      <c r="F392" s="14"/>
      <c r="G392" s="14"/>
      <c r="H392" s="73" t="s">
        <v>16708</v>
      </c>
    </row>
    <row r="393" spans="1:8" ht="51" x14ac:dyDescent="0.2">
      <c r="A393" s="74" t="s">
        <v>16709</v>
      </c>
      <c r="B393" s="74" t="s">
        <v>2174</v>
      </c>
      <c r="C393" s="74" t="s">
        <v>16710</v>
      </c>
      <c r="D393" s="74"/>
      <c r="E393" s="74"/>
      <c r="F393" s="74"/>
      <c r="G393" s="74"/>
      <c r="H393" s="73" t="s">
        <v>16711</v>
      </c>
    </row>
    <row r="394" spans="1:8" ht="38.25" x14ac:dyDescent="0.2">
      <c r="A394" s="75" t="s">
        <v>16712</v>
      </c>
      <c r="B394" s="75" t="s">
        <v>2177</v>
      </c>
      <c r="C394" s="75" t="s">
        <v>16713</v>
      </c>
      <c r="D394" s="75"/>
      <c r="E394" s="75"/>
      <c r="F394" s="75"/>
      <c r="G394" s="75"/>
      <c r="H394" s="75" t="s">
        <v>16714</v>
      </c>
    </row>
    <row r="395" spans="1:8" ht="38.25" x14ac:dyDescent="0.2">
      <c r="A395" s="74" t="s">
        <v>16715</v>
      </c>
      <c r="B395" s="74" t="s">
        <v>16716</v>
      </c>
      <c r="C395" s="74"/>
      <c r="D395" s="74"/>
      <c r="E395" s="74"/>
      <c r="F395" s="74"/>
      <c r="G395" s="74"/>
      <c r="H395" s="74" t="s">
        <v>16717</v>
      </c>
    </row>
    <row r="396" spans="1:8" ht="38.25" x14ac:dyDescent="0.2">
      <c r="A396" s="74" t="s">
        <v>16718</v>
      </c>
      <c r="B396" s="74" t="s">
        <v>16719</v>
      </c>
      <c r="C396" s="74"/>
      <c r="D396" s="74"/>
      <c r="E396" s="74"/>
      <c r="F396" s="74"/>
      <c r="G396" s="74"/>
      <c r="H396" s="74" t="s">
        <v>16720</v>
      </c>
    </row>
    <row r="397" spans="1:8" ht="25.5" x14ac:dyDescent="0.2">
      <c r="A397" s="75" t="s">
        <v>16721</v>
      </c>
      <c r="B397" s="75" t="s">
        <v>2184</v>
      </c>
      <c r="C397" s="75" t="s">
        <v>16722</v>
      </c>
      <c r="D397" s="75"/>
      <c r="E397" s="75"/>
      <c r="F397" s="75"/>
      <c r="G397" s="75"/>
      <c r="H397" s="75" t="s">
        <v>16723</v>
      </c>
    </row>
    <row r="398" spans="1:8" ht="25.5" x14ac:dyDescent="0.2">
      <c r="A398" s="74" t="s">
        <v>16724</v>
      </c>
      <c r="B398" s="74" t="s">
        <v>2187</v>
      </c>
      <c r="C398" s="74" t="s">
        <v>16725</v>
      </c>
      <c r="D398" s="74"/>
      <c r="E398" s="74"/>
      <c r="F398" s="74"/>
      <c r="G398" s="74"/>
      <c r="H398" s="14" t="s">
        <v>16726</v>
      </c>
    </row>
    <row r="399" spans="1:8" ht="63.75" x14ac:dyDescent="0.2">
      <c r="A399" s="74" t="s">
        <v>16727</v>
      </c>
      <c r="B399" s="74" t="s">
        <v>2190</v>
      </c>
      <c r="C399" s="74" t="s">
        <v>16728</v>
      </c>
      <c r="D399" s="74"/>
      <c r="E399" s="74"/>
      <c r="F399" s="74"/>
      <c r="G399" s="74"/>
      <c r="H399" s="74" t="s">
        <v>16729</v>
      </c>
    </row>
    <row r="400" spans="1:8" ht="38.25" x14ac:dyDescent="0.2">
      <c r="A400" s="75" t="s">
        <v>16730</v>
      </c>
      <c r="B400" s="75" t="s">
        <v>2197</v>
      </c>
      <c r="C400" s="75" t="s">
        <v>16731</v>
      </c>
      <c r="D400" s="75"/>
      <c r="E400" s="75"/>
      <c r="F400" s="75"/>
      <c r="G400" s="75"/>
      <c r="H400" s="75" t="s">
        <v>16732</v>
      </c>
    </row>
    <row r="401" spans="1:8" ht="38.25" x14ac:dyDescent="0.2">
      <c r="A401" s="14" t="s">
        <v>16733</v>
      </c>
      <c r="B401" s="14" t="s">
        <v>2202</v>
      </c>
      <c r="C401" s="14" t="s">
        <v>2203</v>
      </c>
      <c r="D401" s="14"/>
      <c r="E401" s="14"/>
      <c r="F401" s="14"/>
      <c r="G401" s="14"/>
      <c r="H401" s="73" t="s">
        <v>16734</v>
      </c>
    </row>
    <row r="402" spans="1:8" ht="51" x14ac:dyDescent="0.2">
      <c r="A402" s="74" t="s">
        <v>16735</v>
      </c>
      <c r="B402" s="74" t="s">
        <v>2205</v>
      </c>
      <c r="C402" s="74" t="s">
        <v>16736</v>
      </c>
      <c r="D402" s="74"/>
      <c r="E402" s="74"/>
      <c r="F402" s="74"/>
      <c r="G402" s="74"/>
      <c r="H402" s="74" t="s">
        <v>16737</v>
      </c>
    </row>
    <row r="403" spans="1:8" ht="25.5" x14ac:dyDescent="0.2">
      <c r="A403" s="75" t="s">
        <v>16738</v>
      </c>
      <c r="B403" s="75" t="s">
        <v>2212</v>
      </c>
      <c r="C403" s="75" t="s">
        <v>16739</v>
      </c>
      <c r="D403" s="75"/>
      <c r="E403" s="75"/>
      <c r="F403" s="75"/>
      <c r="G403" s="75"/>
      <c r="H403" s="75" t="s">
        <v>16740</v>
      </c>
    </row>
    <row r="404" spans="1:8" ht="12.75" x14ac:dyDescent="0.2">
      <c r="A404" s="14" t="s">
        <v>16741</v>
      </c>
      <c r="B404" s="14" t="s">
        <v>2217</v>
      </c>
      <c r="C404" s="14" t="s">
        <v>2218</v>
      </c>
      <c r="D404" s="14"/>
      <c r="E404" s="14"/>
      <c r="F404" s="14"/>
      <c r="G404" s="14"/>
      <c r="H404" s="14" t="s">
        <v>16742</v>
      </c>
    </row>
    <row r="405" spans="1:8" ht="25.5" x14ac:dyDescent="0.2">
      <c r="A405" s="14" t="s">
        <v>16743</v>
      </c>
      <c r="B405" s="14" t="s">
        <v>2220</v>
      </c>
      <c r="C405" s="14" t="s">
        <v>2221</v>
      </c>
      <c r="D405" s="14"/>
      <c r="E405" s="14"/>
      <c r="F405" s="14"/>
      <c r="G405" s="14"/>
      <c r="H405" s="14" t="s">
        <v>16744</v>
      </c>
    </row>
    <row r="406" spans="1:8" ht="38.25" x14ac:dyDescent="0.2">
      <c r="A406" s="75" t="s">
        <v>16745</v>
      </c>
      <c r="B406" s="75" t="s">
        <v>2223</v>
      </c>
      <c r="C406" s="75" t="s">
        <v>16746</v>
      </c>
      <c r="D406" s="75"/>
      <c r="E406" s="75"/>
      <c r="F406" s="75"/>
      <c r="G406" s="75"/>
      <c r="H406" s="75" t="s">
        <v>16747</v>
      </c>
    </row>
    <row r="407" spans="1:8" ht="12.75" x14ac:dyDescent="0.2">
      <c r="A407" s="14" t="s">
        <v>16748</v>
      </c>
      <c r="B407" s="14" t="s">
        <v>2226</v>
      </c>
      <c r="C407" s="14" t="s">
        <v>2227</v>
      </c>
      <c r="D407" s="14"/>
      <c r="E407" s="14"/>
      <c r="F407" s="14"/>
      <c r="G407" s="14"/>
      <c r="H407" s="14" t="s">
        <v>16749</v>
      </c>
    </row>
    <row r="408" spans="1:8" ht="38.25" x14ac:dyDescent="0.2">
      <c r="A408" s="14" t="s">
        <v>16750</v>
      </c>
      <c r="B408" s="14" t="s">
        <v>2239</v>
      </c>
      <c r="C408" s="14" t="s">
        <v>2240</v>
      </c>
      <c r="D408" s="14"/>
      <c r="E408" s="14"/>
      <c r="F408" s="14"/>
      <c r="G408" s="14"/>
      <c r="H408" s="73" t="s">
        <v>16751</v>
      </c>
    </row>
    <row r="409" spans="1:8" ht="25.5" x14ac:dyDescent="0.2">
      <c r="A409" s="46" t="s">
        <v>16752</v>
      </c>
      <c r="B409" s="46" t="s">
        <v>2242</v>
      </c>
      <c r="C409" s="46" t="s">
        <v>2243</v>
      </c>
      <c r="D409" s="46"/>
      <c r="E409" s="46"/>
      <c r="F409" s="46"/>
      <c r="G409" s="46"/>
      <c r="H409" s="76" t="s">
        <v>16753</v>
      </c>
    </row>
    <row r="410" spans="1:8" ht="25.5" x14ac:dyDescent="0.2">
      <c r="A410" s="74" t="s">
        <v>16754</v>
      </c>
      <c r="B410" s="74" t="s">
        <v>2245</v>
      </c>
      <c r="C410" s="74" t="s">
        <v>16755</v>
      </c>
      <c r="D410" s="74"/>
      <c r="E410" s="74"/>
      <c r="F410" s="74"/>
      <c r="G410" s="74"/>
      <c r="H410" s="73" t="s">
        <v>16756</v>
      </c>
    </row>
    <row r="411" spans="1:8" ht="25.5" x14ac:dyDescent="0.2">
      <c r="A411" s="74" t="s">
        <v>16757</v>
      </c>
      <c r="B411" s="74" t="s">
        <v>2250</v>
      </c>
      <c r="C411" s="74" t="s">
        <v>16758</v>
      </c>
      <c r="D411" s="74"/>
      <c r="E411" s="74"/>
      <c r="F411" s="74"/>
      <c r="G411" s="74"/>
      <c r="H411" s="14" t="s">
        <v>16759</v>
      </c>
    </row>
    <row r="412" spans="1:8" ht="25.5" x14ac:dyDescent="0.2">
      <c r="A412" s="75" t="s">
        <v>16760</v>
      </c>
      <c r="B412" s="75" t="s">
        <v>2256</v>
      </c>
      <c r="C412" s="75" t="s">
        <v>16761</v>
      </c>
      <c r="D412" s="75"/>
      <c r="E412" s="75"/>
      <c r="F412" s="75"/>
      <c r="G412" s="75"/>
      <c r="H412" s="46" t="s">
        <v>16762</v>
      </c>
    </row>
    <row r="413" spans="1:8" ht="51" x14ac:dyDescent="0.2">
      <c r="A413" s="74" t="s">
        <v>16763</v>
      </c>
      <c r="B413" s="74" t="s">
        <v>2262</v>
      </c>
      <c r="C413" s="74" t="s">
        <v>16764</v>
      </c>
      <c r="D413" s="74"/>
      <c r="E413" s="74"/>
      <c r="F413" s="74"/>
      <c r="G413" s="74"/>
      <c r="H413" s="73" t="s">
        <v>16765</v>
      </c>
    </row>
    <row r="414" spans="1:8" ht="38.25" x14ac:dyDescent="0.2">
      <c r="A414" s="74" t="s">
        <v>16766</v>
      </c>
      <c r="B414" s="74" t="s">
        <v>2264</v>
      </c>
      <c r="C414" s="74" t="s">
        <v>16767</v>
      </c>
      <c r="D414" s="74"/>
      <c r="E414" s="74"/>
      <c r="F414" s="74"/>
      <c r="G414" s="74"/>
      <c r="H414" s="73" t="s">
        <v>16768</v>
      </c>
    </row>
    <row r="415" spans="1:8" ht="25.5" x14ac:dyDescent="0.2">
      <c r="A415" s="75" t="s">
        <v>16769</v>
      </c>
      <c r="B415" s="75" t="s">
        <v>16770</v>
      </c>
      <c r="C415" s="75"/>
      <c r="D415" s="75"/>
      <c r="E415" s="75"/>
      <c r="F415" s="75"/>
      <c r="G415" s="75"/>
      <c r="H415" s="46" t="s">
        <v>16771</v>
      </c>
    </row>
    <row r="416" spans="1:8" ht="51" x14ac:dyDescent="0.2">
      <c r="A416" s="74" t="s">
        <v>16772</v>
      </c>
      <c r="B416" s="74" t="s">
        <v>16773</v>
      </c>
      <c r="C416" s="74"/>
      <c r="D416" s="74"/>
      <c r="E416" s="74"/>
      <c r="F416" s="74"/>
      <c r="G416" s="74"/>
      <c r="H416" s="73" t="s">
        <v>16774</v>
      </c>
    </row>
    <row r="417" spans="1:8" ht="127.5" x14ac:dyDescent="0.2">
      <c r="A417" s="46" t="s">
        <v>16775</v>
      </c>
      <c r="B417" s="46" t="s">
        <v>2277</v>
      </c>
      <c r="C417" s="46" t="s">
        <v>2278</v>
      </c>
      <c r="D417" s="46"/>
      <c r="E417" s="46"/>
      <c r="F417" s="46"/>
      <c r="G417" s="46"/>
      <c r="H417" s="75" t="s">
        <v>16776</v>
      </c>
    </row>
    <row r="418" spans="1:8" ht="89.25" x14ac:dyDescent="0.2">
      <c r="A418" s="14" t="s">
        <v>16777</v>
      </c>
      <c r="B418" s="14" t="s">
        <v>2280</v>
      </c>
      <c r="C418" s="14" t="s">
        <v>2281</v>
      </c>
      <c r="D418" s="14"/>
      <c r="E418" s="14"/>
      <c r="F418" s="14"/>
      <c r="G418" s="14"/>
      <c r="H418" s="74" t="s">
        <v>16778</v>
      </c>
    </row>
    <row r="419" spans="1:8" ht="12.75" x14ac:dyDescent="0.2">
      <c r="A419" s="73" t="s">
        <v>16779</v>
      </c>
      <c r="B419" s="73" t="s">
        <v>2283</v>
      </c>
      <c r="C419" s="73" t="s">
        <v>2284</v>
      </c>
      <c r="D419" s="73"/>
      <c r="E419" s="73"/>
      <c r="F419" s="73"/>
      <c r="G419" s="73"/>
      <c r="H419" s="73" t="s">
        <v>16780</v>
      </c>
    </row>
    <row r="420" spans="1:8" ht="38.25" x14ac:dyDescent="0.2">
      <c r="A420" s="46" t="s">
        <v>16781</v>
      </c>
      <c r="B420" s="46" t="s">
        <v>2288</v>
      </c>
      <c r="C420" s="46" t="s">
        <v>2289</v>
      </c>
      <c r="D420" s="46"/>
      <c r="E420" s="46"/>
      <c r="F420" s="46"/>
      <c r="G420" s="46"/>
      <c r="H420" s="75" t="s">
        <v>16782</v>
      </c>
    </row>
    <row r="421" spans="1:8" ht="25.5" x14ac:dyDescent="0.2">
      <c r="A421" s="14" t="s">
        <v>16783</v>
      </c>
      <c r="B421" s="14" t="s">
        <v>2291</v>
      </c>
      <c r="C421" s="14" t="s">
        <v>2292</v>
      </c>
      <c r="D421" s="14"/>
      <c r="E421" s="14"/>
      <c r="F421" s="14"/>
      <c r="G421" s="14"/>
      <c r="H421" s="73" t="s">
        <v>16784</v>
      </c>
    </row>
    <row r="422" spans="1:8" ht="38.25" x14ac:dyDescent="0.2">
      <c r="A422" s="73" t="s">
        <v>16785</v>
      </c>
      <c r="B422" s="73" t="s">
        <v>2296</v>
      </c>
      <c r="C422" s="73" t="s">
        <v>2297</v>
      </c>
      <c r="D422" s="73"/>
      <c r="E422" s="73"/>
      <c r="F422" s="73"/>
      <c r="G422" s="73"/>
      <c r="H422" s="73" t="s">
        <v>16786</v>
      </c>
    </row>
    <row r="423" spans="1:8" ht="63.75" x14ac:dyDescent="0.2">
      <c r="A423" s="46" t="s">
        <v>16787</v>
      </c>
      <c r="B423" s="46" t="s">
        <v>2299</v>
      </c>
      <c r="C423" s="46" t="s">
        <v>2300</v>
      </c>
      <c r="D423" s="46"/>
      <c r="E423" s="46"/>
      <c r="F423" s="46"/>
      <c r="G423" s="46"/>
      <c r="H423" s="76" t="s">
        <v>16788</v>
      </c>
    </row>
    <row r="424" spans="1:8" ht="63.75" x14ac:dyDescent="0.2">
      <c r="A424" s="74" t="s">
        <v>16789</v>
      </c>
      <c r="B424" s="74" t="s">
        <v>2304</v>
      </c>
      <c r="C424" s="74" t="s">
        <v>16790</v>
      </c>
      <c r="D424" s="74"/>
      <c r="E424" s="74"/>
      <c r="F424" s="74"/>
      <c r="G424" s="74"/>
      <c r="H424" s="74" t="s">
        <v>16791</v>
      </c>
    </row>
    <row r="425" spans="1:8" ht="38.25" x14ac:dyDescent="0.2">
      <c r="A425" s="74" t="s">
        <v>16792</v>
      </c>
      <c r="B425" s="74" t="s">
        <v>2307</v>
      </c>
      <c r="C425" s="74" t="s">
        <v>16793</v>
      </c>
      <c r="D425" s="74"/>
      <c r="E425" s="74"/>
      <c r="F425" s="74"/>
      <c r="G425" s="74"/>
      <c r="H425" s="73" t="s">
        <v>16794</v>
      </c>
    </row>
    <row r="426" spans="1:8" ht="12.75" x14ac:dyDescent="0.2">
      <c r="A426" s="46" t="s">
        <v>16795</v>
      </c>
      <c r="B426" s="46" t="s">
        <v>2310</v>
      </c>
      <c r="C426" s="46" t="s">
        <v>2311</v>
      </c>
      <c r="D426" s="46"/>
      <c r="E426" s="46"/>
      <c r="F426" s="46"/>
      <c r="G426" s="46"/>
      <c r="H426" s="46" t="s">
        <v>16796</v>
      </c>
    </row>
    <row r="427" spans="1:8" ht="63.75" x14ac:dyDescent="0.2">
      <c r="A427" s="74" t="s">
        <v>16797</v>
      </c>
      <c r="B427" s="74" t="s">
        <v>2315</v>
      </c>
      <c r="C427" s="74" t="s">
        <v>16798</v>
      </c>
      <c r="D427" s="74"/>
      <c r="E427" s="74"/>
      <c r="F427" s="74"/>
      <c r="G427" s="74"/>
      <c r="H427" s="74" t="s">
        <v>16799</v>
      </c>
    </row>
    <row r="428" spans="1:8" ht="76.5" x14ac:dyDescent="0.2">
      <c r="A428" s="22" t="s">
        <v>16800</v>
      </c>
      <c r="B428" s="22" t="s">
        <v>2318</v>
      </c>
      <c r="C428" s="22" t="s">
        <v>16801</v>
      </c>
      <c r="D428" s="22"/>
      <c r="E428" s="22"/>
      <c r="F428" s="22"/>
      <c r="G428" s="22"/>
      <c r="H428" s="73" t="s">
        <v>16802</v>
      </c>
    </row>
    <row r="429" spans="1:8" ht="38.25" x14ac:dyDescent="0.2">
      <c r="A429" s="76" t="s">
        <v>16803</v>
      </c>
      <c r="B429" s="76" t="s">
        <v>2321</v>
      </c>
      <c r="C429" s="76" t="s">
        <v>2322</v>
      </c>
      <c r="D429" s="76"/>
      <c r="E429" s="76"/>
      <c r="F429" s="76"/>
      <c r="G429" s="76"/>
      <c r="H429" s="76" t="s">
        <v>16804</v>
      </c>
    </row>
    <row r="430" spans="1:8" ht="38.25" x14ac:dyDescent="0.2">
      <c r="A430" s="74" t="s">
        <v>16805</v>
      </c>
      <c r="B430" s="74" t="s">
        <v>2330</v>
      </c>
      <c r="C430" s="74" t="s">
        <v>16806</v>
      </c>
      <c r="D430" s="74"/>
      <c r="E430" s="74"/>
      <c r="F430" s="74"/>
      <c r="G430" s="74"/>
      <c r="H430" s="73" t="s">
        <v>16807</v>
      </c>
    </row>
    <row r="431" spans="1:8" ht="51" x14ac:dyDescent="0.2">
      <c r="A431" s="14" t="s">
        <v>16808</v>
      </c>
      <c r="B431" s="14" t="s">
        <v>2333</v>
      </c>
      <c r="C431" s="14" t="s">
        <v>2334</v>
      </c>
      <c r="D431" s="14"/>
      <c r="E431" s="14"/>
      <c r="F431" s="14"/>
      <c r="G431" s="14"/>
      <c r="H431" s="73" t="s">
        <v>16809</v>
      </c>
    </row>
    <row r="432" spans="1:8" ht="12.75" x14ac:dyDescent="0.2">
      <c r="A432" s="46" t="s">
        <v>16810</v>
      </c>
      <c r="B432" s="46" t="s">
        <v>2336</v>
      </c>
      <c r="C432" s="46" t="s">
        <v>2337</v>
      </c>
      <c r="D432" s="46"/>
      <c r="E432" s="46"/>
      <c r="F432" s="46"/>
      <c r="G432" s="46"/>
      <c r="H432" s="46" t="s">
        <v>16811</v>
      </c>
    </row>
    <row r="433" spans="1:8" ht="25.5" x14ac:dyDescent="0.2">
      <c r="A433" s="14" t="s">
        <v>16812</v>
      </c>
      <c r="B433" s="14" t="s">
        <v>2339</v>
      </c>
      <c r="C433" s="14" t="s">
        <v>2340</v>
      </c>
      <c r="D433" s="14"/>
      <c r="E433" s="14"/>
      <c r="F433" s="14"/>
      <c r="G433" s="14"/>
      <c r="H433" s="73" t="s">
        <v>16813</v>
      </c>
    </row>
    <row r="434" spans="1:8" ht="51" x14ac:dyDescent="0.2">
      <c r="A434" s="14" t="s">
        <v>16814</v>
      </c>
      <c r="B434" s="14" t="s">
        <v>2342</v>
      </c>
      <c r="C434" s="14" t="s">
        <v>2343</v>
      </c>
      <c r="D434" s="14"/>
      <c r="E434" s="14"/>
      <c r="F434" s="14"/>
      <c r="G434" s="14"/>
      <c r="H434" s="73" t="s">
        <v>16815</v>
      </c>
    </row>
    <row r="435" spans="1:8" ht="25.5" x14ac:dyDescent="0.2">
      <c r="A435" s="46" t="s">
        <v>16816</v>
      </c>
      <c r="B435" s="46" t="s">
        <v>2345</v>
      </c>
      <c r="C435" s="46" t="s">
        <v>2346</v>
      </c>
      <c r="D435" s="46"/>
      <c r="E435" s="46"/>
      <c r="F435" s="46"/>
      <c r="G435" s="46"/>
      <c r="H435" s="46" t="s">
        <v>16817</v>
      </c>
    </row>
    <row r="436" spans="1:8" ht="63.75" x14ac:dyDescent="0.2">
      <c r="A436" s="14" t="s">
        <v>16818</v>
      </c>
      <c r="B436" s="14" t="s">
        <v>2350</v>
      </c>
      <c r="C436" s="14" t="s">
        <v>2351</v>
      </c>
      <c r="D436" s="14"/>
      <c r="E436" s="14"/>
      <c r="F436" s="14"/>
      <c r="G436" s="14"/>
      <c r="H436" s="74" t="s">
        <v>16819</v>
      </c>
    </row>
    <row r="437" spans="1:8" ht="76.5" x14ac:dyDescent="0.2">
      <c r="A437" s="14" t="s">
        <v>16820</v>
      </c>
      <c r="B437" s="14" t="s">
        <v>2353</v>
      </c>
      <c r="C437" s="14" t="s">
        <v>2354</v>
      </c>
      <c r="D437" s="14"/>
      <c r="E437" s="14"/>
      <c r="F437" s="14"/>
      <c r="G437" s="14"/>
      <c r="H437" s="73" t="s">
        <v>16821</v>
      </c>
    </row>
    <row r="438" spans="1:8" ht="89.25" x14ac:dyDescent="0.2">
      <c r="A438" s="46" t="s">
        <v>16822</v>
      </c>
      <c r="B438" s="46" t="s">
        <v>2358</v>
      </c>
      <c r="C438" s="46" t="s">
        <v>2359</v>
      </c>
      <c r="D438" s="46"/>
      <c r="E438" s="46"/>
      <c r="F438" s="46"/>
      <c r="G438" s="46"/>
      <c r="H438" s="76" t="s">
        <v>16823</v>
      </c>
    </row>
    <row r="439" spans="1:8" ht="25.5" x14ac:dyDescent="0.2">
      <c r="A439" s="14" t="s">
        <v>16824</v>
      </c>
      <c r="B439" s="14" t="s">
        <v>2361</v>
      </c>
      <c r="C439" s="14" t="s">
        <v>2362</v>
      </c>
      <c r="D439" s="14"/>
      <c r="E439" s="14"/>
      <c r="F439" s="14"/>
      <c r="G439" s="14"/>
      <c r="H439" s="74" t="s">
        <v>16825</v>
      </c>
    </row>
    <row r="440" spans="1:8" ht="38.25" x14ac:dyDescent="0.2">
      <c r="A440" s="14" t="s">
        <v>16826</v>
      </c>
      <c r="B440" s="14" t="s">
        <v>2364</v>
      </c>
      <c r="C440" s="14" t="s">
        <v>2365</v>
      </c>
      <c r="D440" s="14"/>
      <c r="E440" s="14"/>
      <c r="F440" s="14"/>
      <c r="G440" s="14"/>
      <c r="H440" s="73" t="s">
        <v>16827</v>
      </c>
    </row>
    <row r="441" spans="1:8" ht="25.5" x14ac:dyDescent="0.2">
      <c r="A441" s="46" t="s">
        <v>16828</v>
      </c>
      <c r="B441" s="46" t="s">
        <v>2369</v>
      </c>
      <c r="C441" s="46" t="s">
        <v>2370</v>
      </c>
      <c r="D441" s="46"/>
      <c r="E441" s="46"/>
      <c r="F441" s="46"/>
      <c r="G441" s="46"/>
      <c r="H441" s="75" t="s">
        <v>16829</v>
      </c>
    </row>
    <row r="442" spans="1:8" ht="25.5" x14ac:dyDescent="0.2">
      <c r="A442" s="14" t="s">
        <v>16830</v>
      </c>
      <c r="B442" s="14" t="s">
        <v>2372</v>
      </c>
      <c r="C442" s="14" t="s">
        <v>2373</v>
      </c>
      <c r="D442" s="14"/>
      <c r="E442" s="14"/>
      <c r="F442" s="14"/>
      <c r="G442" s="14"/>
      <c r="H442" s="73" t="s">
        <v>16831</v>
      </c>
    </row>
    <row r="443" spans="1:8" ht="76.5" x14ac:dyDescent="0.2">
      <c r="A443" s="22" t="s">
        <v>16832</v>
      </c>
      <c r="B443" s="22" t="s">
        <v>16833</v>
      </c>
      <c r="C443" s="22"/>
      <c r="D443" s="22"/>
      <c r="E443" s="22"/>
      <c r="F443" s="22"/>
      <c r="G443" s="22"/>
      <c r="H443" s="73" t="s">
        <v>16834</v>
      </c>
    </row>
    <row r="444" spans="1:8" ht="25.5" x14ac:dyDescent="0.2">
      <c r="A444" s="75" t="s">
        <v>16835</v>
      </c>
      <c r="B444" s="75" t="s">
        <v>2383</v>
      </c>
      <c r="C444" s="75" t="s">
        <v>16836</v>
      </c>
      <c r="D444" s="75"/>
      <c r="E444" s="75"/>
      <c r="F444" s="75"/>
      <c r="G444" s="75"/>
      <c r="H444" s="46" t="s">
        <v>16837</v>
      </c>
    </row>
    <row r="445" spans="1:8" ht="25.5" x14ac:dyDescent="0.2">
      <c r="A445" s="74" t="s">
        <v>16838</v>
      </c>
      <c r="B445" s="74" t="s">
        <v>2386</v>
      </c>
      <c r="C445" s="74" t="s">
        <v>16839</v>
      </c>
      <c r="D445" s="74"/>
      <c r="E445" s="74"/>
      <c r="F445" s="74"/>
      <c r="G445" s="74"/>
      <c r="H445" s="73" t="s">
        <v>16840</v>
      </c>
    </row>
    <row r="446" spans="1:8" ht="51" x14ac:dyDescent="0.2">
      <c r="A446" s="46" t="s">
        <v>16841</v>
      </c>
      <c r="B446" s="46" t="s">
        <v>2391</v>
      </c>
      <c r="C446" s="46" t="s">
        <v>2392</v>
      </c>
      <c r="D446" s="46"/>
      <c r="E446" s="46"/>
      <c r="F446" s="46"/>
      <c r="G446" s="46"/>
      <c r="H446" s="76" t="s">
        <v>16842</v>
      </c>
    </row>
    <row r="447" spans="1:8" ht="12.75" x14ac:dyDescent="0.2">
      <c r="A447" s="77"/>
      <c r="B447" s="77"/>
      <c r="C447" s="77"/>
      <c r="D447" s="77"/>
      <c r="E447" s="77"/>
      <c r="F447" s="77"/>
      <c r="G447" s="77"/>
      <c r="H447" s="76" t="s">
        <v>16843</v>
      </c>
    </row>
    <row r="448" spans="1:8" ht="12.75" x14ac:dyDescent="0.2">
      <c r="A448" s="78"/>
      <c r="B448" s="78"/>
      <c r="C448" s="78"/>
      <c r="D448" s="78"/>
      <c r="E448" s="78"/>
      <c r="F448" s="78"/>
      <c r="G448" s="78"/>
      <c r="H448" s="79" t="s">
        <v>16844</v>
      </c>
    </row>
    <row r="449" spans="1:8" ht="12.75" x14ac:dyDescent="0.2">
      <c r="A449" s="78"/>
      <c r="B449" s="78"/>
      <c r="C449" s="78"/>
      <c r="D449" s="78"/>
      <c r="E449" s="78"/>
      <c r="F449" s="78"/>
      <c r="G449" s="78"/>
      <c r="H449" s="79" t="s">
        <v>16845</v>
      </c>
    </row>
    <row r="450" spans="1:8" ht="12.75" x14ac:dyDescent="0.2">
      <c r="A450" s="78"/>
      <c r="B450" s="78"/>
      <c r="C450" s="78"/>
      <c r="D450" s="78"/>
      <c r="E450" s="78"/>
      <c r="F450" s="78"/>
      <c r="G450" s="78"/>
      <c r="H450" s="79" t="s">
        <v>16846</v>
      </c>
    </row>
    <row r="451" spans="1:8" ht="12.75" x14ac:dyDescent="0.2">
      <c r="A451" s="78"/>
      <c r="B451" s="78"/>
      <c r="C451" s="78"/>
      <c r="D451" s="78"/>
      <c r="E451" s="78"/>
      <c r="F451" s="78"/>
      <c r="G451" s="78"/>
      <c r="H451" s="79" t="s">
        <v>16847</v>
      </c>
    </row>
    <row r="452" spans="1:8" ht="12.75" x14ac:dyDescent="0.2">
      <c r="A452" s="78"/>
      <c r="B452" s="78"/>
      <c r="C452" s="78"/>
      <c r="D452" s="78"/>
      <c r="E452" s="78"/>
      <c r="F452" s="78"/>
      <c r="G452" s="78"/>
      <c r="H452" s="79" t="s">
        <v>16848</v>
      </c>
    </row>
    <row r="453" spans="1:8" ht="12.75" x14ac:dyDescent="0.2">
      <c r="A453" s="78"/>
      <c r="B453" s="78"/>
      <c r="C453" s="78"/>
      <c r="D453" s="78"/>
      <c r="E453" s="78"/>
      <c r="F453" s="78"/>
      <c r="G453" s="78"/>
      <c r="H453" s="79" t="s">
        <v>16849</v>
      </c>
    </row>
    <row r="454" spans="1:8" ht="12.75" x14ac:dyDescent="0.2">
      <c r="A454" s="78"/>
      <c r="B454" s="78"/>
      <c r="C454" s="78"/>
      <c r="D454" s="78"/>
      <c r="E454" s="78"/>
      <c r="F454" s="78"/>
      <c r="G454" s="78"/>
      <c r="H454" s="79" t="s">
        <v>16850</v>
      </c>
    </row>
    <row r="455" spans="1:8" ht="38.25" x14ac:dyDescent="0.2">
      <c r="A455" s="80" t="s">
        <v>16851</v>
      </c>
      <c r="B455" s="80" t="s">
        <v>2396</v>
      </c>
      <c r="C455" s="80" t="s">
        <v>16852</v>
      </c>
      <c r="D455" s="80"/>
      <c r="E455" s="80"/>
      <c r="F455" s="80"/>
      <c r="G455" s="80"/>
      <c r="H455" s="80" t="s">
        <v>16853</v>
      </c>
    </row>
    <row r="456" spans="1:8" ht="12.75" x14ac:dyDescent="0.2">
      <c r="A456" s="78"/>
      <c r="B456" s="78"/>
      <c r="C456" s="78"/>
      <c r="D456" s="78"/>
      <c r="E456" s="78"/>
      <c r="F456" s="78"/>
      <c r="G456" s="78"/>
      <c r="H456" s="79" t="s">
        <v>16854</v>
      </c>
    </row>
    <row r="457" spans="1:8" ht="12.75" x14ac:dyDescent="0.2">
      <c r="A457" s="78"/>
      <c r="B457" s="78"/>
      <c r="C457" s="78"/>
      <c r="D457" s="78"/>
      <c r="E457" s="78"/>
      <c r="F457" s="78"/>
      <c r="G457" s="78"/>
      <c r="H457" s="79" t="s">
        <v>16855</v>
      </c>
    </row>
    <row r="458" spans="1:8" ht="12.75" x14ac:dyDescent="0.2">
      <c r="A458" s="78"/>
      <c r="B458" s="78"/>
      <c r="C458" s="78"/>
      <c r="D458" s="78"/>
      <c r="E458" s="78"/>
      <c r="F458" s="78"/>
      <c r="G458" s="78"/>
      <c r="H458" s="79" t="s">
        <v>16856</v>
      </c>
    </row>
    <row r="459" spans="1:8" ht="12.75" x14ac:dyDescent="0.2">
      <c r="A459" s="78"/>
      <c r="B459" s="78"/>
      <c r="C459" s="78"/>
      <c r="D459" s="78"/>
      <c r="E459" s="78"/>
      <c r="F459" s="78"/>
      <c r="G459" s="78"/>
      <c r="H459" s="79" t="s">
        <v>16857</v>
      </c>
    </row>
    <row r="460" spans="1:8" ht="12.75" x14ac:dyDescent="0.2">
      <c r="A460" s="78"/>
      <c r="B460" s="78"/>
      <c r="C460" s="78"/>
      <c r="D460" s="78"/>
      <c r="E460" s="78"/>
      <c r="F460" s="78"/>
      <c r="G460" s="78"/>
      <c r="H460" s="79" t="s">
        <v>16858</v>
      </c>
    </row>
    <row r="461" spans="1:8" ht="12.75" x14ac:dyDescent="0.2">
      <c r="A461" s="78"/>
      <c r="B461" s="78"/>
      <c r="C461" s="78"/>
      <c r="D461" s="78"/>
      <c r="E461" s="78"/>
      <c r="F461" s="78"/>
      <c r="G461" s="78"/>
      <c r="H461" s="79" t="s">
        <v>16859</v>
      </c>
    </row>
    <row r="462" spans="1:8" ht="12.75" x14ac:dyDescent="0.2">
      <c r="A462" s="78"/>
      <c r="B462" s="78"/>
      <c r="C462" s="78"/>
      <c r="D462" s="78"/>
      <c r="E462" s="78"/>
      <c r="F462" s="78"/>
      <c r="G462" s="78"/>
      <c r="H462" s="79" t="s">
        <v>16860</v>
      </c>
    </row>
    <row r="463" spans="1:8" ht="12.75" x14ac:dyDescent="0.2">
      <c r="A463" s="78"/>
      <c r="B463" s="78"/>
      <c r="C463" s="78"/>
      <c r="D463" s="78"/>
      <c r="E463" s="78"/>
      <c r="F463" s="78"/>
      <c r="G463" s="78"/>
      <c r="H463" s="79" t="s">
        <v>16861</v>
      </c>
    </row>
    <row r="464" spans="1:8" ht="127.5" x14ac:dyDescent="0.2">
      <c r="A464" s="22" t="s">
        <v>16862</v>
      </c>
      <c r="B464" s="22" t="s">
        <v>2399</v>
      </c>
      <c r="C464" s="22" t="s">
        <v>16863</v>
      </c>
      <c r="D464" s="22"/>
      <c r="E464" s="22"/>
      <c r="F464" s="22"/>
      <c r="G464" s="22"/>
      <c r="H464" s="74" t="s">
        <v>16864</v>
      </c>
    </row>
    <row r="465" spans="1:8" ht="25.5" x14ac:dyDescent="0.2">
      <c r="A465" s="75" t="s">
        <v>16865</v>
      </c>
      <c r="B465" s="75" t="s">
        <v>2402</v>
      </c>
      <c r="C465" s="75" t="s">
        <v>16866</v>
      </c>
      <c r="D465" s="75"/>
      <c r="E465" s="75"/>
      <c r="F465" s="75"/>
      <c r="G465" s="75"/>
      <c r="H465" s="46" t="s">
        <v>16867</v>
      </c>
    </row>
    <row r="466" spans="1:8" ht="51" x14ac:dyDescent="0.2">
      <c r="A466" s="74" t="s">
        <v>16868</v>
      </c>
      <c r="B466" s="74" t="s">
        <v>2405</v>
      </c>
      <c r="C466" s="74" t="s">
        <v>16869</v>
      </c>
      <c r="D466" s="74"/>
      <c r="E466" s="74"/>
      <c r="F466" s="74"/>
      <c r="G466" s="74"/>
      <c r="H466" s="74" t="s">
        <v>16870</v>
      </c>
    </row>
    <row r="467" spans="1:8" ht="51" x14ac:dyDescent="0.2">
      <c r="A467" s="74" t="s">
        <v>16871</v>
      </c>
      <c r="B467" s="74" t="s">
        <v>16872</v>
      </c>
      <c r="C467" s="74"/>
      <c r="D467" s="74"/>
      <c r="E467" s="74"/>
      <c r="F467" s="74"/>
      <c r="G467" s="74"/>
      <c r="H467" s="74" t="s">
        <v>16873</v>
      </c>
    </row>
    <row r="468" spans="1:8" ht="76.5" x14ac:dyDescent="0.2">
      <c r="A468" s="75" t="s">
        <v>16874</v>
      </c>
      <c r="B468" s="75" t="s">
        <v>2410</v>
      </c>
      <c r="C468" s="75" t="s">
        <v>16875</v>
      </c>
      <c r="D468" s="75"/>
      <c r="E468" s="75"/>
      <c r="F468" s="75"/>
      <c r="G468" s="75"/>
      <c r="H468" s="75" t="s">
        <v>16876</v>
      </c>
    </row>
    <row r="469" spans="1:8" ht="51" x14ac:dyDescent="0.2">
      <c r="A469" s="74" t="s">
        <v>16877</v>
      </c>
      <c r="B469" s="74" t="s">
        <v>2413</v>
      </c>
      <c r="C469" s="74" t="s">
        <v>16878</v>
      </c>
      <c r="D469" s="74"/>
      <c r="E469" s="74"/>
      <c r="F469" s="74"/>
      <c r="G469" s="74"/>
      <c r="H469" s="74" t="s">
        <v>16879</v>
      </c>
    </row>
    <row r="470" spans="1:8" ht="216.75" x14ac:dyDescent="0.2">
      <c r="A470" s="46" t="s">
        <v>16880</v>
      </c>
      <c r="B470" s="46" t="s">
        <v>2418</v>
      </c>
      <c r="C470" s="46" t="s">
        <v>2419</v>
      </c>
      <c r="D470" s="46"/>
      <c r="E470" s="46"/>
      <c r="F470" s="46"/>
      <c r="G470" s="46"/>
      <c r="H470" s="75" t="s">
        <v>16881</v>
      </c>
    </row>
    <row r="471" spans="1:8" ht="63.75" x14ac:dyDescent="0.2">
      <c r="A471" s="74" t="s">
        <v>16882</v>
      </c>
      <c r="B471" s="74" t="s">
        <v>2423</v>
      </c>
      <c r="C471" s="74" t="s">
        <v>16883</v>
      </c>
      <c r="D471" s="74"/>
      <c r="E471" s="74"/>
      <c r="F471" s="74"/>
      <c r="G471" s="74"/>
      <c r="H471" s="73" t="s">
        <v>16884</v>
      </c>
    </row>
    <row r="472" spans="1:8" ht="63.75" x14ac:dyDescent="0.2">
      <c r="A472" s="74" t="s">
        <v>16885</v>
      </c>
      <c r="B472" s="74" t="s">
        <v>16886</v>
      </c>
      <c r="C472" s="74"/>
      <c r="D472" s="74"/>
      <c r="E472" s="74"/>
      <c r="F472" s="74"/>
      <c r="G472" s="74"/>
      <c r="H472" s="73" t="s">
        <v>16887</v>
      </c>
    </row>
    <row r="473" spans="1:8" ht="38.25" x14ac:dyDescent="0.2">
      <c r="A473" s="75" t="s">
        <v>16888</v>
      </c>
      <c r="B473" s="75" t="s">
        <v>2427</v>
      </c>
      <c r="C473" s="75" t="s">
        <v>16889</v>
      </c>
      <c r="D473" s="75"/>
      <c r="E473" s="75"/>
      <c r="F473" s="75"/>
      <c r="G473" s="75"/>
      <c r="H473" s="76" t="s">
        <v>16890</v>
      </c>
    </row>
    <row r="474" spans="1:8" ht="89.25" x14ac:dyDescent="0.2">
      <c r="A474" s="14" t="s">
        <v>16891</v>
      </c>
      <c r="B474" s="14" t="s">
        <v>2430</v>
      </c>
      <c r="C474" s="14" t="s">
        <v>2431</v>
      </c>
      <c r="D474" s="14"/>
      <c r="E474" s="14"/>
      <c r="F474" s="14"/>
      <c r="G474" s="14"/>
      <c r="H474" s="74" t="s">
        <v>16892</v>
      </c>
    </row>
    <row r="475" spans="1:8" ht="63.75" x14ac:dyDescent="0.2">
      <c r="A475" s="46" t="s">
        <v>16893</v>
      </c>
      <c r="B475" s="46" t="s">
        <v>2433</v>
      </c>
      <c r="C475" s="46" t="s">
        <v>2434</v>
      </c>
      <c r="D475" s="46"/>
      <c r="E475" s="46"/>
      <c r="F475" s="46"/>
      <c r="G475" s="46"/>
      <c r="H475" s="75" t="s">
        <v>16894</v>
      </c>
    </row>
    <row r="476" spans="1:8" ht="12.75" x14ac:dyDescent="0.2">
      <c r="A476" s="77"/>
      <c r="B476" s="77"/>
      <c r="C476" s="77"/>
      <c r="D476" s="77"/>
      <c r="E476" s="77"/>
      <c r="F476" s="77"/>
      <c r="G476" s="77"/>
      <c r="H476" s="76" t="s">
        <v>16895</v>
      </c>
    </row>
    <row r="477" spans="1:8" ht="12.75" x14ac:dyDescent="0.2">
      <c r="A477" s="78"/>
      <c r="B477" s="78"/>
      <c r="C477" s="78"/>
      <c r="D477" s="78"/>
      <c r="E477" s="78"/>
      <c r="F477" s="78"/>
      <c r="G477" s="78"/>
      <c r="H477" s="79" t="s">
        <v>16896</v>
      </c>
    </row>
    <row r="478" spans="1:8" ht="12.75" x14ac:dyDescent="0.2">
      <c r="A478" s="78"/>
      <c r="B478" s="78"/>
      <c r="C478" s="78"/>
      <c r="D478" s="78"/>
      <c r="E478" s="78"/>
      <c r="F478" s="78"/>
      <c r="G478" s="78"/>
      <c r="H478" s="79" t="s">
        <v>16897</v>
      </c>
    </row>
    <row r="479" spans="1:8" ht="12.75" x14ac:dyDescent="0.2">
      <c r="A479" s="78"/>
      <c r="B479" s="78"/>
      <c r="C479" s="78"/>
      <c r="D479" s="78"/>
      <c r="E479" s="78"/>
      <c r="F479" s="78"/>
      <c r="G479" s="78"/>
      <c r="H479" s="79" t="s">
        <v>16898</v>
      </c>
    </row>
    <row r="480" spans="1:8" ht="12.75" x14ac:dyDescent="0.2">
      <c r="A480" s="78"/>
      <c r="B480" s="78"/>
      <c r="C480" s="78"/>
      <c r="D480" s="78"/>
      <c r="E480" s="78"/>
      <c r="F480" s="78"/>
      <c r="G480" s="78"/>
      <c r="H480" s="79" t="s">
        <v>16899</v>
      </c>
    </row>
    <row r="481" spans="1:8" ht="12.75" x14ac:dyDescent="0.2">
      <c r="A481" s="78"/>
      <c r="B481" s="78"/>
      <c r="C481" s="78"/>
      <c r="D481" s="78"/>
      <c r="E481" s="78"/>
      <c r="F481" s="78"/>
      <c r="G481" s="78"/>
      <c r="H481" s="79" t="s">
        <v>16900</v>
      </c>
    </row>
    <row r="482" spans="1:8" ht="12.75" x14ac:dyDescent="0.2">
      <c r="A482" s="78"/>
      <c r="B482" s="78"/>
      <c r="C482" s="78"/>
      <c r="D482" s="78"/>
      <c r="E482" s="78"/>
      <c r="F482" s="78"/>
      <c r="G482" s="78"/>
      <c r="H482" s="79" t="s">
        <v>16901</v>
      </c>
    </row>
    <row r="483" spans="1:8" ht="12.75" x14ac:dyDescent="0.2">
      <c r="A483" s="78"/>
      <c r="B483" s="78"/>
      <c r="C483" s="78"/>
      <c r="D483" s="78"/>
      <c r="E483" s="78"/>
      <c r="F483" s="78"/>
      <c r="G483" s="78"/>
      <c r="H483" s="79" t="s">
        <v>16902</v>
      </c>
    </row>
    <row r="484" spans="1:8" ht="12.75" x14ac:dyDescent="0.2">
      <c r="A484" s="78"/>
      <c r="B484" s="78"/>
      <c r="C484" s="78"/>
      <c r="D484" s="78"/>
      <c r="E484" s="78"/>
      <c r="F484" s="78"/>
      <c r="G484" s="78"/>
      <c r="H484" s="79" t="s">
        <v>16903</v>
      </c>
    </row>
    <row r="485" spans="1:8" ht="12.75" x14ac:dyDescent="0.2">
      <c r="A485" s="79" t="s">
        <v>16904</v>
      </c>
      <c r="B485" s="79" t="s">
        <v>2436</v>
      </c>
      <c r="C485" s="79" t="s">
        <v>16905</v>
      </c>
      <c r="D485" s="79"/>
      <c r="E485" s="79"/>
      <c r="F485" s="79"/>
      <c r="G485" s="79"/>
      <c r="H485" s="79" t="s">
        <v>16906</v>
      </c>
    </row>
    <row r="486" spans="1:8" ht="12.75" x14ac:dyDescent="0.2">
      <c r="A486" s="79" t="s">
        <v>16907</v>
      </c>
      <c r="B486" s="79" t="s">
        <v>16908</v>
      </c>
      <c r="C486" s="79"/>
      <c r="D486" s="79"/>
      <c r="E486" s="79"/>
      <c r="F486" s="79"/>
      <c r="G486" s="79"/>
      <c r="H486" s="79" t="s">
        <v>16909</v>
      </c>
    </row>
    <row r="487" spans="1:8" ht="12.75" x14ac:dyDescent="0.2">
      <c r="A487" s="78"/>
      <c r="B487" s="78"/>
      <c r="C487" s="78"/>
      <c r="D487" s="78"/>
      <c r="E487" s="78"/>
      <c r="F487" s="78"/>
      <c r="G487" s="78"/>
      <c r="H487" s="79" t="s">
        <v>16910</v>
      </c>
    </row>
    <row r="488" spans="1:8" ht="12.75" x14ac:dyDescent="0.2">
      <c r="A488" s="78"/>
      <c r="B488" s="78"/>
      <c r="C488" s="78"/>
      <c r="D488" s="78"/>
      <c r="E488" s="78"/>
      <c r="F488" s="78"/>
      <c r="G488" s="78"/>
      <c r="H488" s="79" t="s">
        <v>16911</v>
      </c>
    </row>
    <row r="489" spans="1:8" ht="12.75" x14ac:dyDescent="0.2">
      <c r="A489" s="78"/>
      <c r="B489" s="78"/>
      <c r="C489" s="78"/>
      <c r="D489" s="78"/>
      <c r="E489" s="78"/>
      <c r="F489" s="78"/>
      <c r="G489" s="78"/>
      <c r="H489" s="79" t="s">
        <v>16912</v>
      </c>
    </row>
    <row r="490" spans="1:8" ht="12.75" x14ac:dyDescent="0.2">
      <c r="A490" s="78"/>
      <c r="B490" s="78"/>
      <c r="C490" s="78"/>
      <c r="D490" s="78"/>
      <c r="E490" s="78"/>
      <c r="F490" s="78"/>
      <c r="G490" s="78"/>
      <c r="H490" s="79" t="s">
        <v>16913</v>
      </c>
    </row>
    <row r="491" spans="1:8" ht="12.75" x14ac:dyDescent="0.2">
      <c r="A491" s="78"/>
      <c r="B491" s="78"/>
      <c r="C491" s="78"/>
      <c r="D491" s="78"/>
      <c r="E491" s="78"/>
      <c r="F491" s="78"/>
      <c r="G491" s="78"/>
      <c r="H491" s="79" t="s">
        <v>16914</v>
      </c>
    </row>
    <row r="492" spans="1:8" ht="12.75" x14ac:dyDescent="0.2">
      <c r="A492" s="78"/>
      <c r="B492" s="78"/>
      <c r="C492" s="78"/>
      <c r="D492" s="78"/>
      <c r="E492" s="78"/>
      <c r="F492" s="78"/>
      <c r="G492" s="78"/>
      <c r="H492" s="79" t="s">
        <v>16915</v>
      </c>
    </row>
    <row r="493" spans="1:8" ht="12.75" x14ac:dyDescent="0.2">
      <c r="A493" s="78"/>
      <c r="B493" s="78"/>
      <c r="C493" s="78"/>
      <c r="D493" s="78"/>
      <c r="E493" s="78"/>
      <c r="F493" s="78"/>
      <c r="G493" s="78"/>
      <c r="H493" s="79" t="s">
        <v>16916</v>
      </c>
    </row>
    <row r="494" spans="1:8" ht="12.75" x14ac:dyDescent="0.2">
      <c r="A494" s="78"/>
      <c r="B494" s="78"/>
      <c r="C494" s="78"/>
      <c r="D494" s="78"/>
      <c r="E494" s="78"/>
      <c r="F494" s="78"/>
      <c r="G494" s="78"/>
      <c r="H494" s="79" t="s">
        <v>16917</v>
      </c>
    </row>
    <row r="495" spans="1:8" ht="12.75" x14ac:dyDescent="0.2">
      <c r="A495" s="78"/>
      <c r="B495" s="78"/>
      <c r="C495" s="78"/>
      <c r="D495" s="78"/>
      <c r="E495" s="78"/>
      <c r="F495" s="78"/>
      <c r="G495" s="78"/>
      <c r="H495" s="79" t="s">
        <v>16918</v>
      </c>
    </row>
    <row r="496" spans="1:8" ht="242.25" x14ac:dyDescent="0.2">
      <c r="A496" s="49" t="s">
        <v>16919</v>
      </c>
      <c r="B496" s="49" t="s">
        <v>2439</v>
      </c>
      <c r="C496" s="49" t="s">
        <v>16920</v>
      </c>
      <c r="D496" s="49"/>
      <c r="E496" s="49"/>
      <c r="F496" s="49"/>
      <c r="G496" s="49"/>
      <c r="H496" s="75" t="s">
        <v>16921</v>
      </c>
    </row>
    <row r="497" spans="1:8" ht="153" x14ac:dyDescent="0.2">
      <c r="A497" s="14" t="s">
        <v>16922</v>
      </c>
      <c r="B497" s="14" t="s">
        <v>2442</v>
      </c>
      <c r="C497" s="14" t="s">
        <v>16923</v>
      </c>
      <c r="D497" s="14"/>
      <c r="E497" s="14"/>
      <c r="F497" s="14"/>
      <c r="G497" s="14"/>
      <c r="H497" s="74" t="s">
        <v>16924</v>
      </c>
    </row>
    <row r="498" spans="1:8" ht="140.25" x14ac:dyDescent="0.2">
      <c r="A498" s="49" t="s">
        <v>16925</v>
      </c>
      <c r="B498" s="49" t="s">
        <v>2445</v>
      </c>
      <c r="C498" s="49" t="s">
        <v>16926</v>
      </c>
      <c r="D498" s="49"/>
      <c r="E498" s="49"/>
      <c r="F498" s="49"/>
      <c r="G498" s="49"/>
      <c r="H498" s="75" t="s">
        <v>16927</v>
      </c>
    </row>
    <row r="499" spans="1:8" ht="51" x14ac:dyDescent="0.2">
      <c r="A499" s="74" t="s">
        <v>16928</v>
      </c>
      <c r="B499" s="74" t="s">
        <v>2450</v>
      </c>
      <c r="C499" s="74" t="s">
        <v>16929</v>
      </c>
      <c r="D499" s="74"/>
      <c r="E499" s="74"/>
      <c r="F499" s="74"/>
      <c r="G499" s="74"/>
      <c r="H499" s="73" t="s">
        <v>16930</v>
      </c>
    </row>
    <row r="500" spans="1:8" ht="38.25" x14ac:dyDescent="0.2">
      <c r="A500" s="74" t="s">
        <v>16931</v>
      </c>
      <c r="B500" s="74" t="s">
        <v>2455</v>
      </c>
      <c r="C500" s="74" t="s">
        <v>16932</v>
      </c>
      <c r="D500" s="74"/>
      <c r="E500" s="74"/>
      <c r="F500" s="74"/>
      <c r="G500" s="74"/>
      <c r="H500" s="73" t="s">
        <v>16933</v>
      </c>
    </row>
    <row r="501" spans="1:8" ht="51" x14ac:dyDescent="0.2">
      <c r="A501" s="75" t="s">
        <v>16934</v>
      </c>
      <c r="B501" s="75" t="s">
        <v>16935</v>
      </c>
      <c r="C501" s="75"/>
      <c r="D501" s="75"/>
      <c r="E501" s="75"/>
      <c r="F501" s="75"/>
      <c r="G501" s="75"/>
      <c r="H501" s="76" t="s">
        <v>16936</v>
      </c>
    </row>
    <row r="502" spans="1:8" ht="25.5" x14ac:dyDescent="0.2">
      <c r="A502" s="74" t="s">
        <v>16937</v>
      </c>
      <c r="B502" s="74" t="s">
        <v>2462</v>
      </c>
      <c r="C502" s="74" t="s">
        <v>16938</v>
      </c>
      <c r="D502" s="74"/>
      <c r="E502" s="74"/>
      <c r="F502" s="74"/>
      <c r="G502" s="74"/>
      <c r="H502" s="14" t="s">
        <v>16939</v>
      </c>
    </row>
    <row r="503" spans="1:8" ht="63.75" x14ac:dyDescent="0.2">
      <c r="A503" s="74" t="s">
        <v>16940</v>
      </c>
      <c r="B503" s="74" t="s">
        <v>16941</v>
      </c>
      <c r="C503" s="74"/>
      <c r="D503" s="74"/>
      <c r="E503" s="74"/>
      <c r="F503" s="74"/>
      <c r="G503" s="74"/>
      <c r="H503" s="74" t="s">
        <v>16942</v>
      </c>
    </row>
    <row r="504" spans="1:8" ht="38.25" x14ac:dyDescent="0.2">
      <c r="A504" s="75" t="s">
        <v>16943</v>
      </c>
      <c r="B504" s="75" t="s">
        <v>2467</v>
      </c>
      <c r="C504" s="75" t="s">
        <v>16944</v>
      </c>
      <c r="D504" s="75"/>
      <c r="E504" s="75"/>
      <c r="F504" s="75"/>
      <c r="G504" s="75"/>
      <c r="H504" s="76" t="s">
        <v>16945</v>
      </c>
    </row>
    <row r="505" spans="1:8" ht="25.5" x14ac:dyDescent="0.2">
      <c r="A505" s="74" t="s">
        <v>16946</v>
      </c>
      <c r="B505" s="74" t="s">
        <v>2472</v>
      </c>
      <c r="C505" s="74" t="s">
        <v>16947</v>
      </c>
      <c r="D505" s="74"/>
      <c r="E505" s="74"/>
      <c r="F505" s="74"/>
      <c r="G505" s="74"/>
      <c r="H505" s="73" t="s">
        <v>16948</v>
      </c>
    </row>
    <row r="506" spans="1:8" ht="153" x14ac:dyDescent="0.2">
      <c r="A506" s="46" t="s">
        <v>16949</v>
      </c>
      <c r="B506" s="46" t="s">
        <v>2475</v>
      </c>
      <c r="C506" s="46" t="s">
        <v>2476</v>
      </c>
      <c r="D506" s="46"/>
      <c r="E506" s="46"/>
      <c r="F506" s="46"/>
      <c r="G506" s="46"/>
      <c r="H506" s="75" t="s">
        <v>16950</v>
      </c>
    </row>
    <row r="507" spans="1:8" ht="165.75" x14ac:dyDescent="0.2">
      <c r="A507" s="46" t="s">
        <v>16951</v>
      </c>
      <c r="B507" s="46" t="s">
        <v>2478</v>
      </c>
      <c r="C507" s="46" t="s">
        <v>16952</v>
      </c>
      <c r="D507" s="46" t="s">
        <v>16953</v>
      </c>
      <c r="E507" s="46"/>
      <c r="F507" s="46"/>
      <c r="G507" s="46"/>
      <c r="H507" s="75" t="s">
        <v>16954</v>
      </c>
    </row>
    <row r="508" spans="1:8" ht="165.75" x14ac:dyDescent="0.2">
      <c r="A508" s="14" t="s">
        <v>16955</v>
      </c>
      <c r="B508" s="14" t="s">
        <v>2481</v>
      </c>
      <c r="C508" s="14" t="s">
        <v>2482</v>
      </c>
      <c r="D508" s="14"/>
      <c r="E508" s="14"/>
      <c r="F508" s="14"/>
      <c r="G508" s="14"/>
      <c r="H508" s="74" t="s">
        <v>16956</v>
      </c>
    </row>
    <row r="509" spans="1:8" ht="114.75" x14ac:dyDescent="0.2">
      <c r="A509" s="46" t="s">
        <v>16957</v>
      </c>
      <c r="B509" s="46" t="s">
        <v>2484</v>
      </c>
      <c r="C509" s="46" t="s">
        <v>2485</v>
      </c>
      <c r="D509" s="46"/>
      <c r="E509" s="46"/>
      <c r="F509" s="46"/>
      <c r="G509" s="46"/>
      <c r="H509" s="75" t="s">
        <v>16958</v>
      </c>
    </row>
    <row r="510" spans="1:8" ht="89.25" x14ac:dyDescent="0.2">
      <c r="A510" s="14" t="s">
        <v>16959</v>
      </c>
      <c r="B510" s="14" t="s">
        <v>2487</v>
      </c>
      <c r="C510" s="14" t="s">
        <v>2488</v>
      </c>
      <c r="D510" s="14"/>
      <c r="E510" s="14"/>
      <c r="F510" s="14"/>
      <c r="G510" s="14"/>
      <c r="H510" s="74" t="s">
        <v>16960</v>
      </c>
    </row>
    <row r="511" spans="1:8" ht="89.25" x14ac:dyDescent="0.2">
      <c r="A511" s="14" t="s">
        <v>16961</v>
      </c>
      <c r="B511" s="14" t="s">
        <v>2490</v>
      </c>
      <c r="C511" s="14" t="s">
        <v>2491</v>
      </c>
      <c r="D511" s="14"/>
      <c r="E511" s="14"/>
      <c r="F511" s="14"/>
      <c r="G511" s="14"/>
      <c r="H511" s="73" t="s">
        <v>16962</v>
      </c>
    </row>
    <row r="512" spans="1:8" ht="51" x14ac:dyDescent="0.2">
      <c r="A512" s="46" t="s">
        <v>16963</v>
      </c>
      <c r="B512" s="46" t="s">
        <v>2493</v>
      </c>
      <c r="C512" s="46" t="s">
        <v>2494</v>
      </c>
      <c r="D512" s="46"/>
      <c r="E512" s="46"/>
      <c r="F512" s="46"/>
      <c r="G512" s="46"/>
      <c r="H512" s="76" t="s">
        <v>16964</v>
      </c>
    </row>
    <row r="513" spans="1:8" ht="25.5" x14ac:dyDescent="0.2">
      <c r="A513" s="74" t="s">
        <v>16965</v>
      </c>
      <c r="B513" s="74" t="s">
        <v>2498</v>
      </c>
      <c r="C513" s="74" t="s">
        <v>16966</v>
      </c>
      <c r="D513" s="74"/>
      <c r="E513" s="74"/>
      <c r="F513" s="74"/>
      <c r="G513" s="74"/>
      <c r="H513" s="73" t="s">
        <v>16967</v>
      </c>
    </row>
    <row r="514" spans="1:8" ht="38.25" x14ac:dyDescent="0.2">
      <c r="A514" s="14" t="s">
        <v>16968</v>
      </c>
      <c r="B514" s="14" t="s">
        <v>2501</v>
      </c>
      <c r="C514" s="14" t="s">
        <v>16969</v>
      </c>
      <c r="D514" s="14"/>
      <c r="E514" s="14"/>
      <c r="F514" s="14"/>
      <c r="G514" s="14"/>
      <c r="H514" s="74" t="s">
        <v>16970</v>
      </c>
    </row>
    <row r="515" spans="1:8" ht="25.5" x14ac:dyDescent="0.2">
      <c r="A515" s="75" t="s">
        <v>16971</v>
      </c>
      <c r="B515" s="75" t="s">
        <v>2504</v>
      </c>
      <c r="C515" s="75" t="s">
        <v>16972</v>
      </c>
      <c r="D515" s="75"/>
      <c r="E515" s="75"/>
      <c r="F515" s="75"/>
      <c r="G515" s="75"/>
      <c r="H515" s="76" t="s">
        <v>16973</v>
      </c>
    </row>
    <row r="516" spans="1:8" ht="25.5" x14ac:dyDescent="0.2">
      <c r="A516" s="14" t="s">
        <v>16974</v>
      </c>
      <c r="B516" s="14" t="s">
        <v>2517</v>
      </c>
      <c r="C516" s="14" t="s">
        <v>2518</v>
      </c>
      <c r="D516" s="14"/>
      <c r="E516" s="14"/>
      <c r="F516" s="14"/>
      <c r="G516" s="14"/>
      <c r="H516" s="14" t="s">
        <v>16975</v>
      </c>
    </row>
    <row r="517" spans="1:8" ht="12.75" x14ac:dyDescent="0.2">
      <c r="A517" s="14" t="s">
        <v>16976</v>
      </c>
      <c r="B517" s="14" t="s">
        <v>2520</v>
      </c>
      <c r="C517" s="14" t="s">
        <v>2521</v>
      </c>
      <c r="D517" s="14"/>
      <c r="E517" s="14"/>
      <c r="F517" s="14"/>
      <c r="G517" s="14"/>
      <c r="H517" s="14" t="s">
        <v>16977</v>
      </c>
    </row>
    <row r="518" spans="1:8" ht="25.5" x14ac:dyDescent="0.2">
      <c r="A518" s="46" t="s">
        <v>16978</v>
      </c>
      <c r="B518" s="46" t="s">
        <v>2525</v>
      </c>
      <c r="C518" s="46" t="s">
        <v>2524</v>
      </c>
      <c r="D518" s="46"/>
      <c r="E518" s="46"/>
      <c r="F518" s="46"/>
      <c r="G518" s="46"/>
      <c r="H518" s="76" t="s">
        <v>16979</v>
      </c>
    </row>
    <row r="519" spans="1:8" ht="12.75" x14ac:dyDescent="0.2">
      <c r="A519" s="14" t="s">
        <v>16980</v>
      </c>
      <c r="B519" s="14" t="s">
        <v>2533</v>
      </c>
      <c r="C519" s="14" t="s">
        <v>2530</v>
      </c>
      <c r="D519" s="14"/>
      <c r="E519" s="14"/>
      <c r="F519" s="14"/>
      <c r="G519" s="14"/>
      <c r="H519" s="14" t="s">
        <v>16981</v>
      </c>
    </row>
    <row r="520" spans="1:8" ht="25.5" x14ac:dyDescent="0.2">
      <c r="A520" s="74" t="s">
        <v>16982</v>
      </c>
      <c r="B520" s="74" t="s">
        <v>2541</v>
      </c>
      <c r="C520" s="74" t="s">
        <v>16983</v>
      </c>
      <c r="D520" s="74"/>
      <c r="E520" s="74"/>
      <c r="F520" s="74"/>
      <c r="G520" s="74"/>
      <c r="H520" s="14" t="s">
        <v>16984</v>
      </c>
    </row>
    <row r="521" spans="1:8" ht="25.5" x14ac:dyDescent="0.2">
      <c r="A521" s="75" t="s">
        <v>16985</v>
      </c>
      <c r="B521" s="75" t="s">
        <v>2544</v>
      </c>
      <c r="C521" s="75" t="s">
        <v>16986</v>
      </c>
      <c r="D521" s="75"/>
      <c r="E521" s="75"/>
      <c r="F521" s="75"/>
      <c r="G521" s="75"/>
      <c r="H521" s="75" t="s">
        <v>16987</v>
      </c>
    </row>
    <row r="522" spans="1:8" ht="51" x14ac:dyDescent="0.2">
      <c r="A522" s="74" t="s">
        <v>16988</v>
      </c>
      <c r="B522" s="74" t="s">
        <v>2555</v>
      </c>
      <c r="C522" s="74" t="s">
        <v>16989</v>
      </c>
      <c r="D522" s="74"/>
      <c r="E522" s="74"/>
      <c r="F522" s="74"/>
      <c r="G522" s="74"/>
      <c r="H522" s="73" t="s">
        <v>16990</v>
      </c>
    </row>
    <row r="523" spans="1:8" ht="25.5" x14ac:dyDescent="0.2">
      <c r="A523" s="74" t="s">
        <v>16991</v>
      </c>
      <c r="B523" s="74" t="s">
        <v>2558</v>
      </c>
      <c r="C523" s="74" t="s">
        <v>16992</v>
      </c>
      <c r="D523" s="74"/>
      <c r="E523" s="74"/>
      <c r="F523" s="74"/>
      <c r="G523" s="74"/>
      <c r="H523" s="73" t="s">
        <v>16993</v>
      </c>
    </row>
    <row r="524" spans="1:8" ht="89.25" x14ac:dyDescent="0.2">
      <c r="A524" s="49" t="s">
        <v>16994</v>
      </c>
      <c r="B524" s="49" t="s">
        <v>2561</v>
      </c>
      <c r="C524" s="49" t="s">
        <v>16995</v>
      </c>
      <c r="D524" s="49"/>
      <c r="E524" s="49"/>
      <c r="F524" s="49"/>
      <c r="G524" s="49"/>
      <c r="H524" s="75" t="s">
        <v>16996</v>
      </c>
    </row>
    <row r="525" spans="1:8" ht="242.25" x14ac:dyDescent="0.2">
      <c r="A525" s="49" t="s">
        <v>16997</v>
      </c>
      <c r="B525" s="49" t="s">
        <v>2566</v>
      </c>
      <c r="C525" s="49" t="s">
        <v>16998</v>
      </c>
      <c r="D525" s="49"/>
      <c r="E525" s="49"/>
      <c r="F525" s="49"/>
      <c r="G525" s="49"/>
      <c r="H525" s="75" t="s">
        <v>16999</v>
      </c>
    </row>
    <row r="526" spans="1:8" ht="229.5" x14ac:dyDescent="0.2">
      <c r="A526" s="49" t="s">
        <v>17000</v>
      </c>
      <c r="B526" s="49" t="s">
        <v>2569</v>
      </c>
      <c r="C526" s="49" t="s">
        <v>17001</v>
      </c>
      <c r="D526" s="49"/>
      <c r="E526" s="49"/>
      <c r="F526" s="49"/>
      <c r="G526" s="49"/>
      <c r="H526" s="75" t="s">
        <v>17002</v>
      </c>
    </row>
    <row r="527" spans="1:8" ht="140.25" x14ac:dyDescent="0.2">
      <c r="A527" s="22" t="s">
        <v>17003</v>
      </c>
      <c r="B527" s="22" t="s">
        <v>2572</v>
      </c>
      <c r="C527" s="22" t="s">
        <v>17004</v>
      </c>
      <c r="D527" s="22"/>
      <c r="E527" s="22"/>
      <c r="F527" s="22"/>
      <c r="G527" s="22"/>
      <c r="H527" s="74" t="s">
        <v>17005</v>
      </c>
    </row>
    <row r="528" spans="1:8" ht="38.25" x14ac:dyDescent="0.2">
      <c r="A528" s="75" t="s">
        <v>17006</v>
      </c>
      <c r="B528" s="75" t="s">
        <v>2583</v>
      </c>
      <c r="C528" s="75" t="s">
        <v>17007</v>
      </c>
      <c r="D528" s="75"/>
      <c r="E528" s="75"/>
      <c r="F528" s="75"/>
      <c r="G528" s="75"/>
      <c r="H528" s="76" t="s">
        <v>17008</v>
      </c>
    </row>
    <row r="529" spans="1:8" ht="25.5" x14ac:dyDescent="0.2">
      <c r="A529" s="74" t="s">
        <v>17009</v>
      </c>
      <c r="B529" s="74" t="s">
        <v>17010</v>
      </c>
      <c r="C529" s="74"/>
      <c r="D529" s="74"/>
      <c r="E529" s="74"/>
      <c r="F529" s="74"/>
      <c r="G529" s="74"/>
      <c r="H529" s="73" t="s">
        <v>17011</v>
      </c>
    </row>
    <row r="530" spans="1:8" ht="63.75" x14ac:dyDescent="0.2">
      <c r="A530" s="22" t="s">
        <v>17012</v>
      </c>
      <c r="B530" s="22" t="s">
        <v>17013</v>
      </c>
      <c r="C530" s="22"/>
      <c r="D530" s="22"/>
      <c r="E530" s="22"/>
      <c r="F530" s="22"/>
      <c r="G530" s="22"/>
      <c r="H530" s="74" t="s">
        <v>17014</v>
      </c>
    </row>
    <row r="531" spans="1:8" ht="38.25" x14ac:dyDescent="0.2">
      <c r="A531" s="75" t="s">
        <v>17015</v>
      </c>
      <c r="B531" s="75" t="s">
        <v>2596</v>
      </c>
      <c r="C531" s="75" t="s">
        <v>17016</v>
      </c>
      <c r="D531" s="75"/>
      <c r="E531" s="75"/>
      <c r="F531" s="75"/>
      <c r="G531" s="75"/>
      <c r="H531" s="76" t="s">
        <v>17017</v>
      </c>
    </row>
    <row r="532" spans="1:8" ht="280.5" x14ac:dyDescent="0.2">
      <c r="A532" s="49" t="s">
        <v>17018</v>
      </c>
      <c r="B532" s="49" t="s">
        <v>2599</v>
      </c>
      <c r="C532" s="49" t="s">
        <v>17019</v>
      </c>
      <c r="D532" s="49"/>
      <c r="E532" s="49"/>
      <c r="F532" s="49"/>
      <c r="G532" s="49"/>
      <c r="H532" s="75" t="s">
        <v>17020</v>
      </c>
    </row>
    <row r="533" spans="1:8" ht="144" x14ac:dyDescent="0.2">
      <c r="A533" s="75"/>
      <c r="B533" s="75"/>
      <c r="C533" s="75"/>
      <c r="D533" s="75"/>
      <c r="E533" s="75"/>
      <c r="F533" s="75"/>
      <c r="G533" s="75"/>
      <c r="H533" s="75" t="s">
        <v>17021</v>
      </c>
    </row>
    <row r="534" spans="1:8" ht="102" x14ac:dyDescent="0.2">
      <c r="A534" s="46" t="s">
        <v>17022</v>
      </c>
      <c r="B534" s="46" t="s">
        <v>2602</v>
      </c>
      <c r="C534" s="46" t="s">
        <v>2603</v>
      </c>
      <c r="D534" s="46"/>
      <c r="E534" s="46"/>
      <c r="F534" s="46"/>
      <c r="G534" s="46"/>
      <c r="H534" s="75" t="s">
        <v>17023</v>
      </c>
    </row>
    <row r="535" spans="1:8" ht="165.75" x14ac:dyDescent="0.2">
      <c r="A535" s="46" t="s">
        <v>17024</v>
      </c>
      <c r="B535" s="46" t="s">
        <v>2605</v>
      </c>
      <c r="C535" s="46" t="s">
        <v>2606</v>
      </c>
      <c r="D535" s="46"/>
      <c r="E535" s="46"/>
      <c r="F535" s="46"/>
      <c r="G535" s="46"/>
      <c r="H535" s="75" t="s">
        <v>17025</v>
      </c>
    </row>
    <row r="536" spans="1:8" ht="178.5" x14ac:dyDescent="0.2">
      <c r="A536" s="49" t="s">
        <v>17026</v>
      </c>
      <c r="B536" s="49" t="s">
        <v>2610</v>
      </c>
      <c r="C536" s="49" t="s">
        <v>17027</v>
      </c>
      <c r="D536" s="49"/>
      <c r="E536" s="49"/>
      <c r="F536" s="49"/>
      <c r="G536" s="49"/>
      <c r="H536" s="75" t="s">
        <v>17028</v>
      </c>
    </row>
    <row r="537" spans="1:8" ht="293.25" x14ac:dyDescent="0.2">
      <c r="A537" s="49" t="s">
        <v>17029</v>
      </c>
      <c r="B537" s="49" t="s">
        <v>2613</v>
      </c>
      <c r="C537" s="49" t="s">
        <v>17030</v>
      </c>
      <c r="D537" s="49"/>
      <c r="E537" s="49"/>
      <c r="F537" s="49"/>
      <c r="G537" s="49"/>
      <c r="H537" s="75" t="s">
        <v>17031</v>
      </c>
    </row>
    <row r="538" spans="1:8" ht="132" x14ac:dyDescent="0.2">
      <c r="A538" s="74"/>
      <c r="B538" s="74"/>
      <c r="C538" s="74"/>
      <c r="D538" s="74"/>
      <c r="E538" s="74"/>
      <c r="F538" s="74"/>
      <c r="G538" s="74"/>
      <c r="H538" s="74" t="s">
        <v>17032</v>
      </c>
    </row>
    <row r="539" spans="1:8" ht="38.25" x14ac:dyDescent="0.2">
      <c r="A539" s="75" t="s">
        <v>17033</v>
      </c>
      <c r="B539" s="75" t="s">
        <v>2616</v>
      </c>
      <c r="C539" s="75" t="s">
        <v>17034</v>
      </c>
      <c r="D539" s="75"/>
      <c r="E539" s="75"/>
      <c r="F539" s="75"/>
      <c r="G539" s="75"/>
      <c r="H539" s="76" t="s">
        <v>17035</v>
      </c>
    </row>
    <row r="540" spans="1:8" ht="127.5" x14ac:dyDescent="0.2">
      <c r="A540" s="14" t="s">
        <v>17036</v>
      </c>
      <c r="B540" s="14" t="s">
        <v>2619</v>
      </c>
      <c r="C540" s="14" t="s">
        <v>2620</v>
      </c>
      <c r="D540" s="14"/>
      <c r="E540" s="14"/>
      <c r="F540" s="14"/>
      <c r="G540" s="14"/>
      <c r="H540" s="74" t="s">
        <v>17037</v>
      </c>
    </row>
    <row r="541" spans="1:8" ht="38.25" x14ac:dyDescent="0.2">
      <c r="A541" s="14" t="s">
        <v>17038</v>
      </c>
      <c r="B541" s="14" t="s">
        <v>2622</v>
      </c>
      <c r="C541" s="14" t="s">
        <v>2623</v>
      </c>
      <c r="D541" s="14"/>
      <c r="E541" s="14"/>
      <c r="F541" s="14"/>
      <c r="G541" s="14"/>
      <c r="H541" s="74" t="s">
        <v>17039</v>
      </c>
    </row>
    <row r="542" spans="1:8" ht="76.5" x14ac:dyDescent="0.2">
      <c r="A542" s="75" t="s">
        <v>17040</v>
      </c>
      <c r="B542" s="75" t="s">
        <v>2719</v>
      </c>
      <c r="C542" s="75" t="s">
        <v>17041</v>
      </c>
      <c r="D542" s="75"/>
      <c r="E542" s="75"/>
      <c r="F542" s="75"/>
      <c r="G542" s="75"/>
      <c r="H542" s="75"/>
    </row>
    <row r="543" spans="1:8" ht="12.75" x14ac:dyDescent="0.2">
      <c r="A543" s="14" t="s">
        <v>17042</v>
      </c>
      <c r="B543" s="14" t="s">
        <v>2791</v>
      </c>
      <c r="C543" s="14" t="s">
        <v>2792</v>
      </c>
      <c r="D543" s="14"/>
      <c r="E543" s="14"/>
      <c r="F543" s="14"/>
      <c r="G543" s="14"/>
      <c r="H543" s="14" t="s">
        <v>17043</v>
      </c>
    </row>
    <row r="544" spans="1:8" ht="63.75" x14ac:dyDescent="0.2">
      <c r="A544" s="75" t="s">
        <v>17044</v>
      </c>
      <c r="B544" s="75" t="s">
        <v>2851</v>
      </c>
      <c r="C544" s="75" t="s">
        <v>17045</v>
      </c>
      <c r="D544" s="75"/>
      <c r="E544" s="75"/>
      <c r="F544" s="75"/>
      <c r="G544" s="75"/>
      <c r="H544" s="75" t="s">
        <v>17046</v>
      </c>
    </row>
    <row r="545" spans="1:8" ht="153" x14ac:dyDescent="0.2">
      <c r="A545" s="74" t="s">
        <v>17047</v>
      </c>
      <c r="B545" s="74" t="s">
        <v>2854</v>
      </c>
      <c r="C545" s="74" t="s">
        <v>17048</v>
      </c>
      <c r="D545" s="74"/>
      <c r="E545" s="74"/>
      <c r="F545" s="74"/>
      <c r="G545" s="74"/>
      <c r="H545" s="74" t="s">
        <v>17049</v>
      </c>
    </row>
    <row r="546" spans="1:8" ht="63.75" x14ac:dyDescent="0.2">
      <c r="A546" s="76" t="s">
        <v>17050</v>
      </c>
      <c r="B546" s="76" t="s">
        <v>2857</v>
      </c>
      <c r="C546" s="76" t="s">
        <v>2858</v>
      </c>
      <c r="D546" s="76"/>
      <c r="E546" s="76"/>
      <c r="F546" s="76"/>
      <c r="G546" s="76"/>
      <c r="H546" s="75" t="s">
        <v>17051</v>
      </c>
    </row>
    <row r="547" spans="1:8" ht="114.75" x14ac:dyDescent="0.2">
      <c r="A547" s="22" t="s">
        <v>17052</v>
      </c>
      <c r="B547" s="22" t="s">
        <v>2913</v>
      </c>
      <c r="C547" s="22" t="s">
        <v>17053</v>
      </c>
      <c r="D547" s="22"/>
      <c r="E547" s="22"/>
      <c r="F547" s="22"/>
      <c r="G547" s="22"/>
      <c r="H547" s="74" t="s">
        <v>17054</v>
      </c>
    </row>
    <row r="548" spans="1:8" ht="51" x14ac:dyDescent="0.2">
      <c r="A548" s="75" t="s">
        <v>17055</v>
      </c>
      <c r="B548" s="75" t="s">
        <v>2916</v>
      </c>
      <c r="C548" s="75" t="s">
        <v>17056</v>
      </c>
      <c r="D548" s="75"/>
      <c r="E548" s="75"/>
      <c r="F548" s="75"/>
      <c r="G548" s="75"/>
      <c r="H548" s="76" t="s">
        <v>17057</v>
      </c>
    </row>
    <row r="549" spans="1:8" ht="127.5" x14ac:dyDescent="0.2">
      <c r="A549" s="22" t="s">
        <v>17058</v>
      </c>
      <c r="B549" s="22" t="s">
        <v>2919</v>
      </c>
      <c r="C549" s="22" t="s">
        <v>17059</v>
      </c>
      <c r="D549" s="22"/>
      <c r="E549" s="22"/>
      <c r="F549" s="22"/>
      <c r="G549" s="22"/>
      <c r="H549" s="74" t="s">
        <v>17060</v>
      </c>
    </row>
    <row r="550" spans="1:8" ht="102" x14ac:dyDescent="0.2">
      <c r="A550" s="75" t="s">
        <v>17061</v>
      </c>
      <c r="B550" s="75" t="s">
        <v>2922</v>
      </c>
      <c r="C550" s="75" t="s">
        <v>17062</v>
      </c>
      <c r="D550" s="75"/>
      <c r="E550" s="75"/>
      <c r="F550" s="75"/>
      <c r="G550" s="75"/>
      <c r="H550" s="75" t="s">
        <v>17063</v>
      </c>
    </row>
    <row r="551" spans="1:8" ht="102" x14ac:dyDescent="0.2">
      <c r="A551" s="22" t="s">
        <v>17064</v>
      </c>
      <c r="B551" s="22" t="s">
        <v>2925</v>
      </c>
      <c r="C551" s="22" t="s">
        <v>17065</v>
      </c>
      <c r="D551" s="22"/>
      <c r="E551" s="22"/>
      <c r="F551" s="22"/>
      <c r="G551" s="22"/>
      <c r="H551" s="74" t="s">
        <v>17066</v>
      </c>
    </row>
    <row r="552" spans="1:8" ht="51" x14ac:dyDescent="0.2">
      <c r="A552" s="75" t="s">
        <v>17067</v>
      </c>
      <c r="B552" s="75" t="s">
        <v>2928</v>
      </c>
      <c r="C552" s="75" t="s">
        <v>17068</v>
      </c>
      <c r="D552" s="75"/>
      <c r="E552" s="75"/>
      <c r="F552" s="75"/>
      <c r="G552" s="75"/>
      <c r="H552" s="76" t="s">
        <v>17069</v>
      </c>
    </row>
    <row r="553" spans="1:8" ht="178.5" x14ac:dyDescent="0.2">
      <c r="A553" s="22" t="s">
        <v>17070</v>
      </c>
      <c r="B553" s="22" t="s">
        <v>2931</v>
      </c>
      <c r="C553" s="22" t="s">
        <v>17071</v>
      </c>
      <c r="D553" s="22"/>
      <c r="E553" s="22"/>
      <c r="F553" s="22"/>
      <c r="G553" s="22"/>
      <c r="H553" s="74" t="s">
        <v>17072</v>
      </c>
    </row>
    <row r="554" spans="1:8" ht="38.25" x14ac:dyDescent="0.2">
      <c r="A554" s="46" t="s">
        <v>17073</v>
      </c>
      <c r="B554" s="46" t="s">
        <v>2934</v>
      </c>
      <c r="C554" s="46" t="s">
        <v>2935</v>
      </c>
      <c r="D554" s="46"/>
      <c r="E554" s="46"/>
      <c r="F554" s="46"/>
      <c r="G554" s="46"/>
      <c r="H554" s="76" t="s">
        <v>17074</v>
      </c>
    </row>
    <row r="555" spans="1:8" ht="38.25" x14ac:dyDescent="0.2">
      <c r="A555" s="74" t="s">
        <v>17075</v>
      </c>
      <c r="B555" s="74" t="s">
        <v>2939</v>
      </c>
      <c r="C555" s="74" t="s">
        <v>17076</v>
      </c>
      <c r="D555" s="74"/>
      <c r="E555" s="74"/>
      <c r="F555" s="74"/>
      <c r="G555" s="74"/>
      <c r="H555" s="73" t="s">
        <v>17077</v>
      </c>
    </row>
    <row r="556" spans="1:8" ht="51" x14ac:dyDescent="0.2">
      <c r="A556" s="74" t="s">
        <v>17078</v>
      </c>
      <c r="B556" s="74" t="s">
        <v>2942</v>
      </c>
      <c r="C556" s="74" t="s">
        <v>17079</v>
      </c>
      <c r="D556" s="74"/>
      <c r="E556" s="74"/>
      <c r="F556" s="74"/>
      <c r="G556" s="74"/>
      <c r="H556" s="73" t="s">
        <v>17080</v>
      </c>
    </row>
    <row r="557" spans="1:8" ht="38.25" x14ac:dyDescent="0.2">
      <c r="A557" s="75" t="s">
        <v>17081</v>
      </c>
      <c r="B557" s="75" t="s">
        <v>2945</v>
      </c>
      <c r="C557" s="75" t="s">
        <v>17082</v>
      </c>
      <c r="D557" s="75"/>
      <c r="E557" s="75"/>
      <c r="F557" s="75"/>
      <c r="G557" s="75"/>
      <c r="H557" s="76" t="s">
        <v>17083</v>
      </c>
    </row>
    <row r="558" spans="1:8" ht="51" x14ac:dyDescent="0.2">
      <c r="A558" s="74" t="s">
        <v>17084</v>
      </c>
      <c r="B558" s="74" t="s">
        <v>2948</v>
      </c>
      <c r="C558" s="74" t="s">
        <v>17085</v>
      </c>
      <c r="D558" s="74"/>
      <c r="E558" s="74"/>
      <c r="F558" s="74"/>
      <c r="G558" s="74"/>
      <c r="H558" s="74" t="s">
        <v>17086</v>
      </c>
    </row>
    <row r="559" spans="1:8" ht="51" x14ac:dyDescent="0.2">
      <c r="A559" s="74" t="s">
        <v>17087</v>
      </c>
      <c r="B559" s="74" t="s">
        <v>2953</v>
      </c>
      <c r="C559" s="74" t="s">
        <v>17088</v>
      </c>
      <c r="D559" s="74"/>
      <c r="E559" s="74"/>
      <c r="F559" s="74"/>
      <c r="G559" s="74"/>
      <c r="H559" s="73" t="s">
        <v>17089</v>
      </c>
    </row>
    <row r="560" spans="1:8" ht="51" x14ac:dyDescent="0.2">
      <c r="A560" s="75" t="s">
        <v>17090</v>
      </c>
      <c r="B560" s="75" t="s">
        <v>2956</v>
      </c>
      <c r="C560" s="75" t="s">
        <v>17091</v>
      </c>
      <c r="D560" s="75"/>
      <c r="E560" s="75"/>
      <c r="F560" s="75"/>
      <c r="G560" s="75"/>
      <c r="H560" s="76" t="s">
        <v>17092</v>
      </c>
    </row>
    <row r="561" spans="1:8" ht="51" x14ac:dyDescent="0.2">
      <c r="A561" s="74" t="s">
        <v>17093</v>
      </c>
      <c r="B561" s="74" t="s">
        <v>2959</v>
      </c>
      <c r="C561" s="74" t="s">
        <v>17094</v>
      </c>
      <c r="D561" s="74"/>
      <c r="E561" s="74"/>
      <c r="F561" s="74"/>
      <c r="G561" s="74"/>
      <c r="H561" s="73" t="s">
        <v>17095</v>
      </c>
    </row>
    <row r="562" spans="1:8" ht="114.75" x14ac:dyDescent="0.2">
      <c r="A562" s="74" t="s">
        <v>17096</v>
      </c>
      <c r="B562" s="74" t="s">
        <v>2962</v>
      </c>
      <c r="C562" s="74" t="s">
        <v>17097</v>
      </c>
      <c r="D562" s="74"/>
      <c r="E562" s="74"/>
      <c r="F562" s="74"/>
      <c r="G562" s="74"/>
      <c r="H562" s="74" t="s">
        <v>17098</v>
      </c>
    </row>
    <row r="563" spans="1:8" ht="89.25" x14ac:dyDescent="0.2">
      <c r="A563" s="75" t="s">
        <v>17099</v>
      </c>
      <c r="B563" s="75" t="s">
        <v>2965</v>
      </c>
      <c r="C563" s="75" t="s">
        <v>17100</v>
      </c>
      <c r="D563" s="75"/>
      <c r="E563" s="75"/>
      <c r="F563" s="75"/>
      <c r="G563" s="75"/>
      <c r="H563" s="75" t="s">
        <v>17101</v>
      </c>
    </row>
    <row r="564" spans="1:8" ht="63.75" x14ac:dyDescent="0.2">
      <c r="A564" s="74" t="s">
        <v>17102</v>
      </c>
      <c r="B564" s="74" t="s">
        <v>2968</v>
      </c>
      <c r="C564" s="74" t="s">
        <v>17103</v>
      </c>
      <c r="D564" s="74"/>
      <c r="E564" s="74"/>
      <c r="F564" s="74"/>
      <c r="G564" s="74"/>
      <c r="H564" s="73" t="s">
        <v>17104</v>
      </c>
    </row>
    <row r="565" spans="1:8" ht="63.75" x14ac:dyDescent="0.2">
      <c r="A565" s="74" t="s">
        <v>17105</v>
      </c>
      <c r="B565" s="74" t="s">
        <v>2971</v>
      </c>
      <c r="C565" s="74" t="s">
        <v>17106</v>
      </c>
      <c r="D565" s="74"/>
      <c r="E565" s="74"/>
      <c r="F565" s="74"/>
      <c r="G565" s="74"/>
      <c r="H565" s="74" t="s">
        <v>17107</v>
      </c>
    </row>
    <row r="566" spans="1:8" ht="63.75" x14ac:dyDescent="0.2">
      <c r="A566" s="75" t="s">
        <v>17108</v>
      </c>
      <c r="B566" s="75" t="s">
        <v>2974</v>
      </c>
      <c r="C566" s="75" t="s">
        <v>17109</v>
      </c>
      <c r="D566" s="75"/>
      <c r="E566" s="75"/>
      <c r="F566" s="75"/>
      <c r="G566" s="75"/>
      <c r="H566" s="76" t="s">
        <v>17110</v>
      </c>
    </row>
    <row r="567" spans="1:8" ht="114.75" x14ac:dyDescent="0.2">
      <c r="A567" s="74" t="s">
        <v>17111</v>
      </c>
      <c r="B567" s="74" t="s">
        <v>2977</v>
      </c>
      <c r="C567" s="74" t="s">
        <v>17112</v>
      </c>
      <c r="D567" s="74"/>
      <c r="E567" s="74"/>
      <c r="F567" s="74"/>
      <c r="G567" s="74"/>
      <c r="H567" s="74" t="s">
        <v>17113</v>
      </c>
    </row>
    <row r="568" spans="1:8" ht="89.25" x14ac:dyDescent="0.2">
      <c r="A568" s="75" t="s">
        <v>17114</v>
      </c>
      <c r="B568" s="75" t="s">
        <v>2982</v>
      </c>
      <c r="C568" s="75" t="s">
        <v>17115</v>
      </c>
      <c r="D568" s="75"/>
      <c r="E568" s="75"/>
      <c r="F568" s="75"/>
      <c r="G568" s="75"/>
      <c r="H568" s="75" t="s">
        <v>17116</v>
      </c>
    </row>
    <row r="569" spans="1:8" ht="114.75" x14ac:dyDescent="0.2">
      <c r="A569" s="74" t="s">
        <v>17117</v>
      </c>
      <c r="B569" s="74" t="s">
        <v>2985</v>
      </c>
      <c r="C569" s="74" t="s">
        <v>17118</v>
      </c>
      <c r="D569" s="74"/>
      <c r="E569" s="74"/>
      <c r="F569" s="74"/>
      <c r="G569" s="74"/>
      <c r="H569" s="73" t="s">
        <v>17119</v>
      </c>
    </row>
    <row r="570" spans="1:8" ht="63.75" x14ac:dyDescent="0.2">
      <c r="A570" s="75" t="s">
        <v>17120</v>
      </c>
      <c r="B570" s="75" t="s">
        <v>2988</v>
      </c>
      <c r="C570" s="75" t="s">
        <v>17121</v>
      </c>
      <c r="D570" s="75"/>
      <c r="E570" s="75"/>
      <c r="F570" s="75"/>
      <c r="G570" s="75"/>
      <c r="H570" s="75" t="s">
        <v>17122</v>
      </c>
    </row>
    <row r="571" spans="1:8" ht="140.25" x14ac:dyDescent="0.2">
      <c r="A571" s="49" t="s">
        <v>17123</v>
      </c>
      <c r="B571" s="49" t="s">
        <v>2991</v>
      </c>
      <c r="C571" s="49" t="s">
        <v>17124</v>
      </c>
      <c r="D571" s="49"/>
      <c r="E571" s="49"/>
      <c r="F571" s="49"/>
      <c r="G571" s="49"/>
      <c r="H571" s="75" t="s">
        <v>17125</v>
      </c>
    </row>
    <row r="572" spans="1:8" ht="178.5" x14ac:dyDescent="0.2">
      <c r="A572" s="49" t="s">
        <v>17126</v>
      </c>
      <c r="B572" s="49" t="s">
        <v>3065</v>
      </c>
      <c r="C572" s="49" t="s">
        <v>17127</v>
      </c>
      <c r="D572" s="49"/>
      <c r="E572" s="49"/>
      <c r="F572" s="49"/>
      <c r="G572" s="49"/>
      <c r="H572" s="75" t="s">
        <v>17128</v>
      </c>
    </row>
    <row r="573" spans="1:8" ht="51" x14ac:dyDescent="0.2">
      <c r="A573" s="74" t="s">
        <v>17129</v>
      </c>
      <c r="B573" s="74" t="s">
        <v>3068</v>
      </c>
      <c r="C573" s="74" t="s">
        <v>17130</v>
      </c>
      <c r="D573" s="74"/>
      <c r="E573" s="74"/>
      <c r="F573" s="74"/>
      <c r="G573" s="74"/>
      <c r="H573" s="74" t="s">
        <v>17131</v>
      </c>
    </row>
    <row r="574" spans="1:8" ht="25.5" x14ac:dyDescent="0.2">
      <c r="A574" s="73" t="s">
        <v>17132</v>
      </c>
      <c r="B574" s="73" t="s">
        <v>3074</v>
      </c>
      <c r="C574" s="73" t="s">
        <v>3075</v>
      </c>
      <c r="D574" s="73"/>
      <c r="E574" s="73"/>
      <c r="F574" s="73"/>
      <c r="G574" s="73"/>
      <c r="H574" s="14" t="s">
        <v>17133</v>
      </c>
    </row>
    <row r="575" spans="1:8" ht="38.25" x14ac:dyDescent="0.2">
      <c r="A575" s="46" t="s">
        <v>17134</v>
      </c>
      <c r="B575" s="46" t="s">
        <v>3079</v>
      </c>
      <c r="C575" s="46" t="s">
        <v>3080</v>
      </c>
      <c r="D575" s="46"/>
      <c r="E575" s="46"/>
      <c r="F575" s="46"/>
      <c r="G575" s="46"/>
      <c r="H575" s="75" t="s">
        <v>17135</v>
      </c>
    </row>
    <row r="576" spans="1:8" ht="12.75" x14ac:dyDescent="0.2">
      <c r="A576" s="14" t="s">
        <v>17136</v>
      </c>
      <c r="B576" s="14" t="s">
        <v>3082</v>
      </c>
      <c r="C576" s="14" t="s">
        <v>3083</v>
      </c>
      <c r="D576" s="14"/>
      <c r="E576" s="14"/>
      <c r="F576" s="14"/>
      <c r="G576" s="14"/>
      <c r="H576" s="14" t="s">
        <v>17137</v>
      </c>
    </row>
    <row r="577" spans="1:8" ht="12.75" x14ac:dyDescent="0.2">
      <c r="A577" s="14" t="s">
        <v>17138</v>
      </c>
      <c r="B577" s="14" t="s">
        <v>3087</v>
      </c>
      <c r="C577" s="14" t="s">
        <v>3088</v>
      </c>
      <c r="D577" s="14"/>
      <c r="E577" s="14"/>
      <c r="F577" s="14"/>
      <c r="G577" s="14"/>
      <c r="H577" s="14" t="s">
        <v>17139</v>
      </c>
    </row>
    <row r="578" spans="1:8" ht="63.75" x14ac:dyDescent="0.2">
      <c r="A578" s="46" t="s">
        <v>17140</v>
      </c>
      <c r="B578" s="46" t="s">
        <v>3090</v>
      </c>
      <c r="C578" s="46" t="s">
        <v>3091</v>
      </c>
      <c r="D578" s="46"/>
      <c r="E578" s="46"/>
      <c r="F578" s="46"/>
      <c r="G578" s="46"/>
      <c r="H578" s="75" t="s">
        <v>17141</v>
      </c>
    </row>
    <row r="579" spans="1:8" ht="38.25" x14ac:dyDescent="0.2">
      <c r="A579" s="14" t="s">
        <v>17142</v>
      </c>
      <c r="B579" s="14" t="s">
        <v>3093</v>
      </c>
      <c r="C579" s="14" t="s">
        <v>3094</v>
      </c>
      <c r="D579" s="14"/>
      <c r="E579" s="14"/>
      <c r="F579" s="14"/>
      <c r="G579" s="14"/>
      <c r="H579" s="73" t="s">
        <v>17143</v>
      </c>
    </row>
    <row r="580" spans="1:8" ht="25.5" x14ac:dyDescent="0.2">
      <c r="A580" s="14" t="s">
        <v>17144</v>
      </c>
      <c r="B580" s="14" t="s">
        <v>3100</v>
      </c>
      <c r="C580" s="14" t="s">
        <v>3101</v>
      </c>
      <c r="D580" s="14"/>
      <c r="E580" s="14"/>
      <c r="F580" s="14"/>
      <c r="G580" s="14"/>
      <c r="H580" s="73" t="s">
        <v>17145</v>
      </c>
    </row>
    <row r="581" spans="1:8" ht="102" x14ac:dyDescent="0.2">
      <c r="A581" s="49" t="s">
        <v>17146</v>
      </c>
      <c r="B581" s="49" t="s">
        <v>3107</v>
      </c>
      <c r="C581" s="49" t="s">
        <v>17147</v>
      </c>
      <c r="D581" s="49"/>
      <c r="E581" s="49"/>
      <c r="F581" s="49"/>
      <c r="G581" s="49"/>
      <c r="H581" s="75" t="s">
        <v>17148</v>
      </c>
    </row>
    <row r="582" spans="1:8" ht="38.25" x14ac:dyDescent="0.2">
      <c r="A582" s="74" t="s">
        <v>17149</v>
      </c>
      <c r="B582" s="74" t="s">
        <v>3111</v>
      </c>
      <c r="C582" s="74" t="s">
        <v>17150</v>
      </c>
      <c r="D582" s="74"/>
      <c r="E582" s="74"/>
      <c r="F582" s="74"/>
      <c r="G582" s="74"/>
      <c r="H582" s="73" t="s">
        <v>17151</v>
      </c>
    </row>
    <row r="583" spans="1:8" ht="76.5" x14ac:dyDescent="0.2">
      <c r="A583" s="14" t="s">
        <v>17152</v>
      </c>
      <c r="B583" s="14" t="s">
        <v>3114</v>
      </c>
      <c r="C583" s="14" t="s">
        <v>17153</v>
      </c>
      <c r="D583" s="14"/>
      <c r="E583" s="14"/>
      <c r="F583" s="14"/>
      <c r="G583" s="14"/>
      <c r="H583" s="74" t="s">
        <v>17154</v>
      </c>
    </row>
    <row r="584" spans="1:8" ht="114.75" x14ac:dyDescent="0.2">
      <c r="A584" s="46" t="s">
        <v>17155</v>
      </c>
      <c r="B584" s="46" t="s">
        <v>3117</v>
      </c>
      <c r="C584" s="46" t="s">
        <v>3118</v>
      </c>
      <c r="D584" s="46"/>
      <c r="E584" s="46"/>
      <c r="F584" s="46"/>
      <c r="G584" s="46"/>
      <c r="H584" s="75" t="s">
        <v>17156</v>
      </c>
    </row>
    <row r="585" spans="1:8" ht="25.5" x14ac:dyDescent="0.2">
      <c r="A585" s="14" t="s">
        <v>17157</v>
      </c>
      <c r="B585" s="14" t="s">
        <v>3120</v>
      </c>
      <c r="C585" s="14" t="s">
        <v>3121</v>
      </c>
      <c r="D585" s="14"/>
      <c r="E585" s="14"/>
      <c r="F585" s="14"/>
      <c r="G585" s="14"/>
      <c r="H585" s="73" t="s">
        <v>17158</v>
      </c>
    </row>
    <row r="586" spans="1:8" ht="38.25" x14ac:dyDescent="0.2">
      <c r="A586" s="14" t="s">
        <v>17159</v>
      </c>
      <c r="B586" s="14" t="s">
        <v>3123</v>
      </c>
      <c r="C586" s="14" t="s">
        <v>3124</v>
      </c>
      <c r="D586" s="14"/>
      <c r="E586" s="14"/>
      <c r="F586" s="14"/>
      <c r="G586" s="14"/>
      <c r="H586" s="74" t="s">
        <v>17160</v>
      </c>
    </row>
    <row r="587" spans="1:8" ht="76.5" x14ac:dyDescent="0.2">
      <c r="A587" s="46" t="s">
        <v>17161</v>
      </c>
      <c r="B587" s="46" t="s">
        <v>3126</v>
      </c>
      <c r="C587" s="46" t="s">
        <v>17162</v>
      </c>
      <c r="D587" s="46"/>
      <c r="E587" s="46"/>
      <c r="F587" s="46"/>
      <c r="G587" s="46"/>
      <c r="H587" s="75" t="s">
        <v>17163</v>
      </c>
    </row>
    <row r="588" spans="1:8" ht="63.75" x14ac:dyDescent="0.2">
      <c r="A588" s="14" t="s">
        <v>17164</v>
      </c>
      <c r="B588" s="14" t="s">
        <v>3129</v>
      </c>
      <c r="C588" s="14" t="s">
        <v>3130</v>
      </c>
      <c r="D588" s="14"/>
      <c r="E588" s="14"/>
      <c r="F588" s="14"/>
      <c r="G588" s="14"/>
      <c r="H588" s="74" t="s">
        <v>17165</v>
      </c>
    </row>
    <row r="589" spans="1:8" ht="89.25" x14ac:dyDescent="0.2">
      <c r="A589" s="14" t="s">
        <v>17166</v>
      </c>
      <c r="B589" s="14" t="s">
        <v>3132</v>
      </c>
      <c r="C589" s="14" t="s">
        <v>3133</v>
      </c>
      <c r="D589" s="14"/>
      <c r="E589" s="14"/>
      <c r="F589" s="14"/>
      <c r="G589" s="14"/>
      <c r="H589" s="74" t="s">
        <v>17167</v>
      </c>
    </row>
    <row r="590" spans="1:8" ht="51" x14ac:dyDescent="0.2">
      <c r="A590" s="75" t="s">
        <v>17168</v>
      </c>
      <c r="B590" s="75" t="s">
        <v>3141</v>
      </c>
      <c r="C590" s="75" t="s">
        <v>17169</v>
      </c>
      <c r="D590" s="75"/>
      <c r="E590" s="75"/>
      <c r="F590" s="75"/>
      <c r="G590" s="75"/>
      <c r="H590" s="75" t="s">
        <v>17170</v>
      </c>
    </row>
    <row r="591" spans="1:8" ht="25.5" x14ac:dyDescent="0.2">
      <c r="A591" s="74" t="s">
        <v>17171</v>
      </c>
      <c r="B591" s="74" t="s">
        <v>3144</v>
      </c>
      <c r="C591" s="74" t="s">
        <v>17172</v>
      </c>
      <c r="D591" s="74"/>
      <c r="E591" s="74"/>
      <c r="F591" s="74"/>
      <c r="G591" s="74"/>
      <c r="H591" s="73" t="s">
        <v>17173</v>
      </c>
    </row>
    <row r="592" spans="1:8" ht="38.25" x14ac:dyDescent="0.2">
      <c r="A592" s="74" t="s">
        <v>17174</v>
      </c>
      <c r="B592" s="74" t="s">
        <v>3147</v>
      </c>
      <c r="C592" s="74" t="s">
        <v>17175</v>
      </c>
      <c r="D592" s="74"/>
      <c r="E592" s="74"/>
      <c r="F592" s="74"/>
      <c r="G592" s="74"/>
      <c r="H592" s="73" t="s">
        <v>17176</v>
      </c>
    </row>
    <row r="593" spans="1:8" ht="38.25" x14ac:dyDescent="0.2">
      <c r="A593" s="75" t="s">
        <v>17177</v>
      </c>
      <c r="B593" s="75" t="s">
        <v>3152</v>
      </c>
      <c r="C593" s="75" t="s">
        <v>17178</v>
      </c>
      <c r="D593" s="75"/>
      <c r="E593" s="75"/>
      <c r="F593" s="75"/>
      <c r="G593" s="75"/>
      <c r="H593" s="75" t="s">
        <v>17179</v>
      </c>
    </row>
    <row r="594" spans="1:8" ht="38.25" x14ac:dyDescent="0.2">
      <c r="A594" s="74" t="s">
        <v>17180</v>
      </c>
      <c r="B594" s="74" t="s">
        <v>3155</v>
      </c>
      <c r="C594" s="74" t="s">
        <v>17181</v>
      </c>
      <c r="D594" s="74"/>
      <c r="E594" s="74"/>
      <c r="F594" s="74"/>
      <c r="G594" s="74"/>
      <c r="H594" s="73" t="s">
        <v>17182</v>
      </c>
    </row>
    <row r="595" spans="1:8" ht="12.75" x14ac:dyDescent="0.2">
      <c r="A595" s="14" t="s">
        <v>17183</v>
      </c>
      <c r="B595" s="14" t="s">
        <v>3164</v>
      </c>
      <c r="C595" s="14" t="s">
        <v>3165</v>
      </c>
      <c r="D595" s="14"/>
      <c r="E595" s="14"/>
      <c r="F595" s="14"/>
      <c r="G595" s="14"/>
      <c r="H595" s="14" t="s">
        <v>17184</v>
      </c>
    </row>
    <row r="596" spans="1:8" ht="25.5" x14ac:dyDescent="0.2">
      <c r="A596" s="75" t="s">
        <v>17185</v>
      </c>
      <c r="B596" s="75" t="s">
        <v>3171</v>
      </c>
      <c r="C596" s="75" t="s">
        <v>17186</v>
      </c>
      <c r="D596" s="75"/>
      <c r="E596" s="75"/>
      <c r="F596" s="75"/>
      <c r="G596" s="75"/>
      <c r="H596" s="76" t="s">
        <v>17187</v>
      </c>
    </row>
    <row r="597" spans="1:8" ht="25.5" x14ac:dyDescent="0.2">
      <c r="A597" s="74" t="s">
        <v>17188</v>
      </c>
      <c r="B597" s="74" t="s">
        <v>3174</v>
      </c>
      <c r="C597" s="74" t="s">
        <v>17189</v>
      </c>
      <c r="D597" s="74"/>
      <c r="E597" s="74"/>
      <c r="F597" s="74"/>
      <c r="G597" s="74"/>
      <c r="H597" s="73" t="s">
        <v>17190</v>
      </c>
    </row>
    <row r="598" spans="1:8" ht="12.75" x14ac:dyDescent="0.2">
      <c r="A598" s="14" t="s">
        <v>17191</v>
      </c>
      <c r="B598" s="14" t="s">
        <v>3181</v>
      </c>
      <c r="C598" s="14" t="s">
        <v>3182</v>
      </c>
      <c r="D598" s="14"/>
      <c r="E598" s="14"/>
      <c r="F598" s="14"/>
      <c r="G598" s="14"/>
      <c r="H598" s="14" t="s">
        <v>17192</v>
      </c>
    </row>
    <row r="599" spans="1:8" ht="25.5" x14ac:dyDescent="0.2">
      <c r="A599" s="75" t="s">
        <v>17193</v>
      </c>
      <c r="B599" s="75" t="s">
        <v>3202</v>
      </c>
      <c r="C599" s="75" t="s">
        <v>17194</v>
      </c>
      <c r="D599" s="75"/>
      <c r="E599" s="75"/>
      <c r="F599" s="75"/>
      <c r="G599" s="75"/>
      <c r="H599" s="46" t="s">
        <v>17195</v>
      </c>
    </row>
    <row r="600" spans="1:8" ht="38.25" x14ac:dyDescent="0.2">
      <c r="A600" s="74" t="s">
        <v>17196</v>
      </c>
      <c r="B600" s="74" t="s">
        <v>3204</v>
      </c>
      <c r="C600" s="74" t="s">
        <v>17197</v>
      </c>
      <c r="D600" s="74"/>
      <c r="E600" s="74"/>
      <c r="F600" s="74"/>
      <c r="G600" s="74"/>
      <c r="H600" s="74" t="s">
        <v>17198</v>
      </c>
    </row>
    <row r="601" spans="1:8" ht="12.75" x14ac:dyDescent="0.2">
      <c r="A601" s="14" t="s">
        <v>17199</v>
      </c>
      <c r="B601" s="14" t="s">
        <v>3207</v>
      </c>
      <c r="C601" s="14" t="s">
        <v>3208</v>
      </c>
      <c r="D601" s="14"/>
      <c r="E601" s="14"/>
      <c r="F601" s="14"/>
      <c r="G601" s="14"/>
      <c r="H601" s="14" t="s">
        <v>17200</v>
      </c>
    </row>
    <row r="602" spans="1:8" ht="25.5" x14ac:dyDescent="0.2">
      <c r="A602" s="75" t="s">
        <v>17201</v>
      </c>
      <c r="B602" s="75" t="s">
        <v>3216</v>
      </c>
      <c r="C602" s="75" t="s">
        <v>17202</v>
      </c>
      <c r="D602" s="75"/>
      <c r="E602" s="75"/>
      <c r="F602" s="75"/>
      <c r="G602" s="75"/>
      <c r="H602" s="46" t="s">
        <v>17203</v>
      </c>
    </row>
    <row r="603" spans="1:8" ht="25.5" x14ac:dyDescent="0.2">
      <c r="A603" s="74" t="s">
        <v>17204</v>
      </c>
      <c r="B603" s="74" t="s">
        <v>3218</v>
      </c>
      <c r="C603" s="74" t="s">
        <v>17205</v>
      </c>
      <c r="D603" s="74"/>
      <c r="E603" s="74"/>
      <c r="F603" s="74"/>
      <c r="G603" s="74"/>
      <c r="H603" s="14" t="s">
        <v>17206</v>
      </c>
    </row>
    <row r="604" spans="1:8" ht="38.25" x14ac:dyDescent="0.2">
      <c r="A604" s="74" t="s">
        <v>17207</v>
      </c>
      <c r="B604" s="74" t="s">
        <v>3220</v>
      </c>
      <c r="C604" s="74" t="s">
        <v>17208</v>
      </c>
      <c r="D604" s="74"/>
      <c r="E604" s="74"/>
      <c r="F604" s="74"/>
      <c r="G604" s="74"/>
      <c r="H604" s="14" t="s">
        <v>17209</v>
      </c>
    </row>
    <row r="605" spans="1:8" ht="38.25" x14ac:dyDescent="0.2">
      <c r="A605" s="75" t="s">
        <v>17210</v>
      </c>
      <c r="B605" s="75" t="s">
        <v>3222</v>
      </c>
      <c r="C605" s="75" t="s">
        <v>17211</v>
      </c>
      <c r="D605" s="75"/>
      <c r="E605" s="75"/>
      <c r="F605" s="75"/>
      <c r="G605" s="75"/>
      <c r="H605" s="46" t="s">
        <v>17212</v>
      </c>
    </row>
    <row r="606" spans="1:8" ht="38.25" x14ac:dyDescent="0.2">
      <c r="A606" s="74" t="s">
        <v>17213</v>
      </c>
      <c r="B606" s="74" t="s">
        <v>3224</v>
      </c>
      <c r="C606" s="74" t="s">
        <v>17214</v>
      </c>
      <c r="D606" s="74"/>
      <c r="E606" s="74"/>
      <c r="F606" s="74"/>
      <c r="G606" s="74"/>
      <c r="H606" s="14" t="s">
        <v>17215</v>
      </c>
    </row>
    <row r="607" spans="1:8" ht="38.25" x14ac:dyDescent="0.2">
      <c r="A607" s="74" t="s">
        <v>17216</v>
      </c>
      <c r="B607" s="74" t="s">
        <v>3238</v>
      </c>
      <c r="C607" s="74" t="s">
        <v>17217</v>
      </c>
      <c r="D607" s="74"/>
      <c r="E607" s="74"/>
      <c r="F607" s="74"/>
      <c r="G607" s="74"/>
      <c r="H607" s="14" t="s">
        <v>17218</v>
      </c>
    </row>
    <row r="608" spans="1:8" ht="25.5" x14ac:dyDescent="0.2">
      <c r="A608" s="75" t="s">
        <v>17219</v>
      </c>
      <c r="B608" s="75" t="s">
        <v>3240</v>
      </c>
      <c r="C608" s="75" t="s">
        <v>17220</v>
      </c>
      <c r="D608" s="75"/>
      <c r="E608" s="75"/>
      <c r="F608" s="75"/>
      <c r="G608" s="75"/>
      <c r="H608" s="46" t="s">
        <v>17221</v>
      </c>
    </row>
    <row r="609" spans="1:8" ht="51" x14ac:dyDescent="0.2">
      <c r="A609" s="74" t="s">
        <v>17222</v>
      </c>
      <c r="B609" s="74" t="s">
        <v>3242</v>
      </c>
      <c r="C609" s="74" t="s">
        <v>17223</v>
      </c>
      <c r="D609" s="74"/>
      <c r="E609" s="74"/>
      <c r="F609" s="74"/>
      <c r="G609" s="74"/>
      <c r="H609" s="74" t="s">
        <v>17224</v>
      </c>
    </row>
    <row r="610" spans="1:8" ht="38.25" x14ac:dyDescent="0.2">
      <c r="A610" s="74" t="s">
        <v>17225</v>
      </c>
      <c r="B610" s="74" t="s">
        <v>3245</v>
      </c>
      <c r="C610" s="74" t="s">
        <v>17226</v>
      </c>
      <c r="D610" s="74"/>
      <c r="E610" s="74"/>
      <c r="F610" s="74"/>
      <c r="G610" s="74"/>
      <c r="H610" s="74" t="s">
        <v>17227</v>
      </c>
    </row>
    <row r="611" spans="1:8" ht="38.25" x14ac:dyDescent="0.2">
      <c r="A611" s="75" t="s">
        <v>17228</v>
      </c>
      <c r="B611" s="75" t="s">
        <v>3248</v>
      </c>
      <c r="C611" s="75" t="s">
        <v>17229</v>
      </c>
      <c r="D611" s="75"/>
      <c r="E611" s="75"/>
      <c r="F611" s="75"/>
      <c r="G611" s="75"/>
      <c r="H611" s="46" t="s">
        <v>17230</v>
      </c>
    </row>
    <row r="612" spans="1:8" ht="38.25" x14ac:dyDescent="0.2">
      <c r="A612" s="74" t="s">
        <v>17231</v>
      </c>
      <c r="B612" s="74" t="s">
        <v>3250</v>
      </c>
      <c r="C612" s="74" t="s">
        <v>17232</v>
      </c>
      <c r="D612" s="74"/>
      <c r="E612" s="74"/>
      <c r="F612" s="74"/>
      <c r="G612" s="74"/>
      <c r="H612" s="14" t="s">
        <v>17233</v>
      </c>
    </row>
    <row r="613" spans="1:8" ht="38.25" x14ac:dyDescent="0.2">
      <c r="A613" s="74" t="s">
        <v>17234</v>
      </c>
      <c r="B613" s="74" t="s">
        <v>3252</v>
      </c>
      <c r="C613" s="74" t="s">
        <v>17235</v>
      </c>
      <c r="D613" s="74"/>
      <c r="E613" s="74"/>
      <c r="F613" s="74"/>
      <c r="G613" s="74"/>
      <c r="H613" s="14" t="s">
        <v>17236</v>
      </c>
    </row>
    <row r="614" spans="1:8" ht="38.25" x14ac:dyDescent="0.2">
      <c r="A614" s="75" t="s">
        <v>17237</v>
      </c>
      <c r="B614" s="75" t="s">
        <v>3254</v>
      </c>
      <c r="C614" s="75" t="s">
        <v>17238</v>
      </c>
      <c r="D614" s="75"/>
      <c r="E614" s="75"/>
      <c r="F614" s="75"/>
      <c r="G614" s="75"/>
      <c r="H614" s="46" t="s">
        <v>17239</v>
      </c>
    </row>
    <row r="615" spans="1:8" ht="38.25" x14ac:dyDescent="0.2">
      <c r="A615" s="74" t="s">
        <v>17240</v>
      </c>
      <c r="B615" s="74" t="s">
        <v>3262</v>
      </c>
      <c r="C615" s="74" t="s">
        <v>17241</v>
      </c>
      <c r="D615" s="74"/>
      <c r="E615" s="74"/>
      <c r="F615" s="74"/>
      <c r="G615" s="74"/>
      <c r="H615" s="73" t="s">
        <v>17242</v>
      </c>
    </row>
    <row r="616" spans="1:8" ht="38.25" x14ac:dyDescent="0.2">
      <c r="A616" s="74" t="s">
        <v>17243</v>
      </c>
      <c r="B616" s="74" t="s">
        <v>3265</v>
      </c>
      <c r="C616" s="74" t="s">
        <v>17244</v>
      </c>
      <c r="D616" s="74"/>
      <c r="E616" s="74"/>
      <c r="F616" s="74"/>
      <c r="G616" s="74"/>
      <c r="H616" s="73" t="s">
        <v>17245</v>
      </c>
    </row>
    <row r="617" spans="1:8" ht="38.25" x14ac:dyDescent="0.2">
      <c r="A617" s="75" t="s">
        <v>17246</v>
      </c>
      <c r="B617" s="75" t="s">
        <v>3268</v>
      </c>
      <c r="C617" s="75" t="s">
        <v>17247</v>
      </c>
      <c r="D617" s="75"/>
      <c r="E617" s="75"/>
      <c r="F617" s="75"/>
      <c r="G617" s="75"/>
      <c r="H617" s="76" t="s">
        <v>17248</v>
      </c>
    </row>
    <row r="618" spans="1:8" ht="51" x14ac:dyDescent="0.2">
      <c r="A618" s="74" t="s">
        <v>17249</v>
      </c>
      <c r="B618" s="74" t="s">
        <v>3271</v>
      </c>
      <c r="C618" s="74" t="s">
        <v>17250</v>
      </c>
      <c r="D618" s="74"/>
      <c r="E618" s="74"/>
      <c r="F618" s="74"/>
      <c r="G618" s="74"/>
      <c r="H618" s="73" t="s">
        <v>17251</v>
      </c>
    </row>
    <row r="619" spans="1:8" ht="51" x14ac:dyDescent="0.2">
      <c r="A619" s="74" t="s">
        <v>17252</v>
      </c>
      <c r="B619" s="74" t="s">
        <v>3274</v>
      </c>
      <c r="C619" s="74" t="s">
        <v>17253</v>
      </c>
      <c r="D619" s="74"/>
      <c r="E619" s="74"/>
      <c r="F619" s="74"/>
      <c r="G619" s="74"/>
      <c r="H619" s="73" t="s">
        <v>17254</v>
      </c>
    </row>
    <row r="620" spans="1:8" ht="38.25" x14ac:dyDescent="0.2">
      <c r="A620" s="75" t="s">
        <v>17255</v>
      </c>
      <c r="B620" s="75" t="s">
        <v>3277</v>
      </c>
      <c r="C620" s="75" t="s">
        <v>17256</v>
      </c>
      <c r="D620" s="75"/>
      <c r="E620" s="75"/>
      <c r="F620" s="75"/>
      <c r="G620" s="75"/>
      <c r="H620" s="76" t="s">
        <v>17257</v>
      </c>
    </row>
    <row r="621" spans="1:8" ht="38.25" x14ac:dyDescent="0.2">
      <c r="A621" s="74" t="s">
        <v>17258</v>
      </c>
      <c r="B621" s="74" t="s">
        <v>3282</v>
      </c>
      <c r="C621" s="74" t="s">
        <v>17259</v>
      </c>
      <c r="D621" s="74"/>
      <c r="E621" s="74"/>
      <c r="F621" s="74"/>
      <c r="G621" s="74"/>
      <c r="H621" s="73" t="s">
        <v>17260</v>
      </c>
    </row>
    <row r="622" spans="1:8" ht="38.25" x14ac:dyDescent="0.2">
      <c r="A622" s="74" t="s">
        <v>17261</v>
      </c>
      <c r="B622" s="74" t="s">
        <v>3285</v>
      </c>
      <c r="C622" s="74" t="s">
        <v>17262</v>
      </c>
      <c r="D622" s="74"/>
      <c r="E622" s="74"/>
      <c r="F622" s="74"/>
      <c r="G622" s="74"/>
      <c r="H622" s="73" t="s">
        <v>17263</v>
      </c>
    </row>
    <row r="623" spans="1:8" ht="38.25" x14ac:dyDescent="0.2">
      <c r="A623" s="75" t="s">
        <v>17264</v>
      </c>
      <c r="B623" s="75" t="s">
        <v>3287</v>
      </c>
      <c r="C623" s="75" t="s">
        <v>17265</v>
      </c>
      <c r="D623" s="75"/>
      <c r="E623" s="75"/>
      <c r="F623" s="75"/>
      <c r="G623" s="75"/>
      <c r="H623" s="76" t="s">
        <v>17266</v>
      </c>
    </row>
    <row r="624" spans="1:8" ht="38.25" x14ac:dyDescent="0.2">
      <c r="A624" s="14" t="s">
        <v>17267</v>
      </c>
      <c r="B624" s="14" t="s">
        <v>3290</v>
      </c>
      <c r="C624" s="14" t="s">
        <v>3291</v>
      </c>
      <c r="D624" s="14"/>
      <c r="E624" s="14"/>
      <c r="F624" s="14"/>
      <c r="G624" s="14"/>
      <c r="H624" s="73" t="s">
        <v>17268</v>
      </c>
    </row>
    <row r="625" spans="1:8" ht="63.75" x14ac:dyDescent="0.2">
      <c r="A625" s="73" t="s">
        <v>17269</v>
      </c>
      <c r="B625" s="73" t="s">
        <v>3295</v>
      </c>
      <c r="C625" s="73" t="s">
        <v>17270</v>
      </c>
      <c r="D625" s="73"/>
      <c r="E625" s="73"/>
      <c r="F625" s="73"/>
      <c r="G625" s="73"/>
      <c r="H625" s="74" t="s">
        <v>17271</v>
      </c>
    </row>
    <row r="626" spans="1:8" ht="25.5" x14ac:dyDescent="0.2">
      <c r="A626" s="76" t="s">
        <v>17272</v>
      </c>
      <c r="B626" s="76" t="s">
        <v>3298</v>
      </c>
      <c r="C626" s="76" t="s">
        <v>17273</v>
      </c>
      <c r="D626" s="76"/>
      <c r="E626" s="76"/>
      <c r="F626" s="76"/>
      <c r="G626" s="76"/>
      <c r="H626" s="76" t="s">
        <v>17274</v>
      </c>
    </row>
    <row r="627" spans="1:8" ht="38.25" x14ac:dyDescent="0.2">
      <c r="A627" s="74" t="s">
        <v>17275</v>
      </c>
      <c r="B627" s="74" t="s">
        <v>3301</v>
      </c>
      <c r="C627" s="74" t="s">
        <v>17276</v>
      </c>
      <c r="D627" s="74"/>
      <c r="E627" s="74"/>
      <c r="F627" s="74"/>
      <c r="G627" s="74"/>
      <c r="H627" s="73" t="s">
        <v>17277</v>
      </c>
    </row>
    <row r="628" spans="1:8" ht="76.5" x14ac:dyDescent="0.2">
      <c r="A628" s="22" t="s">
        <v>17278</v>
      </c>
      <c r="B628" s="22" t="s">
        <v>3306</v>
      </c>
      <c r="C628" s="22" t="s">
        <v>17279</v>
      </c>
      <c r="D628" s="22"/>
      <c r="E628" s="22"/>
      <c r="F628" s="22"/>
      <c r="G628" s="22"/>
      <c r="H628" s="73" t="s">
        <v>17280</v>
      </c>
    </row>
    <row r="629" spans="1:8" ht="51" x14ac:dyDescent="0.2">
      <c r="A629" s="75" t="s">
        <v>17281</v>
      </c>
      <c r="B629" s="75" t="s">
        <v>3308</v>
      </c>
      <c r="C629" s="75" t="s">
        <v>17282</v>
      </c>
      <c r="D629" s="75"/>
      <c r="E629" s="75"/>
      <c r="F629" s="75"/>
      <c r="G629" s="75"/>
      <c r="H629" s="76" t="s">
        <v>17283</v>
      </c>
    </row>
    <row r="630" spans="1:8" ht="25.5" x14ac:dyDescent="0.2">
      <c r="A630" s="73" t="s">
        <v>17284</v>
      </c>
      <c r="B630" s="73" t="s">
        <v>3315</v>
      </c>
      <c r="C630" s="73" t="s">
        <v>3316</v>
      </c>
      <c r="D630" s="73"/>
      <c r="E630" s="73"/>
      <c r="F630" s="73"/>
      <c r="G630" s="73"/>
      <c r="H630" s="73" t="s">
        <v>17285</v>
      </c>
    </row>
    <row r="631" spans="1:8" ht="51" x14ac:dyDescent="0.2">
      <c r="A631" s="74" t="s">
        <v>17286</v>
      </c>
      <c r="B631" s="74" t="s">
        <v>3319</v>
      </c>
      <c r="C631" s="74" t="s">
        <v>17287</v>
      </c>
      <c r="D631" s="74"/>
      <c r="E631" s="74"/>
      <c r="F631" s="74"/>
      <c r="G631" s="74"/>
      <c r="H631" s="73" t="s">
        <v>17288</v>
      </c>
    </row>
    <row r="632" spans="1:8" ht="38.25" x14ac:dyDescent="0.2">
      <c r="A632" s="75" t="s">
        <v>17289</v>
      </c>
      <c r="B632" s="75" t="s">
        <v>3321</v>
      </c>
      <c r="C632" s="75" t="s">
        <v>17290</v>
      </c>
      <c r="D632" s="75"/>
      <c r="E632" s="75"/>
      <c r="F632" s="75"/>
      <c r="G632" s="75"/>
      <c r="H632" s="76" t="s">
        <v>17291</v>
      </c>
    </row>
    <row r="633" spans="1:8" ht="153" x14ac:dyDescent="0.2">
      <c r="A633" s="14" t="s">
        <v>17292</v>
      </c>
      <c r="B633" s="14" t="s">
        <v>3324</v>
      </c>
      <c r="C633" s="14" t="s">
        <v>17293</v>
      </c>
      <c r="D633" s="14" t="s">
        <v>17294</v>
      </c>
      <c r="E633" s="14"/>
      <c r="F633" s="14"/>
      <c r="G633" s="14"/>
      <c r="H633" s="74" t="s">
        <v>17295</v>
      </c>
    </row>
    <row r="634" spans="1:8" ht="38.25" x14ac:dyDescent="0.2">
      <c r="A634" s="76" t="s">
        <v>17296</v>
      </c>
      <c r="B634" s="76" t="s">
        <v>3329</v>
      </c>
      <c r="C634" s="76" t="s">
        <v>3330</v>
      </c>
      <c r="D634" s="76"/>
      <c r="E634" s="76"/>
      <c r="F634" s="76"/>
      <c r="G634" s="76"/>
      <c r="H634" s="76" t="s">
        <v>17297</v>
      </c>
    </row>
    <row r="635" spans="1:8" ht="25.5" x14ac:dyDescent="0.2">
      <c r="A635" s="73" t="s">
        <v>17298</v>
      </c>
      <c r="B635" s="73" t="s">
        <v>3332</v>
      </c>
      <c r="C635" s="73" t="s">
        <v>3333</v>
      </c>
      <c r="D635" s="73"/>
      <c r="E635" s="73"/>
      <c r="F635" s="73"/>
      <c r="G635" s="73"/>
      <c r="H635" s="73" t="s">
        <v>17299</v>
      </c>
    </row>
    <row r="636" spans="1:8" ht="63.75" x14ac:dyDescent="0.2">
      <c r="A636" s="22" t="s">
        <v>17300</v>
      </c>
      <c r="B636" s="22" t="s">
        <v>3335</v>
      </c>
      <c r="C636" s="22" t="s">
        <v>17301</v>
      </c>
      <c r="D636" s="22"/>
      <c r="E636" s="22"/>
      <c r="F636" s="22"/>
      <c r="G636" s="22"/>
      <c r="H636" s="74" t="s">
        <v>17302</v>
      </c>
    </row>
    <row r="637" spans="1:8" ht="25.5" x14ac:dyDescent="0.2">
      <c r="A637" s="46" t="s">
        <v>17303</v>
      </c>
      <c r="B637" s="46" t="s">
        <v>3338</v>
      </c>
      <c r="C637" s="46" t="s">
        <v>3339</v>
      </c>
      <c r="D637" s="46"/>
      <c r="E637" s="46"/>
      <c r="F637" s="46"/>
      <c r="G637" s="46"/>
      <c r="H637" s="76" t="s">
        <v>17304</v>
      </c>
    </row>
    <row r="638" spans="1:8" ht="25.5" x14ac:dyDescent="0.2">
      <c r="A638" s="14" t="s">
        <v>17305</v>
      </c>
      <c r="B638" s="14" t="s">
        <v>3341</v>
      </c>
      <c r="C638" s="14" t="s">
        <v>3342</v>
      </c>
      <c r="D638" s="14"/>
      <c r="E638" s="14"/>
      <c r="F638" s="14"/>
      <c r="G638" s="14"/>
      <c r="H638" s="73" t="s">
        <v>17306</v>
      </c>
    </row>
    <row r="639" spans="1:8" ht="25.5" x14ac:dyDescent="0.2">
      <c r="A639" s="74" t="s">
        <v>17307</v>
      </c>
      <c r="B639" s="74" t="s">
        <v>3343</v>
      </c>
      <c r="C639" s="74" t="s">
        <v>17308</v>
      </c>
      <c r="D639" s="74"/>
      <c r="E639" s="74"/>
      <c r="F639" s="74"/>
      <c r="G639" s="74"/>
      <c r="H639" s="73" t="s">
        <v>17309</v>
      </c>
    </row>
    <row r="640" spans="1:8" ht="12.75" x14ac:dyDescent="0.2">
      <c r="A640" s="46" t="s">
        <v>17310</v>
      </c>
      <c r="B640" s="46" t="s">
        <v>3346</v>
      </c>
      <c r="C640" s="46" t="s">
        <v>3347</v>
      </c>
      <c r="D640" s="46"/>
      <c r="E640" s="46"/>
      <c r="F640" s="46"/>
      <c r="G640" s="46"/>
      <c r="H640" s="46" t="s">
        <v>17311</v>
      </c>
    </row>
    <row r="641" spans="1:8" ht="25.5" x14ac:dyDescent="0.2">
      <c r="A641" s="14" t="s">
        <v>17312</v>
      </c>
      <c r="B641" s="14" t="s">
        <v>3349</v>
      </c>
      <c r="C641" s="14" t="s">
        <v>3350</v>
      </c>
      <c r="D641" s="14"/>
      <c r="E641" s="14"/>
      <c r="F641" s="14"/>
      <c r="G641" s="14"/>
      <c r="H641" s="73" t="s">
        <v>17313</v>
      </c>
    </row>
    <row r="642" spans="1:8" ht="25.5" x14ac:dyDescent="0.2">
      <c r="A642" s="14" t="s">
        <v>17314</v>
      </c>
      <c r="B642" s="14" t="s">
        <v>3352</v>
      </c>
      <c r="C642" s="14" t="s">
        <v>3353</v>
      </c>
      <c r="D642" s="14"/>
      <c r="E642" s="14"/>
      <c r="F642" s="14"/>
      <c r="G642" s="14"/>
      <c r="H642" s="73" t="s">
        <v>17315</v>
      </c>
    </row>
    <row r="643" spans="1:8" ht="76.5" x14ac:dyDescent="0.2">
      <c r="A643" s="75" t="s">
        <v>17316</v>
      </c>
      <c r="B643" s="75" t="s">
        <v>17317</v>
      </c>
      <c r="C643" s="75"/>
      <c r="D643" s="75"/>
      <c r="E643" s="75"/>
      <c r="F643" s="75"/>
      <c r="G643" s="75"/>
      <c r="H643" s="75" t="s">
        <v>17318</v>
      </c>
    </row>
    <row r="644" spans="1:8" ht="38.25" x14ac:dyDescent="0.2">
      <c r="A644" s="74" t="s">
        <v>17319</v>
      </c>
      <c r="B644" s="74" t="s">
        <v>3359</v>
      </c>
      <c r="C644" s="74" t="s">
        <v>17320</v>
      </c>
      <c r="D644" s="74"/>
      <c r="E644" s="74"/>
      <c r="F644" s="74"/>
      <c r="G644" s="74"/>
      <c r="H644" s="73" t="s">
        <v>17321</v>
      </c>
    </row>
    <row r="645" spans="1:8" ht="38.25" x14ac:dyDescent="0.2">
      <c r="A645" s="14" t="s">
        <v>17322</v>
      </c>
      <c r="B645" s="14" t="s">
        <v>3362</v>
      </c>
      <c r="C645" s="14" t="s">
        <v>3363</v>
      </c>
      <c r="D645" s="14"/>
      <c r="E645" s="14"/>
      <c r="F645" s="14"/>
      <c r="G645" s="14"/>
      <c r="H645" s="73" t="s">
        <v>17323</v>
      </c>
    </row>
    <row r="646" spans="1:8" ht="25.5" x14ac:dyDescent="0.2">
      <c r="A646" s="46" t="s">
        <v>17324</v>
      </c>
      <c r="B646" s="46" t="s">
        <v>3365</v>
      </c>
      <c r="C646" s="46" t="s">
        <v>3366</v>
      </c>
      <c r="D646" s="46"/>
      <c r="E646" s="46"/>
      <c r="F646" s="46"/>
      <c r="G646" s="46"/>
      <c r="H646" s="76" t="s">
        <v>17325</v>
      </c>
    </row>
    <row r="647" spans="1:8" ht="38.25" x14ac:dyDescent="0.2">
      <c r="A647" s="74" t="s">
        <v>17326</v>
      </c>
      <c r="B647" s="74" t="s">
        <v>3376</v>
      </c>
      <c r="C647" s="74" t="s">
        <v>17327</v>
      </c>
      <c r="D647" s="74"/>
      <c r="E647" s="74"/>
      <c r="F647" s="74"/>
      <c r="G647" s="74"/>
      <c r="H647" s="74" t="s">
        <v>17328</v>
      </c>
    </row>
    <row r="648" spans="1:8" ht="38.25" x14ac:dyDescent="0.2">
      <c r="A648" s="74" t="s">
        <v>17329</v>
      </c>
      <c r="B648" s="74" t="s">
        <v>3381</v>
      </c>
      <c r="C648" s="74" t="s">
        <v>17330</v>
      </c>
      <c r="D648" s="74"/>
      <c r="E648" s="74"/>
      <c r="F648" s="74"/>
      <c r="G648" s="74"/>
      <c r="H648" s="73" t="s">
        <v>17331</v>
      </c>
    </row>
    <row r="649" spans="1:8" ht="38.25" x14ac:dyDescent="0.2">
      <c r="A649" s="75" t="s">
        <v>17332</v>
      </c>
      <c r="B649" s="75" t="s">
        <v>3385</v>
      </c>
      <c r="C649" s="75" t="s">
        <v>17333</v>
      </c>
      <c r="D649" s="75"/>
      <c r="E649" s="75"/>
      <c r="F649" s="75"/>
      <c r="G649" s="75"/>
      <c r="H649" s="76" t="s">
        <v>17334</v>
      </c>
    </row>
    <row r="650" spans="1:8" ht="102" x14ac:dyDescent="0.2">
      <c r="A650" s="49" t="s">
        <v>17335</v>
      </c>
      <c r="B650" s="49" t="s">
        <v>3388</v>
      </c>
      <c r="C650" s="49" t="s">
        <v>17336</v>
      </c>
      <c r="D650" s="49"/>
      <c r="E650" s="49"/>
      <c r="F650" s="49"/>
      <c r="G650" s="49"/>
      <c r="H650" s="75" t="s">
        <v>17337</v>
      </c>
    </row>
    <row r="651" spans="1:8" ht="204" x14ac:dyDescent="0.2">
      <c r="A651" s="49" t="s">
        <v>17338</v>
      </c>
      <c r="B651" s="49" t="s">
        <v>3391</v>
      </c>
      <c r="C651" s="49" t="s">
        <v>17339</v>
      </c>
      <c r="D651" s="49"/>
      <c r="E651" s="49"/>
      <c r="F651" s="49"/>
      <c r="G651" s="49"/>
      <c r="H651" s="75" t="s">
        <v>17340</v>
      </c>
    </row>
    <row r="652" spans="1:8" ht="114.75" x14ac:dyDescent="0.2">
      <c r="A652" s="22" t="s">
        <v>17341</v>
      </c>
      <c r="B652" s="22" t="s">
        <v>3394</v>
      </c>
      <c r="C652" s="22" t="s">
        <v>17342</v>
      </c>
      <c r="D652" s="22"/>
      <c r="E652" s="22"/>
      <c r="F652" s="22"/>
      <c r="G652" s="22"/>
      <c r="H652" s="74" t="s">
        <v>17343</v>
      </c>
    </row>
    <row r="653" spans="1:8" ht="38.25" x14ac:dyDescent="0.2">
      <c r="A653" s="75" t="s">
        <v>17344</v>
      </c>
      <c r="B653" s="75" t="s">
        <v>3399</v>
      </c>
      <c r="C653" s="75" t="s">
        <v>17345</v>
      </c>
      <c r="D653" s="75"/>
      <c r="E653" s="75"/>
      <c r="F653" s="75"/>
      <c r="G653" s="75"/>
      <c r="H653" s="76" t="s">
        <v>17346</v>
      </c>
    </row>
    <row r="654" spans="1:8" ht="114.75" x14ac:dyDescent="0.2">
      <c r="A654" s="49" t="s">
        <v>17347</v>
      </c>
      <c r="B654" s="49" t="s">
        <v>3402</v>
      </c>
      <c r="C654" s="49" t="s">
        <v>17348</v>
      </c>
      <c r="D654" s="49"/>
      <c r="E654" s="49"/>
      <c r="F654" s="49"/>
      <c r="G654" s="49"/>
      <c r="H654" s="75" t="s">
        <v>17349</v>
      </c>
    </row>
    <row r="655" spans="1:8" ht="140.25" x14ac:dyDescent="0.2">
      <c r="A655" s="22" t="s">
        <v>17350</v>
      </c>
      <c r="B655" s="22" t="s">
        <v>3411</v>
      </c>
      <c r="C655" s="22" t="s">
        <v>17351</v>
      </c>
      <c r="D655" s="22"/>
      <c r="E655" s="22"/>
      <c r="F655" s="22"/>
      <c r="G655" s="22"/>
      <c r="H655" s="74" t="s">
        <v>17352</v>
      </c>
    </row>
    <row r="656" spans="1:8" ht="12.75" x14ac:dyDescent="0.2">
      <c r="A656" s="46" t="s">
        <v>17353</v>
      </c>
      <c r="B656" s="46" t="s">
        <v>3454</v>
      </c>
      <c r="C656" s="46" t="s">
        <v>3455</v>
      </c>
      <c r="D656" s="46"/>
      <c r="E656" s="46"/>
      <c r="F656" s="46"/>
      <c r="G656" s="46"/>
      <c r="H656" s="46" t="s">
        <v>17354</v>
      </c>
    </row>
    <row r="657" spans="1:8" ht="38.25" x14ac:dyDescent="0.2">
      <c r="A657" s="74" t="s">
        <v>17355</v>
      </c>
      <c r="B657" s="74" t="s">
        <v>3501</v>
      </c>
      <c r="C657" s="74" t="s">
        <v>17356</v>
      </c>
      <c r="D657" s="74"/>
      <c r="E657" s="74"/>
      <c r="F657" s="74"/>
      <c r="G657" s="74"/>
      <c r="H657" s="14" t="s">
        <v>17357</v>
      </c>
    </row>
    <row r="658" spans="1:8" ht="38.25" x14ac:dyDescent="0.2">
      <c r="A658" s="73" t="s">
        <v>17358</v>
      </c>
      <c r="B658" s="73" t="s">
        <v>3503</v>
      </c>
      <c r="C658" s="73" t="s">
        <v>3504</v>
      </c>
      <c r="D658" s="73"/>
      <c r="E658" s="73"/>
      <c r="F658" s="73"/>
      <c r="G658" s="73"/>
      <c r="H658" s="73" t="s">
        <v>17359</v>
      </c>
    </row>
    <row r="659" spans="1:8" ht="12.75" x14ac:dyDescent="0.2">
      <c r="A659" s="46" t="s">
        <v>17360</v>
      </c>
      <c r="B659" s="46" t="s">
        <v>3534</v>
      </c>
      <c r="C659" s="46" t="s">
        <v>3533</v>
      </c>
      <c r="D659" s="46"/>
      <c r="E659" s="46"/>
      <c r="F659" s="46"/>
      <c r="G659" s="46"/>
      <c r="H659" s="46" t="s">
        <v>17361</v>
      </c>
    </row>
    <row r="660" spans="1:8" ht="25.5" x14ac:dyDescent="0.2">
      <c r="A660" s="74" t="s">
        <v>17362</v>
      </c>
      <c r="B660" s="74" t="s">
        <v>3536</v>
      </c>
      <c r="C660" s="74" t="s">
        <v>17363</v>
      </c>
      <c r="D660" s="74"/>
      <c r="E660" s="74"/>
      <c r="F660" s="74"/>
      <c r="G660" s="74"/>
      <c r="H660" s="73" t="s">
        <v>17364</v>
      </c>
    </row>
    <row r="661" spans="1:8" ht="25.5" x14ac:dyDescent="0.2">
      <c r="A661" s="14" t="s">
        <v>17365</v>
      </c>
      <c r="B661" s="14" t="s">
        <v>3551</v>
      </c>
      <c r="C661" s="14" t="s">
        <v>3552</v>
      </c>
      <c r="D661" s="14"/>
      <c r="E661" s="14"/>
      <c r="F661" s="14"/>
      <c r="G661" s="14"/>
      <c r="H661" s="73" t="s">
        <v>17366</v>
      </c>
    </row>
    <row r="662" spans="1:8" ht="25.5" x14ac:dyDescent="0.2">
      <c r="A662" s="76" t="s">
        <v>17367</v>
      </c>
      <c r="B662" s="76" t="s">
        <v>3634</v>
      </c>
      <c r="C662" s="76" t="s">
        <v>17368</v>
      </c>
      <c r="D662" s="76"/>
      <c r="E662" s="76"/>
      <c r="F662" s="76"/>
      <c r="G662" s="76"/>
      <c r="H662" s="46" t="s">
        <v>17369</v>
      </c>
    </row>
    <row r="663" spans="1:8" ht="63.75" x14ac:dyDescent="0.2">
      <c r="A663" s="74" t="s">
        <v>17370</v>
      </c>
      <c r="B663" s="74" t="s">
        <v>3639</v>
      </c>
      <c r="C663" s="74" t="s">
        <v>17371</v>
      </c>
      <c r="D663" s="74"/>
      <c r="E663" s="74"/>
      <c r="F663" s="74"/>
      <c r="G663" s="74"/>
      <c r="H663" s="73" t="s">
        <v>17372</v>
      </c>
    </row>
    <row r="664" spans="1:8" ht="63.75" x14ac:dyDescent="0.2">
      <c r="A664" s="74" t="s">
        <v>17373</v>
      </c>
      <c r="B664" s="74" t="s">
        <v>3646</v>
      </c>
      <c r="C664" s="74" t="s">
        <v>17374</v>
      </c>
      <c r="D664" s="74"/>
      <c r="E664" s="74"/>
      <c r="F664" s="74"/>
      <c r="G664" s="74"/>
      <c r="H664" s="73" t="s">
        <v>17375</v>
      </c>
    </row>
    <row r="665" spans="1:8" ht="76.5" x14ac:dyDescent="0.2">
      <c r="A665" s="75" t="s">
        <v>17376</v>
      </c>
      <c r="B665" s="75" t="s">
        <v>3649</v>
      </c>
      <c r="C665" s="75" t="s">
        <v>17377</v>
      </c>
      <c r="D665" s="75"/>
      <c r="E665" s="75"/>
      <c r="F665" s="75"/>
      <c r="G665" s="75"/>
      <c r="H665" s="76" t="s">
        <v>17378</v>
      </c>
    </row>
    <row r="666" spans="1:8" ht="102" x14ac:dyDescent="0.2">
      <c r="A666" s="74" t="s">
        <v>17379</v>
      </c>
      <c r="B666" s="74" t="s">
        <v>3652</v>
      </c>
      <c r="C666" s="74" t="s">
        <v>17380</v>
      </c>
      <c r="D666" s="74"/>
      <c r="E666" s="74"/>
      <c r="F666" s="74"/>
      <c r="G666" s="74"/>
      <c r="H666" s="74" t="s">
        <v>17381</v>
      </c>
    </row>
    <row r="667" spans="1:8" ht="140.25" x14ac:dyDescent="0.2">
      <c r="A667" s="75" t="s">
        <v>17382</v>
      </c>
      <c r="B667" s="75" t="s">
        <v>3655</v>
      </c>
      <c r="C667" s="75" t="s">
        <v>17383</v>
      </c>
      <c r="D667" s="75" t="s">
        <v>17384</v>
      </c>
      <c r="E667" s="75" t="s">
        <v>17385</v>
      </c>
      <c r="F667" s="75"/>
      <c r="G667" s="75"/>
      <c r="H667" s="75" t="s">
        <v>17386</v>
      </c>
    </row>
    <row r="668" spans="1:8" ht="89.25" x14ac:dyDescent="0.2">
      <c r="A668" s="22" t="s">
        <v>17387</v>
      </c>
      <c r="B668" s="22" t="s">
        <v>3658</v>
      </c>
      <c r="C668" s="22" t="s">
        <v>17388</v>
      </c>
      <c r="D668" s="22"/>
      <c r="E668" s="22"/>
      <c r="F668" s="22"/>
      <c r="G668" s="22"/>
      <c r="H668" s="73" t="s">
        <v>17389</v>
      </c>
    </row>
    <row r="669" spans="1:8" ht="25.5" x14ac:dyDescent="0.2">
      <c r="A669" s="73" t="s">
        <v>17390</v>
      </c>
      <c r="B669" s="73" t="s">
        <v>3661</v>
      </c>
      <c r="C669" s="73" t="s">
        <v>17391</v>
      </c>
      <c r="D669" s="73"/>
      <c r="E669" s="73"/>
      <c r="F669" s="73"/>
      <c r="G669" s="73"/>
      <c r="H669" s="74" t="s">
        <v>17392</v>
      </c>
    </row>
    <row r="670" spans="1:8" ht="25.5" x14ac:dyDescent="0.2">
      <c r="A670" s="75" t="s">
        <v>17393</v>
      </c>
      <c r="B670" s="75" t="s">
        <v>3682</v>
      </c>
      <c r="C670" s="75" t="s">
        <v>17394</v>
      </c>
      <c r="D670" s="75"/>
      <c r="E670" s="75"/>
      <c r="F670" s="75"/>
      <c r="G670" s="75"/>
      <c r="H670" s="76" t="s">
        <v>17395</v>
      </c>
    </row>
    <row r="671" spans="1:8" ht="25.5" x14ac:dyDescent="0.2">
      <c r="A671" s="73" t="s">
        <v>17396</v>
      </c>
      <c r="B671" s="73" t="s">
        <v>3695</v>
      </c>
      <c r="C671" s="73" t="s">
        <v>3696</v>
      </c>
      <c r="D671" s="73"/>
      <c r="E671" s="73"/>
      <c r="F671" s="73"/>
      <c r="G671" s="73"/>
      <c r="H671" s="14" t="s">
        <v>17397</v>
      </c>
    </row>
    <row r="672" spans="1:8" ht="38.25" x14ac:dyDescent="0.2">
      <c r="A672" s="74" t="s">
        <v>17398</v>
      </c>
      <c r="B672" s="74" t="s">
        <v>3702</v>
      </c>
      <c r="C672" s="74" t="s">
        <v>17399</v>
      </c>
      <c r="D672" s="74"/>
      <c r="E672" s="74"/>
      <c r="F672" s="74"/>
      <c r="G672" s="74"/>
      <c r="H672" s="73" t="s">
        <v>17400</v>
      </c>
    </row>
    <row r="673" spans="1:8" ht="38.25" x14ac:dyDescent="0.2">
      <c r="A673" s="75" t="s">
        <v>17401</v>
      </c>
      <c r="B673" s="75" t="s">
        <v>3735</v>
      </c>
      <c r="C673" s="75" t="s">
        <v>17402</v>
      </c>
      <c r="D673" s="75"/>
      <c r="E673" s="75"/>
      <c r="F673" s="75"/>
      <c r="G673" s="75"/>
      <c r="H673" s="46" t="s">
        <v>17403</v>
      </c>
    </row>
    <row r="674" spans="1:8" ht="38.25" x14ac:dyDescent="0.2">
      <c r="A674" s="74" t="s">
        <v>17404</v>
      </c>
      <c r="B674" s="74" t="s">
        <v>3738</v>
      </c>
      <c r="C674" s="74" t="s">
        <v>17405</v>
      </c>
      <c r="D674" s="74"/>
      <c r="E674" s="74"/>
      <c r="F674" s="74"/>
      <c r="G674" s="74"/>
      <c r="H674" s="14" t="s">
        <v>17406</v>
      </c>
    </row>
    <row r="675" spans="1:8" ht="25.5" x14ac:dyDescent="0.2">
      <c r="A675" s="74" t="s">
        <v>17407</v>
      </c>
      <c r="B675" s="74" t="s">
        <v>3749</v>
      </c>
      <c r="C675" s="74" t="s">
        <v>17408</v>
      </c>
      <c r="D675" s="74"/>
      <c r="E675" s="74"/>
      <c r="F675" s="74"/>
      <c r="G675" s="74"/>
      <c r="H675" s="14" t="s">
        <v>17409</v>
      </c>
    </row>
    <row r="676" spans="1:8" ht="38.25" x14ac:dyDescent="0.2">
      <c r="A676" s="75" t="s">
        <v>17410</v>
      </c>
      <c r="B676" s="75" t="s">
        <v>3754</v>
      </c>
      <c r="C676" s="75" t="s">
        <v>17411</v>
      </c>
      <c r="D676" s="75"/>
      <c r="E676" s="75"/>
      <c r="F676" s="75"/>
      <c r="G676" s="75"/>
      <c r="H676" s="76" t="s">
        <v>17412</v>
      </c>
    </row>
    <row r="677" spans="1:8" ht="51" x14ac:dyDescent="0.2">
      <c r="A677" s="74" t="s">
        <v>17413</v>
      </c>
      <c r="B677" s="74" t="s">
        <v>3759</v>
      </c>
      <c r="C677" s="74" t="s">
        <v>17414</v>
      </c>
      <c r="D677" s="74"/>
      <c r="E677" s="74"/>
      <c r="F677" s="74"/>
      <c r="G677" s="74"/>
      <c r="H677" s="73" t="s">
        <v>17415</v>
      </c>
    </row>
    <row r="678" spans="1:8" ht="38.25" x14ac:dyDescent="0.2">
      <c r="A678" s="74" t="s">
        <v>17416</v>
      </c>
      <c r="B678" s="74" t="s">
        <v>3768</v>
      </c>
      <c r="C678" s="74" t="s">
        <v>17417</v>
      </c>
      <c r="D678" s="74"/>
      <c r="E678" s="74"/>
      <c r="F678" s="74"/>
      <c r="G678" s="74"/>
      <c r="H678" s="73" t="s">
        <v>17418</v>
      </c>
    </row>
    <row r="679" spans="1:8" ht="76.5" x14ac:dyDescent="0.2">
      <c r="A679" s="75" t="s">
        <v>17419</v>
      </c>
      <c r="B679" s="75" t="s">
        <v>3771</v>
      </c>
      <c r="C679" s="75" t="s">
        <v>17420</v>
      </c>
      <c r="D679" s="75"/>
      <c r="E679" s="75"/>
      <c r="F679" s="75"/>
      <c r="G679" s="75"/>
      <c r="H679" s="75" t="s">
        <v>17421</v>
      </c>
    </row>
    <row r="680" spans="1:8" ht="38.25" x14ac:dyDescent="0.2">
      <c r="A680" s="14" t="s">
        <v>17422</v>
      </c>
      <c r="B680" s="14" t="s">
        <v>3776</v>
      </c>
      <c r="C680" s="14" t="s">
        <v>3777</v>
      </c>
      <c r="D680" s="14"/>
      <c r="E680" s="14"/>
      <c r="F680" s="14"/>
      <c r="G680" s="14"/>
      <c r="H680" s="73" t="s">
        <v>17423</v>
      </c>
    </row>
    <row r="681" spans="1:8" ht="38.25" x14ac:dyDescent="0.2">
      <c r="A681" s="14" t="s">
        <v>17424</v>
      </c>
      <c r="B681" s="14" t="s">
        <v>3779</v>
      </c>
      <c r="C681" s="14" t="s">
        <v>3780</v>
      </c>
      <c r="D681" s="14"/>
      <c r="E681" s="14"/>
      <c r="F681" s="14"/>
      <c r="G681" s="14"/>
      <c r="H681" s="73" t="s">
        <v>17425</v>
      </c>
    </row>
    <row r="682" spans="1:8" ht="25.5" x14ac:dyDescent="0.2">
      <c r="A682" s="46" t="s">
        <v>17426</v>
      </c>
      <c r="B682" s="46" t="s">
        <v>3782</v>
      </c>
      <c r="C682" s="46" t="s">
        <v>3783</v>
      </c>
      <c r="D682" s="46"/>
      <c r="E682" s="46"/>
      <c r="F682" s="46"/>
      <c r="G682" s="46"/>
      <c r="H682" s="76" t="s">
        <v>17427</v>
      </c>
    </row>
    <row r="683" spans="1:8" ht="12.75" x14ac:dyDescent="0.2">
      <c r="A683" s="14" t="s">
        <v>17428</v>
      </c>
      <c r="B683" s="14" t="s">
        <v>3785</v>
      </c>
      <c r="C683" s="14" t="s">
        <v>3786</v>
      </c>
      <c r="D683" s="14"/>
      <c r="E683" s="14"/>
      <c r="F683" s="14"/>
      <c r="G683" s="14"/>
      <c r="H683" s="14" t="s">
        <v>17429</v>
      </c>
    </row>
    <row r="684" spans="1:8" ht="25.5" x14ac:dyDescent="0.2">
      <c r="A684" s="14" t="s">
        <v>17430</v>
      </c>
      <c r="B684" s="14" t="s">
        <v>3787</v>
      </c>
      <c r="C684" s="14" t="s">
        <v>3788</v>
      </c>
      <c r="D684" s="14"/>
      <c r="E684" s="14"/>
      <c r="F684" s="14"/>
      <c r="G684" s="14"/>
      <c r="H684" s="73" t="s">
        <v>17431</v>
      </c>
    </row>
    <row r="685" spans="1:8" ht="38.25" x14ac:dyDescent="0.2">
      <c r="A685" s="46" t="s">
        <v>17432</v>
      </c>
      <c r="B685" s="46" t="s">
        <v>3790</v>
      </c>
      <c r="C685" s="46" t="s">
        <v>3791</v>
      </c>
      <c r="D685" s="46"/>
      <c r="E685" s="46"/>
      <c r="F685" s="46"/>
      <c r="G685" s="46"/>
      <c r="H685" s="76" t="s">
        <v>17433</v>
      </c>
    </row>
    <row r="686" spans="1:8" ht="12.75" x14ac:dyDescent="0.2">
      <c r="A686" s="14" t="s">
        <v>17434</v>
      </c>
      <c r="B686" s="14" t="s">
        <v>3793</v>
      </c>
      <c r="C686" s="14" t="s">
        <v>3794</v>
      </c>
      <c r="D686" s="14"/>
      <c r="E686" s="14"/>
      <c r="F686" s="14"/>
      <c r="G686" s="14"/>
      <c r="H686" s="14" t="s">
        <v>17435</v>
      </c>
    </row>
    <row r="687" spans="1:8" ht="12.75" x14ac:dyDescent="0.2">
      <c r="A687" s="14" t="s">
        <v>17436</v>
      </c>
      <c r="B687" s="14" t="s">
        <v>3795</v>
      </c>
      <c r="C687" s="14" t="s">
        <v>3796</v>
      </c>
      <c r="D687" s="14"/>
      <c r="E687" s="14"/>
      <c r="F687" s="14"/>
      <c r="G687" s="14"/>
      <c r="H687" s="14" t="s">
        <v>17437</v>
      </c>
    </row>
    <row r="688" spans="1:8" ht="12.75" x14ac:dyDescent="0.2">
      <c r="A688" s="46" t="s">
        <v>17438</v>
      </c>
      <c r="B688" s="46" t="s">
        <v>3797</v>
      </c>
      <c r="C688" s="46" t="s">
        <v>3798</v>
      </c>
      <c r="D688" s="46"/>
      <c r="E688" s="46"/>
      <c r="F688" s="46"/>
      <c r="G688" s="46"/>
      <c r="H688" s="46" t="s">
        <v>17439</v>
      </c>
    </row>
    <row r="689" spans="1:8" ht="12.75" x14ac:dyDescent="0.2">
      <c r="A689" s="14" t="s">
        <v>17440</v>
      </c>
      <c r="B689" s="14" t="s">
        <v>3799</v>
      </c>
      <c r="C689" s="14" t="s">
        <v>3800</v>
      </c>
      <c r="D689" s="14"/>
      <c r="E689" s="14"/>
      <c r="F689" s="14"/>
      <c r="G689" s="14"/>
      <c r="H689" s="14" t="s">
        <v>17441</v>
      </c>
    </row>
    <row r="690" spans="1:8" ht="25.5" x14ac:dyDescent="0.2">
      <c r="A690" s="74" t="s">
        <v>17442</v>
      </c>
      <c r="B690" s="74" t="s">
        <v>3805</v>
      </c>
      <c r="C690" s="74" t="s">
        <v>17443</v>
      </c>
      <c r="D690" s="74"/>
      <c r="E690" s="74"/>
      <c r="F690" s="74"/>
      <c r="G690" s="74"/>
      <c r="H690" s="14" t="s">
        <v>17444</v>
      </c>
    </row>
    <row r="691" spans="1:8" ht="51" x14ac:dyDescent="0.2">
      <c r="A691" s="75" t="s">
        <v>17445</v>
      </c>
      <c r="B691" s="75" t="s">
        <v>3814</v>
      </c>
      <c r="C691" s="75" t="s">
        <v>17446</v>
      </c>
      <c r="D691" s="75"/>
      <c r="E691" s="75"/>
      <c r="F691" s="75"/>
      <c r="G691" s="75"/>
      <c r="H691" s="76" t="s">
        <v>17447</v>
      </c>
    </row>
    <row r="692" spans="1:8" ht="51" x14ac:dyDescent="0.2">
      <c r="A692" s="74" t="s">
        <v>17448</v>
      </c>
      <c r="B692" s="74" t="s">
        <v>3817</v>
      </c>
      <c r="C692" s="74" t="s">
        <v>17449</v>
      </c>
      <c r="D692" s="74"/>
      <c r="E692" s="74"/>
      <c r="F692" s="74"/>
      <c r="G692" s="74"/>
      <c r="H692" s="73" t="s">
        <v>17450</v>
      </c>
    </row>
    <row r="693" spans="1:8" ht="51" x14ac:dyDescent="0.2">
      <c r="A693" s="73" t="s">
        <v>17451</v>
      </c>
      <c r="B693" s="73" t="s">
        <v>3822</v>
      </c>
      <c r="C693" s="73" t="s">
        <v>3823</v>
      </c>
      <c r="D693" s="73"/>
      <c r="E693" s="73"/>
      <c r="F693" s="73"/>
      <c r="G693" s="73"/>
      <c r="H693" s="73" t="s">
        <v>17452</v>
      </c>
    </row>
    <row r="694" spans="1:8" ht="38.25" x14ac:dyDescent="0.2">
      <c r="A694" s="76" t="s">
        <v>17453</v>
      </c>
      <c r="B694" s="76" t="s">
        <v>3825</v>
      </c>
      <c r="C694" s="76" t="s">
        <v>3826</v>
      </c>
      <c r="D694" s="76"/>
      <c r="E694" s="76"/>
      <c r="F694" s="76"/>
      <c r="G694" s="76"/>
      <c r="H694" s="76" t="s">
        <v>17454</v>
      </c>
    </row>
    <row r="695" spans="1:8" ht="38.25" x14ac:dyDescent="0.2">
      <c r="A695" s="74" t="s">
        <v>17455</v>
      </c>
      <c r="B695" s="74" t="s">
        <v>17456</v>
      </c>
      <c r="C695" s="74"/>
      <c r="D695" s="74"/>
      <c r="E695" s="74"/>
      <c r="F695" s="74"/>
      <c r="G695" s="74"/>
      <c r="H695" s="73" t="s">
        <v>17457</v>
      </c>
    </row>
    <row r="696" spans="1:8" ht="51" x14ac:dyDescent="0.2">
      <c r="A696" s="74" t="s">
        <v>17458</v>
      </c>
      <c r="B696" s="74" t="s">
        <v>17459</v>
      </c>
      <c r="C696" s="74"/>
      <c r="D696" s="74"/>
      <c r="E696" s="74"/>
      <c r="F696" s="74"/>
      <c r="G696" s="74"/>
      <c r="H696" s="73" t="s">
        <v>17460</v>
      </c>
    </row>
    <row r="697" spans="1:8" ht="38.25" x14ac:dyDescent="0.2">
      <c r="A697" s="75" t="s">
        <v>17461</v>
      </c>
      <c r="B697" s="75" t="s">
        <v>17462</v>
      </c>
      <c r="C697" s="75"/>
      <c r="D697" s="75"/>
      <c r="E697" s="75"/>
      <c r="F697" s="75"/>
      <c r="G697" s="75"/>
      <c r="H697" s="76" t="s">
        <v>17463</v>
      </c>
    </row>
    <row r="698" spans="1:8" ht="38.25" x14ac:dyDescent="0.2">
      <c r="A698" s="74" t="s">
        <v>17464</v>
      </c>
      <c r="B698" s="74" t="s">
        <v>17465</v>
      </c>
      <c r="C698" s="74"/>
      <c r="D698" s="74"/>
      <c r="E698" s="74"/>
      <c r="F698" s="74"/>
      <c r="G698" s="74"/>
      <c r="H698" s="73" t="s">
        <v>17466</v>
      </c>
    </row>
    <row r="699" spans="1:8" ht="102" x14ac:dyDescent="0.2">
      <c r="A699" s="22" t="s">
        <v>17467</v>
      </c>
      <c r="B699" s="22" t="s">
        <v>3842</v>
      </c>
      <c r="C699" s="22" t="s">
        <v>17468</v>
      </c>
      <c r="D699" s="22"/>
      <c r="E699" s="22"/>
      <c r="F699" s="22"/>
      <c r="G699" s="22"/>
      <c r="H699" s="74" t="s">
        <v>17469</v>
      </c>
    </row>
    <row r="700" spans="1:8" ht="89.25" x14ac:dyDescent="0.2">
      <c r="A700" s="49" t="s">
        <v>17470</v>
      </c>
      <c r="B700" s="49" t="s">
        <v>3845</v>
      </c>
      <c r="C700" s="49" t="s">
        <v>17471</v>
      </c>
      <c r="D700" s="49"/>
      <c r="E700" s="49"/>
      <c r="F700" s="49"/>
      <c r="G700" s="49"/>
      <c r="H700" s="75" t="s">
        <v>17472</v>
      </c>
    </row>
    <row r="701" spans="1:8" ht="76.5" x14ac:dyDescent="0.2">
      <c r="A701" s="22" t="s">
        <v>17473</v>
      </c>
      <c r="B701" s="22" t="s">
        <v>3850</v>
      </c>
      <c r="C701" s="22" t="s">
        <v>17474</v>
      </c>
      <c r="D701" s="22"/>
      <c r="E701" s="22"/>
      <c r="F701" s="22"/>
      <c r="G701" s="22"/>
      <c r="H701" s="73" t="s">
        <v>17475</v>
      </c>
    </row>
    <row r="702" spans="1:8" ht="63.75" x14ac:dyDescent="0.2">
      <c r="A702" s="74" t="s">
        <v>17476</v>
      </c>
      <c r="B702" s="74" t="s">
        <v>3853</v>
      </c>
      <c r="C702" s="74" t="s">
        <v>17477</v>
      </c>
      <c r="D702" s="74"/>
      <c r="E702" s="74"/>
      <c r="F702" s="74"/>
      <c r="G702" s="74"/>
      <c r="H702" s="73" t="s">
        <v>17478</v>
      </c>
    </row>
    <row r="703" spans="1:8" ht="38.25" x14ac:dyDescent="0.2">
      <c r="A703" s="75" t="s">
        <v>17479</v>
      </c>
      <c r="B703" s="75" t="s">
        <v>3858</v>
      </c>
      <c r="C703" s="75" t="s">
        <v>17480</v>
      </c>
      <c r="D703" s="75"/>
      <c r="E703" s="75"/>
      <c r="F703" s="75"/>
      <c r="G703" s="75"/>
      <c r="H703" s="76" t="s">
        <v>17481</v>
      </c>
    </row>
    <row r="704" spans="1:8" ht="38.25" x14ac:dyDescent="0.2">
      <c r="A704" s="74" t="s">
        <v>17482</v>
      </c>
      <c r="B704" s="74" t="s">
        <v>3861</v>
      </c>
      <c r="C704" s="74" t="s">
        <v>17483</v>
      </c>
      <c r="D704" s="74"/>
      <c r="E704" s="74"/>
      <c r="F704" s="74"/>
      <c r="G704" s="74"/>
      <c r="H704" s="14" t="s">
        <v>17484</v>
      </c>
    </row>
    <row r="705" spans="1:8" ht="63.75" x14ac:dyDescent="0.2">
      <c r="A705" s="74" t="s">
        <v>17485</v>
      </c>
      <c r="B705" s="74" t="s">
        <v>3866</v>
      </c>
      <c r="C705" s="74" t="s">
        <v>17486</v>
      </c>
      <c r="D705" s="74"/>
      <c r="E705" s="74"/>
      <c r="F705" s="74"/>
      <c r="G705" s="74"/>
      <c r="H705" s="74" t="s">
        <v>17487</v>
      </c>
    </row>
    <row r="706" spans="1:8" ht="51" x14ac:dyDescent="0.2">
      <c r="A706" s="75" t="s">
        <v>17488</v>
      </c>
      <c r="B706" s="75" t="s">
        <v>3869</v>
      </c>
      <c r="C706" s="75" t="s">
        <v>17489</v>
      </c>
      <c r="D706" s="75"/>
      <c r="E706" s="75"/>
      <c r="F706" s="75"/>
      <c r="G706" s="75"/>
      <c r="H706" s="76" t="s">
        <v>17490</v>
      </c>
    </row>
    <row r="707" spans="1:8" ht="63.75" x14ac:dyDescent="0.2">
      <c r="A707" s="74" t="s">
        <v>17491</v>
      </c>
      <c r="B707" s="74" t="s">
        <v>3874</v>
      </c>
      <c r="C707" s="74" t="s">
        <v>17492</v>
      </c>
      <c r="D707" s="74"/>
      <c r="E707" s="74"/>
      <c r="F707" s="74"/>
      <c r="G707" s="74"/>
      <c r="H707" s="73" t="s">
        <v>17493</v>
      </c>
    </row>
    <row r="708" spans="1:8" ht="76.5" x14ac:dyDescent="0.2">
      <c r="A708" s="74" t="s">
        <v>17494</v>
      </c>
      <c r="B708" s="74" t="s">
        <v>3877</v>
      </c>
      <c r="C708" s="74" t="s">
        <v>17495</v>
      </c>
      <c r="D708" s="74"/>
      <c r="E708" s="74"/>
      <c r="F708" s="74"/>
      <c r="G708" s="74"/>
      <c r="H708" s="74" t="s">
        <v>17496</v>
      </c>
    </row>
    <row r="709" spans="1:8" ht="102" x14ac:dyDescent="0.2">
      <c r="A709" s="49" t="s">
        <v>17497</v>
      </c>
      <c r="B709" s="49" t="s">
        <v>3882</v>
      </c>
      <c r="C709" s="49" t="s">
        <v>17498</v>
      </c>
      <c r="D709" s="49"/>
      <c r="E709" s="49"/>
      <c r="F709" s="49"/>
      <c r="G709" s="49"/>
      <c r="H709" s="75" t="s">
        <v>17499</v>
      </c>
    </row>
    <row r="710" spans="1:8" ht="114.75" x14ac:dyDescent="0.2">
      <c r="A710" s="74" t="s">
        <v>17500</v>
      </c>
      <c r="B710" s="74" t="s">
        <v>3885</v>
      </c>
      <c r="C710" s="74" t="s">
        <v>17501</v>
      </c>
      <c r="D710" s="74"/>
      <c r="E710" s="74"/>
      <c r="F710" s="74"/>
      <c r="G710" s="74"/>
      <c r="H710" s="74" t="s">
        <v>17502</v>
      </c>
    </row>
    <row r="711" spans="1:8" ht="25.5" x14ac:dyDescent="0.2">
      <c r="A711" s="73" t="s">
        <v>17503</v>
      </c>
      <c r="B711" s="73" t="s">
        <v>3890</v>
      </c>
      <c r="C711" s="73" t="s">
        <v>17504</v>
      </c>
      <c r="D711" s="73"/>
      <c r="E711" s="73"/>
      <c r="F711" s="73"/>
      <c r="G711" s="73"/>
      <c r="H711" s="73" t="s">
        <v>17505</v>
      </c>
    </row>
    <row r="712" spans="1:8" ht="51" x14ac:dyDescent="0.2">
      <c r="A712" s="76" t="s">
        <v>17506</v>
      </c>
      <c r="B712" s="76" t="s">
        <v>3895</v>
      </c>
      <c r="C712" s="76" t="s">
        <v>17507</v>
      </c>
      <c r="D712" s="76"/>
      <c r="E712" s="76"/>
      <c r="F712" s="76"/>
      <c r="G712" s="76"/>
      <c r="H712" s="75" t="s">
        <v>17508</v>
      </c>
    </row>
    <row r="713" spans="1:8" ht="38.25" x14ac:dyDescent="0.2">
      <c r="A713" s="73" t="s">
        <v>17509</v>
      </c>
      <c r="B713" s="73" t="s">
        <v>3898</v>
      </c>
      <c r="C713" s="73" t="s">
        <v>17510</v>
      </c>
      <c r="D713" s="73"/>
      <c r="E713" s="73"/>
      <c r="F713" s="73"/>
      <c r="G713" s="73"/>
      <c r="H713" s="73" t="s">
        <v>17511</v>
      </c>
    </row>
    <row r="714" spans="1:8" ht="114.75" x14ac:dyDescent="0.2">
      <c r="A714" s="49" t="s">
        <v>17512</v>
      </c>
      <c r="B714" s="49" t="s">
        <v>3903</v>
      </c>
      <c r="C714" s="49" t="s">
        <v>17513</v>
      </c>
      <c r="D714" s="49"/>
      <c r="E714" s="49"/>
      <c r="F714" s="49"/>
      <c r="G714" s="49"/>
      <c r="H714" s="76" t="s">
        <v>17514</v>
      </c>
    </row>
    <row r="715" spans="1:8" ht="38.25" x14ac:dyDescent="0.2">
      <c r="A715" s="74" t="s">
        <v>17515</v>
      </c>
      <c r="B715" s="74" t="s">
        <v>3906</v>
      </c>
      <c r="C715" s="74" t="s">
        <v>17516</v>
      </c>
      <c r="D715" s="74"/>
      <c r="E715" s="74"/>
      <c r="F715" s="74"/>
      <c r="G715" s="74"/>
      <c r="H715" s="74" t="s">
        <v>17517</v>
      </c>
    </row>
    <row r="716" spans="1:8" ht="38.25" x14ac:dyDescent="0.2">
      <c r="A716" s="76" t="s">
        <v>17518</v>
      </c>
      <c r="B716" s="76" t="s">
        <v>3911</v>
      </c>
      <c r="C716" s="76" t="s">
        <v>3912</v>
      </c>
      <c r="D716" s="76"/>
      <c r="E716" s="76"/>
      <c r="F716" s="76"/>
      <c r="G716" s="76"/>
      <c r="H716" s="76" t="s">
        <v>17519</v>
      </c>
    </row>
    <row r="717" spans="1:8" ht="114.75" x14ac:dyDescent="0.2">
      <c r="A717" s="14" t="s">
        <v>17520</v>
      </c>
      <c r="B717" s="14" t="s">
        <v>3914</v>
      </c>
      <c r="C717" s="14" t="s">
        <v>3915</v>
      </c>
      <c r="D717" s="14"/>
      <c r="E717" s="14"/>
      <c r="F717" s="14"/>
      <c r="G717" s="14"/>
      <c r="H717" s="73" t="s">
        <v>17521</v>
      </c>
    </row>
    <row r="718" spans="1:8" ht="102" x14ac:dyDescent="0.2">
      <c r="A718" s="49" t="s">
        <v>17522</v>
      </c>
      <c r="B718" s="49" t="s">
        <v>3919</v>
      </c>
      <c r="C718" s="49" t="s">
        <v>17523</v>
      </c>
      <c r="D718" s="49"/>
      <c r="E718" s="49"/>
      <c r="F718" s="49"/>
      <c r="G718" s="49"/>
      <c r="H718" s="75" t="s">
        <v>17524</v>
      </c>
    </row>
    <row r="719" spans="1:8" ht="51" x14ac:dyDescent="0.2">
      <c r="A719" s="74" t="s">
        <v>17525</v>
      </c>
      <c r="B719" s="74" t="s">
        <v>3922</v>
      </c>
      <c r="C719" s="74" t="s">
        <v>17526</v>
      </c>
      <c r="D719" s="74"/>
      <c r="E719" s="74"/>
      <c r="F719" s="74"/>
      <c r="G719" s="74"/>
      <c r="H719" s="73" t="s">
        <v>17527</v>
      </c>
    </row>
    <row r="720" spans="1:8" ht="63.75" x14ac:dyDescent="0.2">
      <c r="A720" s="14" t="s">
        <v>17528</v>
      </c>
      <c r="B720" s="14" t="s">
        <v>3927</v>
      </c>
      <c r="C720" s="14" t="s">
        <v>17529</v>
      </c>
      <c r="D720" s="14"/>
      <c r="E720" s="14"/>
      <c r="F720" s="14"/>
      <c r="G720" s="14"/>
      <c r="H720" s="73" t="s">
        <v>17530</v>
      </c>
    </row>
    <row r="721" spans="1:8" ht="89.25" x14ac:dyDescent="0.2">
      <c r="A721" s="46" t="s">
        <v>17531</v>
      </c>
      <c r="B721" s="46" t="s">
        <v>3930</v>
      </c>
      <c r="C721" s="46" t="s">
        <v>17532</v>
      </c>
      <c r="D721" s="46"/>
      <c r="E721" s="46"/>
      <c r="F721" s="46"/>
      <c r="G721" s="46"/>
      <c r="H721" s="75" t="s">
        <v>17533</v>
      </c>
    </row>
    <row r="722" spans="1:8" ht="51" x14ac:dyDescent="0.2">
      <c r="A722" s="74" t="s">
        <v>17534</v>
      </c>
      <c r="B722" s="74" t="s">
        <v>3935</v>
      </c>
      <c r="C722" s="74" t="s">
        <v>17535</v>
      </c>
      <c r="D722" s="74"/>
      <c r="E722" s="74"/>
      <c r="F722" s="74"/>
      <c r="G722" s="74"/>
      <c r="H722" s="73" t="s">
        <v>17536</v>
      </c>
    </row>
    <row r="723" spans="1:8" ht="38.25" x14ac:dyDescent="0.2">
      <c r="A723" s="74" t="s">
        <v>17537</v>
      </c>
      <c r="B723" s="74" t="s">
        <v>3938</v>
      </c>
      <c r="C723" s="74" t="s">
        <v>17538</v>
      </c>
      <c r="D723" s="74"/>
      <c r="E723" s="74"/>
      <c r="F723" s="74"/>
      <c r="G723" s="74"/>
      <c r="H723" s="73" t="s">
        <v>17539</v>
      </c>
    </row>
    <row r="724" spans="1:8" ht="51" x14ac:dyDescent="0.2">
      <c r="A724" s="76" t="s">
        <v>17540</v>
      </c>
      <c r="B724" s="76" t="s">
        <v>3943</v>
      </c>
      <c r="C724" s="76" t="s">
        <v>3944</v>
      </c>
      <c r="D724" s="76"/>
      <c r="E724" s="76"/>
      <c r="F724" s="76"/>
      <c r="G724" s="76"/>
      <c r="H724" s="76" t="s">
        <v>17541</v>
      </c>
    </row>
    <row r="725" spans="1:8" ht="102" x14ac:dyDescent="0.2">
      <c r="A725" s="14" t="s">
        <v>17542</v>
      </c>
      <c r="B725" s="14" t="s">
        <v>3946</v>
      </c>
      <c r="C725" s="14" t="s">
        <v>3947</v>
      </c>
      <c r="D725" s="14"/>
      <c r="E725" s="14"/>
      <c r="F725" s="14"/>
      <c r="G725" s="14"/>
      <c r="H725" s="74" t="s">
        <v>17543</v>
      </c>
    </row>
    <row r="726" spans="1:8" ht="25.5" x14ac:dyDescent="0.2">
      <c r="A726" s="73" t="s">
        <v>17544</v>
      </c>
      <c r="B726" s="73" t="s">
        <v>3949</v>
      </c>
      <c r="C726" s="73" t="s">
        <v>3950</v>
      </c>
      <c r="D726" s="73"/>
      <c r="E726" s="73"/>
      <c r="F726" s="73"/>
      <c r="G726" s="73"/>
      <c r="H726" s="14" t="s">
        <v>17545</v>
      </c>
    </row>
    <row r="727" spans="1:8" ht="51" x14ac:dyDescent="0.2">
      <c r="A727" s="75" t="s">
        <v>17546</v>
      </c>
      <c r="B727" s="75" t="s">
        <v>17547</v>
      </c>
      <c r="C727" s="75"/>
      <c r="D727" s="75"/>
      <c r="E727" s="75"/>
      <c r="F727" s="75"/>
      <c r="G727" s="75"/>
      <c r="H727" s="76" t="s">
        <v>17548</v>
      </c>
    </row>
    <row r="728" spans="1:8" ht="38.25" x14ac:dyDescent="0.2">
      <c r="A728" s="74" t="s">
        <v>17549</v>
      </c>
      <c r="B728" s="74" t="s">
        <v>17550</v>
      </c>
      <c r="C728" s="74"/>
      <c r="D728" s="74"/>
      <c r="E728" s="74"/>
      <c r="F728" s="74"/>
      <c r="G728" s="74"/>
      <c r="H728" s="73" t="s">
        <v>17551</v>
      </c>
    </row>
    <row r="729" spans="1:8" ht="38.25" x14ac:dyDescent="0.2">
      <c r="A729" s="73" t="s">
        <v>17552</v>
      </c>
      <c r="B729" s="73" t="s">
        <v>3960</v>
      </c>
      <c r="C729" s="73" t="s">
        <v>3961</v>
      </c>
      <c r="D729" s="73"/>
      <c r="E729" s="73"/>
      <c r="F729" s="73"/>
      <c r="G729" s="73"/>
      <c r="H729" s="73" t="s">
        <v>17553</v>
      </c>
    </row>
    <row r="730" spans="1:8" ht="38.25" x14ac:dyDescent="0.2">
      <c r="A730" s="76" t="s">
        <v>17554</v>
      </c>
      <c r="B730" s="76" t="s">
        <v>3963</v>
      </c>
      <c r="C730" s="76" t="s">
        <v>3964</v>
      </c>
      <c r="D730" s="76"/>
      <c r="E730" s="76"/>
      <c r="F730" s="76"/>
      <c r="G730" s="76"/>
      <c r="H730" s="75" t="s">
        <v>17555</v>
      </c>
    </row>
    <row r="731" spans="1:8" ht="76.5" x14ac:dyDescent="0.2">
      <c r="A731" s="73" t="s">
        <v>17556</v>
      </c>
      <c r="B731" s="73" t="s">
        <v>3968</v>
      </c>
      <c r="C731" s="73" t="s">
        <v>3969</v>
      </c>
      <c r="D731" s="73"/>
      <c r="E731" s="73"/>
      <c r="F731" s="73"/>
      <c r="G731" s="73"/>
      <c r="H731" s="73" t="s">
        <v>17557</v>
      </c>
    </row>
    <row r="732" spans="1:8" ht="51" x14ac:dyDescent="0.2">
      <c r="A732" s="73" t="s">
        <v>17558</v>
      </c>
      <c r="B732" s="73" t="s">
        <v>3971</v>
      </c>
      <c r="C732" s="73" t="s">
        <v>3972</v>
      </c>
      <c r="D732" s="73"/>
      <c r="E732" s="73"/>
      <c r="F732" s="73"/>
      <c r="G732" s="73"/>
      <c r="H732" s="73" t="s">
        <v>17559</v>
      </c>
    </row>
    <row r="733" spans="1:8" ht="63.75" x14ac:dyDescent="0.2">
      <c r="A733" s="75" t="s">
        <v>17560</v>
      </c>
      <c r="B733" s="75" t="s">
        <v>3976</v>
      </c>
      <c r="C733" s="75" t="s">
        <v>17561</v>
      </c>
      <c r="D733" s="75"/>
      <c r="E733" s="75"/>
      <c r="F733" s="75"/>
      <c r="G733" s="75"/>
      <c r="H733" s="75" t="s">
        <v>17562</v>
      </c>
    </row>
    <row r="734" spans="1:8" ht="38.25" x14ac:dyDescent="0.2">
      <c r="A734" s="74" t="s">
        <v>17563</v>
      </c>
      <c r="B734" s="74" t="s">
        <v>3979</v>
      </c>
      <c r="C734" s="74" t="s">
        <v>17564</v>
      </c>
      <c r="D734" s="74"/>
      <c r="E734" s="74"/>
      <c r="F734" s="74"/>
      <c r="G734" s="74"/>
      <c r="H734" s="74" t="s">
        <v>17565</v>
      </c>
    </row>
    <row r="735" spans="1:8" ht="51" x14ac:dyDescent="0.2">
      <c r="A735" s="74" t="s">
        <v>17566</v>
      </c>
      <c r="B735" s="74" t="s">
        <v>3984</v>
      </c>
      <c r="C735" s="74" t="s">
        <v>17567</v>
      </c>
      <c r="D735" s="74"/>
      <c r="E735" s="74"/>
      <c r="F735" s="74"/>
      <c r="G735" s="74"/>
      <c r="H735" s="73" t="s">
        <v>17568</v>
      </c>
    </row>
    <row r="736" spans="1:8" ht="38.25" x14ac:dyDescent="0.2">
      <c r="A736" s="75" t="s">
        <v>17569</v>
      </c>
      <c r="B736" s="75" t="s">
        <v>3987</v>
      </c>
      <c r="C736" s="75" t="s">
        <v>17570</v>
      </c>
      <c r="D736" s="75"/>
      <c r="E736" s="75"/>
      <c r="F736" s="75"/>
      <c r="G736" s="75"/>
      <c r="H736" s="75" t="s">
        <v>17571</v>
      </c>
    </row>
    <row r="737" spans="1:8" ht="63.75" x14ac:dyDescent="0.2">
      <c r="A737" s="74" t="s">
        <v>17572</v>
      </c>
      <c r="B737" s="74" t="s">
        <v>3992</v>
      </c>
      <c r="C737" s="74" t="s">
        <v>17573</v>
      </c>
      <c r="D737" s="74"/>
      <c r="E737" s="74"/>
      <c r="F737" s="74"/>
      <c r="G737" s="74"/>
      <c r="H737" s="74" t="s">
        <v>17574</v>
      </c>
    </row>
    <row r="738" spans="1:8" ht="38.25" x14ac:dyDescent="0.2">
      <c r="A738" s="74" t="s">
        <v>17575</v>
      </c>
      <c r="B738" s="74" t="s">
        <v>3995</v>
      </c>
      <c r="C738" s="74" t="s">
        <v>17576</v>
      </c>
      <c r="D738" s="74"/>
      <c r="E738" s="74"/>
      <c r="F738" s="74"/>
      <c r="G738" s="74"/>
      <c r="H738" s="73" t="s">
        <v>17577</v>
      </c>
    </row>
    <row r="739" spans="1:8" ht="63.75" x14ac:dyDescent="0.2">
      <c r="A739" s="75" t="s">
        <v>17578</v>
      </c>
      <c r="B739" s="75" t="s">
        <v>4000</v>
      </c>
      <c r="C739" s="75" t="s">
        <v>17579</v>
      </c>
      <c r="D739" s="75"/>
      <c r="E739" s="75"/>
      <c r="F739" s="75"/>
      <c r="G739" s="75"/>
      <c r="H739" s="75" t="s">
        <v>17580</v>
      </c>
    </row>
    <row r="740" spans="1:8" ht="51" x14ac:dyDescent="0.2">
      <c r="A740" s="74" t="s">
        <v>17581</v>
      </c>
      <c r="B740" s="74" t="s">
        <v>4003</v>
      </c>
      <c r="C740" s="74" t="s">
        <v>17582</v>
      </c>
      <c r="D740" s="74"/>
      <c r="E740" s="74"/>
      <c r="F740" s="74"/>
      <c r="G740" s="74"/>
      <c r="H740" s="74" t="s">
        <v>17583</v>
      </c>
    </row>
    <row r="741" spans="1:8" ht="51" x14ac:dyDescent="0.2">
      <c r="A741" s="73" t="s">
        <v>17584</v>
      </c>
      <c r="B741" s="73" t="s">
        <v>4008</v>
      </c>
      <c r="C741" s="73" t="s">
        <v>4009</v>
      </c>
      <c r="D741" s="73"/>
      <c r="E741" s="73"/>
      <c r="F741" s="73"/>
      <c r="G741" s="73"/>
      <c r="H741" s="73" t="s">
        <v>17585</v>
      </c>
    </row>
    <row r="742" spans="1:8" ht="51" x14ac:dyDescent="0.2">
      <c r="A742" s="76" t="s">
        <v>17586</v>
      </c>
      <c r="B742" s="76" t="s">
        <v>4011</v>
      </c>
      <c r="C742" s="76" t="s">
        <v>4012</v>
      </c>
      <c r="D742" s="76"/>
      <c r="E742" s="76"/>
      <c r="F742" s="76"/>
      <c r="G742" s="76"/>
      <c r="H742" s="75" t="s">
        <v>17587</v>
      </c>
    </row>
    <row r="743" spans="1:8" ht="38.25" x14ac:dyDescent="0.2">
      <c r="A743" s="74" t="s">
        <v>17588</v>
      </c>
      <c r="B743" s="74" t="s">
        <v>4016</v>
      </c>
      <c r="C743" s="74" t="s">
        <v>17589</v>
      </c>
      <c r="D743" s="74"/>
      <c r="E743" s="74"/>
      <c r="F743" s="74"/>
      <c r="G743" s="74"/>
      <c r="H743" s="73" t="s">
        <v>17590</v>
      </c>
    </row>
    <row r="744" spans="1:8" ht="38.25" x14ac:dyDescent="0.2">
      <c r="A744" s="74" t="s">
        <v>17591</v>
      </c>
      <c r="B744" s="74" t="s">
        <v>4019</v>
      </c>
      <c r="C744" s="74" t="s">
        <v>17592</v>
      </c>
      <c r="D744" s="74"/>
      <c r="E744" s="74"/>
      <c r="F744" s="74"/>
      <c r="G744" s="74"/>
      <c r="H744" s="73" t="s">
        <v>17593</v>
      </c>
    </row>
    <row r="745" spans="1:8" ht="38.25" x14ac:dyDescent="0.2">
      <c r="A745" s="75" t="s">
        <v>17594</v>
      </c>
      <c r="B745" s="75" t="s">
        <v>4024</v>
      </c>
      <c r="C745" s="75" t="s">
        <v>17595</v>
      </c>
      <c r="D745" s="75"/>
      <c r="E745" s="75"/>
      <c r="F745" s="75"/>
      <c r="G745" s="75"/>
      <c r="H745" s="76" t="s">
        <v>17596</v>
      </c>
    </row>
    <row r="746" spans="1:8" ht="25.5" x14ac:dyDescent="0.2">
      <c r="A746" s="73" t="s">
        <v>17597</v>
      </c>
      <c r="B746" s="73" t="s">
        <v>4027</v>
      </c>
      <c r="C746" s="73" t="s">
        <v>4028</v>
      </c>
      <c r="D746" s="73"/>
      <c r="E746" s="73"/>
      <c r="F746" s="73"/>
      <c r="G746" s="73"/>
      <c r="H746" s="73" t="s">
        <v>17598</v>
      </c>
    </row>
    <row r="747" spans="1:8" ht="102" x14ac:dyDescent="0.2">
      <c r="A747" s="14" t="s">
        <v>17599</v>
      </c>
      <c r="B747" s="14" t="s">
        <v>4032</v>
      </c>
      <c r="C747" s="14" t="s">
        <v>4033</v>
      </c>
      <c r="D747" s="14"/>
      <c r="E747" s="14"/>
      <c r="F747" s="14"/>
      <c r="G747" s="14"/>
      <c r="H747" s="74" t="s">
        <v>17600</v>
      </c>
    </row>
    <row r="748" spans="1:8" ht="38.25" x14ac:dyDescent="0.2">
      <c r="A748" s="76" t="s">
        <v>17601</v>
      </c>
      <c r="B748" s="76" t="s">
        <v>4035</v>
      </c>
      <c r="C748" s="76" t="s">
        <v>4036</v>
      </c>
      <c r="D748" s="76"/>
      <c r="E748" s="76"/>
      <c r="F748" s="76"/>
      <c r="G748" s="76"/>
      <c r="H748" s="75" t="s">
        <v>17602</v>
      </c>
    </row>
    <row r="749" spans="1:8" ht="63.75" x14ac:dyDescent="0.2">
      <c r="A749" s="74" t="s">
        <v>17603</v>
      </c>
      <c r="B749" s="74" t="s">
        <v>4040</v>
      </c>
      <c r="C749" s="74" t="s">
        <v>17604</v>
      </c>
      <c r="D749" s="74"/>
      <c r="E749" s="74"/>
      <c r="F749" s="74"/>
      <c r="G749" s="74"/>
      <c r="H749" s="73" t="s">
        <v>17605</v>
      </c>
    </row>
    <row r="750" spans="1:8" ht="38.25" x14ac:dyDescent="0.2">
      <c r="A750" s="74" t="s">
        <v>17606</v>
      </c>
      <c r="B750" s="74" t="s">
        <v>4043</v>
      </c>
      <c r="C750" s="74" t="s">
        <v>17607</v>
      </c>
      <c r="D750" s="74"/>
      <c r="E750" s="74"/>
      <c r="F750" s="74"/>
      <c r="G750" s="74"/>
      <c r="H750" s="74" t="s">
        <v>17608</v>
      </c>
    </row>
    <row r="751" spans="1:8" ht="127.5" x14ac:dyDescent="0.2">
      <c r="A751" s="49" t="s">
        <v>17609</v>
      </c>
      <c r="B751" s="49" t="s">
        <v>4048</v>
      </c>
      <c r="C751" s="49" t="s">
        <v>17610</v>
      </c>
      <c r="D751" s="49"/>
      <c r="E751" s="49"/>
      <c r="F751" s="49"/>
      <c r="G751" s="49"/>
      <c r="H751" s="75" t="s">
        <v>17611</v>
      </c>
    </row>
    <row r="752" spans="1:8" ht="38.25" x14ac:dyDescent="0.2">
      <c r="A752" s="74" t="s">
        <v>17612</v>
      </c>
      <c r="B752" s="74" t="s">
        <v>4051</v>
      </c>
      <c r="C752" s="74" t="s">
        <v>17613</v>
      </c>
      <c r="D752" s="74"/>
      <c r="E752" s="74"/>
      <c r="F752" s="74"/>
      <c r="G752" s="74"/>
      <c r="H752" s="73" t="s">
        <v>17614</v>
      </c>
    </row>
    <row r="753" spans="1:8" ht="89.25" x14ac:dyDescent="0.2">
      <c r="A753" s="14" t="s">
        <v>17615</v>
      </c>
      <c r="B753" s="14" t="s">
        <v>4056</v>
      </c>
      <c r="C753" s="14" t="s">
        <v>17616</v>
      </c>
      <c r="D753" s="14"/>
      <c r="E753" s="14"/>
      <c r="F753" s="14"/>
      <c r="G753" s="14"/>
      <c r="H753" s="73" t="s">
        <v>17617</v>
      </c>
    </row>
    <row r="754" spans="1:8" ht="102" x14ac:dyDescent="0.2">
      <c r="A754" s="76" t="s">
        <v>17618</v>
      </c>
      <c r="B754" s="76" t="s">
        <v>4059</v>
      </c>
      <c r="C754" s="76" t="s">
        <v>4060</v>
      </c>
      <c r="D754" s="76"/>
      <c r="E754" s="76"/>
      <c r="F754" s="76"/>
      <c r="G754" s="76"/>
      <c r="H754" s="75" t="s">
        <v>17619</v>
      </c>
    </row>
    <row r="755" spans="1:8" ht="38.25" x14ac:dyDescent="0.2">
      <c r="A755" s="73" t="s">
        <v>17620</v>
      </c>
      <c r="B755" s="73" t="s">
        <v>4064</v>
      </c>
      <c r="C755" s="73" t="s">
        <v>17621</v>
      </c>
      <c r="D755" s="73"/>
      <c r="E755" s="73"/>
      <c r="F755" s="73"/>
      <c r="G755" s="73"/>
      <c r="H755" s="73" t="s">
        <v>17622</v>
      </c>
    </row>
    <row r="756" spans="1:8" ht="38.25" x14ac:dyDescent="0.2">
      <c r="A756" s="73" t="s">
        <v>17623</v>
      </c>
      <c r="B756" s="73" t="s">
        <v>4067</v>
      </c>
      <c r="C756" s="73" t="s">
        <v>4068</v>
      </c>
      <c r="D756" s="73"/>
      <c r="E756" s="73"/>
      <c r="F756" s="73"/>
      <c r="G756" s="73"/>
      <c r="H756" s="74" t="s">
        <v>17624</v>
      </c>
    </row>
    <row r="757" spans="1:8" ht="51" x14ac:dyDescent="0.2">
      <c r="A757" s="75" t="s">
        <v>17625</v>
      </c>
      <c r="B757" s="75" t="s">
        <v>4072</v>
      </c>
      <c r="C757" s="75" t="s">
        <v>17626</v>
      </c>
      <c r="D757" s="75"/>
      <c r="E757" s="75"/>
      <c r="F757" s="75"/>
      <c r="G757" s="75"/>
      <c r="H757" s="76" t="s">
        <v>17627</v>
      </c>
    </row>
    <row r="758" spans="1:8" ht="25.5" x14ac:dyDescent="0.2">
      <c r="A758" s="74" t="s">
        <v>17628</v>
      </c>
      <c r="B758" s="74" t="s">
        <v>4075</v>
      </c>
      <c r="C758" s="74" t="s">
        <v>17629</v>
      </c>
      <c r="D758" s="74"/>
      <c r="E758" s="74"/>
      <c r="F758" s="74"/>
      <c r="G758" s="74"/>
      <c r="H758" s="74" t="s">
        <v>17630</v>
      </c>
    </row>
    <row r="759" spans="1:8" ht="25.5" x14ac:dyDescent="0.2">
      <c r="A759" s="74" t="s">
        <v>17631</v>
      </c>
      <c r="B759" s="74" t="s">
        <v>17632</v>
      </c>
      <c r="C759" s="74"/>
      <c r="D759" s="74"/>
      <c r="E759" s="74"/>
      <c r="F759" s="74"/>
      <c r="G759" s="74"/>
      <c r="H759" s="73" t="s">
        <v>17633</v>
      </c>
    </row>
    <row r="760" spans="1:8" ht="25.5" x14ac:dyDescent="0.2">
      <c r="A760" s="75" t="s">
        <v>17634</v>
      </c>
      <c r="B760" s="75" t="s">
        <v>17635</v>
      </c>
      <c r="C760" s="75"/>
      <c r="D760" s="75"/>
      <c r="E760" s="75"/>
      <c r="F760" s="75"/>
      <c r="G760" s="75"/>
      <c r="H760" s="76" t="s">
        <v>17636</v>
      </c>
    </row>
    <row r="761" spans="1:8" ht="51" x14ac:dyDescent="0.2">
      <c r="A761" s="73" t="s">
        <v>17637</v>
      </c>
      <c r="B761" s="73" t="s">
        <v>4086</v>
      </c>
      <c r="C761" s="73" t="s">
        <v>4087</v>
      </c>
      <c r="D761" s="73"/>
      <c r="E761" s="73"/>
      <c r="F761" s="73"/>
      <c r="G761" s="73"/>
      <c r="H761" s="73" t="s">
        <v>17638</v>
      </c>
    </row>
    <row r="762" spans="1:8" ht="51" x14ac:dyDescent="0.2">
      <c r="A762" s="73" t="s">
        <v>17639</v>
      </c>
      <c r="B762" s="73" t="s">
        <v>4089</v>
      </c>
      <c r="C762" s="73" t="s">
        <v>4090</v>
      </c>
      <c r="D762" s="73"/>
      <c r="E762" s="73"/>
      <c r="F762" s="73"/>
      <c r="G762" s="73"/>
      <c r="H762" s="73" t="s">
        <v>17640</v>
      </c>
    </row>
    <row r="763" spans="1:8" ht="38.25" x14ac:dyDescent="0.2">
      <c r="A763" s="76" t="s">
        <v>17641</v>
      </c>
      <c r="B763" s="76" t="s">
        <v>4094</v>
      </c>
      <c r="C763" s="76" t="s">
        <v>4095</v>
      </c>
      <c r="D763" s="76"/>
      <c r="E763" s="76"/>
      <c r="F763" s="76"/>
      <c r="G763" s="76"/>
      <c r="H763" s="75" t="s">
        <v>17642</v>
      </c>
    </row>
    <row r="764" spans="1:8" ht="25.5" x14ac:dyDescent="0.2">
      <c r="A764" s="73" t="s">
        <v>17643</v>
      </c>
      <c r="B764" s="73" t="s">
        <v>4097</v>
      </c>
      <c r="C764" s="73" t="s">
        <v>4098</v>
      </c>
      <c r="D764" s="73"/>
      <c r="E764" s="73"/>
      <c r="F764" s="73"/>
      <c r="G764" s="73"/>
      <c r="H764" s="73" t="s">
        <v>17644</v>
      </c>
    </row>
    <row r="765" spans="1:8" ht="38.25" x14ac:dyDescent="0.2">
      <c r="A765" s="73" t="s">
        <v>17645</v>
      </c>
      <c r="B765" s="73" t="s">
        <v>4102</v>
      </c>
      <c r="C765" s="73" t="s">
        <v>4103</v>
      </c>
      <c r="D765" s="73"/>
      <c r="E765" s="73"/>
      <c r="F765" s="73"/>
      <c r="G765" s="73"/>
      <c r="H765" s="74" t="s">
        <v>17646</v>
      </c>
    </row>
    <row r="766" spans="1:8" ht="51" x14ac:dyDescent="0.2">
      <c r="A766" s="76" t="s">
        <v>17647</v>
      </c>
      <c r="B766" s="76" t="s">
        <v>4105</v>
      </c>
      <c r="C766" s="76" t="s">
        <v>4106</v>
      </c>
      <c r="D766" s="76"/>
      <c r="E766" s="76"/>
      <c r="F766" s="76"/>
      <c r="G766" s="76"/>
      <c r="H766" s="75" t="s">
        <v>17648</v>
      </c>
    </row>
    <row r="767" spans="1:8" ht="25.5" x14ac:dyDescent="0.2">
      <c r="A767" s="73" t="s">
        <v>17649</v>
      </c>
      <c r="B767" s="73" t="s">
        <v>4110</v>
      </c>
      <c r="C767" s="73" t="s">
        <v>4111</v>
      </c>
      <c r="D767" s="73"/>
      <c r="E767" s="73"/>
      <c r="F767" s="73"/>
      <c r="G767" s="73"/>
      <c r="H767" s="73" t="s">
        <v>17650</v>
      </c>
    </row>
    <row r="768" spans="1:8" ht="38.25" x14ac:dyDescent="0.2">
      <c r="A768" s="73" t="s">
        <v>17651</v>
      </c>
      <c r="B768" s="73" t="s">
        <v>4113</v>
      </c>
      <c r="C768" s="73" t="s">
        <v>4114</v>
      </c>
      <c r="D768" s="73"/>
      <c r="E768" s="73"/>
      <c r="F768" s="73"/>
      <c r="G768" s="73"/>
      <c r="H768" s="73" t="s">
        <v>17652</v>
      </c>
    </row>
    <row r="769" spans="1:8" ht="51" x14ac:dyDescent="0.2">
      <c r="A769" s="76" t="s">
        <v>17653</v>
      </c>
      <c r="B769" s="76" t="s">
        <v>4118</v>
      </c>
      <c r="C769" s="76" t="s">
        <v>17654</v>
      </c>
      <c r="D769" s="76"/>
      <c r="E769" s="76"/>
      <c r="F769" s="76"/>
      <c r="G769" s="76"/>
      <c r="H769" s="76" t="s">
        <v>17655</v>
      </c>
    </row>
    <row r="770" spans="1:8" ht="25.5" x14ac:dyDescent="0.2">
      <c r="A770" s="73" t="s">
        <v>17656</v>
      </c>
      <c r="B770" s="73" t="s">
        <v>4121</v>
      </c>
      <c r="C770" s="73" t="s">
        <v>17657</v>
      </c>
      <c r="D770" s="73"/>
      <c r="E770" s="73"/>
      <c r="F770" s="73"/>
      <c r="G770" s="73"/>
      <c r="H770" s="73" t="s">
        <v>17658</v>
      </c>
    </row>
    <row r="771" spans="1:8" ht="51" x14ac:dyDescent="0.2">
      <c r="A771" s="73" t="s">
        <v>17659</v>
      </c>
      <c r="B771" s="73" t="s">
        <v>4126</v>
      </c>
      <c r="C771" s="73" t="s">
        <v>17660</v>
      </c>
      <c r="D771" s="73"/>
      <c r="E771" s="73"/>
      <c r="F771" s="73"/>
      <c r="G771" s="73"/>
      <c r="H771" s="73" t="s">
        <v>17661</v>
      </c>
    </row>
    <row r="772" spans="1:8" ht="25.5" x14ac:dyDescent="0.2">
      <c r="A772" s="76" t="s">
        <v>17662</v>
      </c>
      <c r="B772" s="76" t="s">
        <v>4129</v>
      </c>
      <c r="C772" s="76" t="s">
        <v>17663</v>
      </c>
      <c r="D772" s="76"/>
      <c r="E772" s="76"/>
      <c r="F772" s="76"/>
      <c r="G772" s="76"/>
      <c r="H772" s="76" t="s">
        <v>17664</v>
      </c>
    </row>
    <row r="773" spans="1:8" ht="38.25" x14ac:dyDescent="0.2">
      <c r="A773" s="74" t="s">
        <v>17665</v>
      </c>
      <c r="B773" s="74" t="s">
        <v>4134</v>
      </c>
      <c r="C773" s="74" t="s">
        <v>17666</v>
      </c>
      <c r="D773" s="74"/>
      <c r="E773" s="74"/>
      <c r="F773" s="74"/>
      <c r="G773" s="74"/>
      <c r="H773" s="73" t="s">
        <v>17667</v>
      </c>
    </row>
    <row r="774" spans="1:8" ht="51" x14ac:dyDescent="0.2">
      <c r="A774" s="73" t="s">
        <v>17668</v>
      </c>
      <c r="B774" s="73" t="s">
        <v>4137</v>
      </c>
      <c r="C774" s="73" t="s">
        <v>4138</v>
      </c>
      <c r="D774" s="73"/>
      <c r="E774" s="73"/>
      <c r="F774" s="73"/>
      <c r="G774" s="73"/>
      <c r="H774" s="73" t="s">
        <v>17669</v>
      </c>
    </row>
    <row r="775" spans="1:8" ht="25.5" x14ac:dyDescent="0.2">
      <c r="A775" s="76" t="s">
        <v>17670</v>
      </c>
      <c r="B775" s="76" t="s">
        <v>4142</v>
      </c>
      <c r="C775" s="76" t="s">
        <v>4143</v>
      </c>
      <c r="D775" s="76"/>
      <c r="E775" s="76"/>
      <c r="F775" s="76"/>
      <c r="G775" s="76"/>
      <c r="H775" s="76" t="s">
        <v>17671</v>
      </c>
    </row>
    <row r="776" spans="1:8" ht="63.75" x14ac:dyDescent="0.2">
      <c r="A776" s="74" t="s">
        <v>17672</v>
      </c>
      <c r="B776" s="74" t="s">
        <v>4147</v>
      </c>
      <c r="C776" s="74" t="s">
        <v>17673</v>
      </c>
      <c r="D776" s="74"/>
      <c r="E776" s="74"/>
      <c r="F776" s="74"/>
      <c r="G776" s="74"/>
      <c r="H776" s="74" t="s">
        <v>17674</v>
      </c>
    </row>
    <row r="777" spans="1:8" ht="25.5" x14ac:dyDescent="0.2">
      <c r="A777" s="73" t="s">
        <v>17675</v>
      </c>
      <c r="B777" s="73" t="s">
        <v>4152</v>
      </c>
      <c r="C777" s="73" t="s">
        <v>4153</v>
      </c>
      <c r="D777" s="73"/>
      <c r="E777" s="73"/>
      <c r="F777" s="73"/>
      <c r="G777" s="73"/>
      <c r="H777" s="73" t="s">
        <v>17676</v>
      </c>
    </row>
    <row r="778" spans="1:8" ht="25.5" x14ac:dyDescent="0.2">
      <c r="A778" s="76" t="s">
        <v>17677</v>
      </c>
      <c r="B778" s="76" t="s">
        <v>4157</v>
      </c>
      <c r="C778" s="76" t="s">
        <v>4158</v>
      </c>
      <c r="D778" s="76"/>
      <c r="E778" s="76"/>
      <c r="F778" s="76"/>
      <c r="G778" s="76"/>
      <c r="H778" s="76" t="s">
        <v>17678</v>
      </c>
    </row>
    <row r="779" spans="1:8" ht="25.5" x14ac:dyDescent="0.2">
      <c r="A779" s="73" t="s">
        <v>17679</v>
      </c>
      <c r="B779" s="73" t="s">
        <v>4161</v>
      </c>
      <c r="C779" s="73" t="s">
        <v>4162</v>
      </c>
      <c r="D779" s="73"/>
      <c r="E779" s="73"/>
      <c r="F779" s="73"/>
      <c r="G779" s="73"/>
      <c r="H779" s="73" t="s">
        <v>17680</v>
      </c>
    </row>
    <row r="780" spans="1:8" ht="25.5" x14ac:dyDescent="0.2">
      <c r="A780" s="73" t="s">
        <v>17681</v>
      </c>
      <c r="B780" s="73" t="s">
        <v>4166</v>
      </c>
      <c r="C780" s="73" t="s">
        <v>4167</v>
      </c>
      <c r="D780" s="73"/>
      <c r="E780" s="73"/>
      <c r="F780" s="73"/>
      <c r="G780" s="73"/>
      <c r="H780" s="73" t="s">
        <v>17682</v>
      </c>
    </row>
    <row r="781" spans="1:8" ht="51" x14ac:dyDescent="0.2">
      <c r="A781" s="76" t="s">
        <v>17683</v>
      </c>
      <c r="B781" s="76" t="s">
        <v>4171</v>
      </c>
      <c r="C781" s="76" t="s">
        <v>4172</v>
      </c>
      <c r="D781" s="76"/>
      <c r="E781" s="76"/>
      <c r="F781" s="76"/>
      <c r="G781" s="76"/>
      <c r="H781" s="75" t="s">
        <v>17684</v>
      </c>
    </row>
    <row r="782" spans="1:8" ht="76.5" x14ac:dyDescent="0.2">
      <c r="A782" s="74" t="s">
        <v>17685</v>
      </c>
      <c r="B782" s="74" t="s">
        <v>4176</v>
      </c>
      <c r="C782" s="74" t="s">
        <v>17686</v>
      </c>
      <c r="D782" s="74"/>
      <c r="E782" s="74"/>
      <c r="F782" s="74"/>
      <c r="G782" s="74"/>
      <c r="H782" s="74" t="s">
        <v>17687</v>
      </c>
    </row>
    <row r="783" spans="1:8" ht="51" x14ac:dyDescent="0.2">
      <c r="A783" s="74" t="s">
        <v>17688</v>
      </c>
      <c r="B783" s="74" t="s">
        <v>17689</v>
      </c>
      <c r="C783" s="74"/>
      <c r="D783" s="74"/>
      <c r="E783" s="74"/>
      <c r="F783" s="74"/>
      <c r="G783" s="74"/>
      <c r="H783" s="73" t="s">
        <v>17690</v>
      </c>
    </row>
    <row r="784" spans="1:8" ht="25.5" x14ac:dyDescent="0.2">
      <c r="A784" s="76" t="s">
        <v>17691</v>
      </c>
      <c r="B784" s="76" t="s">
        <v>4187</v>
      </c>
      <c r="C784" s="76" t="s">
        <v>17692</v>
      </c>
      <c r="D784" s="76"/>
      <c r="E784" s="76"/>
      <c r="F784" s="76"/>
      <c r="G784" s="76"/>
      <c r="H784" s="76" t="s">
        <v>17693</v>
      </c>
    </row>
    <row r="785" spans="1:8" ht="25.5" x14ac:dyDescent="0.2">
      <c r="A785" s="73" t="s">
        <v>17694</v>
      </c>
      <c r="B785" s="73" t="s">
        <v>4190</v>
      </c>
      <c r="C785" s="73" t="s">
        <v>4191</v>
      </c>
      <c r="D785" s="73"/>
      <c r="E785" s="73"/>
      <c r="F785" s="73"/>
      <c r="G785" s="73"/>
      <c r="H785" s="73" t="s">
        <v>17695</v>
      </c>
    </row>
    <row r="786" spans="1:8" ht="51" x14ac:dyDescent="0.2">
      <c r="A786" s="74" t="s">
        <v>17696</v>
      </c>
      <c r="B786" s="74" t="s">
        <v>4195</v>
      </c>
      <c r="C786" s="74" t="s">
        <v>17697</v>
      </c>
      <c r="D786" s="74"/>
      <c r="E786" s="74"/>
      <c r="F786" s="74"/>
      <c r="G786" s="74"/>
      <c r="H786" s="73" t="s">
        <v>17698</v>
      </c>
    </row>
    <row r="787" spans="1:8" ht="25.5" x14ac:dyDescent="0.2">
      <c r="A787" s="75" t="s">
        <v>17699</v>
      </c>
      <c r="B787" s="75" t="s">
        <v>4198</v>
      </c>
      <c r="C787" s="75" t="s">
        <v>17700</v>
      </c>
      <c r="D787" s="75"/>
      <c r="E787" s="75"/>
      <c r="F787" s="75"/>
      <c r="G787" s="75"/>
      <c r="H787" s="76" t="s">
        <v>17701</v>
      </c>
    </row>
    <row r="788" spans="1:8" ht="38.25" x14ac:dyDescent="0.2">
      <c r="A788" s="74" t="s">
        <v>17702</v>
      </c>
      <c r="B788" s="74" t="s">
        <v>4203</v>
      </c>
      <c r="C788" s="74" t="s">
        <v>17703</v>
      </c>
      <c r="D788" s="74"/>
      <c r="E788" s="74"/>
      <c r="F788" s="74"/>
      <c r="G788" s="74"/>
      <c r="H788" s="74" t="s">
        <v>17704</v>
      </c>
    </row>
    <row r="789" spans="1:8" ht="38.25" x14ac:dyDescent="0.2">
      <c r="A789" s="73" t="s">
        <v>17705</v>
      </c>
      <c r="B789" s="73" t="s">
        <v>4206</v>
      </c>
      <c r="C789" s="73" t="s">
        <v>4207</v>
      </c>
      <c r="D789" s="73"/>
      <c r="E789" s="73"/>
      <c r="F789" s="73"/>
      <c r="G789" s="73"/>
      <c r="H789" s="73" t="s">
        <v>17706</v>
      </c>
    </row>
    <row r="790" spans="1:8" ht="38.25" x14ac:dyDescent="0.2">
      <c r="A790" s="75" t="s">
        <v>17707</v>
      </c>
      <c r="B790" s="75" t="s">
        <v>4211</v>
      </c>
      <c r="C790" s="75" t="s">
        <v>17708</v>
      </c>
      <c r="D790" s="75"/>
      <c r="E790" s="75"/>
      <c r="F790" s="75"/>
      <c r="G790" s="75"/>
      <c r="H790" s="76" t="s">
        <v>17709</v>
      </c>
    </row>
    <row r="791" spans="1:8" ht="38.25" x14ac:dyDescent="0.2">
      <c r="A791" s="74" t="s">
        <v>17710</v>
      </c>
      <c r="B791" s="74" t="s">
        <v>4214</v>
      </c>
      <c r="C791" s="74" t="s">
        <v>17711</v>
      </c>
      <c r="D791" s="74"/>
      <c r="E791" s="74"/>
      <c r="F791" s="74"/>
      <c r="G791" s="74"/>
      <c r="H791" s="73" t="s">
        <v>17712</v>
      </c>
    </row>
    <row r="792" spans="1:8" ht="127.5" x14ac:dyDescent="0.2">
      <c r="A792" s="22" t="s">
        <v>17713</v>
      </c>
      <c r="B792" s="22" t="s">
        <v>17714</v>
      </c>
      <c r="C792" s="22"/>
      <c r="D792" s="22"/>
      <c r="E792" s="22"/>
      <c r="F792" s="22"/>
      <c r="G792" s="22"/>
      <c r="H792" s="74" t="s">
        <v>17715</v>
      </c>
    </row>
    <row r="793" spans="1:8" ht="38.25" x14ac:dyDescent="0.2">
      <c r="A793" s="75" t="s">
        <v>17716</v>
      </c>
      <c r="B793" s="75" t="s">
        <v>17717</v>
      </c>
      <c r="C793" s="75"/>
      <c r="D793" s="75"/>
      <c r="E793" s="75"/>
      <c r="F793" s="75"/>
      <c r="G793" s="75"/>
      <c r="H793" s="76" t="s">
        <v>17718</v>
      </c>
    </row>
    <row r="794" spans="1:8" ht="38.25" x14ac:dyDescent="0.2">
      <c r="A794" s="74" t="s">
        <v>17719</v>
      </c>
      <c r="B794" s="74" t="s">
        <v>4225</v>
      </c>
      <c r="C794" s="74" t="s">
        <v>17720</v>
      </c>
      <c r="D794" s="74"/>
      <c r="E794" s="74"/>
      <c r="F794" s="74"/>
      <c r="G794" s="74"/>
      <c r="H794" s="73" t="s">
        <v>17721</v>
      </c>
    </row>
    <row r="795" spans="1:8" ht="38.25" x14ac:dyDescent="0.2">
      <c r="A795" s="74" t="s">
        <v>17722</v>
      </c>
      <c r="B795" s="74" t="s">
        <v>4228</v>
      </c>
      <c r="C795" s="74" t="s">
        <v>17723</v>
      </c>
      <c r="D795" s="74"/>
      <c r="E795" s="74"/>
      <c r="F795" s="74"/>
      <c r="G795" s="74"/>
      <c r="H795" s="74" t="s">
        <v>17724</v>
      </c>
    </row>
    <row r="796" spans="1:8" ht="38.25" x14ac:dyDescent="0.2">
      <c r="A796" s="75" t="s">
        <v>17725</v>
      </c>
      <c r="B796" s="75" t="s">
        <v>4231</v>
      </c>
      <c r="C796" s="75" t="s">
        <v>17726</v>
      </c>
      <c r="D796" s="75"/>
      <c r="E796" s="75"/>
      <c r="F796" s="75"/>
      <c r="G796" s="75"/>
      <c r="H796" s="76" t="s">
        <v>17727</v>
      </c>
    </row>
    <row r="797" spans="1:8" ht="25.5" x14ac:dyDescent="0.2">
      <c r="A797" s="14" t="s">
        <v>17728</v>
      </c>
      <c r="B797" s="14" t="s">
        <v>4236</v>
      </c>
      <c r="C797" s="14" t="s">
        <v>17729</v>
      </c>
      <c r="D797" s="14"/>
      <c r="E797" s="14"/>
      <c r="F797" s="14"/>
      <c r="G797" s="14"/>
      <c r="H797" s="73" t="s">
        <v>17730</v>
      </c>
    </row>
    <row r="798" spans="1:8" ht="25.5" x14ac:dyDescent="0.2">
      <c r="A798" s="14" t="s">
        <v>17731</v>
      </c>
      <c r="B798" s="14" t="s">
        <v>4243</v>
      </c>
      <c r="C798" s="14" t="s">
        <v>4244</v>
      </c>
      <c r="D798" s="14"/>
      <c r="E798" s="14"/>
      <c r="F798" s="14"/>
      <c r="G798" s="14"/>
      <c r="H798" s="73" t="s">
        <v>17732</v>
      </c>
    </row>
    <row r="799" spans="1:8" ht="25.5" x14ac:dyDescent="0.2">
      <c r="A799" s="76" t="s">
        <v>17733</v>
      </c>
      <c r="B799" s="76" t="s">
        <v>4246</v>
      </c>
      <c r="C799" s="76" t="s">
        <v>4247</v>
      </c>
      <c r="D799" s="76"/>
      <c r="E799" s="76"/>
      <c r="F799" s="76"/>
      <c r="G799" s="76"/>
      <c r="H799" s="76" t="s">
        <v>17734</v>
      </c>
    </row>
    <row r="800" spans="1:8" ht="38.25" x14ac:dyDescent="0.2">
      <c r="A800" s="73" t="s">
        <v>17735</v>
      </c>
      <c r="B800" s="73" t="s">
        <v>4249</v>
      </c>
      <c r="C800" s="73" t="s">
        <v>4250</v>
      </c>
      <c r="D800" s="73"/>
      <c r="E800" s="73"/>
      <c r="F800" s="73"/>
      <c r="G800" s="73"/>
      <c r="H800" s="74" t="s">
        <v>17736</v>
      </c>
    </row>
    <row r="801" spans="1:8" ht="63.75" x14ac:dyDescent="0.2">
      <c r="A801" s="14" t="s">
        <v>17737</v>
      </c>
      <c r="B801" s="14" t="s">
        <v>4252</v>
      </c>
      <c r="C801" s="14" t="s">
        <v>4253</v>
      </c>
      <c r="D801" s="14"/>
      <c r="E801" s="14"/>
      <c r="F801" s="14"/>
      <c r="G801" s="14"/>
      <c r="H801" s="74" t="s">
        <v>17738</v>
      </c>
    </row>
    <row r="802" spans="1:8" ht="38.25" x14ac:dyDescent="0.2">
      <c r="A802" s="75" t="s">
        <v>17739</v>
      </c>
      <c r="B802" s="75" t="s">
        <v>4255</v>
      </c>
      <c r="C802" s="75" t="s">
        <v>17740</v>
      </c>
      <c r="D802" s="75"/>
      <c r="E802" s="75"/>
      <c r="F802" s="75"/>
      <c r="G802" s="75"/>
      <c r="H802" s="76" t="s">
        <v>17741</v>
      </c>
    </row>
    <row r="803" spans="1:8" ht="63.75" x14ac:dyDescent="0.2">
      <c r="A803" s="74" t="s">
        <v>17742</v>
      </c>
      <c r="B803" s="74" t="s">
        <v>4258</v>
      </c>
      <c r="C803" s="74" t="s">
        <v>17743</v>
      </c>
      <c r="D803" s="74"/>
      <c r="E803" s="74"/>
      <c r="F803" s="74"/>
      <c r="G803" s="74"/>
      <c r="H803" s="74" t="s">
        <v>17744</v>
      </c>
    </row>
    <row r="804" spans="1:8" ht="25.5" x14ac:dyDescent="0.2">
      <c r="A804" s="74" t="s">
        <v>17745</v>
      </c>
      <c r="B804" s="74" t="s">
        <v>4263</v>
      </c>
      <c r="C804" s="74" t="s">
        <v>17746</v>
      </c>
      <c r="D804" s="74"/>
      <c r="E804" s="74"/>
      <c r="F804" s="74"/>
      <c r="G804" s="74"/>
      <c r="H804" s="73" t="s">
        <v>17747</v>
      </c>
    </row>
    <row r="805" spans="1:8" ht="38.25" x14ac:dyDescent="0.2">
      <c r="A805" s="76" t="s">
        <v>17748</v>
      </c>
      <c r="B805" s="76" t="s">
        <v>4266</v>
      </c>
      <c r="C805" s="76" t="s">
        <v>4267</v>
      </c>
      <c r="D805" s="76"/>
      <c r="E805" s="76"/>
      <c r="F805" s="76"/>
      <c r="G805" s="76"/>
      <c r="H805" s="75" t="s">
        <v>17749</v>
      </c>
    </row>
    <row r="806" spans="1:8" ht="102" x14ac:dyDescent="0.2">
      <c r="A806" s="74" t="s">
        <v>17750</v>
      </c>
      <c r="B806" s="74" t="s">
        <v>4273</v>
      </c>
      <c r="C806" s="74" t="s">
        <v>17751</v>
      </c>
      <c r="D806" s="74"/>
      <c r="E806" s="74"/>
      <c r="F806" s="74"/>
      <c r="G806" s="74"/>
      <c r="H806" s="74" t="s">
        <v>17752</v>
      </c>
    </row>
    <row r="807" spans="1:8" ht="127.5" x14ac:dyDescent="0.2">
      <c r="A807" s="49" t="s">
        <v>17753</v>
      </c>
      <c r="B807" s="49" t="s">
        <v>4276</v>
      </c>
      <c r="C807" s="49" t="s">
        <v>17754</v>
      </c>
      <c r="D807" s="49"/>
      <c r="E807" s="49"/>
      <c r="F807" s="49"/>
      <c r="G807" s="49"/>
      <c r="H807" s="75" t="s">
        <v>17755</v>
      </c>
    </row>
    <row r="808" spans="1:8" ht="102" x14ac:dyDescent="0.2">
      <c r="A808" s="22" t="s">
        <v>17756</v>
      </c>
      <c r="B808" s="22" t="s">
        <v>4279</v>
      </c>
      <c r="C808" s="22" t="s">
        <v>17757</v>
      </c>
      <c r="D808" s="22"/>
      <c r="E808" s="22"/>
      <c r="F808" s="22"/>
      <c r="G808" s="22"/>
      <c r="H808" s="74" t="s">
        <v>17758</v>
      </c>
    </row>
    <row r="809" spans="1:8" ht="114.75" x14ac:dyDescent="0.2">
      <c r="A809" s="49" t="s">
        <v>17759</v>
      </c>
      <c r="B809" s="49" t="s">
        <v>4282</v>
      </c>
      <c r="C809" s="49" t="s">
        <v>17760</v>
      </c>
      <c r="D809" s="49"/>
      <c r="E809" s="49"/>
      <c r="F809" s="49"/>
      <c r="G809" s="49"/>
      <c r="H809" s="75" t="s">
        <v>17761</v>
      </c>
    </row>
    <row r="810" spans="1:8" ht="165.75" x14ac:dyDescent="0.2">
      <c r="A810" s="22" t="s">
        <v>17762</v>
      </c>
      <c r="B810" s="22" t="s">
        <v>17763</v>
      </c>
      <c r="C810" s="22"/>
      <c r="D810" s="22"/>
      <c r="E810" s="22"/>
      <c r="F810" s="22"/>
      <c r="G810" s="22"/>
      <c r="H810" s="74" t="s">
        <v>17764</v>
      </c>
    </row>
    <row r="811" spans="1:8" ht="76.5" x14ac:dyDescent="0.2">
      <c r="A811" s="46" t="s">
        <v>17765</v>
      </c>
      <c r="B811" s="46" t="s">
        <v>4287</v>
      </c>
      <c r="C811" s="46" t="s">
        <v>4288</v>
      </c>
      <c r="D811" s="46"/>
      <c r="E811" s="46"/>
      <c r="F811" s="46"/>
      <c r="G811" s="46"/>
      <c r="H811" s="75" t="s">
        <v>17766</v>
      </c>
    </row>
    <row r="812" spans="1:8" ht="89.25" x14ac:dyDescent="0.2">
      <c r="A812" s="22" t="s">
        <v>17767</v>
      </c>
      <c r="B812" s="22" t="s">
        <v>4292</v>
      </c>
      <c r="C812" s="22" t="s">
        <v>17768</v>
      </c>
      <c r="D812" s="22"/>
      <c r="E812" s="22"/>
      <c r="F812" s="22"/>
      <c r="G812" s="22"/>
      <c r="H812" s="74" t="s">
        <v>17769</v>
      </c>
    </row>
    <row r="813" spans="1:8" ht="114.75" x14ac:dyDescent="0.2">
      <c r="A813" s="49" t="s">
        <v>17770</v>
      </c>
      <c r="B813" s="49" t="s">
        <v>4295</v>
      </c>
      <c r="C813" s="49" t="s">
        <v>17771</v>
      </c>
      <c r="D813" s="49"/>
      <c r="E813" s="49"/>
      <c r="F813" s="49"/>
      <c r="G813" s="49"/>
      <c r="H813" s="75" t="s">
        <v>17772</v>
      </c>
    </row>
    <row r="814" spans="1:8" ht="89.25" x14ac:dyDescent="0.2">
      <c r="A814" s="14" t="s">
        <v>17773</v>
      </c>
      <c r="B814" s="14" t="s">
        <v>4300</v>
      </c>
      <c r="C814" s="14" t="s">
        <v>4301</v>
      </c>
      <c r="D814" s="14"/>
      <c r="E814" s="14"/>
      <c r="F814" s="14"/>
      <c r="G814" s="14"/>
      <c r="H814" s="74" t="s">
        <v>17774</v>
      </c>
    </row>
    <row r="815" spans="1:8" ht="89.25" x14ac:dyDescent="0.2">
      <c r="A815" s="46" t="s">
        <v>17775</v>
      </c>
      <c r="B815" s="46" t="s">
        <v>4303</v>
      </c>
      <c r="C815" s="46" t="s">
        <v>4304</v>
      </c>
      <c r="D815" s="46"/>
      <c r="E815" s="46"/>
      <c r="F815" s="46"/>
      <c r="G815" s="46"/>
      <c r="H815" s="75" t="s">
        <v>17776</v>
      </c>
    </row>
    <row r="816" spans="1:8" ht="114.75" x14ac:dyDescent="0.2">
      <c r="A816" s="14" t="s">
        <v>17777</v>
      </c>
      <c r="B816" s="14" t="s">
        <v>4306</v>
      </c>
      <c r="C816" s="14" t="s">
        <v>4307</v>
      </c>
      <c r="D816" s="14"/>
      <c r="E816" s="14"/>
      <c r="F816" s="14"/>
      <c r="G816" s="14"/>
      <c r="H816" s="74" t="s">
        <v>17778</v>
      </c>
    </row>
    <row r="817" spans="1:8" ht="76.5" x14ac:dyDescent="0.2">
      <c r="A817" s="46" t="s">
        <v>17779</v>
      </c>
      <c r="B817" s="46" t="s">
        <v>4309</v>
      </c>
      <c r="C817" s="46" t="s">
        <v>4310</v>
      </c>
      <c r="D817" s="46"/>
      <c r="E817" s="46"/>
      <c r="F817" s="46"/>
      <c r="G817" s="46"/>
      <c r="H817" s="75" t="s">
        <v>17780</v>
      </c>
    </row>
    <row r="818" spans="1:8" ht="89.25" x14ac:dyDescent="0.2">
      <c r="A818" s="14" t="s">
        <v>17781</v>
      </c>
      <c r="B818" s="14" t="s">
        <v>4312</v>
      </c>
      <c r="C818" s="14" t="s">
        <v>4313</v>
      </c>
      <c r="D818" s="14"/>
      <c r="E818" s="14"/>
      <c r="F818" s="14"/>
      <c r="G818" s="14"/>
      <c r="H818" s="74" t="s">
        <v>17782</v>
      </c>
    </row>
    <row r="819" spans="1:8" ht="127.5" x14ac:dyDescent="0.2">
      <c r="A819" s="46" t="s">
        <v>17783</v>
      </c>
      <c r="B819" s="46" t="s">
        <v>4315</v>
      </c>
      <c r="C819" s="46" t="s">
        <v>4316</v>
      </c>
      <c r="D819" s="46"/>
      <c r="E819" s="46"/>
      <c r="F819" s="46"/>
      <c r="G819" s="46"/>
      <c r="H819" s="75" t="s">
        <v>17784</v>
      </c>
    </row>
    <row r="820" spans="1:8" ht="114.75" x14ac:dyDescent="0.2">
      <c r="A820" s="14" t="s">
        <v>17785</v>
      </c>
      <c r="B820" s="14" t="s">
        <v>4318</v>
      </c>
      <c r="C820" s="14" t="s">
        <v>4319</v>
      </c>
      <c r="D820" s="14"/>
      <c r="E820" s="14"/>
      <c r="F820" s="14"/>
      <c r="G820" s="14"/>
      <c r="H820" s="74" t="s">
        <v>17786</v>
      </c>
    </row>
    <row r="821" spans="1:8" ht="89.25" x14ac:dyDescent="0.2">
      <c r="A821" s="46" t="s">
        <v>17787</v>
      </c>
      <c r="B821" s="46" t="s">
        <v>4321</v>
      </c>
      <c r="C821" s="46" t="s">
        <v>4322</v>
      </c>
      <c r="D821" s="46"/>
      <c r="E821" s="46"/>
      <c r="F821" s="46"/>
      <c r="G821" s="46"/>
      <c r="H821" s="75" t="s">
        <v>17788</v>
      </c>
    </row>
    <row r="822" spans="1:8" ht="102" x14ac:dyDescent="0.2">
      <c r="A822" s="14" t="s">
        <v>17789</v>
      </c>
      <c r="B822" s="14" t="s">
        <v>4324</v>
      </c>
      <c r="C822" s="14" t="s">
        <v>4325</v>
      </c>
      <c r="D822" s="14"/>
      <c r="E822" s="14"/>
      <c r="F822" s="14"/>
      <c r="G822" s="14"/>
      <c r="H822" s="74" t="s">
        <v>17790</v>
      </c>
    </row>
    <row r="823" spans="1:8" ht="89.25" x14ac:dyDescent="0.2">
      <c r="A823" s="49" t="s">
        <v>17791</v>
      </c>
      <c r="B823" s="49" t="s">
        <v>4329</v>
      </c>
      <c r="C823" s="49" t="s">
        <v>17792</v>
      </c>
      <c r="D823" s="49"/>
      <c r="E823" s="49"/>
      <c r="F823" s="49"/>
      <c r="G823" s="49"/>
      <c r="H823" s="75" t="s">
        <v>17793</v>
      </c>
    </row>
    <row r="824" spans="1:8" ht="38.25" x14ac:dyDescent="0.2">
      <c r="A824" s="74" t="s">
        <v>17794</v>
      </c>
      <c r="B824" s="74" t="s">
        <v>4332</v>
      </c>
      <c r="C824" s="74" t="s">
        <v>17795</v>
      </c>
      <c r="D824" s="74"/>
      <c r="E824" s="74"/>
      <c r="F824" s="74"/>
      <c r="G824" s="74"/>
      <c r="H824" s="74" t="s">
        <v>17796</v>
      </c>
    </row>
    <row r="825" spans="1:8" ht="89.25" x14ac:dyDescent="0.2">
      <c r="A825" s="22" t="s">
        <v>17797</v>
      </c>
      <c r="B825" s="22" t="s">
        <v>4337</v>
      </c>
      <c r="C825" s="22" t="s">
        <v>17798</v>
      </c>
      <c r="D825" s="22"/>
      <c r="E825" s="22"/>
      <c r="F825" s="22"/>
      <c r="G825" s="22"/>
      <c r="H825" s="74" t="s">
        <v>17799</v>
      </c>
    </row>
    <row r="826" spans="1:8" ht="76.5" x14ac:dyDescent="0.2">
      <c r="A826" s="49" t="s">
        <v>17800</v>
      </c>
      <c r="B826" s="49" t="s">
        <v>4340</v>
      </c>
      <c r="C826" s="49" t="s">
        <v>17801</v>
      </c>
      <c r="D826" s="49"/>
      <c r="E826" s="49"/>
      <c r="F826" s="49"/>
      <c r="G826" s="49"/>
      <c r="H826" s="75" t="s">
        <v>17802</v>
      </c>
    </row>
    <row r="827" spans="1:8" ht="76.5" x14ac:dyDescent="0.2">
      <c r="A827" s="22" t="s">
        <v>17803</v>
      </c>
      <c r="B827" s="22" t="s">
        <v>4343</v>
      </c>
      <c r="C827" s="22" t="s">
        <v>17804</v>
      </c>
      <c r="D827" s="22"/>
      <c r="E827" s="22"/>
      <c r="F827" s="22"/>
      <c r="G827" s="22"/>
      <c r="H827" s="74" t="s">
        <v>17805</v>
      </c>
    </row>
    <row r="828" spans="1:8" ht="127.5" x14ac:dyDescent="0.2">
      <c r="A828" s="49" t="s">
        <v>17806</v>
      </c>
      <c r="B828" s="49" t="s">
        <v>4348</v>
      </c>
      <c r="C828" s="49" t="s">
        <v>17807</v>
      </c>
      <c r="D828" s="49"/>
      <c r="E828" s="49"/>
      <c r="F828" s="49"/>
      <c r="G828" s="49"/>
      <c r="H828" s="75" t="s">
        <v>17808</v>
      </c>
    </row>
    <row r="829" spans="1:8" ht="153" x14ac:dyDescent="0.2">
      <c r="A829" s="49" t="s">
        <v>17809</v>
      </c>
      <c r="B829" s="49" t="s">
        <v>4351</v>
      </c>
      <c r="C829" s="49" t="s">
        <v>17810</v>
      </c>
      <c r="D829" s="49"/>
      <c r="E829" s="49"/>
      <c r="F829" s="49"/>
      <c r="G829" s="49"/>
      <c r="H829" s="75" t="s">
        <v>17811</v>
      </c>
    </row>
    <row r="830" spans="1:8" ht="114.75" x14ac:dyDescent="0.2">
      <c r="A830" s="14" t="s">
        <v>17812</v>
      </c>
      <c r="B830" s="14" t="s">
        <v>4354</v>
      </c>
      <c r="C830" s="14" t="s">
        <v>4355</v>
      </c>
      <c r="D830" s="14"/>
      <c r="E830" s="14"/>
      <c r="F830" s="14"/>
      <c r="G830" s="14"/>
      <c r="H830" s="74" t="s">
        <v>17813</v>
      </c>
    </row>
    <row r="831" spans="1:8" ht="127.5" x14ac:dyDescent="0.2">
      <c r="A831" s="46" t="s">
        <v>17814</v>
      </c>
      <c r="B831" s="46" t="s">
        <v>4357</v>
      </c>
      <c r="C831" s="46" t="s">
        <v>4358</v>
      </c>
      <c r="D831" s="46"/>
      <c r="E831" s="46"/>
      <c r="F831" s="46"/>
      <c r="G831" s="46"/>
      <c r="H831" s="75" t="s">
        <v>17815</v>
      </c>
    </row>
    <row r="832" spans="1:8" ht="127.5" x14ac:dyDescent="0.2">
      <c r="A832" s="14" t="s">
        <v>17816</v>
      </c>
      <c r="B832" s="14" t="s">
        <v>4360</v>
      </c>
      <c r="C832" s="14" t="s">
        <v>4361</v>
      </c>
      <c r="D832" s="14"/>
      <c r="E832" s="14"/>
      <c r="F832" s="14"/>
      <c r="G832" s="14"/>
      <c r="H832" s="74" t="s">
        <v>17817</v>
      </c>
    </row>
    <row r="833" spans="1:8" ht="89.25" x14ac:dyDescent="0.2">
      <c r="A833" s="46" t="s">
        <v>17818</v>
      </c>
      <c r="B833" s="46" t="s">
        <v>4363</v>
      </c>
      <c r="C833" s="46" t="s">
        <v>4364</v>
      </c>
      <c r="D833" s="46"/>
      <c r="E833" s="46"/>
      <c r="F833" s="46"/>
      <c r="G833" s="46"/>
      <c r="H833" s="76" t="s">
        <v>17819</v>
      </c>
    </row>
    <row r="834" spans="1:8" ht="76.5" x14ac:dyDescent="0.2">
      <c r="A834" s="14" t="s">
        <v>17820</v>
      </c>
      <c r="B834" s="14" t="s">
        <v>4366</v>
      </c>
      <c r="C834" s="14" t="s">
        <v>4367</v>
      </c>
      <c r="D834" s="14"/>
      <c r="E834" s="14"/>
      <c r="F834" s="14"/>
      <c r="G834" s="14"/>
      <c r="H834" s="73" t="s">
        <v>17821</v>
      </c>
    </row>
    <row r="835" spans="1:8" ht="76.5" x14ac:dyDescent="0.2">
      <c r="A835" s="14" t="s">
        <v>17822</v>
      </c>
      <c r="B835" s="14" t="s">
        <v>4369</v>
      </c>
      <c r="C835" s="14" t="s">
        <v>4370</v>
      </c>
      <c r="D835" s="14"/>
      <c r="E835" s="14"/>
      <c r="F835" s="14"/>
      <c r="G835" s="14"/>
      <c r="H835" s="73" t="s">
        <v>17823</v>
      </c>
    </row>
    <row r="836" spans="1:8" ht="51" x14ac:dyDescent="0.2">
      <c r="A836" s="75" t="s">
        <v>17824</v>
      </c>
      <c r="B836" s="75" t="s">
        <v>4376</v>
      </c>
      <c r="C836" s="75" t="s">
        <v>17825</v>
      </c>
      <c r="D836" s="75"/>
      <c r="E836" s="75"/>
      <c r="F836" s="75"/>
      <c r="G836" s="75"/>
      <c r="H836" s="75" t="s">
        <v>17826</v>
      </c>
    </row>
    <row r="837" spans="1:8" ht="38.25" x14ac:dyDescent="0.2">
      <c r="A837" s="14" t="s">
        <v>17827</v>
      </c>
      <c r="B837" s="14" t="s">
        <v>4379</v>
      </c>
      <c r="C837" s="14" t="s">
        <v>4380</v>
      </c>
      <c r="D837" s="14"/>
      <c r="E837" s="14"/>
      <c r="F837" s="14"/>
      <c r="G837" s="14"/>
      <c r="H837" s="73" t="s">
        <v>17828</v>
      </c>
    </row>
    <row r="838" spans="1:8" ht="38.25" x14ac:dyDescent="0.2">
      <c r="A838" s="75" t="s">
        <v>17829</v>
      </c>
      <c r="B838" s="75" t="s">
        <v>4382</v>
      </c>
      <c r="C838" s="75" t="s">
        <v>17830</v>
      </c>
      <c r="D838" s="75"/>
      <c r="E838" s="75"/>
      <c r="F838" s="75"/>
      <c r="G838" s="75"/>
      <c r="H838" s="76" t="s">
        <v>17831</v>
      </c>
    </row>
    <row r="839" spans="1:8" ht="242.25" x14ac:dyDescent="0.2">
      <c r="A839" s="46" t="s">
        <v>17832</v>
      </c>
      <c r="B839" s="46" t="s">
        <v>4385</v>
      </c>
      <c r="C839" s="46" t="s">
        <v>4386</v>
      </c>
      <c r="D839" s="46"/>
      <c r="E839" s="46"/>
      <c r="F839" s="46"/>
      <c r="G839" s="46"/>
      <c r="H839" s="76" t="s">
        <v>17833</v>
      </c>
    </row>
    <row r="840" spans="1:8" ht="76.5" x14ac:dyDescent="0.2">
      <c r="A840" s="49" t="s">
        <v>17834</v>
      </c>
      <c r="B840" s="49" t="s">
        <v>4390</v>
      </c>
      <c r="C840" s="49" t="s">
        <v>17835</v>
      </c>
      <c r="D840" s="49"/>
      <c r="E840" s="49"/>
      <c r="F840" s="49"/>
      <c r="G840" s="49"/>
      <c r="H840" s="76" t="s">
        <v>17836</v>
      </c>
    </row>
    <row r="841" spans="1:8" ht="204" x14ac:dyDescent="0.2">
      <c r="A841" s="49" t="s">
        <v>17837</v>
      </c>
      <c r="B841" s="49" t="s">
        <v>4393</v>
      </c>
      <c r="C841" s="49" t="s">
        <v>17838</v>
      </c>
      <c r="D841" s="49"/>
      <c r="E841" s="49"/>
      <c r="F841" s="49"/>
      <c r="G841" s="49"/>
      <c r="H841" s="75" t="s">
        <v>17839</v>
      </c>
    </row>
    <row r="842" spans="1:8" ht="242.25" x14ac:dyDescent="0.2">
      <c r="A842" s="49" t="s">
        <v>17840</v>
      </c>
      <c r="B842" s="49" t="s">
        <v>4396</v>
      </c>
      <c r="C842" s="49" t="s">
        <v>17841</v>
      </c>
      <c r="D842" s="49"/>
      <c r="E842" s="49"/>
      <c r="F842" s="49"/>
      <c r="G842" s="49"/>
      <c r="H842" s="75" t="s">
        <v>17842</v>
      </c>
    </row>
    <row r="843" spans="1:8" ht="84" x14ac:dyDescent="0.2">
      <c r="A843" s="75"/>
      <c r="B843" s="75"/>
      <c r="C843" s="75"/>
      <c r="D843" s="75"/>
      <c r="E843" s="75"/>
      <c r="F843" s="75"/>
      <c r="G843" s="75"/>
      <c r="H843" s="75" t="s">
        <v>17843</v>
      </c>
    </row>
    <row r="844" spans="1:8" ht="267.75" x14ac:dyDescent="0.2">
      <c r="A844" s="49" t="s">
        <v>17844</v>
      </c>
      <c r="B844" s="49" t="s">
        <v>4399</v>
      </c>
      <c r="C844" s="49" t="s">
        <v>17845</v>
      </c>
      <c r="D844" s="49"/>
      <c r="E844" s="49"/>
      <c r="F844" s="49"/>
      <c r="G844" s="49"/>
      <c r="H844" s="75" t="s">
        <v>17846</v>
      </c>
    </row>
    <row r="845" spans="1:8" ht="192" x14ac:dyDescent="0.2">
      <c r="A845" s="75"/>
      <c r="B845" s="75"/>
      <c r="C845" s="75"/>
      <c r="D845" s="75"/>
      <c r="E845" s="75"/>
      <c r="F845" s="75"/>
      <c r="G845" s="75"/>
      <c r="H845" s="75" t="s">
        <v>17847</v>
      </c>
    </row>
    <row r="846" spans="1:8" ht="216.75" x14ac:dyDescent="0.2">
      <c r="A846" s="49" t="s">
        <v>17848</v>
      </c>
      <c r="B846" s="49" t="s">
        <v>4402</v>
      </c>
      <c r="C846" s="49" t="s">
        <v>17849</v>
      </c>
      <c r="D846" s="49"/>
      <c r="E846" s="49"/>
      <c r="F846" s="49"/>
      <c r="G846" s="49"/>
      <c r="H846" s="75" t="s">
        <v>17850</v>
      </c>
    </row>
    <row r="847" spans="1:8" ht="84" x14ac:dyDescent="0.2">
      <c r="A847" s="74"/>
      <c r="B847" s="74"/>
      <c r="C847" s="74"/>
      <c r="D847" s="74"/>
      <c r="E847" s="74"/>
      <c r="F847" s="74"/>
      <c r="G847" s="74"/>
      <c r="H847" s="74" t="s">
        <v>17851</v>
      </c>
    </row>
    <row r="848" spans="1:8" ht="63.75" x14ac:dyDescent="0.2">
      <c r="A848" s="74" t="s">
        <v>17852</v>
      </c>
      <c r="B848" s="74" t="s">
        <v>4405</v>
      </c>
      <c r="C848" s="74" t="s">
        <v>17853</v>
      </c>
      <c r="D848" s="74"/>
      <c r="E848" s="74"/>
      <c r="F848" s="74"/>
      <c r="G848" s="74"/>
      <c r="H848" s="74" t="s">
        <v>17854</v>
      </c>
    </row>
    <row r="849" spans="1:8" ht="38.25" x14ac:dyDescent="0.2">
      <c r="A849" s="75" t="s">
        <v>17855</v>
      </c>
      <c r="B849" s="75" t="s">
        <v>4408</v>
      </c>
      <c r="C849" s="75" t="s">
        <v>17856</v>
      </c>
      <c r="D849" s="75"/>
      <c r="E849" s="75"/>
      <c r="F849" s="75"/>
      <c r="G849" s="75"/>
      <c r="H849" s="75" t="s">
        <v>17857</v>
      </c>
    </row>
    <row r="850" spans="1:8" ht="25.5" x14ac:dyDescent="0.2">
      <c r="A850" s="73" t="s">
        <v>17858</v>
      </c>
      <c r="B850" s="73" t="s">
        <v>4411</v>
      </c>
      <c r="C850" s="73" t="s">
        <v>4412</v>
      </c>
      <c r="D850" s="73"/>
      <c r="E850" s="73"/>
      <c r="F850" s="73"/>
      <c r="G850" s="73"/>
      <c r="H850" s="73" t="s">
        <v>17859</v>
      </c>
    </row>
    <row r="851" spans="1:8" ht="38.25" x14ac:dyDescent="0.2">
      <c r="A851" s="74" t="s">
        <v>17860</v>
      </c>
      <c r="B851" s="74" t="s">
        <v>4414</v>
      </c>
      <c r="C851" s="74" t="s">
        <v>17861</v>
      </c>
      <c r="D851" s="74"/>
      <c r="E851" s="74"/>
      <c r="F851" s="74"/>
      <c r="G851" s="74"/>
      <c r="H851" s="74" t="s">
        <v>17862</v>
      </c>
    </row>
    <row r="852" spans="1:8" ht="51" x14ac:dyDescent="0.2">
      <c r="A852" s="75" t="s">
        <v>17863</v>
      </c>
      <c r="B852" s="75" t="s">
        <v>4421</v>
      </c>
      <c r="C852" s="75" t="s">
        <v>17864</v>
      </c>
      <c r="D852" s="75"/>
      <c r="E852" s="75"/>
      <c r="F852" s="75"/>
      <c r="G852" s="75"/>
      <c r="H852" s="75" t="s">
        <v>17865</v>
      </c>
    </row>
    <row r="853" spans="1:8" ht="25.5" x14ac:dyDescent="0.2">
      <c r="A853" s="74" t="s">
        <v>17866</v>
      </c>
      <c r="B853" s="74" t="s">
        <v>4424</v>
      </c>
      <c r="C853" s="74" t="s">
        <v>17867</v>
      </c>
      <c r="D853" s="74"/>
      <c r="E853" s="74"/>
      <c r="F853" s="74"/>
      <c r="G853" s="74"/>
      <c r="H853" s="74" t="s">
        <v>17868</v>
      </c>
    </row>
    <row r="854" spans="1:8" ht="38.25" x14ac:dyDescent="0.2">
      <c r="A854" s="74" t="s">
        <v>17869</v>
      </c>
      <c r="B854" s="74" t="s">
        <v>4427</v>
      </c>
      <c r="C854" s="74" t="s">
        <v>17870</v>
      </c>
      <c r="D854" s="74"/>
      <c r="E854" s="74"/>
      <c r="F854" s="74"/>
      <c r="G854" s="74"/>
      <c r="H854" s="74" t="s">
        <v>17871</v>
      </c>
    </row>
    <row r="855" spans="1:8" ht="89.25" x14ac:dyDescent="0.2">
      <c r="A855" s="49" t="s">
        <v>17872</v>
      </c>
      <c r="B855" s="49" t="s">
        <v>4432</v>
      </c>
      <c r="C855" s="49" t="s">
        <v>17873</v>
      </c>
      <c r="D855" s="49"/>
      <c r="E855" s="49"/>
      <c r="F855" s="49"/>
      <c r="G855" s="49"/>
      <c r="H855" s="75" t="s">
        <v>17874</v>
      </c>
    </row>
    <row r="856" spans="1:8" ht="38.25" x14ac:dyDescent="0.2">
      <c r="A856" s="14" t="s">
        <v>17875</v>
      </c>
      <c r="B856" s="14" t="s">
        <v>4435</v>
      </c>
      <c r="C856" s="14" t="s">
        <v>4436</v>
      </c>
      <c r="D856" s="14"/>
      <c r="E856" s="14"/>
      <c r="F856" s="14"/>
      <c r="G856" s="14"/>
      <c r="H856" s="74" t="s">
        <v>17876</v>
      </c>
    </row>
    <row r="857" spans="1:8" ht="89.25" x14ac:dyDescent="0.2">
      <c r="A857" s="74" t="s">
        <v>17877</v>
      </c>
      <c r="B857" s="74" t="s">
        <v>4438</v>
      </c>
      <c r="C857" s="74" t="s">
        <v>17878</v>
      </c>
      <c r="D857" s="74"/>
      <c r="E857" s="74"/>
      <c r="F857" s="74"/>
      <c r="G857" s="74"/>
      <c r="H857" s="74" t="s">
        <v>17879</v>
      </c>
    </row>
    <row r="858" spans="1:8" ht="25.5" x14ac:dyDescent="0.2">
      <c r="A858" s="75" t="s">
        <v>17880</v>
      </c>
      <c r="B858" s="75" t="s">
        <v>4441</v>
      </c>
      <c r="C858" s="75" t="s">
        <v>17881</v>
      </c>
      <c r="D858" s="75"/>
      <c r="E858" s="75"/>
      <c r="F858" s="75"/>
      <c r="G858" s="75"/>
      <c r="H858" s="75" t="s">
        <v>17882</v>
      </c>
    </row>
    <row r="859" spans="1:8" ht="51" x14ac:dyDescent="0.2">
      <c r="A859" s="73" t="s">
        <v>17883</v>
      </c>
      <c r="B859" s="73" t="s">
        <v>4444</v>
      </c>
      <c r="C859" s="73" t="s">
        <v>4445</v>
      </c>
      <c r="D859" s="73"/>
      <c r="E859" s="73"/>
      <c r="F859" s="73"/>
      <c r="G859" s="73"/>
      <c r="H859" s="74" t="s">
        <v>17884</v>
      </c>
    </row>
    <row r="860" spans="1:8" ht="51" x14ac:dyDescent="0.2">
      <c r="A860" s="75" t="s">
        <v>17885</v>
      </c>
      <c r="B860" s="75" t="s">
        <v>4447</v>
      </c>
      <c r="C860" s="75" t="s">
        <v>17886</v>
      </c>
      <c r="D860" s="75"/>
      <c r="E860" s="75"/>
      <c r="F860" s="75"/>
      <c r="G860" s="75"/>
      <c r="H860" s="75" t="s">
        <v>17887</v>
      </c>
    </row>
    <row r="861" spans="1:8" ht="102" x14ac:dyDescent="0.2">
      <c r="A861" s="14" t="s">
        <v>17888</v>
      </c>
      <c r="B861" s="14" t="s">
        <v>4450</v>
      </c>
      <c r="C861" s="14" t="s">
        <v>4451</v>
      </c>
      <c r="D861" s="14"/>
      <c r="E861" s="14"/>
      <c r="F861" s="14"/>
      <c r="G861" s="14"/>
      <c r="H861" s="74" t="s">
        <v>17889</v>
      </c>
    </row>
    <row r="862" spans="1:8" ht="63.75" x14ac:dyDescent="0.2">
      <c r="A862" s="46" t="s">
        <v>17890</v>
      </c>
      <c r="B862" s="46" t="s">
        <v>4453</v>
      </c>
      <c r="C862" s="46" t="s">
        <v>4454</v>
      </c>
      <c r="D862" s="46"/>
      <c r="E862" s="46"/>
      <c r="F862" s="46"/>
      <c r="G862" s="46"/>
      <c r="H862" s="75" t="s">
        <v>17891</v>
      </c>
    </row>
    <row r="863" spans="1:8" ht="25.5" x14ac:dyDescent="0.2">
      <c r="A863" s="74" t="s">
        <v>17892</v>
      </c>
      <c r="B863" s="74" t="s">
        <v>4461</v>
      </c>
      <c r="C863" s="74" t="s">
        <v>17893</v>
      </c>
      <c r="D863" s="74"/>
      <c r="E863" s="74"/>
      <c r="F863" s="74"/>
      <c r="G863" s="74"/>
      <c r="H863" s="74" t="s">
        <v>17894</v>
      </c>
    </row>
    <row r="864" spans="1:8" ht="25.5" x14ac:dyDescent="0.2">
      <c r="A864" s="74" t="s">
        <v>17895</v>
      </c>
      <c r="B864" s="74" t="s">
        <v>4466</v>
      </c>
      <c r="C864" s="74" t="s">
        <v>17896</v>
      </c>
      <c r="D864" s="74"/>
      <c r="E864" s="74"/>
      <c r="F864" s="74"/>
      <c r="G864" s="74"/>
      <c r="H864" s="14" t="s">
        <v>17897</v>
      </c>
    </row>
    <row r="865" spans="1:8" ht="51" x14ac:dyDescent="0.2">
      <c r="A865" s="76" t="s">
        <v>17898</v>
      </c>
      <c r="B865" s="76" t="s">
        <v>4496</v>
      </c>
      <c r="C865" s="76" t="s">
        <v>4497</v>
      </c>
      <c r="D865" s="76"/>
      <c r="E865" s="76"/>
      <c r="F865" s="76"/>
      <c r="G865" s="76"/>
      <c r="H865" s="75" t="s">
        <v>17899</v>
      </c>
    </row>
    <row r="866" spans="1:8" ht="89.25" x14ac:dyDescent="0.2">
      <c r="A866" s="74" t="s">
        <v>17900</v>
      </c>
      <c r="B866" s="74" t="s">
        <v>4499</v>
      </c>
      <c r="C866" s="74" t="s">
        <v>17901</v>
      </c>
      <c r="D866" s="74"/>
      <c r="E866" s="74"/>
      <c r="F866" s="74"/>
      <c r="G866" s="74"/>
      <c r="H866" s="74" t="s">
        <v>17902</v>
      </c>
    </row>
    <row r="867" spans="1:8" ht="63.75" x14ac:dyDescent="0.2">
      <c r="A867" s="73" t="s">
        <v>17903</v>
      </c>
      <c r="B867" s="73" t="s">
        <v>4502</v>
      </c>
      <c r="C867" s="73" t="s">
        <v>4503</v>
      </c>
      <c r="D867" s="73"/>
      <c r="E867" s="73"/>
      <c r="F867" s="73"/>
      <c r="G867" s="73"/>
      <c r="H867" s="74" t="s">
        <v>17904</v>
      </c>
    </row>
    <row r="868" spans="1:8" ht="102" x14ac:dyDescent="0.2">
      <c r="A868" s="75" t="s">
        <v>17905</v>
      </c>
      <c r="B868" s="75" t="s">
        <v>4507</v>
      </c>
      <c r="C868" s="75" t="s">
        <v>17906</v>
      </c>
      <c r="D868" s="75"/>
      <c r="E868" s="75"/>
      <c r="F868" s="75"/>
      <c r="G868" s="75"/>
      <c r="H868" s="75" t="s">
        <v>17907</v>
      </c>
    </row>
    <row r="869" spans="1:8" ht="76.5" x14ac:dyDescent="0.2">
      <c r="A869" s="74" t="s">
        <v>17908</v>
      </c>
      <c r="B869" s="74" t="s">
        <v>4510</v>
      </c>
      <c r="C869" s="74" t="s">
        <v>17909</v>
      </c>
      <c r="D869" s="74"/>
      <c r="E869" s="74"/>
      <c r="F869" s="74"/>
      <c r="G869" s="74"/>
      <c r="H869" s="74" t="s">
        <v>17910</v>
      </c>
    </row>
    <row r="870" spans="1:8" ht="38.25" x14ac:dyDescent="0.2">
      <c r="A870" s="74" t="s">
        <v>17911</v>
      </c>
      <c r="B870" s="74" t="s">
        <v>4515</v>
      </c>
      <c r="C870" s="74" t="s">
        <v>17912</v>
      </c>
      <c r="D870" s="74"/>
      <c r="E870" s="74"/>
      <c r="F870" s="74"/>
      <c r="G870" s="74"/>
      <c r="H870" s="73" t="s">
        <v>17913</v>
      </c>
    </row>
    <row r="871" spans="1:8" ht="25.5" x14ac:dyDescent="0.2">
      <c r="A871" s="76" t="s">
        <v>17914</v>
      </c>
      <c r="B871" s="76" t="s">
        <v>4518</v>
      </c>
      <c r="C871" s="76" t="s">
        <v>4519</v>
      </c>
      <c r="D871" s="76"/>
      <c r="E871" s="76"/>
      <c r="F871" s="76"/>
      <c r="G871" s="76"/>
      <c r="H871" s="76" t="s">
        <v>17915</v>
      </c>
    </row>
    <row r="872" spans="1:8" ht="38.25" x14ac:dyDescent="0.2">
      <c r="A872" s="74" t="s">
        <v>17916</v>
      </c>
      <c r="B872" s="74" t="s">
        <v>4521</v>
      </c>
      <c r="C872" s="74" t="s">
        <v>17917</v>
      </c>
      <c r="D872" s="74"/>
      <c r="E872" s="74"/>
      <c r="F872" s="74"/>
      <c r="G872" s="74"/>
      <c r="H872" s="74" t="s">
        <v>17918</v>
      </c>
    </row>
    <row r="873" spans="1:8" ht="38.25" x14ac:dyDescent="0.2">
      <c r="A873" s="74" t="s">
        <v>17919</v>
      </c>
      <c r="B873" s="74" t="s">
        <v>4524</v>
      </c>
      <c r="C873" s="74" t="s">
        <v>17920</v>
      </c>
      <c r="D873" s="74"/>
      <c r="E873" s="74"/>
      <c r="F873" s="74"/>
      <c r="G873" s="74"/>
      <c r="H873" s="74" t="s">
        <v>17921</v>
      </c>
    </row>
    <row r="874" spans="1:8" ht="51" x14ac:dyDescent="0.2">
      <c r="A874" s="75" t="s">
        <v>17922</v>
      </c>
      <c r="B874" s="75" t="s">
        <v>4527</v>
      </c>
      <c r="C874" s="75" t="s">
        <v>17923</v>
      </c>
      <c r="D874" s="75"/>
      <c r="E874" s="75"/>
      <c r="F874" s="75"/>
      <c r="G874" s="75"/>
      <c r="H874" s="75" t="s">
        <v>17924</v>
      </c>
    </row>
    <row r="875" spans="1:8" ht="38.25" x14ac:dyDescent="0.2">
      <c r="A875" s="75" t="s">
        <v>17925</v>
      </c>
      <c r="B875" s="75" t="s">
        <v>4532</v>
      </c>
      <c r="C875" s="75" t="s">
        <v>17926</v>
      </c>
      <c r="D875" s="75"/>
      <c r="E875" s="75"/>
      <c r="F875" s="75"/>
      <c r="G875" s="75"/>
      <c r="H875" s="76" t="s">
        <v>17927</v>
      </c>
    </row>
    <row r="876" spans="1:8" ht="12.75" x14ac:dyDescent="0.2">
      <c r="A876" s="77"/>
      <c r="B876" s="77"/>
      <c r="C876" s="77"/>
      <c r="D876" s="77"/>
      <c r="E876" s="77"/>
      <c r="F876" s="77"/>
      <c r="G876" s="77"/>
      <c r="H876" s="76" t="s">
        <v>17928</v>
      </c>
    </row>
    <row r="877" spans="1:8" ht="12.75" x14ac:dyDescent="0.2">
      <c r="A877" s="78"/>
      <c r="B877" s="78"/>
      <c r="C877" s="78"/>
      <c r="D877" s="78"/>
      <c r="E877" s="78"/>
      <c r="F877" s="78"/>
      <c r="G877" s="78"/>
      <c r="H877" s="79" t="s">
        <v>17929</v>
      </c>
    </row>
    <row r="878" spans="1:8" ht="12.75" x14ac:dyDescent="0.2">
      <c r="A878" s="78"/>
      <c r="B878" s="78"/>
      <c r="C878" s="78"/>
      <c r="D878" s="78"/>
      <c r="E878" s="78"/>
      <c r="F878" s="78"/>
      <c r="G878" s="78"/>
      <c r="H878" s="79" t="s">
        <v>17930</v>
      </c>
    </row>
    <row r="879" spans="1:8" ht="12.75" x14ac:dyDescent="0.2">
      <c r="A879" s="78"/>
      <c r="B879" s="78"/>
      <c r="C879" s="78"/>
      <c r="D879" s="78"/>
      <c r="E879" s="78"/>
      <c r="F879" s="78"/>
      <c r="G879" s="78"/>
      <c r="H879" s="79" t="s">
        <v>17931</v>
      </c>
    </row>
    <row r="880" spans="1:8" ht="12.75" x14ac:dyDescent="0.2">
      <c r="A880" s="78"/>
      <c r="B880" s="78"/>
      <c r="C880" s="78"/>
      <c r="D880" s="78"/>
      <c r="E880" s="78"/>
      <c r="F880" s="78"/>
      <c r="G880" s="78"/>
      <c r="H880" s="79" t="s">
        <v>17932</v>
      </c>
    </row>
    <row r="881" spans="1:8" ht="12.75" x14ac:dyDescent="0.2">
      <c r="A881" s="78"/>
      <c r="B881" s="78"/>
      <c r="C881" s="78"/>
      <c r="D881" s="78"/>
      <c r="E881" s="78"/>
      <c r="F881" s="78"/>
      <c r="G881" s="78"/>
      <c r="H881" s="79" t="s">
        <v>17933</v>
      </c>
    </row>
    <row r="882" spans="1:8" ht="12.75" x14ac:dyDescent="0.2">
      <c r="A882" s="78"/>
      <c r="B882" s="78"/>
      <c r="C882" s="78"/>
      <c r="D882" s="78"/>
      <c r="E882" s="78"/>
      <c r="F882" s="78"/>
      <c r="G882" s="78"/>
      <c r="H882" s="79" t="s">
        <v>17934</v>
      </c>
    </row>
    <row r="883" spans="1:8" ht="12.75" x14ac:dyDescent="0.2">
      <c r="A883" s="78"/>
      <c r="B883" s="78"/>
      <c r="C883" s="78"/>
      <c r="D883" s="78"/>
      <c r="E883" s="78"/>
      <c r="F883" s="78"/>
      <c r="G883" s="78"/>
      <c r="H883" s="79" t="s">
        <v>17935</v>
      </c>
    </row>
    <row r="884" spans="1:8" ht="12.75" x14ac:dyDescent="0.2">
      <c r="A884" s="78"/>
      <c r="B884" s="78"/>
      <c r="C884" s="78"/>
      <c r="D884" s="78"/>
      <c r="E884" s="78"/>
      <c r="F884" s="78"/>
      <c r="G884" s="78"/>
      <c r="H884" s="79" t="s">
        <v>17936</v>
      </c>
    </row>
    <row r="885" spans="1:8" ht="12.75" x14ac:dyDescent="0.2">
      <c r="A885" s="78"/>
      <c r="B885" s="78"/>
      <c r="C885" s="78"/>
      <c r="D885" s="78"/>
      <c r="E885" s="78"/>
      <c r="F885" s="78"/>
      <c r="G885" s="78"/>
      <c r="H885" s="79" t="s">
        <v>17937</v>
      </c>
    </row>
    <row r="886" spans="1:8" ht="12.75" x14ac:dyDescent="0.2">
      <c r="A886" s="78"/>
      <c r="B886" s="78"/>
      <c r="C886" s="78"/>
      <c r="D886" s="78"/>
      <c r="E886" s="78"/>
      <c r="F886" s="78"/>
      <c r="G886" s="78"/>
      <c r="H886" s="79" t="s">
        <v>17938</v>
      </c>
    </row>
    <row r="887" spans="1:8" ht="12.75" x14ac:dyDescent="0.2">
      <c r="A887" s="78"/>
      <c r="B887" s="78"/>
      <c r="C887" s="78"/>
      <c r="D887" s="78"/>
      <c r="E887" s="78"/>
      <c r="F887" s="78"/>
      <c r="G887" s="78"/>
      <c r="H887" s="79" t="s">
        <v>17939</v>
      </c>
    </row>
    <row r="888" spans="1:8" ht="12.75" x14ac:dyDescent="0.2">
      <c r="A888" s="78"/>
      <c r="B888" s="78"/>
      <c r="C888" s="78"/>
      <c r="D888" s="78"/>
      <c r="E888" s="78"/>
      <c r="F888" s="78"/>
      <c r="G888" s="78"/>
      <c r="H888" s="79" t="s">
        <v>17940</v>
      </c>
    </row>
    <row r="889" spans="1:8" ht="12.75" x14ac:dyDescent="0.2">
      <c r="A889" s="78"/>
      <c r="B889" s="78"/>
      <c r="C889" s="78"/>
      <c r="D889" s="78"/>
      <c r="E889" s="78"/>
      <c r="F889" s="78"/>
      <c r="G889" s="78"/>
      <c r="H889" s="79" t="s">
        <v>17941</v>
      </c>
    </row>
    <row r="890" spans="1:8" ht="12.75" x14ac:dyDescent="0.2">
      <c r="A890" s="79" t="s">
        <v>17942</v>
      </c>
      <c r="B890" s="79" t="s">
        <v>4535</v>
      </c>
      <c r="C890" s="79" t="s">
        <v>17943</v>
      </c>
      <c r="D890" s="79"/>
      <c r="E890" s="79"/>
      <c r="F890" s="79"/>
      <c r="G890" s="79"/>
      <c r="H890" s="79" t="s">
        <v>17944</v>
      </c>
    </row>
    <row r="891" spans="1:8" ht="12.75" x14ac:dyDescent="0.2">
      <c r="A891" s="79" t="s">
        <v>17945</v>
      </c>
      <c r="B891" s="79" t="s">
        <v>17946</v>
      </c>
      <c r="C891" s="79"/>
      <c r="D891" s="79"/>
      <c r="E891" s="79"/>
      <c r="F891" s="79"/>
      <c r="G891" s="79"/>
      <c r="H891" s="79" t="s">
        <v>17947</v>
      </c>
    </row>
    <row r="892" spans="1:8" ht="12.75" x14ac:dyDescent="0.2">
      <c r="A892" s="79" t="s">
        <v>17948</v>
      </c>
      <c r="B892" s="79" t="s">
        <v>17949</v>
      </c>
      <c r="C892" s="79"/>
      <c r="D892" s="79"/>
      <c r="E892" s="79"/>
      <c r="F892" s="79"/>
      <c r="G892" s="79"/>
      <c r="H892" s="79" t="s">
        <v>17950</v>
      </c>
    </row>
    <row r="893" spans="1:8" ht="12.75" x14ac:dyDescent="0.2">
      <c r="A893" s="78"/>
      <c r="B893" s="78"/>
      <c r="C893" s="78"/>
      <c r="D893" s="78"/>
      <c r="E893" s="78"/>
      <c r="F893" s="78"/>
      <c r="G893" s="78"/>
      <c r="H893" s="79" t="s">
        <v>17951</v>
      </c>
    </row>
    <row r="894" spans="1:8" ht="12.75" x14ac:dyDescent="0.2">
      <c r="A894" s="78"/>
      <c r="B894" s="78"/>
      <c r="C894" s="78"/>
      <c r="D894" s="78"/>
      <c r="E894" s="78"/>
      <c r="F894" s="78"/>
      <c r="G894" s="78"/>
      <c r="H894" s="79" t="s">
        <v>17952</v>
      </c>
    </row>
    <row r="895" spans="1:8" ht="12.75" x14ac:dyDescent="0.2">
      <c r="A895" s="78"/>
      <c r="B895" s="78"/>
      <c r="C895" s="78"/>
      <c r="D895" s="78"/>
      <c r="E895" s="78"/>
      <c r="F895" s="78"/>
      <c r="G895" s="78"/>
      <c r="H895" s="79" t="s">
        <v>17953</v>
      </c>
    </row>
    <row r="896" spans="1:8" ht="12.75" x14ac:dyDescent="0.2">
      <c r="A896" s="78"/>
      <c r="B896" s="78"/>
      <c r="C896" s="78"/>
      <c r="D896" s="78"/>
      <c r="E896" s="78"/>
      <c r="F896" s="78"/>
      <c r="G896" s="78"/>
      <c r="H896" s="79" t="s">
        <v>17954</v>
      </c>
    </row>
    <row r="897" spans="1:8" ht="12.75" x14ac:dyDescent="0.2">
      <c r="A897" s="78"/>
      <c r="B897" s="78"/>
      <c r="C897" s="78"/>
      <c r="D897" s="78"/>
      <c r="E897" s="78"/>
      <c r="F897" s="78"/>
      <c r="G897" s="78"/>
      <c r="H897" s="79" t="s">
        <v>17955</v>
      </c>
    </row>
    <row r="898" spans="1:8" ht="12.75" x14ac:dyDescent="0.2">
      <c r="A898" s="78"/>
      <c r="B898" s="78"/>
      <c r="C898" s="78"/>
      <c r="D898" s="78"/>
      <c r="E898" s="78"/>
      <c r="F898" s="78"/>
      <c r="G898" s="78"/>
      <c r="H898" s="79" t="s">
        <v>17956</v>
      </c>
    </row>
    <row r="899" spans="1:8" ht="12.75" x14ac:dyDescent="0.2">
      <c r="A899" s="78"/>
      <c r="B899" s="78"/>
      <c r="C899" s="78"/>
      <c r="D899" s="78"/>
      <c r="E899" s="78"/>
      <c r="F899" s="78"/>
      <c r="G899" s="78"/>
      <c r="H899" s="79" t="s">
        <v>17957</v>
      </c>
    </row>
    <row r="900" spans="1:8" ht="12.75" x14ac:dyDescent="0.2">
      <c r="A900" s="78"/>
      <c r="B900" s="78"/>
      <c r="C900" s="78"/>
      <c r="D900" s="78"/>
      <c r="E900" s="78"/>
      <c r="F900" s="78"/>
      <c r="G900" s="78"/>
      <c r="H900" s="79" t="s">
        <v>17958</v>
      </c>
    </row>
    <row r="901" spans="1:8" ht="12.75" x14ac:dyDescent="0.2">
      <c r="A901" s="78"/>
      <c r="B901" s="78"/>
      <c r="C901" s="78"/>
      <c r="D901" s="78"/>
      <c r="E901" s="78"/>
      <c r="F901" s="78"/>
      <c r="G901" s="78"/>
      <c r="H901" s="79" t="s">
        <v>17959</v>
      </c>
    </row>
    <row r="902" spans="1:8" ht="12.75" x14ac:dyDescent="0.2">
      <c r="A902" s="78"/>
      <c r="B902" s="78"/>
      <c r="C902" s="78"/>
      <c r="D902" s="78"/>
      <c r="E902" s="78"/>
      <c r="F902" s="78"/>
      <c r="G902" s="78"/>
      <c r="H902" s="79" t="s">
        <v>17960</v>
      </c>
    </row>
    <row r="903" spans="1:8" ht="12.75" x14ac:dyDescent="0.2">
      <c r="A903" s="78"/>
      <c r="B903" s="78"/>
      <c r="C903" s="78"/>
      <c r="D903" s="78"/>
      <c r="E903" s="78"/>
      <c r="F903" s="78"/>
      <c r="G903" s="78"/>
      <c r="H903" s="79" t="s">
        <v>17961</v>
      </c>
    </row>
    <row r="904" spans="1:8" ht="12.75" x14ac:dyDescent="0.2">
      <c r="A904" s="78"/>
      <c r="B904" s="78"/>
      <c r="C904" s="78"/>
      <c r="D904" s="78"/>
      <c r="E904" s="78"/>
      <c r="F904" s="78"/>
      <c r="G904" s="78"/>
      <c r="H904" s="79" t="s">
        <v>17962</v>
      </c>
    </row>
    <row r="905" spans="1:8" ht="12.75" x14ac:dyDescent="0.2">
      <c r="A905" s="78"/>
      <c r="B905" s="78"/>
      <c r="C905" s="78"/>
      <c r="D905" s="78"/>
      <c r="E905" s="78"/>
      <c r="F905" s="78"/>
      <c r="G905" s="78"/>
      <c r="H905" s="79" t="s">
        <v>17963</v>
      </c>
    </row>
    <row r="906" spans="1:8" ht="12.75" x14ac:dyDescent="0.2">
      <c r="A906" s="78"/>
      <c r="B906" s="78"/>
      <c r="C906" s="78"/>
      <c r="D906" s="78"/>
      <c r="E906" s="78"/>
      <c r="F906" s="78"/>
      <c r="G906" s="78"/>
      <c r="H906" s="79" t="s">
        <v>17964</v>
      </c>
    </row>
    <row r="907" spans="1:8" ht="76.5" x14ac:dyDescent="0.2">
      <c r="A907" s="74" t="s">
        <v>17965</v>
      </c>
      <c r="B907" s="74" t="s">
        <v>4538</v>
      </c>
      <c r="C907" s="74" t="s">
        <v>17966</v>
      </c>
      <c r="D907" s="74"/>
      <c r="E907" s="74"/>
      <c r="F907" s="74"/>
      <c r="G907" s="74"/>
      <c r="H907" s="74" t="s">
        <v>17967</v>
      </c>
    </row>
    <row r="908" spans="1:8" ht="63.75" x14ac:dyDescent="0.2">
      <c r="A908" s="74" t="s">
        <v>17968</v>
      </c>
      <c r="B908" s="74" t="s">
        <v>4541</v>
      </c>
      <c r="C908" s="74" t="s">
        <v>17969</v>
      </c>
      <c r="D908" s="74"/>
      <c r="E908" s="74"/>
      <c r="F908" s="74"/>
      <c r="G908" s="74"/>
      <c r="H908" s="73" t="s">
        <v>17970</v>
      </c>
    </row>
    <row r="909" spans="1:8" ht="63.75" x14ac:dyDescent="0.2">
      <c r="A909" s="75" t="s">
        <v>17971</v>
      </c>
      <c r="B909" s="75" t="s">
        <v>4546</v>
      </c>
      <c r="C909" s="75" t="s">
        <v>17972</v>
      </c>
      <c r="D909" s="75"/>
      <c r="E909" s="75"/>
      <c r="F909" s="75"/>
      <c r="G909" s="75"/>
      <c r="H909" s="76" t="s">
        <v>17973</v>
      </c>
    </row>
    <row r="910" spans="1:8" ht="127.5" x14ac:dyDescent="0.2">
      <c r="A910" s="77" t="s">
        <v>17974</v>
      </c>
      <c r="B910" s="77" t="s">
        <v>4549</v>
      </c>
      <c r="C910" s="77" t="s">
        <v>17975</v>
      </c>
      <c r="D910" s="77"/>
      <c r="E910" s="77"/>
      <c r="F910" s="77"/>
      <c r="G910" s="77"/>
      <c r="H910" s="75" t="s">
        <v>17976</v>
      </c>
    </row>
    <row r="911" spans="1:8" ht="76.5" x14ac:dyDescent="0.2">
      <c r="A911" s="80"/>
      <c r="B911" s="80"/>
      <c r="C911" s="80"/>
      <c r="D911" s="80"/>
      <c r="E911" s="80"/>
      <c r="F911" s="80"/>
      <c r="G911" s="80"/>
      <c r="H911" s="80" t="s">
        <v>17977</v>
      </c>
    </row>
    <row r="912" spans="1:8" ht="89.25" x14ac:dyDescent="0.2">
      <c r="A912" s="73" t="s">
        <v>17978</v>
      </c>
      <c r="B912" s="73" t="s">
        <v>4552</v>
      </c>
      <c r="C912" s="73" t="s">
        <v>4553</v>
      </c>
      <c r="D912" s="73"/>
      <c r="E912" s="73"/>
      <c r="F912" s="73"/>
      <c r="G912" s="73"/>
      <c r="H912" s="74" t="s">
        <v>17979</v>
      </c>
    </row>
    <row r="913" spans="1:8" ht="89.25" x14ac:dyDescent="0.2">
      <c r="A913" s="73" t="s">
        <v>17980</v>
      </c>
      <c r="B913" s="73" t="s">
        <v>4555</v>
      </c>
      <c r="C913" s="73" t="s">
        <v>4556</v>
      </c>
      <c r="D913" s="73"/>
      <c r="E913" s="73"/>
      <c r="F913" s="73"/>
      <c r="G913" s="73"/>
      <c r="H913" s="74" t="s">
        <v>17981</v>
      </c>
    </row>
    <row r="914" spans="1:8" ht="25.5" x14ac:dyDescent="0.2">
      <c r="A914" s="75" t="s">
        <v>17982</v>
      </c>
      <c r="B914" s="75" t="s">
        <v>4558</v>
      </c>
      <c r="C914" s="75" t="s">
        <v>17983</v>
      </c>
      <c r="D914" s="75"/>
      <c r="E914" s="75"/>
      <c r="F914" s="75"/>
      <c r="G914" s="75"/>
      <c r="H914" s="76" t="s">
        <v>17984</v>
      </c>
    </row>
    <row r="915" spans="1:8" ht="38.25" x14ac:dyDescent="0.2">
      <c r="A915" s="74" t="s">
        <v>17985</v>
      </c>
      <c r="B915" s="74" t="s">
        <v>4561</v>
      </c>
      <c r="C915" s="74" t="s">
        <v>17986</v>
      </c>
      <c r="D915" s="74"/>
      <c r="E915" s="74"/>
      <c r="F915" s="74"/>
      <c r="G915" s="74"/>
      <c r="H915" s="73" t="s">
        <v>17987</v>
      </c>
    </row>
    <row r="916" spans="1:8" ht="38.25" x14ac:dyDescent="0.2">
      <c r="A916" s="74" t="s">
        <v>17988</v>
      </c>
      <c r="B916" s="74" t="s">
        <v>4564</v>
      </c>
      <c r="C916" s="74" t="s">
        <v>17989</v>
      </c>
      <c r="D916" s="74"/>
      <c r="E916" s="74"/>
      <c r="F916" s="74"/>
      <c r="G916" s="74"/>
      <c r="H916" s="74" t="s">
        <v>17990</v>
      </c>
    </row>
    <row r="917" spans="1:8" ht="38.25" x14ac:dyDescent="0.2">
      <c r="A917" s="75" t="s">
        <v>17991</v>
      </c>
      <c r="B917" s="75" t="s">
        <v>4567</v>
      </c>
      <c r="C917" s="75" t="s">
        <v>17992</v>
      </c>
      <c r="D917" s="75"/>
      <c r="E917" s="75"/>
      <c r="F917" s="75"/>
      <c r="G917" s="75"/>
      <c r="H917" s="46" t="s">
        <v>17993</v>
      </c>
    </row>
    <row r="918" spans="1:8" ht="76.5" x14ac:dyDescent="0.2">
      <c r="A918" s="73" t="s">
        <v>17994</v>
      </c>
      <c r="B918" s="73" t="s">
        <v>4570</v>
      </c>
      <c r="C918" s="73" t="s">
        <v>4571</v>
      </c>
      <c r="D918" s="73"/>
      <c r="E918" s="73"/>
      <c r="F918" s="73"/>
      <c r="G918" s="73"/>
      <c r="H918" s="74" t="s">
        <v>17995</v>
      </c>
    </row>
    <row r="919" spans="1:8" ht="76.5" x14ac:dyDescent="0.2">
      <c r="A919" s="22" t="s">
        <v>17996</v>
      </c>
      <c r="B919" s="22" t="s">
        <v>4573</v>
      </c>
      <c r="C919" s="22" t="s">
        <v>4574</v>
      </c>
      <c r="D919" s="22"/>
      <c r="E919" s="22"/>
      <c r="F919" s="22"/>
      <c r="G919" s="22"/>
      <c r="H919" s="74" t="s">
        <v>17997</v>
      </c>
    </row>
    <row r="920" spans="1:8" ht="25.5" x14ac:dyDescent="0.2">
      <c r="A920" s="76" t="s">
        <v>17998</v>
      </c>
      <c r="B920" s="76" t="s">
        <v>4576</v>
      </c>
      <c r="C920" s="76" t="s">
        <v>4577</v>
      </c>
      <c r="D920" s="76"/>
      <c r="E920" s="76"/>
      <c r="F920" s="76"/>
      <c r="G920" s="76"/>
      <c r="H920" s="76" t="s">
        <v>17999</v>
      </c>
    </row>
    <row r="921" spans="1:8" ht="38.25" x14ac:dyDescent="0.2">
      <c r="A921" s="74" t="s">
        <v>18000</v>
      </c>
      <c r="B921" s="74" t="s">
        <v>4579</v>
      </c>
      <c r="C921" s="74" t="s">
        <v>18001</v>
      </c>
      <c r="D921" s="74"/>
      <c r="E921" s="74"/>
      <c r="F921" s="74"/>
      <c r="G921" s="74"/>
      <c r="H921" s="73" t="s">
        <v>18002</v>
      </c>
    </row>
    <row r="922" spans="1:8" ht="38.25" x14ac:dyDescent="0.2">
      <c r="A922" s="75" t="s">
        <v>18003</v>
      </c>
      <c r="B922" s="75" t="s">
        <v>4584</v>
      </c>
      <c r="C922" s="75" t="s">
        <v>18004</v>
      </c>
      <c r="D922" s="75"/>
      <c r="E922" s="75"/>
      <c r="F922" s="75"/>
      <c r="G922" s="75"/>
      <c r="H922" s="76" t="s">
        <v>18005</v>
      </c>
    </row>
    <row r="923" spans="1:8" ht="204" x14ac:dyDescent="0.2">
      <c r="A923" s="49" t="s">
        <v>18006</v>
      </c>
      <c r="B923" s="49" t="s">
        <v>4587</v>
      </c>
      <c r="C923" s="49" t="s">
        <v>18007</v>
      </c>
      <c r="D923" s="49"/>
      <c r="E923" s="49"/>
      <c r="F923" s="49"/>
      <c r="G923" s="49"/>
      <c r="H923" s="75" t="s">
        <v>18008</v>
      </c>
    </row>
    <row r="924" spans="1:8" ht="102" x14ac:dyDescent="0.2">
      <c r="A924" s="22" t="s">
        <v>18009</v>
      </c>
      <c r="B924" s="22" t="s">
        <v>4590</v>
      </c>
      <c r="C924" s="22" t="s">
        <v>18010</v>
      </c>
      <c r="D924" s="22"/>
      <c r="E924" s="22"/>
      <c r="F924" s="22"/>
      <c r="G924" s="22"/>
      <c r="H924" s="73" t="s">
        <v>18011</v>
      </c>
    </row>
    <row r="925" spans="1:8" ht="140.25" x14ac:dyDescent="0.2">
      <c r="A925" s="75" t="s">
        <v>18012</v>
      </c>
      <c r="B925" s="75" t="s">
        <v>4593</v>
      </c>
      <c r="C925" s="75" t="s">
        <v>18013</v>
      </c>
      <c r="D925" s="75"/>
      <c r="E925" s="75"/>
      <c r="F925" s="75"/>
      <c r="G925" s="75"/>
      <c r="H925" s="75" t="s">
        <v>18014</v>
      </c>
    </row>
    <row r="926" spans="1:8" ht="25.5" x14ac:dyDescent="0.2">
      <c r="A926" s="74" t="s">
        <v>18015</v>
      </c>
      <c r="B926" s="74" t="s">
        <v>4596</v>
      </c>
      <c r="C926" s="74" t="s">
        <v>18016</v>
      </c>
      <c r="D926" s="74"/>
      <c r="E926" s="74"/>
      <c r="F926" s="74"/>
      <c r="G926" s="74"/>
      <c r="H926" s="14" t="s">
        <v>18017</v>
      </c>
    </row>
    <row r="927" spans="1:8" ht="38.25" x14ac:dyDescent="0.2">
      <c r="A927" s="74" t="s">
        <v>18018</v>
      </c>
      <c r="B927" s="74" t="s">
        <v>4601</v>
      </c>
      <c r="C927" s="74" t="s">
        <v>18019</v>
      </c>
      <c r="D927" s="74"/>
      <c r="E927" s="74"/>
      <c r="F927" s="74"/>
      <c r="G927" s="74"/>
      <c r="H927" s="73" t="s">
        <v>18020</v>
      </c>
    </row>
    <row r="928" spans="1:8" ht="38.25" x14ac:dyDescent="0.2">
      <c r="A928" s="75" t="s">
        <v>18021</v>
      </c>
      <c r="B928" s="75" t="s">
        <v>4604</v>
      </c>
      <c r="C928" s="75" t="s">
        <v>18022</v>
      </c>
      <c r="D928" s="75"/>
      <c r="E928" s="75"/>
      <c r="F928" s="75"/>
      <c r="G928" s="75"/>
      <c r="H928" s="76" t="s">
        <v>18023</v>
      </c>
    </row>
    <row r="929" spans="1:8" ht="38.25" x14ac:dyDescent="0.2">
      <c r="A929" s="74" t="s">
        <v>18024</v>
      </c>
      <c r="B929" s="74" t="s">
        <v>4609</v>
      </c>
      <c r="C929" s="74" t="s">
        <v>18025</v>
      </c>
      <c r="D929" s="74"/>
      <c r="E929" s="74"/>
      <c r="F929" s="74"/>
      <c r="G929" s="74"/>
      <c r="H929" s="73" t="s">
        <v>18026</v>
      </c>
    </row>
    <row r="930" spans="1:8" ht="76.5" x14ac:dyDescent="0.2">
      <c r="A930" s="74" t="s">
        <v>18027</v>
      </c>
      <c r="B930" s="74" t="s">
        <v>4612</v>
      </c>
      <c r="C930" s="74" t="s">
        <v>18028</v>
      </c>
      <c r="D930" s="74"/>
      <c r="E930" s="74"/>
      <c r="F930" s="74"/>
      <c r="G930" s="74"/>
      <c r="H930" s="74" t="s">
        <v>18029</v>
      </c>
    </row>
    <row r="931" spans="1:8" ht="25.5" x14ac:dyDescent="0.2">
      <c r="A931" s="75" t="s">
        <v>18030</v>
      </c>
      <c r="B931" s="75" t="s">
        <v>4621</v>
      </c>
      <c r="C931" s="75" t="s">
        <v>18031</v>
      </c>
      <c r="D931" s="75"/>
      <c r="E931" s="75"/>
      <c r="F931" s="75"/>
      <c r="G931" s="75"/>
      <c r="H931" s="76" t="s">
        <v>18032</v>
      </c>
    </row>
    <row r="932" spans="1:8" ht="102" x14ac:dyDescent="0.2">
      <c r="A932" s="22" t="s">
        <v>18033</v>
      </c>
      <c r="B932" s="22" t="s">
        <v>4624</v>
      </c>
      <c r="C932" s="22" t="s">
        <v>18034</v>
      </c>
      <c r="D932" s="22"/>
      <c r="E932" s="22"/>
      <c r="F932" s="22"/>
      <c r="G932" s="22"/>
      <c r="H932" s="74" t="s">
        <v>18035</v>
      </c>
    </row>
    <row r="933" spans="1:8" ht="38.25" x14ac:dyDescent="0.2">
      <c r="A933" s="74" t="s">
        <v>18036</v>
      </c>
      <c r="B933" s="74" t="s">
        <v>4629</v>
      </c>
      <c r="C933" s="74" t="s">
        <v>18037</v>
      </c>
      <c r="D933" s="74"/>
      <c r="E933" s="74"/>
      <c r="F933" s="74"/>
      <c r="G933" s="74"/>
      <c r="H933" s="74" t="s">
        <v>18038</v>
      </c>
    </row>
    <row r="934" spans="1:8" ht="38.25" x14ac:dyDescent="0.2">
      <c r="A934" s="75" t="s">
        <v>18039</v>
      </c>
      <c r="B934" s="75" t="s">
        <v>4632</v>
      </c>
      <c r="C934" s="75" t="s">
        <v>18040</v>
      </c>
      <c r="D934" s="75"/>
      <c r="E934" s="75"/>
      <c r="F934" s="75"/>
      <c r="G934" s="75"/>
      <c r="H934" s="75" t="s">
        <v>18041</v>
      </c>
    </row>
    <row r="935" spans="1:8" ht="76.5" x14ac:dyDescent="0.2">
      <c r="A935" s="22" t="s">
        <v>18042</v>
      </c>
      <c r="B935" s="22" t="s">
        <v>4635</v>
      </c>
      <c r="C935" s="22" t="s">
        <v>18043</v>
      </c>
      <c r="D935" s="22"/>
      <c r="E935" s="22"/>
      <c r="F935" s="22"/>
      <c r="G935" s="22"/>
      <c r="H935" s="74" t="s">
        <v>18044</v>
      </c>
    </row>
    <row r="936" spans="1:8" ht="25.5" x14ac:dyDescent="0.2">
      <c r="A936" s="74" t="s">
        <v>18045</v>
      </c>
      <c r="B936" s="74" t="s">
        <v>4638</v>
      </c>
      <c r="C936" s="74" t="s">
        <v>18046</v>
      </c>
      <c r="D936" s="74"/>
      <c r="E936" s="74"/>
      <c r="F936" s="74"/>
      <c r="G936" s="74"/>
      <c r="H936" s="73" t="s">
        <v>18047</v>
      </c>
    </row>
    <row r="937" spans="1:8" ht="25.5" x14ac:dyDescent="0.2">
      <c r="A937" s="75" t="s">
        <v>18048</v>
      </c>
      <c r="B937" s="75" t="s">
        <v>4641</v>
      </c>
      <c r="C937" s="75" t="s">
        <v>18049</v>
      </c>
      <c r="D937" s="75"/>
      <c r="E937" s="75"/>
      <c r="F937" s="75"/>
      <c r="G937" s="75"/>
      <c r="H937" s="76" t="s">
        <v>18050</v>
      </c>
    </row>
    <row r="938" spans="1:8" ht="25.5" x14ac:dyDescent="0.2">
      <c r="A938" s="74" t="s">
        <v>18051</v>
      </c>
      <c r="B938" s="74" t="s">
        <v>4644</v>
      </c>
      <c r="C938" s="74" t="s">
        <v>18052</v>
      </c>
      <c r="D938" s="74"/>
      <c r="E938" s="74"/>
      <c r="F938" s="74"/>
      <c r="G938" s="74"/>
      <c r="H938" s="73" t="s">
        <v>18053</v>
      </c>
    </row>
    <row r="939" spans="1:8" ht="63.75" x14ac:dyDescent="0.2">
      <c r="A939" s="75" t="s">
        <v>18054</v>
      </c>
      <c r="B939" s="75" t="s">
        <v>4649</v>
      </c>
      <c r="C939" s="75" t="s">
        <v>18055</v>
      </c>
      <c r="D939" s="75"/>
      <c r="E939" s="75"/>
      <c r="F939" s="75"/>
      <c r="G939" s="75"/>
      <c r="H939" s="76" t="s">
        <v>18056</v>
      </c>
    </row>
    <row r="940" spans="1:8" ht="255" x14ac:dyDescent="0.2">
      <c r="A940" s="49" t="s">
        <v>18057</v>
      </c>
      <c r="B940" s="49" t="s">
        <v>4652</v>
      </c>
      <c r="C940" s="49" t="s">
        <v>18058</v>
      </c>
      <c r="D940" s="49"/>
      <c r="E940" s="49"/>
      <c r="F940" s="49"/>
      <c r="G940" s="49"/>
      <c r="H940" s="75" t="s">
        <v>18059</v>
      </c>
    </row>
    <row r="941" spans="1:8" ht="38.25" x14ac:dyDescent="0.2">
      <c r="A941" s="14" t="s">
        <v>18060</v>
      </c>
      <c r="B941" s="14" t="s">
        <v>4655</v>
      </c>
      <c r="C941" s="14" t="s">
        <v>4656</v>
      </c>
      <c r="D941" s="14"/>
      <c r="E941" s="14"/>
      <c r="F941" s="14"/>
      <c r="G941" s="14"/>
      <c r="H941" s="74" t="s">
        <v>18061</v>
      </c>
    </row>
    <row r="942" spans="1:8" ht="38.25" x14ac:dyDescent="0.2">
      <c r="A942" s="74" t="s">
        <v>18062</v>
      </c>
      <c r="B942" s="74" t="s">
        <v>4660</v>
      </c>
      <c r="C942" s="74" t="s">
        <v>18063</v>
      </c>
      <c r="D942" s="74"/>
      <c r="E942" s="74"/>
      <c r="F942" s="74"/>
      <c r="G942" s="74"/>
      <c r="H942" s="73" t="s">
        <v>18064</v>
      </c>
    </row>
    <row r="943" spans="1:8" ht="89.25" x14ac:dyDescent="0.2">
      <c r="A943" s="46" t="s">
        <v>18065</v>
      </c>
      <c r="B943" s="46" t="s">
        <v>4663</v>
      </c>
      <c r="C943" s="46" t="s">
        <v>4664</v>
      </c>
      <c r="D943" s="46"/>
      <c r="E943" s="46"/>
      <c r="F943" s="46"/>
      <c r="G943" s="46"/>
      <c r="H943" s="75" t="s">
        <v>18066</v>
      </c>
    </row>
    <row r="944" spans="1:8" ht="25.5" x14ac:dyDescent="0.2">
      <c r="A944" s="14" t="s">
        <v>18067</v>
      </c>
      <c r="B944" s="14" t="s">
        <v>4666</v>
      </c>
      <c r="C944" s="14" t="s">
        <v>4667</v>
      </c>
      <c r="D944" s="14"/>
      <c r="E944" s="14"/>
      <c r="F944" s="14"/>
      <c r="G944" s="14"/>
      <c r="H944" s="73" t="s">
        <v>18068</v>
      </c>
    </row>
    <row r="945" spans="1:8" ht="25.5" x14ac:dyDescent="0.2">
      <c r="A945" s="74" t="s">
        <v>18069</v>
      </c>
      <c r="B945" s="74" t="s">
        <v>4669</v>
      </c>
      <c r="C945" s="74" t="s">
        <v>18070</v>
      </c>
      <c r="D945" s="74"/>
      <c r="E945" s="74"/>
      <c r="F945" s="74"/>
      <c r="G945" s="74"/>
      <c r="H945" s="73" t="s">
        <v>18071</v>
      </c>
    </row>
    <row r="946" spans="1:8" ht="25.5" x14ac:dyDescent="0.2">
      <c r="A946" s="46" t="s">
        <v>18072</v>
      </c>
      <c r="B946" s="46" t="s">
        <v>4678</v>
      </c>
      <c r="C946" s="46" t="s">
        <v>18073</v>
      </c>
      <c r="D946" s="46"/>
      <c r="E946" s="46"/>
      <c r="F946" s="46"/>
      <c r="G946" s="46"/>
      <c r="H946" s="46" t="s">
        <v>18074</v>
      </c>
    </row>
    <row r="947" spans="1:8" ht="25.5" x14ac:dyDescent="0.2">
      <c r="A947" s="74" t="s">
        <v>18075</v>
      </c>
      <c r="B947" s="74" t="s">
        <v>4681</v>
      </c>
      <c r="C947" s="74" t="s">
        <v>18076</v>
      </c>
      <c r="D947" s="74"/>
      <c r="E947" s="74"/>
      <c r="F947" s="74"/>
      <c r="G947" s="74"/>
      <c r="H947" s="73" t="s">
        <v>18077</v>
      </c>
    </row>
    <row r="948" spans="1:8" ht="38.25" x14ac:dyDescent="0.2">
      <c r="A948" s="73" t="s">
        <v>18078</v>
      </c>
      <c r="B948" s="73" t="s">
        <v>4686</v>
      </c>
      <c r="C948" s="73" t="s">
        <v>4687</v>
      </c>
      <c r="D948" s="73"/>
      <c r="E948" s="73"/>
      <c r="F948" s="73"/>
      <c r="G948" s="73"/>
      <c r="H948" s="73" t="s">
        <v>18079</v>
      </c>
    </row>
    <row r="949" spans="1:8" ht="63.75" x14ac:dyDescent="0.2">
      <c r="A949" s="75" t="s">
        <v>18080</v>
      </c>
      <c r="B949" s="75" t="s">
        <v>4689</v>
      </c>
      <c r="C949" s="75" t="s">
        <v>18081</v>
      </c>
      <c r="D949" s="75"/>
      <c r="E949" s="75"/>
      <c r="F949" s="75"/>
      <c r="G949" s="75"/>
      <c r="H949" s="75" t="s">
        <v>18082</v>
      </c>
    </row>
    <row r="950" spans="1:8" ht="63.75" x14ac:dyDescent="0.2">
      <c r="A950" s="74" t="s">
        <v>18083</v>
      </c>
      <c r="B950" s="74" t="s">
        <v>4692</v>
      </c>
      <c r="C950" s="74" t="s">
        <v>18084</v>
      </c>
      <c r="D950" s="74"/>
      <c r="E950" s="74"/>
      <c r="F950" s="74"/>
      <c r="G950" s="74"/>
      <c r="H950" s="73" t="s">
        <v>18085</v>
      </c>
    </row>
    <row r="951" spans="1:8" ht="38.25" x14ac:dyDescent="0.2">
      <c r="A951" s="74" t="s">
        <v>18086</v>
      </c>
      <c r="B951" s="74" t="s">
        <v>4695</v>
      </c>
      <c r="C951" s="74" t="s">
        <v>18087</v>
      </c>
      <c r="D951" s="74"/>
      <c r="E951" s="74"/>
      <c r="F951" s="74"/>
      <c r="G951" s="74"/>
      <c r="H951" s="73" t="s">
        <v>18088</v>
      </c>
    </row>
    <row r="952" spans="1:8" ht="63.75" x14ac:dyDescent="0.2">
      <c r="A952" s="75" t="s">
        <v>18089</v>
      </c>
      <c r="B952" s="75" t="s">
        <v>4698</v>
      </c>
      <c r="C952" s="75" t="s">
        <v>18090</v>
      </c>
      <c r="D952" s="75"/>
      <c r="E952" s="75"/>
      <c r="F952" s="75"/>
      <c r="G952" s="75"/>
      <c r="H952" s="75" t="s">
        <v>18091</v>
      </c>
    </row>
    <row r="953" spans="1:8" ht="51" x14ac:dyDescent="0.2">
      <c r="A953" s="74" t="s">
        <v>18092</v>
      </c>
      <c r="B953" s="74" t="s">
        <v>4701</v>
      </c>
      <c r="C953" s="74" t="s">
        <v>18093</v>
      </c>
      <c r="D953" s="74"/>
      <c r="E953" s="74"/>
      <c r="F953" s="74"/>
      <c r="G953" s="74"/>
      <c r="H953" s="73" t="s">
        <v>18094</v>
      </c>
    </row>
    <row r="954" spans="1:8" ht="89.25" x14ac:dyDescent="0.2">
      <c r="A954" s="73" t="s">
        <v>18095</v>
      </c>
      <c r="B954" s="73" t="s">
        <v>4704</v>
      </c>
      <c r="C954" s="73" t="s">
        <v>4705</v>
      </c>
      <c r="D954" s="73"/>
      <c r="E954" s="73"/>
      <c r="F954" s="73"/>
      <c r="G954" s="73"/>
      <c r="H954" s="73" t="s">
        <v>18096</v>
      </c>
    </row>
    <row r="955" spans="1:8" ht="89.25" x14ac:dyDescent="0.2">
      <c r="A955" s="75" t="s">
        <v>18097</v>
      </c>
      <c r="B955" s="75" t="s">
        <v>4707</v>
      </c>
      <c r="C955" s="75" t="s">
        <v>18098</v>
      </c>
      <c r="D955" s="75"/>
      <c r="E955" s="75"/>
      <c r="F955" s="75"/>
      <c r="G955" s="75"/>
      <c r="H955" s="76" t="s">
        <v>18099</v>
      </c>
    </row>
    <row r="956" spans="1:8" ht="51" x14ac:dyDescent="0.2">
      <c r="A956" s="14" t="s">
        <v>18100</v>
      </c>
      <c r="B956" s="14" t="s">
        <v>4710</v>
      </c>
      <c r="C956" s="14" t="s">
        <v>4711</v>
      </c>
      <c r="D956" s="14"/>
      <c r="E956" s="14"/>
      <c r="F956" s="14"/>
      <c r="G956" s="14"/>
      <c r="H956" s="73" t="s">
        <v>18101</v>
      </c>
    </row>
    <row r="957" spans="1:8" ht="51" x14ac:dyDescent="0.2">
      <c r="A957" s="74" t="s">
        <v>18102</v>
      </c>
      <c r="B957" s="74" t="s">
        <v>4715</v>
      </c>
      <c r="C957" s="74" t="s">
        <v>18103</v>
      </c>
      <c r="D957" s="74"/>
      <c r="E957" s="74"/>
      <c r="F957" s="74"/>
      <c r="G957" s="74"/>
      <c r="H957" s="74" t="s">
        <v>18104</v>
      </c>
    </row>
    <row r="958" spans="1:8" ht="89.25" x14ac:dyDescent="0.2">
      <c r="A958" s="49" t="s">
        <v>18105</v>
      </c>
      <c r="B958" s="49" t="s">
        <v>4718</v>
      </c>
      <c r="C958" s="49" t="s">
        <v>18106</v>
      </c>
      <c r="D958" s="49"/>
      <c r="E958" s="49"/>
      <c r="F958" s="49"/>
      <c r="G958" s="49"/>
      <c r="H958" s="75" t="s">
        <v>18107</v>
      </c>
    </row>
    <row r="959" spans="1:8" ht="38.25" x14ac:dyDescent="0.2">
      <c r="A959" s="73" t="s">
        <v>18108</v>
      </c>
      <c r="B959" s="73" t="s">
        <v>4734</v>
      </c>
      <c r="C959" s="73" t="s">
        <v>4735</v>
      </c>
      <c r="D959" s="73"/>
      <c r="E959" s="73"/>
      <c r="F959" s="73"/>
      <c r="G959" s="73"/>
      <c r="H959" s="73" t="s">
        <v>18109</v>
      </c>
    </row>
    <row r="960" spans="1:8" ht="89.25" x14ac:dyDescent="0.2">
      <c r="A960" s="74" t="s">
        <v>18110</v>
      </c>
      <c r="B960" s="74" t="s">
        <v>4791</v>
      </c>
      <c r="C960" s="74" t="s">
        <v>18111</v>
      </c>
      <c r="D960" s="74"/>
      <c r="E960" s="74"/>
      <c r="F960" s="74"/>
      <c r="G960" s="74"/>
      <c r="H960" s="74" t="s">
        <v>18112</v>
      </c>
    </row>
    <row r="961" spans="1:8" ht="51" x14ac:dyDescent="0.2">
      <c r="A961" s="75" t="s">
        <v>18113</v>
      </c>
      <c r="B961" s="75" t="s">
        <v>4794</v>
      </c>
      <c r="C961" s="75" t="s">
        <v>18114</v>
      </c>
      <c r="D961" s="75"/>
      <c r="E961" s="75"/>
      <c r="F961" s="75"/>
      <c r="G961" s="75"/>
      <c r="H961" s="75" t="s">
        <v>18115</v>
      </c>
    </row>
    <row r="962" spans="1:8" ht="25.5" x14ac:dyDescent="0.2">
      <c r="A962" s="74" t="s">
        <v>18116</v>
      </c>
      <c r="B962" s="74" t="s">
        <v>4799</v>
      </c>
      <c r="C962" s="74" t="s">
        <v>18117</v>
      </c>
      <c r="D962" s="74"/>
      <c r="E962" s="74"/>
      <c r="F962" s="74"/>
      <c r="G962" s="74"/>
      <c r="H962" s="14" t="s">
        <v>18118</v>
      </c>
    </row>
    <row r="963" spans="1:8" ht="25.5" x14ac:dyDescent="0.2">
      <c r="A963" s="74" t="s">
        <v>18119</v>
      </c>
      <c r="B963" s="74" t="s">
        <v>4802</v>
      </c>
      <c r="C963" s="74" t="s">
        <v>18120</v>
      </c>
      <c r="D963" s="74"/>
      <c r="E963" s="74"/>
      <c r="F963" s="74"/>
      <c r="G963" s="74"/>
      <c r="H963" s="14" t="s">
        <v>18121</v>
      </c>
    </row>
    <row r="964" spans="1:8" ht="51" x14ac:dyDescent="0.2">
      <c r="A964" s="46" t="s">
        <v>18122</v>
      </c>
      <c r="B964" s="46" t="s">
        <v>4807</v>
      </c>
      <c r="C964" s="46" t="s">
        <v>4808</v>
      </c>
      <c r="D964" s="46"/>
      <c r="E964" s="46"/>
      <c r="F964" s="46"/>
      <c r="G964" s="46"/>
      <c r="H964" s="75" t="s">
        <v>18123</v>
      </c>
    </row>
    <row r="965" spans="1:8" ht="38.25" x14ac:dyDescent="0.2">
      <c r="A965" s="74" t="s">
        <v>18124</v>
      </c>
      <c r="B965" s="74" t="s">
        <v>18125</v>
      </c>
      <c r="C965" s="74"/>
      <c r="D965" s="74"/>
      <c r="E965" s="74"/>
      <c r="F965" s="74"/>
      <c r="G965" s="74"/>
      <c r="H965" s="74" t="s">
        <v>18126</v>
      </c>
    </row>
    <row r="966" spans="1:8" ht="12.75" x14ac:dyDescent="0.2">
      <c r="A966" s="14" t="s">
        <v>18127</v>
      </c>
      <c r="B966" s="14" t="s">
        <v>5175</v>
      </c>
      <c r="C966" s="14" t="s">
        <v>5176</v>
      </c>
      <c r="D966" s="14"/>
      <c r="E966" s="14"/>
      <c r="F966" s="14"/>
      <c r="G966" s="14"/>
      <c r="H966" s="14" t="s">
        <v>18128</v>
      </c>
    </row>
    <row r="967" spans="1:8" ht="76.5" x14ac:dyDescent="0.2">
      <c r="A967" s="76" t="s">
        <v>18129</v>
      </c>
      <c r="B967" s="76" t="s">
        <v>5232</v>
      </c>
      <c r="C967" s="76" t="s">
        <v>5233</v>
      </c>
      <c r="D967" s="76"/>
      <c r="E967" s="76"/>
      <c r="F967" s="76"/>
      <c r="G967" s="76"/>
      <c r="H967" s="75" t="s">
        <v>18130</v>
      </c>
    </row>
    <row r="968" spans="1:8" ht="153" x14ac:dyDescent="0.2">
      <c r="A968" s="73" t="s">
        <v>18131</v>
      </c>
      <c r="B968" s="73" t="s">
        <v>5235</v>
      </c>
      <c r="C968" s="73" t="s">
        <v>5236</v>
      </c>
      <c r="D968" s="73"/>
      <c r="E968" s="73"/>
      <c r="F968" s="73"/>
      <c r="G968" s="73"/>
      <c r="H968" s="74" t="s">
        <v>18132</v>
      </c>
    </row>
    <row r="969" spans="1:8" ht="89.25" x14ac:dyDescent="0.2">
      <c r="A969" s="76" t="s">
        <v>18133</v>
      </c>
      <c r="B969" s="76" t="s">
        <v>5238</v>
      </c>
      <c r="C969" s="76" t="s">
        <v>5239</v>
      </c>
      <c r="D969" s="76"/>
      <c r="E969" s="76"/>
      <c r="F969" s="76"/>
      <c r="G969" s="76"/>
      <c r="H969" s="75" t="s">
        <v>18134</v>
      </c>
    </row>
    <row r="970" spans="1:8" ht="76.5" x14ac:dyDescent="0.2">
      <c r="A970" s="73" t="s">
        <v>18135</v>
      </c>
      <c r="B970" s="73" t="s">
        <v>5241</v>
      </c>
      <c r="C970" s="73" t="s">
        <v>18136</v>
      </c>
      <c r="D970" s="73"/>
      <c r="E970" s="73"/>
      <c r="F970" s="73"/>
      <c r="G970" s="73"/>
      <c r="H970" s="74" t="s">
        <v>18137</v>
      </c>
    </row>
    <row r="971" spans="1:8" ht="76.5" x14ac:dyDescent="0.2">
      <c r="A971" s="76" t="s">
        <v>18138</v>
      </c>
      <c r="B971" s="76" t="s">
        <v>5244</v>
      </c>
      <c r="C971" s="76" t="s">
        <v>5245</v>
      </c>
      <c r="D971" s="76"/>
      <c r="E971" s="76"/>
      <c r="F971" s="76"/>
      <c r="G971" s="76"/>
      <c r="H971" s="75" t="s">
        <v>18139</v>
      </c>
    </row>
    <row r="972" spans="1:8" ht="333" x14ac:dyDescent="0.2">
      <c r="A972" s="46" t="s">
        <v>18140</v>
      </c>
      <c r="B972" s="46" t="s">
        <v>5247</v>
      </c>
      <c r="C972" s="46" t="s">
        <v>5248</v>
      </c>
      <c r="D972" s="46"/>
      <c r="E972" s="46"/>
      <c r="F972" s="46"/>
      <c r="G972" s="46"/>
      <c r="H972" s="75" t="s">
        <v>18141</v>
      </c>
    </row>
    <row r="973" spans="1:8" ht="255" x14ac:dyDescent="0.2">
      <c r="A973" s="46" t="s">
        <v>18142</v>
      </c>
      <c r="B973" s="46" t="s">
        <v>5250</v>
      </c>
      <c r="C973" s="46" t="s">
        <v>5251</v>
      </c>
      <c r="D973" s="46"/>
      <c r="E973" s="46"/>
      <c r="F973" s="46"/>
      <c r="G973" s="46"/>
      <c r="H973" s="75" t="s">
        <v>18143</v>
      </c>
    </row>
    <row r="974" spans="1:8" ht="240" x14ac:dyDescent="0.2">
      <c r="A974" s="75"/>
      <c r="B974" s="75"/>
      <c r="C974" s="75"/>
      <c r="D974" s="75"/>
      <c r="E974" s="75"/>
      <c r="F974" s="75"/>
      <c r="G974" s="75"/>
      <c r="H974" s="75" t="s">
        <v>18144</v>
      </c>
    </row>
    <row r="975" spans="1:8" ht="153" x14ac:dyDescent="0.2">
      <c r="A975" s="73" t="s">
        <v>18145</v>
      </c>
      <c r="B975" s="73" t="s">
        <v>5253</v>
      </c>
      <c r="C975" s="73" t="s">
        <v>5254</v>
      </c>
      <c r="D975" s="73"/>
      <c r="E975" s="73"/>
      <c r="F975" s="73"/>
      <c r="G975" s="73"/>
      <c r="H975" s="74" t="s">
        <v>18146</v>
      </c>
    </row>
    <row r="976" spans="1:8" ht="114.75" x14ac:dyDescent="0.2">
      <c r="A976" s="76" t="s">
        <v>18147</v>
      </c>
      <c r="B976" s="76" t="s">
        <v>5256</v>
      </c>
      <c r="C976" s="76" t="s">
        <v>5257</v>
      </c>
      <c r="D976" s="76"/>
      <c r="E976" s="76"/>
      <c r="F976" s="76"/>
      <c r="G976" s="76"/>
      <c r="H976" s="75" t="s">
        <v>18148</v>
      </c>
    </row>
    <row r="977" spans="1:8" ht="76.5" x14ac:dyDescent="0.2">
      <c r="A977" s="73" t="s">
        <v>18149</v>
      </c>
      <c r="B977" s="73" t="s">
        <v>5259</v>
      </c>
      <c r="C977" s="73" t="s">
        <v>5260</v>
      </c>
      <c r="D977" s="73"/>
      <c r="E977" s="73"/>
      <c r="F977" s="73"/>
      <c r="G977" s="73"/>
      <c r="H977" s="74" t="s">
        <v>18150</v>
      </c>
    </row>
    <row r="978" spans="1:8" ht="63.75" x14ac:dyDescent="0.2">
      <c r="A978" s="73" t="s">
        <v>18151</v>
      </c>
      <c r="B978" s="73" t="s">
        <v>5262</v>
      </c>
      <c r="C978" s="73" t="s">
        <v>5263</v>
      </c>
      <c r="D978" s="73"/>
      <c r="E978" s="73"/>
      <c r="F978" s="73"/>
      <c r="G978" s="73"/>
      <c r="H978" s="74" t="s">
        <v>18152</v>
      </c>
    </row>
    <row r="979" spans="1:8" ht="102" x14ac:dyDescent="0.2">
      <c r="A979" s="76" t="s">
        <v>18153</v>
      </c>
      <c r="B979" s="76" t="s">
        <v>5265</v>
      </c>
      <c r="C979" s="76" t="s">
        <v>5266</v>
      </c>
      <c r="D979" s="76"/>
      <c r="E979" s="76"/>
      <c r="F979" s="76"/>
      <c r="G979" s="76"/>
      <c r="H979" s="75" t="s">
        <v>18154</v>
      </c>
    </row>
    <row r="980" spans="1:8" ht="89.25" x14ac:dyDescent="0.2">
      <c r="A980" s="73" t="s">
        <v>18155</v>
      </c>
      <c r="B980" s="73" t="s">
        <v>5268</v>
      </c>
      <c r="C980" s="73" t="s">
        <v>5269</v>
      </c>
      <c r="D980" s="73"/>
      <c r="E980" s="73"/>
      <c r="F980" s="73"/>
      <c r="G980" s="73"/>
      <c r="H980" s="74" t="s">
        <v>18156</v>
      </c>
    </row>
    <row r="981" spans="1:8" ht="76.5" x14ac:dyDescent="0.2">
      <c r="A981" s="76" t="s">
        <v>18157</v>
      </c>
      <c r="B981" s="76" t="s">
        <v>5271</v>
      </c>
      <c r="C981" s="76" t="s">
        <v>18158</v>
      </c>
      <c r="D981" s="76"/>
      <c r="E981" s="76"/>
      <c r="F981" s="76"/>
      <c r="G981" s="76"/>
      <c r="H981" s="75" t="s">
        <v>18159</v>
      </c>
    </row>
    <row r="982" spans="1:8" ht="102" x14ac:dyDescent="0.2">
      <c r="A982" s="14" t="s">
        <v>18160</v>
      </c>
      <c r="B982" s="14" t="s">
        <v>5274</v>
      </c>
      <c r="C982" s="14" t="s">
        <v>5275</v>
      </c>
      <c r="D982" s="14"/>
      <c r="E982" s="14"/>
      <c r="F982" s="14"/>
      <c r="G982" s="14"/>
      <c r="H982" s="74" t="s">
        <v>18161</v>
      </c>
    </row>
    <row r="983" spans="1:8" ht="102" x14ac:dyDescent="0.2">
      <c r="A983" s="76" t="s">
        <v>18162</v>
      </c>
      <c r="B983" s="76" t="s">
        <v>5277</v>
      </c>
      <c r="C983" s="76" t="s">
        <v>5278</v>
      </c>
      <c r="D983" s="76"/>
      <c r="E983" s="76"/>
      <c r="F983" s="76"/>
      <c r="G983" s="76"/>
      <c r="H983" s="75" t="s">
        <v>18163</v>
      </c>
    </row>
    <row r="984" spans="1:8" ht="89.25" x14ac:dyDescent="0.2">
      <c r="A984" s="76" t="s">
        <v>18164</v>
      </c>
      <c r="B984" s="76" t="s">
        <v>5280</v>
      </c>
      <c r="C984" s="76" t="s">
        <v>5281</v>
      </c>
      <c r="D984" s="76"/>
      <c r="E984" s="76"/>
      <c r="F984" s="76"/>
      <c r="G984" s="76"/>
      <c r="H984" s="75" t="s">
        <v>18165</v>
      </c>
    </row>
    <row r="985" spans="1:8" ht="255" x14ac:dyDescent="0.2">
      <c r="A985" s="49" t="s">
        <v>18166</v>
      </c>
      <c r="B985" s="49" t="s">
        <v>5283</v>
      </c>
      <c r="C985" s="49" t="s">
        <v>18167</v>
      </c>
      <c r="D985" s="49"/>
      <c r="E985" s="49"/>
      <c r="F985" s="49"/>
      <c r="G985" s="49"/>
      <c r="H985" s="75" t="s">
        <v>18168</v>
      </c>
    </row>
    <row r="986" spans="1:8" ht="102" x14ac:dyDescent="0.2">
      <c r="A986" s="76" t="s">
        <v>18169</v>
      </c>
      <c r="B986" s="76" t="s">
        <v>5286</v>
      </c>
      <c r="C986" s="76" t="s">
        <v>5287</v>
      </c>
      <c r="D986" s="76"/>
      <c r="E986" s="76"/>
      <c r="F986" s="76"/>
      <c r="G986" s="76"/>
      <c r="H986" s="75" t="s">
        <v>18170</v>
      </c>
    </row>
    <row r="987" spans="1:8" ht="282" x14ac:dyDescent="0.2">
      <c r="A987" s="46" t="s">
        <v>18171</v>
      </c>
      <c r="B987" s="46" t="s">
        <v>5291</v>
      </c>
      <c r="C987" s="46" t="s">
        <v>5292</v>
      </c>
      <c r="D987" s="46"/>
      <c r="E987" s="46"/>
      <c r="F987" s="46"/>
      <c r="G987" s="46"/>
      <c r="H987" s="75" t="s">
        <v>18172</v>
      </c>
    </row>
    <row r="988" spans="1:8" ht="255" x14ac:dyDescent="0.2">
      <c r="A988" s="46" t="s">
        <v>18173</v>
      </c>
      <c r="B988" s="46" t="s">
        <v>5294</v>
      </c>
      <c r="C988" s="46" t="s">
        <v>5295</v>
      </c>
      <c r="D988" s="46"/>
      <c r="E988" s="46"/>
      <c r="F988" s="46"/>
      <c r="G988" s="46"/>
      <c r="H988" s="76" t="s">
        <v>18174</v>
      </c>
    </row>
    <row r="989" spans="1:8" ht="282" x14ac:dyDescent="0.2">
      <c r="A989" s="46" t="s">
        <v>18175</v>
      </c>
      <c r="B989" s="46" t="s">
        <v>5297</v>
      </c>
      <c r="C989" s="46" t="s">
        <v>5298</v>
      </c>
      <c r="D989" s="46"/>
      <c r="E989" s="46"/>
      <c r="F989" s="46"/>
      <c r="G989" s="46"/>
      <c r="H989" s="75" t="s">
        <v>18176</v>
      </c>
    </row>
    <row r="990" spans="1:8" ht="165.75" x14ac:dyDescent="0.2">
      <c r="A990" s="75" t="s">
        <v>18177</v>
      </c>
      <c r="B990" s="75" t="s">
        <v>5302</v>
      </c>
      <c r="C990" s="75" t="s">
        <v>18178</v>
      </c>
      <c r="D990" s="75"/>
      <c r="E990" s="75"/>
      <c r="F990" s="75"/>
      <c r="G990" s="75"/>
      <c r="H990" s="75" t="s">
        <v>18179</v>
      </c>
    </row>
    <row r="991" spans="1:8" ht="140.25" x14ac:dyDescent="0.2">
      <c r="A991" s="22" t="s">
        <v>18180</v>
      </c>
      <c r="B991" s="22" t="s">
        <v>5309</v>
      </c>
      <c r="C991" s="22" t="s">
        <v>18181</v>
      </c>
      <c r="D991" s="22"/>
      <c r="E991" s="22"/>
      <c r="F991" s="22"/>
      <c r="G991" s="22"/>
      <c r="H991" s="73" t="s">
        <v>18182</v>
      </c>
    </row>
    <row r="992" spans="1:8" ht="89.25" x14ac:dyDescent="0.2">
      <c r="A992" s="49" t="s">
        <v>18183</v>
      </c>
      <c r="B992" s="49" t="s">
        <v>5336</v>
      </c>
      <c r="C992" s="49" t="s">
        <v>18184</v>
      </c>
      <c r="D992" s="49"/>
      <c r="E992" s="49"/>
      <c r="F992" s="49"/>
      <c r="G992" s="49"/>
      <c r="H992" s="75" t="s">
        <v>18185</v>
      </c>
    </row>
    <row r="993" spans="1:8" ht="89.25" x14ac:dyDescent="0.2">
      <c r="A993" s="22" t="s">
        <v>18186</v>
      </c>
      <c r="B993" s="22" t="s">
        <v>5339</v>
      </c>
      <c r="C993" s="22" t="s">
        <v>18187</v>
      </c>
      <c r="D993" s="22"/>
      <c r="E993" s="22"/>
      <c r="F993" s="22"/>
      <c r="G993" s="22"/>
      <c r="H993" s="74" t="s">
        <v>18188</v>
      </c>
    </row>
    <row r="994" spans="1:8" ht="89.25" x14ac:dyDescent="0.2">
      <c r="A994" s="22" t="s">
        <v>18189</v>
      </c>
      <c r="B994" s="22" t="s">
        <v>5342</v>
      </c>
      <c r="C994" s="22" t="s">
        <v>18190</v>
      </c>
      <c r="D994" s="22"/>
      <c r="E994" s="22"/>
      <c r="F994" s="22"/>
      <c r="G994" s="22"/>
      <c r="H994" s="74" t="s">
        <v>18191</v>
      </c>
    </row>
    <row r="995" spans="1:8" ht="89.25" x14ac:dyDescent="0.2">
      <c r="A995" s="49" t="s">
        <v>18192</v>
      </c>
      <c r="B995" s="49" t="s">
        <v>5345</v>
      </c>
      <c r="C995" s="49" t="s">
        <v>18193</v>
      </c>
      <c r="D995" s="49"/>
      <c r="E995" s="49"/>
      <c r="F995" s="49"/>
      <c r="G995" s="49"/>
      <c r="H995" s="75" t="s">
        <v>18194</v>
      </c>
    </row>
    <row r="996" spans="1:8" ht="89.25" x14ac:dyDescent="0.2">
      <c r="A996" s="22" t="s">
        <v>18195</v>
      </c>
      <c r="B996" s="22" t="s">
        <v>5348</v>
      </c>
      <c r="C996" s="22" t="s">
        <v>18196</v>
      </c>
      <c r="D996" s="22"/>
      <c r="E996" s="22"/>
      <c r="F996" s="22"/>
      <c r="G996" s="22"/>
      <c r="H996" s="74" t="s">
        <v>18197</v>
      </c>
    </row>
    <row r="997" spans="1:8" ht="89.25" x14ac:dyDescent="0.2">
      <c r="A997" s="22" t="s">
        <v>18198</v>
      </c>
      <c r="B997" s="22" t="s">
        <v>5351</v>
      </c>
      <c r="C997" s="22" t="s">
        <v>18199</v>
      </c>
      <c r="D997" s="22"/>
      <c r="E997" s="22"/>
      <c r="F997" s="22"/>
      <c r="G997" s="22"/>
      <c r="H997" s="74" t="s">
        <v>18200</v>
      </c>
    </row>
    <row r="998" spans="1:8" ht="76.5" x14ac:dyDescent="0.2">
      <c r="A998" s="46" t="s">
        <v>18201</v>
      </c>
      <c r="B998" s="46" t="s">
        <v>5354</v>
      </c>
      <c r="C998" s="46" t="s">
        <v>5355</v>
      </c>
      <c r="D998" s="46"/>
      <c r="E998" s="46"/>
      <c r="F998" s="46"/>
      <c r="G998" s="46"/>
      <c r="H998" s="75" t="s">
        <v>18202</v>
      </c>
    </row>
    <row r="999" spans="1:8" ht="63.75" x14ac:dyDescent="0.2">
      <c r="A999" s="14" t="s">
        <v>18203</v>
      </c>
      <c r="B999" s="14" t="s">
        <v>5363</v>
      </c>
      <c r="C999" s="14" t="s">
        <v>5364</v>
      </c>
      <c r="D999" s="14"/>
      <c r="E999" s="14"/>
      <c r="F999" s="14"/>
      <c r="G999" s="14"/>
      <c r="H999" s="74" t="s">
        <v>18204</v>
      </c>
    </row>
    <row r="1000" spans="1:8" ht="76.5" x14ac:dyDescent="0.2">
      <c r="A1000" s="14" t="s">
        <v>18205</v>
      </c>
      <c r="B1000" s="14" t="s">
        <v>5366</v>
      </c>
      <c r="C1000" s="14" t="s">
        <v>5367</v>
      </c>
      <c r="D1000" s="14"/>
      <c r="E1000" s="14"/>
      <c r="F1000" s="14"/>
      <c r="G1000" s="14"/>
      <c r="H1000" s="74" t="s">
        <v>18206</v>
      </c>
    </row>
    <row r="1001" spans="1:8" ht="76.5" x14ac:dyDescent="0.2">
      <c r="A1001" s="46" t="s">
        <v>18207</v>
      </c>
      <c r="B1001" s="46" t="s">
        <v>5369</v>
      </c>
      <c r="C1001" s="46" t="s">
        <v>5370</v>
      </c>
      <c r="D1001" s="46"/>
      <c r="E1001" s="46"/>
      <c r="F1001" s="46"/>
      <c r="G1001" s="46"/>
      <c r="H1001" s="75" t="s">
        <v>18208</v>
      </c>
    </row>
    <row r="1002" spans="1:8" ht="38.25" x14ac:dyDescent="0.2">
      <c r="A1002" s="14" t="s">
        <v>18209</v>
      </c>
      <c r="B1002" s="14" t="s">
        <v>5372</v>
      </c>
      <c r="C1002" s="14" t="s">
        <v>5373</v>
      </c>
      <c r="D1002" s="14"/>
      <c r="E1002" s="14"/>
      <c r="F1002" s="14"/>
      <c r="G1002" s="14"/>
      <c r="H1002" s="73" t="s">
        <v>18210</v>
      </c>
    </row>
    <row r="1003" spans="1:8" ht="51" x14ac:dyDescent="0.2">
      <c r="A1003" s="14" t="s">
        <v>18211</v>
      </c>
      <c r="B1003" s="14" t="s">
        <v>5375</v>
      </c>
      <c r="C1003" s="14" t="s">
        <v>5376</v>
      </c>
      <c r="D1003" s="14"/>
      <c r="E1003" s="14"/>
      <c r="F1003" s="14"/>
      <c r="G1003" s="14"/>
      <c r="H1003" s="73" t="s">
        <v>18212</v>
      </c>
    </row>
    <row r="1004" spans="1:8" ht="51" x14ac:dyDescent="0.2">
      <c r="A1004" s="46" t="s">
        <v>18213</v>
      </c>
      <c r="B1004" s="46" t="s">
        <v>5378</v>
      </c>
      <c r="C1004" s="46" t="s">
        <v>5379</v>
      </c>
      <c r="D1004" s="46"/>
      <c r="E1004" s="46"/>
      <c r="F1004" s="46"/>
      <c r="G1004" s="46"/>
      <c r="H1004" s="76" t="s">
        <v>18214</v>
      </c>
    </row>
    <row r="1005" spans="1:8" ht="63.75" x14ac:dyDescent="0.2">
      <c r="A1005" s="74" t="s">
        <v>18215</v>
      </c>
      <c r="B1005" s="74" t="s">
        <v>5381</v>
      </c>
      <c r="C1005" s="74" t="s">
        <v>18216</v>
      </c>
      <c r="D1005" s="74"/>
      <c r="E1005" s="74"/>
      <c r="F1005" s="74"/>
      <c r="G1005" s="74"/>
      <c r="H1005" s="73" t="s">
        <v>18217</v>
      </c>
    </row>
    <row r="1006" spans="1:8" ht="63.75" x14ac:dyDescent="0.2">
      <c r="A1006" s="74" t="s">
        <v>18218</v>
      </c>
      <c r="B1006" s="74" t="s">
        <v>5384</v>
      </c>
      <c r="C1006" s="74" t="s">
        <v>18219</v>
      </c>
      <c r="D1006" s="74"/>
      <c r="E1006" s="74"/>
      <c r="F1006" s="74"/>
      <c r="G1006" s="74"/>
      <c r="H1006" s="73" t="s">
        <v>18220</v>
      </c>
    </row>
    <row r="1007" spans="1:8" ht="63.75" x14ac:dyDescent="0.2">
      <c r="A1007" s="46" t="s">
        <v>18221</v>
      </c>
      <c r="B1007" s="46" t="s">
        <v>5387</v>
      </c>
      <c r="C1007" s="46" t="s">
        <v>18222</v>
      </c>
      <c r="D1007" s="46"/>
      <c r="E1007" s="46"/>
      <c r="F1007" s="46"/>
      <c r="G1007" s="46"/>
      <c r="H1007" s="75" t="s">
        <v>18223</v>
      </c>
    </row>
    <row r="1008" spans="1:8" ht="63.75" x14ac:dyDescent="0.2">
      <c r="A1008" s="14" t="s">
        <v>18224</v>
      </c>
      <c r="B1008" s="14" t="s">
        <v>5390</v>
      </c>
      <c r="C1008" s="14" t="s">
        <v>5391</v>
      </c>
      <c r="D1008" s="14"/>
      <c r="E1008" s="14"/>
      <c r="F1008" s="14"/>
      <c r="G1008" s="14"/>
      <c r="H1008" s="74" t="s">
        <v>18225</v>
      </c>
    </row>
    <row r="1009" spans="1:8" ht="63.75" x14ac:dyDescent="0.2">
      <c r="A1009" s="14" t="s">
        <v>18226</v>
      </c>
      <c r="B1009" s="14" t="s">
        <v>5393</v>
      </c>
      <c r="C1009" s="14" t="s">
        <v>5394</v>
      </c>
      <c r="D1009" s="14"/>
      <c r="E1009" s="14"/>
      <c r="F1009" s="14"/>
      <c r="G1009" s="14"/>
      <c r="H1009" s="74" t="s">
        <v>18227</v>
      </c>
    </row>
    <row r="1010" spans="1:8" ht="114.75" x14ac:dyDescent="0.2">
      <c r="A1010" s="46" t="s">
        <v>18228</v>
      </c>
      <c r="B1010" s="46" t="s">
        <v>5396</v>
      </c>
      <c r="C1010" s="46" t="s">
        <v>5397</v>
      </c>
      <c r="D1010" s="46"/>
      <c r="E1010" s="46"/>
      <c r="F1010" s="46"/>
      <c r="G1010" s="46"/>
      <c r="H1010" s="75" t="s">
        <v>18229</v>
      </c>
    </row>
    <row r="1011" spans="1:8" ht="102" x14ac:dyDescent="0.2">
      <c r="A1011" s="14" t="s">
        <v>18230</v>
      </c>
      <c r="B1011" s="14" t="s">
        <v>5399</v>
      </c>
      <c r="C1011" s="14" t="s">
        <v>5400</v>
      </c>
      <c r="D1011" s="14"/>
      <c r="E1011" s="14"/>
      <c r="F1011" s="14"/>
      <c r="G1011" s="14"/>
      <c r="H1011" s="74" t="s">
        <v>18231</v>
      </c>
    </row>
    <row r="1012" spans="1:8" ht="102" x14ac:dyDescent="0.2">
      <c r="A1012" s="46" t="s">
        <v>18232</v>
      </c>
      <c r="B1012" s="46" t="s">
        <v>5402</v>
      </c>
      <c r="C1012" s="46" t="s">
        <v>5403</v>
      </c>
      <c r="D1012" s="46"/>
      <c r="E1012" s="46"/>
      <c r="F1012" s="46"/>
      <c r="G1012" s="46"/>
      <c r="H1012" s="75" t="s">
        <v>18233</v>
      </c>
    </row>
    <row r="1013" spans="1:8" ht="114.75" x14ac:dyDescent="0.2">
      <c r="A1013" s="75" t="s">
        <v>18234</v>
      </c>
      <c r="B1013" s="75" t="s">
        <v>5425</v>
      </c>
      <c r="C1013" s="75" t="s">
        <v>18235</v>
      </c>
      <c r="D1013" s="75"/>
      <c r="E1013" s="75"/>
      <c r="F1013" s="75"/>
      <c r="G1013" s="75"/>
      <c r="H1013" s="75" t="s">
        <v>18236</v>
      </c>
    </row>
    <row r="1014" spans="1:8" ht="191.25" x14ac:dyDescent="0.2">
      <c r="A1014" s="46" t="s">
        <v>18237</v>
      </c>
      <c r="B1014" s="46" t="s">
        <v>5430</v>
      </c>
      <c r="C1014" s="46" t="s">
        <v>5431</v>
      </c>
      <c r="D1014" s="46"/>
      <c r="E1014" s="46"/>
      <c r="F1014" s="46"/>
      <c r="G1014" s="46"/>
      <c r="H1014" s="76" t="s">
        <v>18238</v>
      </c>
    </row>
    <row r="1015" spans="1:8" ht="153" x14ac:dyDescent="0.2">
      <c r="A1015" s="14" t="s">
        <v>18239</v>
      </c>
      <c r="B1015" s="14" t="s">
        <v>5433</v>
      </c>
      <c r="C1015" s="14" t="s">
        <v>5434</v>
      </c>
      <c r="D1015" s="14"/>
      <c r="E1015" s="14"/>
      <c r="F1015" s="14"/>
      <c r="G1015" s="14"/>
      <c r="H1015" s="74" t="s">
        <v>18240</v>
      </c>
    </row>
    <row r="1016" spans="1:8" ht="76.5" x14ac:dyDescent="0.2">
      <c r="A1016" s="46" t="s">
        <v>18241</v>
      </c>
      <c r="B1016" s="46" t="s">
        <v>5436</v>
      </c>
      <c r="C1016" s="46" t="s">
        <v>5437</v>
      </c>
      <c r="D1016" s="46"/>
      <c r="E1016" s="46"/>
      <c r="F1016" s="46"/>
      <c r="G1016" s="46"/>
      <c r="H1016" s="75" t="s">
        <v>18242</v>
      </c>
    </row>
    <row r="1017" spans="1:8" ht="63.75" x14ac:dyDescent="0.2">
      <c r="A1017" s="14" t="s">
        <v>18243</v>
      </c>
      <c r="B1017" s="14" t="s">
        <v>5439</v>
      </c>
      <c r="C1017" s="14" t="s">
        <v>5440</v>
      </c>
      <c r="D1017" s="14"/>
      <c r="E1017" s="14"/>
      <c r="F1017" s="14"/>
      <c r="G1017" s="14"/>
      <c r="H1017" s="74" t="s">
        <v>18244</v>
      </c>
    </row>
    <row r="1018" spans="1:8" ht="76.5" x14ac:dyDescent="0.2">
      <c r="A1018" s="14" t="s">
        <v>18245</v>
      </c>
      <c r="B1018" s="14" t="s">
        <v>5442</v>
      </c>
      <c r="C1018" s="14" t="s">
        <v>5443</v>
      </c>
      <c r="D1018" s="14"/>
      <c r="E1018" s="14"/>
      <c r="F1018" s="14"/>
      <c r="G1018" s="14"/>
      <c r="H1018" s="74" t="s">
        <v>18246</v>
      </c>
    </row>
    <row r="1019" spans="1:8" ht="76.5" x14ac:dyDescent="0.2">
      <c r="A1019" s="46" t="s">
        <v>18247</v>
      </c>
      <c r="B1019" s="46" t="s">
        <v>5445</v>
      </c>
      <c r="C1019" s="46" t="s">
        <v>5446</v>
      </c>
      <c r="D1019" s="46"/>
      <c r="E1019" s="46"/>
      <c r="F1019" s="46"/>
      <c r="G1019" s="46"/>
      <c r="H1019" s="75" t="s">
        <v>18248</v>
      </c>
    </row>
    <row r="1020" spans="1:8" ht="89.25" x14ac:dyDescent="0.2">
      <c r="A1020" s="75" t="s">
        <v>18249</v>
      </c>
      <c r="B1020" s="75" t="s">
        <v>5448</v>
      </c>
      <c r="C1020" s="75" t="s">
        <v>18250</v>
      </c>
      <c r="D1020" s="75"/>
      <c r="E1020" s="75"/>
      <c r="F1020" s="75"/>
      <c r="G1020" s="75"/>
      <c r="H1020" s="76" t="s">
        <v>18251</v>
      </c>
    </row>
    <row r="1021" spans="1:8" ht="153" x14ac:dyDescent="0.2">
      <c r="A1021" s="14" t="s">
        <v>18252</v>
      </c>
      <c r="B1021" s="14" t="s">
        <v>5451</v>
      </c>
      <c r="C1021" s="14" t="s">
        <v>18253</v>
      </c>
      <c r="D1021" s="14"/>
      <c r="E1021" s="14"/>
      <c r="F1021" s="14"/>
      <c r="G1021" s="14"/>
      <c r="H1021" s="73" t="s">
        <v>18254</v>
      </c>
    </row>
    <row r="1022" spans="1:8" ht="38.25" x14ac:dyDescent="0.2">
      <c r="A1022" s="46" t="s">
        <v>18255</v>
      </c>
      <c r="B1022" s="46" t="s">
        <v>5454</v>
      </c>
      <c r="C1022" s="46" t="s">
        <v>5455</v>
      </c>
      <c r="D1022" s="46"/>
      <c r="E1022" s="46"/>
      <c r="F1022" s="46"/>
      <c r="G1022" s="46"/>
      <c r="H1022" s="76" t="s">
        <v>18256</v>
      </c>
    </row>
    <row r="1023" spans="1:8" ht="51" x14ac:dyDescent="0.2">
      <c r="A1023" s="74" t="s">
        <v>18257</v>
      </c>
      <c r="B1023" s="74" t="s">
        <v>5457</v>
      </c>
      <c r="C1023" s="74" t="s">
        <v>18258</v>
      </c>
      <c r="D1023" s="74"/>
      <c r="E1023" s="74"/>
      <c r="F1023" s="74"/>
      <c r="G1023" s="74"/>
      <c r="H1023" s="74" t="s">
        <v>18259</v>
      </c>
    </row>
    <row r="1024" spans="1:8" ht="38.25" x14ac:dyDescent="0.2">
      <c r="A1024" s="14" t="s">
        <v>18260</v>
      </c>
      <c r="B1024" s="14" t="s">
        <v>5460</v>
      </c>
      <c r="C1024" s="14" t="s">
        <v>18261</v>
      </c>
      <c r="D1024" s="14"/>
      <c r="E1024" s="14"/>
      <c r="F1024" s="14"/>
      <c r="G1024" s="14"/>
      <c r="H1024" s="73" t="s">
        <v>18262</v>
      </c>
    </row>
    <row r="1025" spans="1:8" ht="51" x14ac:dyDescent="0.2">
      <c r="A1025" s="75" t="s">
        <v>18263</v>
      </c>
      <c r="B1025" s="75" t="s">
        <v>5463</v>
      </c>
      <c r="C1025" s="75" t="s">
        <v>18264</v>
      </c>
      <c r="D1025" s="75"/>
      <c r="E1025" s="75"/>
      <c r="F1025" s="75"/>
      <c r="G1025" s="75"/>
      <c r="H1025" s="75" t="s">
        <v>18265</v>
      </c>
    </row>
    <row r="1026" spans="1:8" ht="38.25" x14ac:dyDescent="0.2">
      <c r="A1026" s="14" t="s">
        <v>18266</v>
      </c>
      <c r="B1026" s="14" t="s">
        <v>5466</v>
      </c>
      <c r="C1026" s="14" t="s">
        <v>5467</v>
      </c>
      <c r="D1026" s="14"/>
      <c r="E1026" s="14"/>
      <c r="F1026" s="14"/>
      <c r="G1026" s="14"/>
      <c r="H1026" s="73" t="s">
        <v>18267</v>
      </c>
    </row>
    <row r="1027" spans="1:8" ht="51" x14ac:dyDescent="0.2">
      <c r="A1027" s="74" t="s">
        <v>18268</v>
      </c>
      <c r="B1027" s="74" t="s">
        <v>5469</v>
      </c>
      <c r="C1027" s="74" t="s">
        <v>18269</v>
      </c>
      <c r="D1027" s="74"/>
      <c r="E1027" s="74"/>
      <c r="F1027" s="74"/>
      <c r="G1027" s="74"/>
      <c r="H1027" s="74" t="s">
        <v>18270</v>
      </c>
    </row>
    <row r="1028" spans="1:8" ht="63.75" x14ac:dyDescent="0.2">
      <c r="A1028" s="76" t="s">
        <v>18271</v>
      </c>
      <c r="B1028" s="76" t="s">
        <v>5472</v>
      </c>
      <c r="C1028" s="76" t="s">
        <v>5473</v>
      </c>
      <c r="D1028" s="76"/>
      <c r="E1028" s="76"/>
      <c r="F1028" s="76"/>
      <c r="G1028" s="76"/>
      <c r="H1028" s="75" t="s">
        <v>18272</v>
      </c>
    </row>
    <row r="1029" spans="1:8" ht="63.75" x14ac:dyDescent="0.2">
      <c r="A1029" s="74" t="s">
        <v>18273</v>
      </c>
      <c r="B1029" s="74" t="s">
        <v>5475</v>
      </c>
      <c r="C1029" s="74" t="s">
        <v>18274</v>
      </c>
      <c r="D1029" s="74"/>
      <c r="E1029" s="74"/>
      <c r="F1029" s="74"/>
      <c r="G1029" s="74"/>
      <c r="H1029" s="74" t="s">
        <v>18275</v>
      </c>
    </row>
    <row r="1030" spans="1:8" ht="38.25" x14ac:dyDescent="0.2">
      <c r="A1030" s="74" t="s">
        <v>18276</v>
      </c>
      <c r="B1030" s="74" t="s">
        <v>5478</v>
      </c>
      <c r="C1030" s="74" t="s">
        <v>18277</v>
      </c>
      <c r="D1030" s="74"/>
      <c r="E1030" s="74"/>
      <c r="F1030" s="74"/>
      <c r="G1030" s="74"/>
      <c r="H1030" s="74" t="s">
        <v>18278</v>
      </c>
    </row>
    <row r="1031" spans="1:8" ht="38.25" x14ac:dyDescent="0.2">
      <c r="A1031" s="46" t="s">
        <v>18279</v>
      </c>
      <c r="B1031" s="46" t="s">
        <v>5481</v>
      </c>
      <c r="C1031" s="46" t="s">
        <v>18280</v>
      </c>
      <c r="D1031" s="46"/>
      <c r="E1031" s="46"/>
      <c r="F1031" s="46"/>
      <c r="G1031" s="46"/>
      <c r="H1031" s="75" t="s">
        <v>18281</v>
      </c>
    </row>
    <row r="1032" spans="1:8" ht="25.5" x14ac:dyDescent="0.2">
      <c r="A1032" s="14" t="s">
        <v>18282</v>
      </c>
      <c r="B1032" s="14" t="s">
        <v>5484</v>
      </c>
      <c r="C1032" s="14" t="s">
        <v>18283</v>
      </c>
      <c r="D1032" s="14"/>
      <c r="E1032" s="14"/>
      <c r="F1032" s="14"/>
      <c r="G1032" s="14"/>
      <c r="H1032" s="73" t="s">
        <v>18284</v>
      </c>
    </row>
    <row r="1033" spans="1:8" ht="25.5" x14ac:dyDescent="0.2">
      <c r="A1033" s="14" t="s">
        <v>18285</v>
      </c>
      <c r="B1033" s="14" t="s">
        <v>5487</v>
      </c>
      <c r="C1033" s="14" t="s">
        <v>18286</v>
      </c>
      <c r="D1033" s="14"/>
      <c r="E1033" s="14"/>
      <c r="F1033" s="14"/>
      <c r="G1033" s="14"/>
      <c r="H1033" s="73" t="s">
        <v>18287</v>
      </c>
    </row>
    <row r="1034" spans="1:8" ht="38.25" x14ac:dyDescent="0.2">
      <c r="A1034" s="76" t="s">
        <v>18288</v>
      </c>
      <c r="B1034" s="76" t="s">
        <v>5490</v>
      </c>
      <c r="C1034" s="76" t="s">
        <v>18289</v>
      </c>
      <c r="D1034" s="76"/>
      <c r="E1034" s="76"/>
      <c r="F1034" s="76"/>
      <c r="G1034" s="76"/>
      <c r="H1034" s="75" t="s">
        <v>18290</v>
      </c>
    </row>
    <row r="1035" spans="1:8" ht="25.5" x14ac:dyDescent="0.2">
      <c r="A1035" s="73" t="s">
        <v>18291</v>
      </c>
      <c r="B1035" s="73" t="s">
        <v>5493</v>
      </c>
      <c r="C1035" s="73" t="s">
        <v>18292</v>
      </c>
      <c r="D1035" s="73"/>
      <c r="E1035" s="73"/>
      <c r="F1035" s="73"/>
      <c r="G1035" s="73"/>
      <c r="H1035" s="73" t="s">
        <v>18293</v>
      </c>
    </row>
    <row r="1036" spans="1:8" ht="38.25" x14ac:dyDescent="0.2">
      <c r="A1036" s="46" t="s">
        <v>18294</v>
      </c>
      <c r="B1036" s="46" t="s">
        <v>5496</v>
      </c>
      <c r="C1036" s="46" t="s">
        <v>18295</v>
      </c>
      <c r="D1036" s="46"/>
      <c r="E1036" s="46"/>
      <c r="F1036" s="46"/>
      <c r="G1036" s="46"/>
      <c r="H1036" s="75" t="s">
        <v>18296</v>
      </c>
    </row>
    <row r="1037" spans="1:8" ht="204" x14ac:dyDescent="0.2">
      <c r="A1037" s="46" t="s">
        <v>18297</v>
      </c>
      <c r="B1037" s="46" t="s">
        <v>5499</v>
      </c>
      <c r="C1037" s="46" t="s">
        <v>18298</v>
      </c>
      <c r="D1037" s="46"/>
      <c r="E1037" s="46"/>
      <c r="F1037" s="46"/>
      <c r="G1037" s="46"/>
      <c r="H1037" s="75" t="s">
        <v>18299</v>
      </c>
    </row>
    <row r="1038" spans="1:8" ht="178.5" x14ac:dyDescent="0.2">
      <c r="A1038" s="49" t="s">
        <v>18300</v>
      </c>
      <c r="B1038" s="49" t="s">
        <v>5508</v>
      </c>
      <c r="C1038" s="49" t="s">
        <v>18301</v>
      </c>
      <c r="D1038" s="49"/>
      <c r="E1038" s="49"/>
      <c r="F1038" s="49"/>
      <c r="G1038" s="49"/>
      <c r="H1038" s="75" t="s">
        <v>18302</v>
      </c>
    </row>
    <row r="1039" spans="1:8" ht="153" x14ac:dyDescent="0.2">
      <c r="A1039" s="49" t="s">
        <v>18303</v>
      </c>
      <c r="B1039" s="49" t="s">
        <v>5511</v>
      </c>
      <c r="C1039" s="49" t="s">
        <v>5512</v>
      </c>
      <c r="D1039" s="49"/>
      <c r="E1039" s="49"/>
      <c r="F1039" s="49"/>
      <c r="G1039" s="49"/>
      <c r="H1039" s="75" t="s">
        <v>18304</v>
      </c>
    </row>
    <row r="1040" spans="1:8" ht="153" x14ac:dyDescent="0.2">
      <c r="A1040" s="49" t="s">
        <v>18305</v>
      </c>
      <c r="B1040" s="49" t="s">
        <v>5514</v>
      </c>
      <c r="C1040" s="49" t="s">
        <v>18306</v>
      </c>
      <c r="D1040" s="49"/>
      <c r="E1040" s="49"/>
      <c r="F1040" s="49"/>
      <c r="G1040" s="49"/>
      <c r="H1040" s="75" t="s">
        <v>18307</v>
      </c>
    </row>
    <row r="1041" spans="1:8" ht="267.75" x14ac:dyDescent="0.2">
      <c r="A1041" s="49" t="s">
        <v>18308</v>
      </c>
      <c r="B1041" s="49" t="s">
        <v>5517</v>
      </c>
      <c r="C1041" s="49" t="s">
        <v>18309</v>
      </c>
      <c r="D1041" s="49"/>
      <c r="E1041" s="49"/>
      <c r="F1041" s="49"/>
      <c r="G1041" s="49"/>
      <c r="H1041" s="75" t="s">
        <v>18310</v>
      </c>
    </row>
    <row r="1042" spans="1:8" ht="242.25" x14ac:dyDescent="0.2">
      <c r="A1042" s="49" t="s">
        <v>18311</v>
      </c>
      <c r="B1042" s="49" t="s">
        <v>5520</v>
      </c>
      <c r="C1042" s="49" t="s">
        <v>18312</v>
      </c>
      <c r="D1042" s="49"/>
      <c r="E1042" s="49"/>
      <c r="F1042" s="49"/>
      <c r="G1042" s="49"/>
      <c r="H1042" s="75" t="s">
        <v>18313</v>
      </c>
    </row>
    <row r="1043" spans="1:8" ht="84" x14ac:dyDescent="0.2">
      <c r="A1043" s="75"/>
      <c r="B1043" s="75"/>
      <c r="C1043" s="75"/>
      <c r="D1043" s="75"/>
      <c r="E1043" s="75"/>
      <c r="F1043" s="75"/>
      <c r="G1043" s="75"/>
      <c r="H1043" s="75" t="s">
        <v>18314</v>
      </c>
    </row>
    <row r="1044" spans="1:8" ht="294.75" x14ac:dyDescent="0.2">
      <c r="A1044" s="49" t="s">
        <v>18315</v>
      </c>
      <c r="B1044" s="49" t="s">
        <v>5523</v>
      </c>
      <c r="C1044" s="49" t="s">
        <v>18316</v>
      </c>
      <c r="D1044" s="49"/>
      <c r="E1044" s="49"/>
      <c r="F1044" s="49"/>
      <c r="G1044" s="49"/>
      <c r="H1044" s="75" t="s">
        <v>18317</v>
      </c>
    </row>
    <row r="1045" spans="1:8" ht="204" x14ac:dyDescent="0.2">
      <c r="A1045" s="49" t="s">
        <v>18318</v>
      </c>
      <c r="B1045" s="49" t="s">
        <v>5526</v>
      </c>
      <c r="C1045" s="49" t="s">
        <v>18319</v>
      </c>
      <c r="D1045" s="49"/>
      <c r="E1045" s="49"/>
      <c r="F1045" s="49"/>
      <c r="G1045" s="49"/>
      <c r="H1045" s="75" t="s">
        <v>18320</v>
      </c>
    </row>
    <row r="1046" spans="1:8" ht="216.75" x14ac:dyDescent="0.2">
      <c r="A1046" s="49" t="s">
        <v>18321</v>
      </c>
      <c r="B1046" s="49" t="s">
        <v>5529</v>
      </c>
      <c r="C1046" s="49" t="s">
        <v>18322</v>
      </c>
      <c r="D1046" s="49"/>
      <c r="E1046" s="49"/>
      <c r="F1046" s="49"/>
      <c r="G1046" s="49"/>
      <c r="H1046" s="75" t="s">
        <v>18323</v>
      </c>
    </row>
    <row r="1047" spans="1:8" ht="25.5" x14ac:dyDescent="0.2">
      <c r="A1047" s="74" t="s">
        <v>18324</v>
      </c>
      <c r="B1047" s="74" t="s">
        <v>5554</v>
      </c>
      <c r="C1047" s="74" t="s">
        <v>18325</v>
      </c>
      <c r="D1047" s="74"/>
      <c r="E1047" s="74"/>
      <c r="F1047" s="74"/>
      <c r="G1047" s="74"/>
      <c r="H1047" s="73" t="s">
        <v>18326</v>
      </c>
    </row>
    <row r="1048" spans="1:8" ht="38.25" x14ac:dyDescent="0.2">
      <c r="A1048" s="74" t="s">
        <v>18327</v>
      </c>
      <c r="B1048" s="74" t="s">
        <v>5557</v>
      </c>
      <c r="C1048" s="74" t="s">
        <v>18328</v>
      </c>
      <c r="D1048" s="74"/>
      <c r="E1048" s="74"/>
      <c r="F1048" s="74"/>
      <c r="G1048" s="74"/>
      <c r="H1048" s="73" t="s">
        <v>18329</v>
      </c>
    </row>
    <row r="1049" spans="1:8" ht="38.25" x14ac:dyDescent="0.2">
      <c r="A1049" s="75" t="s">
        <v>18330</v>
      </c>
      <c r="B1049" s="75" t="s">
        <v>5560</v>
      </c>
      <c r="C1049" s="75" t="s">
        <v>18331</v>
      </c>
      <c r="D1049" s="75"/>
      <c r="E1049" s="75"/>
      <c r="F1049" s="75"/>
      <c r="G1049" s="75"/>
      <c r="H1049" s="76" t="s">
        <v>18332</v>
      </c>
    </row>
    <row r="1050" spans="1:8" ht="38.25" x14ac:dyDescent="0.2">
      <c r="A1050" s="74" t="s">
        <v>18333</v>
      </c>
      <c r="B1050" s="74" t="s">
        <v>5562</v>
      </c>
      <c r="C1050" s="74" t="s">
        <v>18334</v>
      </c>
      <c r="D1050" s="74"/>
      <c r="E1050" s="74"/>
      <c r="F1050" s="74"/>
      <c r="G1050" s="74"/>
      <c r="H1050" s="73" t="s">
        <v>18335</v>
      </c>
    </row>
    <row r="1051" spans="1:8" ht="38.25" x14ac:dyDescent="0.2">
      <c r="A1051" s="74" t="s">
        <v>18336</v>
      </c>
      <c r="B1051" s="74" t="s">
        <v>5565</v>
      </c>
      <c r="C1051" s="74" t="s">
        <v>18337</v>
      </c>
      <c r="D1051" s="74"/>
      <c r="E1051" s="74"/>
      <c r="F1051" s="74"/>
      <c r="G1051" s="74"/>
      <c r="H1051" s="73" t="s">
        <v>18338</v>
      </c>
    </row>
    <row r="1052" spans="1:8" ht="38.25" x14ac:dyDescent="0.2">
      <c r="A1052" s="75" t="s">
        <v>18339</v>
      </c>
      <c r="B1052" s="75" t="s">
        <v>5567</v>
      </c>
      <c r="C1052" s="75" t="s">
        <v>18340</v>
      </c>
      <c r="D1052" s="75"/>
      <c r="E1052" s="75"/>
      <c r="F1052" s="75"/>
      <c r="G1052" s="75"/>
      <c r="H1052" s="76" t="s">
        <v>18341</v>
      </c>
    </row>
    <row r="1053" spans="1:8" ht="38.25" x14ac:dyDescent="0.2">
      <c r="A1053" s="74" t="s">
        <v>18342</v>
      </c>
      <c r="B1053" s="74" t="s">
        <v>5569</v>
      </c>
      <c r="C1053" s="74" t="s">
        <v>18343</v>
      </c>
      <c r="D1053" s="74"/>
      <c r="E1053" s="74"/>
      <c r="F1053" s="74"/>
      <c r="G1053" s="74"/>
      <c r="H1053" s="73" t="s">
        <v>18344</v>
      </c>
    </row>
    <row r="1054" spans="1:8" ht="25.5" x14ac:dyDescent="0.2">
      <c r="A1054" s="74" t="s">
        <v>18345</v>
      </c>
      <c r="B1054" s="74" t="s">
        <v>5571</v>
      </c>
      <c r="C1054" s="74" t="s">
        <v>18346</v>
      </c>
      <c r="D1054" s="74"/>
      <c r="E1054" s="74"/>
      <c r="F1054" s="74"/>
      <c r="G1054" s="74"/>
      <c r="H1054" s="73" t="s">
        <v>18347</v>
      </c>
    </row>
    <row r="1055" spans="1:8" ht="25.5" x14ac:dyDescent="0.2">
      <c r="A1055" s="75" t="s">
        <v>18348</v>
      </c>
      <c r="B1055" s="75" t="s">
        <v>5574</v>
      </c>
      <c r="C1055" s="75" t="s">
        <v>18349</v>
      </c>
      <c r="D1055" s="75"/>
      <c r="E1055" s="75"/>
      <c r="F1055" s="75"/>
      <c r="G1055" s="75"/>
      <c r="H1055" s="46" t="s">
        <v>18350</v>
      </c>
    </row>
    <row r="1056" spans="1:8" ht="25.5" x14ac:dyDescent="0.2">
      <c r="A1056" s="74" t="s">
        <v>18351</v>
      </c>
      <c r="B1056" s="74" t="s">
        <v>5577</v>
      </c>
      <c r="C1056" s="74" t="s">
        <v>18352</v>
      </c>
      <c r="D1056" s="74"/>
      <c r="E1056" s="74"/>
      <c r="F1056" s="74"/>
      <c r="G1056" s="74"/>
      <c r="H1056" s="73" t="s">
        <v>18353</v>
      </c>
    </row>
    <row r="1057" spans="1:8" ht="25.5" x14ac:dyDescent="0.2">
      <c r="A1057" s="74" t="s">
        <v>18354</v>
      </c>
      <c r="B1057" s="74" t="s">
        <v>5580</v>
      </c>
      <c r="C1057" s="74" t="s">
        <v>18355</v>
      </c>
      <c r="D1057" s="74"/>
      <c r="E1057" s="74"/>
      <c r="F1057" s="74"/>
      <c r="G1057" s="74"/>
      <c r="H1057" s="73" t="s">
        <v>18356</v>
      </c>
    </row>
    <row r="1058" spans="1:8" ht="25.5" x14ac:dyDescent="0.2">
      <c r="A1058" s="75" t="s">
        <v>18357</v>
      </c>
      <c r="B1058" s="75" t="s">
        <v>5582</v>
      </c>
      <c r="C1058" s="75" t="s">
        <v>18358</v>
      </c>
      <c r="D1058" s="75"/>
      <c r="E1058" s="75"/>
      <c r="F1058" s="75"/>
      <c r="G1058" s="75"/>
      <c r="H1058" s="76" t="s">
        <v>18359</v>
      </c>
    </row>
    <row r="1059" spans="1:8" ht="25.5" x14ac:dyDescent="0.2">
      <c r="A1059" s="74" t="s">
        <v>18360</v>
      </c>
      <c r="B1059" s="74" t="s">
        <v>5584</v>
      </c>
      <c r="C1059" s="74" t="s">
        <v>18361</v>
      </c>
      <c r="D1059" s="74"/>
      <c r="E1059" s="74"/>
      <c r="F1059" s="74"/>
      <c r="G1059" s="74"/>
      <c r="H1059" s="14" t="s">
        <v>18362</v>
      </c>
    </row>
    <row r="1060" spans="1:8" ht="25.5" x14ac:dyDescent="0.2">
      <c r="A1060" s="74" t="s">
        <v>18363</v>
      </c>
      <c r="B1060" s="74" t="s">
        <v>5587</v>
      </c>
      <c r="C1060" s="74" t="s">
        <v>18364</v>
      </c>
      <c r="D1060" s="74"/>
      <c r="E1060" s="74"/>
      <c r="F1060" s="74"/>
      <c r="G1060" s="74"/>
      <c r="H1060" s="73" t="s">
        <v>18365</v>
      </c>
    </row>
    <row r="1061" spans="1:8" ht="38.25" x14ac:dyDescent="0.2">
      <c r="A1061" s="75" t="s">
        <v>18366</v>
      </c>
      <c r="B1061" s="75" t="s">
        <v>5589</v>
      </c>
      <c r="C1061" s="75" t="s">
        <v>18367</v>
      </c>
      <c r="D1061" s="75"/>
      <c r="E1061" s="75"/>
      <c r="F1061" s="75"/>
      <c r="G1061" s="75"/>
      <c r="H1061" s="76" t="s">
        <v>18368</v>
      </c>
    </row>
    <row r="1062" spans="1:8" ht="25.5" x14ac:dyDescent="0.2">
      <c r="A1062" s="74" t="s">
        <v>18369</v>
      </c>
      <c r="B1062" s="74" t="s">
        <v>5592</v>
      </c>
      <c r="C1062" s="74" t="s">
        <v>18370</v>
      </c>
      <c r="D1062" s="74"/>
      <c r="E1062" s="74"/>
      <c r="F1062" s="74"/>
      <c r="G1062" s="74"/>
      <c r="H1062" s="73" t="s">
        <v>18371</v>
      </c>
    </row>
    <row r="1063" spans="1:8" ht="25.5" x14ac:dyDescent="0.2">
      <c r="A1063" s="74" t="s">
        <v>18372</v>
      </c>
      <c r="B1063" s="74" t="s">
        <v>5595</v>
      </c>
      <c r="C1063" s="74" t="s">
        <v>18373</v>
      </c>
      <c r="D1063" s="74"/>
      <c r="E1063" s="74"/>
      <c r="F1063" s="74"/>
      <c r="G1063" s="74"/>
      <c r="H1063" s="73" t="s">
        <v>18374</v>
      </c>
    </row>
    <row r="1064" spans="1:8" ht="63.75" x14ac:dyDescent="0.2">
      <c r="A1064" s="75" t="s">
        <v>18375</v>
      </c>
      <c r="B1064" s="75" t="s">
        <v>5629</v>
      </c>
      <c r="C1064" s="75" t="s">
        <v>18376</v>
      </c>
      <c r="D1064" s="75"/>
      <c r="E1064" s="75"/>
      <c r="F1064" s="75"/>
      <c r="G1064" s="75"/>
      <c r="H1064" s="76" t="s">
        <v>18377</v>
      </c>
    </row>
    <row r="1065" spans="1:8" ht="38.25" x14ac:dyDescent="0.2">
      <c r="A1065" s="74" t="s">
        <v>18378</v>
      </c>
      <c r="B1065" s="74" t="s">
        <v>5632</v>
      </c>
      <c r="C1065" s="74" t="s">
        <v>18379</v>
      </c>
      <c r="D1065" s="74"/>
      <c r="E1065" s="74"/>
      <c r="F1065" s="74"/>
      <c r="G1065" s="74"/>
      <c r="H1065" s="74" t="s">
        <v>18380</v>
      </c>
    </row>
    <row r="1066" spans="1:8" ht="38.25" x14ac:dyDescent="0.2">
      <c r="A1066" s="74" t="s">
        <v>18381</v>
      </c>
      <c r="B1066" s="74" t="s">
        <v>5635</v>
      </c>
      <c r="C1066" s="74" t="s">
        <v>18382</v>
      </c>
      <c r="D1066" s="74"/>
      <c r="E1066" s="74"/>
      <c r="F1066" s="74"/>
      <c r="G1066" s="74"/>
      <c r="H1066" s="74" t="s">
        <v>18383</v>
      </c>
    </row>
    <row r="1067" spans="1:8" ht="63.75" x14ac:dyDescent="0.2">
      <c r="A1067" s="75" t="s">
        <v>18384</v>
      </c>
      <c r="B1067" s="75" t="s">
        <v>5638</v>
      </c>
      <c r="C1067" s="75" t="s">
        <v>18385</v>
      </c>
      <c r="D1067" s="75"/>
      <c r="E1067" s="75"/>
      <c r="F1067" s="75"/>
      <c r="G1067" s="75"/>
      <c r="H1067" s="76" t="s">
        <v>18386</v>
      </c>
    </row>
    <row r="1068" spans="1:8" ht="38.25" x14ac:dyDescent="0.2">
      <c r="A1068" s="74" t="s">
        <v>18387</v>
      </c>
      <c r="B1068" s="74" t="s">
        <v>5643</v>
      </c>
      <c r="C1068" s="74" t="s">
        <v>18388</v>
      </c>
      <c r="D1068" s="74"/>
      <c r="E1068" s="74"/>
      <c r="F1068" s="74"/>
      <c r="G1068" s="74"/>
      <c r="H1068" s="14" t="s">
        <v>18389</v>
      </c>
    </row>
    <row r="1069" spans="1:8" ht="89.25" x14ac:dyDescent="0.2">
      <c r="A1069" s="22" t="s">
        <v>18390</v>
      </c>
      <c r="B1069" s="22" t="s">
        <v>5648</v>
      </c>
      <c r="C1069" s="22" t="s">
        <v>18391</v>
      </c>
      <c r="D1069" s="22"/>
      <c r="E1069" s="22"/>
      <c r="F1069" s="22"/>
      <c r="G1069" s="22"/>
      <c r="H1069" s="74" t="s">
        <v>18392</v>
      </c>
    </row>
    <row r="1070" spans="1:8" ht="12.75" x14ac:dyDescent="0.2">
      <c r="A1070" s="46" t="s">
        <v>18393</v>
      </c>
      <c r="B1070" s="46" t="s">
        <v>5659</v>
      </c>
      <c r="C1070" s="46" t="s">
        <v>5660</v>
      </c>
      <c r="D1070" s="46"/>
      <c r="E1070" s="46"/>
      <c r="F1070" s="46"/>
      <c r="G1070" s="46"/>
      <c r="H1070" s="46" t="s">
        <v>18394</v>
      </c>
    </row>
    <row r="1071" spans="1:8" ht="25.5" x14ac:dyDescent="0.2">
      <c r="A1071" s="74" t="s">
        <v>18395</v>
      </c>
      <c r="B1071" s="74" t="s">
        <v>5662</v>
      </c>
      <c r="C1071" s="74" t="s">
        <v>18396</v>
      </c>
      <c r="D1071" s="74"/>
      <c r="E1071" s="74"/>
      <c r="F1071" s="74"/>
      <c r="G1071" s="74"/>
      <c r="H1071" s="14" t="s">
        <v>18397</v>
      </c>
    </row>
    <row r="1072" spans="1:8" ht="25.5" x14ac:dyDescent="0.2">
      <c r="A1072" s="74" t="s">
        <v>18398</v>
      </c>
      <c r="B1072" s="74" t="s">
        <v>18399</v>
      </c>
      <c r="C1072" s="74"/>
      <c r="D1072" s="74"/>
      <c r="E1072" s="74"/>
      <c r="F1072" s="74"/>
      <c r="G1072" s="74"/>
      <c r="H1072" s="73" t="s">
        <v>18400</v>
      </c>
    </row>
    <row r="1073" spans="1:8" ht="25.5" x14ac:dyDescent="0.2">
      <c r="A1073" s="46" t="s">
        <v>18401</v>
      </c>
      <c r="B1073" s="46" t="s">
        <v>5697</v>
      </c>
      <c r="C1073" s="46" t="s">
        <v>5698</v>
      </c>
      <c r="D1073" s="46"/>
      <c r="E1073" s="46"/>
      <c r="F1073" s="46"/>
      <c r="G1073" s="46"/>
      <c r="H1073" s="76" t="s">
        <v>18402</v>
      </c>
    </row>
    <row r="1074" spans="1:8" ht="63.75" x14ac:dyDescent="0.2">
      <c r="A1074" s="14" t="s">
        <v>18403</v>
      </c>
      <c r="B1074" s="14" t="s">
        <v>5700</v>
      </c>
      <c r="C1074" s="14" t="s">
        <v>5701</v>
      </c>
      <c r="D1074" s="14"/>
      <c r="E1074" s="14"/>
      <c r="F1074" s="14"/>
      <c r="G1074" s="14"/>
      <c r="H1074" s="74" t="s">
        <v>18404</v>
      </c>
    </row>
    <row r="1075" spans="1:8" ht="38.25" x14ac:dyDescent="0.2">
      <c r="A1075" s="74" t="s">
        <v>18405</v>
      </c>
      <c r="B1075" s="74" t="s">
        <v>5710</v>
      </c>
      <c r="C1075" s="74" t="s">
        <v>18406</v>
      </c>
      <c r="D1075" s="74"/>
      <c r="E1075" s="74"/>
      <c r="F1075" s="74"/>
      <c r="G1075" s="74"/>
      <c r="H1075" s="73" t="s">
        <v>18407</v>
      </c>
    </row>
    <row r="1076" spans="1:8" ht="38.25" x14ac:dyDescent="0.2">
      <c r="A1076" s="46" t="s">
        <v>18408</v>
      </c>
      <c r="B1076" s="46" t="s">
        <v>5713</v>
      </c>
      <c r="C1076" s="46" t="s">
        <v>5714</v>
      </c>
      <c r="D1076" s="46"/>
      <c r="E1076" s="46"/>
      <c r="F1076" s="46"/>
      <c r="G1076" s="46"/>
      <c r="H1076" s="76" t="s">
        <v>18409</v>
      </c>
    </row>
    <row r="1077" spans="1:8" ht="25.5" x14ac:dyDescent="0.2">
      <c r="A1077" s="14" t="s">
        <v>18410</v>
      </c>
      <c r="B1077" s="14" t="s">
        <v>5716</v>
      </c>
      <c r="C1077" s="14" t="s">
        <v>5717</v>
      </c>
      <c r="D1077" s="14"/>
      <c r="E1077" s="14"/>
      <c r="F1077" s="14"/>
      <c r="G1077" s="14"/>
      <c r="H1077" s="73" t="s">
        <v>18411</v>
      </c>
    </row>
    <row r="1078" spans="1:8" ht="25.5" x14ac:dyDescent="0.2">
      <c r="A1078" s="74" t="s">
        <v>18412</v>
      </c>
      <c r="B1078" s="74" t="s">
        <v>5721</v>
      </c>
      <c r="C1078" s="74" t="s">
        <v>18413</v>
      </c>
      <c r="D1078" s="74"/>
      <c r="E1078" s="74"/>
      <c r="F1078" s="74"/>
      <c r="G1078" s="74"/>
      <c r="H1078" s="73" t="s">
        <v>18414</v>
      </c>
    </row>
    <row r="1079" spans="1:8" ht="89.25" x14ac:dyDescent="0.2">
      <c r="A1079" s="49" t="s">
        <v>18415</v>
      </c>
      <c r="B1079" s="49" t="s">
        <v>5724</v>
      </c>
      <c r="C1079" s="49" t="s">
        <v>18416</v>
      </c>
      <c r="D1079" s="49"/>
      <c r="E1079" s="49"/>
      <c r="F1079" s="49"/>
      <c r="G1079" s="49"/>
      <c r="H1079" s="75" t="s">
        <v>18417</v>
      </c>
    </row>
    <row r="1080" spans="1:8" ht="51" x14ac:dyDescent="0.2">
      <c r="A1080" s="74" t="s">
        <v>18418</v>
      </c>
      <c r="B1080" s="74" t="s">
        <v>5727</v>
      </c>
      <c r="C1080" s="74" t="s">
        <v>18419</v>
      </c>
      <c r="D1080" s="74"/>
      <c r="E1080" s="74"/>
      <c r="F1080" s="74"/>
      <c r="G1080" s="74"/>
      <c r="H1080" s="74" t="s">
        <v>18420</v>
      </c>
    </row>
    <row r="1081" spans="1:8" ht="38.25" x14ac:dyDescent="0.2">
      <c r="A1081" s="74" t="s">
        <v>18421</v>
      </c>
      <c r="B1081" s="74" t="s">
        <v>5730</v>
      </c>
      <c r="C1081" s="74" t="s">
        <v>18422</v>
      </c>
      <c r="D1081" s="74"/>
      <c r="E1081" s="74"/>
      <c r="F1081" s="74"/>
      <c r="G1081" s="74"/>
      <c r="H1081" s="73" t="s">
        <v>18423</v>
      </c>
    </row>
    <row r="1082" spans="1:8" ht="25.5" x14ac:dyDescent="0.2">
      <c r="A1082" s="75" t="s">
        <v>18424</v>
      </c>
      <c r="B1082" s="75" t="s">
        <v>5733</v>
      </c>
      <c r="C1082" s="75" t="s">
        <v>18425</v>
      </c>
      <c r="D1082" s="75"/>
      <c r="E1082" s="75"/>
      <c r="F1082" s="75"/>
      <c r="G1082" s="75"/>
      <c r="H1082" s="76" t="s">
        <v>18426</v>
      </c>
    </row>
    <row r="1083" spans="1:8" ht="51" x14ac:dyDescent="0.2">
      <c r="A1083" s="14" t="s">
        <v>18427</v>
      </c>
      <c r="B1083" s="14" t="s">
        <v>5736</v>
      </c>
      <c r="C1083" s="14" t="s">
        <v>5737</v>
      </c>
      <c r="D1083" s="14"/>
      <c r="E1083" s="14"/>
      <c r="F1083" s="14"/>
      <c r="G1083" s="14"/>
      <c r="H1083" s="74" t="s">
        <v>18428</v>
      </c>
    </row>
    <row r="1084" spans="1:8" ht="25.5" x14ac:dyDescent="0.2">
      <c r="A1084" s="74" t="s">
        <v>18429</v>
      </c>
      <c r="B1084" s="74" t="s">
        <v>5741</v>
      </c>
      <c r="C1084" s="74" t="s">
        <v>18430</v>
      </c>
      <c r="D1084" s="74"/>
      <c r="E1084" s="74"/>
      <c r="F1084" s="74"/>
      <c r="G1084" s="74"/>
      <c r="H1084" s="74" t="s">
        <v>18431</v>
      </c>
    </row>
    <row r="1085" spans="1:8" ht="51" x14ac:dyDescent="0.2">
      <c r="A1085" s="75" t="s">
        <v>18432</v>
      </c>
      <c r="B1085" s="75" t="s">
        <v>5744</v>
      </c>
      <c r="C1085" s="75" t="s">
        <v>18433</v>
      </c>
      <c r="D1085" s="75"/>
      <c r="E1085" s="75"/>
      <c r="F1085" s="75"/>
      <c r="G1085" s="75"/>
      <c r="H1085" s="75" t="s">
        <v>18434</v>
      </c>
    </row>
    <row r="1086" spans="1:8" ht="25.5" x14ac:dyDescent="0.2">
      <c r="A1086" s="74" t="s">
        <v>18435</v>
      </c>
      <c r="B1086" s="74" t="s">
        <v>5747</v>
      </c>
      <c r="C1086" s="74" t="s">
        <v>18436</v>
      </c>
      <c r="D1086" s="74"/>
      <c r="E1086" s="74"/>
      <c r="F1086" s="74"/>
      <c r="G1086" s="74"/>
      <c r="H1086" s="73" t="s">
        <v>18437</v>
      </c>
    </row>
    <row r="1087" spans="1:8" ht="51" x14ac:dyDescent="0.2">
      <c r="A1087" s="14" t="s">
        <v>18438</v>
      </c>
      <c r="B1087" s="14" t="s">
        <v>5750</v>
      </c>
      <c r="C1087" s="14" t="s">
        <v>5751</v>
      </c>
      <c r="D1087" s="14"/>
      <c r="E1087" s="14"/>
      <c r="F1087" s="14"/>
      <c r="G1087" s="14"/>
      <c r="H1087" s="73" t="s">
        <v>18439</v>
      </c>
    </row>
    <row r="1088" spans="1:8" ht="76.5" x14ac:dyDescent="0.2">
      <c r="A1088" s="49" t="s">
        <v>18440</v>
      </c>
      <c r="B1088" s="49" t="s">
        <v>5755</v>
      </c>
      <c r="C1088" s="49" t="s">
        <v>18441</v>
      </c>
      <c r="D1088" s="49"/>
      <c r="E1088" s="49"/>
      <c r="F1088" s="49"/>
      <c r="G1088" s="49"/>
      <c r="H1088" s="75" t="s">
        <v>18442</v>
      </c>
    </row>
    <row r="1089" spans="1:8" ht="25.5" x14ac:dyDescent="0.2">
      <c r="A1089" s="14" t="s">
        <v>18443</v>
      </c>
      <c r="B1089" s="14" t="s">
        <v>5757</v>
      </c>
      <c r="C1089" s="14" t="s">
        <v>5758</v>
      </c>
      <c r="D1089" s="14"/>
      <c r="E1089" s="14"/>
      <c r="F1089" s="14"/>
      <c r="G1089" s="14"/>
      <c r="H1089" s="73" t="s">
        <v>18444</v>
      </c>
    </row>
    <row r="1090" spans="1:8" ht="89.25" x14ac:dyDescent="0.2">
      <c r="A1090" s="22" t="s">
        <v>18445</v>
      </c>
      <c r="B1090" s="22" t="s">
        <v>5772</v>
      </c>
      <c r="C1090" s="22" t="s">
        <v>18446</v>
      </c>
      <c r="D1090" s="22"/>
      <c r="E1090" s="22"/>
      <c r="F1090" s="22"/>
      <c r="G1090" s="22"/>
      <c r="H1090" s="74" t="s">
        <v>18447</v>
      </c>
    </row>
    <row r="1091" spans="1:8" ht="89.25" x14ac:dyDescent="0.2">
      <c r="A1091" s="49" t="s">
        <v>18448</v>
      </c>
      <c r="B1091" s="49" t="s">
        <v>5775</v>
      </c>
      <c r="C1091" s="49" t="s">
        <v>18449</v>
      </c>
      <c r="D1091" s="49"/>
      <c r="E1091" s="49"/>
      <c r="F1091" s="49"/>
      <c r="G1091" s="49"/>
      <c r="H1091" s="75" t="s">
        <v>18450</v>
      </c>
    </row>
    <row r="1092" spans="1:8" ht="102" x14ac:dyDescent="0.2">
      <c r="A1092" s="22" t="s">
        <v>18451</v>
      </c>
      <c r="B1092" s="22" t="s">
        <v>5778</v>
      </c>
      <c r="C1092" s="22" t="s">
        <v>18452</v>
      </c>
      <c r="D1092" s="22"/>
      <c r="E1092" s="22"/>
      <c r="F1092" s="22"/>
      <c r="G1092" s="22"/>
      <c r="H1092" s="74" t="s">
        <v>18453</v>
      </c>
    </row>
    <row r="1093" spans="1:8" ht="76.5" x14ac:dyDescent="0.2">
      <c r="A1093" s="22" t="s">
        <v>18454</v>
      </c>
      <c r="B1093" s="22" t="s">
        <v>5781</v>
      </c>
      <c r="C1093" s="22" t="s">
        <v>18455</v>
      </c>
      <c r="D1093" s="22"/>
      <c r="E1093" s="22"/>
      <c r="F1093" s="22"/>
      <c r="G1093" s="22"/>
      <c r="H1093" s="74" t="s">
        <v>18456</v>
      </c>
    </row>
    <row r="1094" spans="1:8" ht="76.5" x14ac:dyDescent="0.2">
      <c r="A1094" s="49" t="s">
        <v>18457</v>
      </c>
      <c r="B1094" s="49" t="s">
        <v>5784</v>
      </c>
      <c r="C1094" s="49" t="s">
        <v>18458</v>
      </c>
      <c r="D1094" s="49"/>
      <c r="E1094" s="49"/>
      <c r="F1094" s="49"/>
      <c r="G1094" s="49"/>
      <c r="H1094" s="75" t="s">
        <v>18459</v>
      </c>
    </row>
    <row r="1095" spans="1:8" ht="102" x14ac:dyDescent="0.2">
      <c r="A1095" s="22" t="s">
        <v>18460</v>
      </c>
      <c r="B1095" s="22" t="s">
        <v>5787</v>
      </c>
      <c r="C1095" s="22" t="s">
        <v>18461</v>
      </c>
      <c r="D1095" s="22"/>
      <c r="E1095" s="22"/>
      <c r="F1095" s="22"/>
      <c r="G1095" s="22"/>
      <c r="H1095" s="74" t="s">
        <v>18462</v>
      </c>
    </row>
    <row r="1096" spans="1:8" ht="76.5" x14ac:dyDescent="0.2">
      <c r="A1096" s="49" t="s">
        <v>18463</v>
      </c>
      <c r="B1096" s="49" t="s">
        <v>5790</v>
      </c>
      <c r="C1096" s="49" t="s">
        <v>18464</v>
      </c>
      <c r="D1096" s="49"/>
      <c r="E1096" s="49"/>
      <c r="F1096" s="49"/>
      <c r="G1096" s="49"/>
      <c r="H1096" s="76" t="s">
        <v>18465</v>
      </c>
    </row>
    <row r="1097" spans="1:8" ht="76.5" x14ac:dyDescent="0.2">
      <c r="A1097" s="22" t="s">
        <v>18466</v>
      </c>
      <c r="B1097" s="22" t="s">
        <v>5793</v>
      </c>
      <c r="C1097" s="22" t="s">
        <v>18467</v>
      </c>
      <c r="D1097" s="22"/>
      <c r="E1097" s="22"/>
      <c r="F1097" s="22"/>
      <c r="G1097" s="22"/>
      <c r="H1097" s="73" t="s">
        <v>18468</v>
      </c>
    </row>
    <row r="1098" spans="1:8" ht="76.5" x14ac:dyDescent="0.2">
      <c r="A1098" s="49" t="s">
        <v>18469</v>
      </c>
      <c r="B1098" s="49" t="s">
        <v>5796</v>
      </c>
      <c r="C1098" s="49" t="s">
        <v>18470</v>
      </c>
      <c r="D1098" s="49"/>
      <c r="E1098" s="49"/>
      <c r="F1098" s="49"/>
      <c r="G1098" s="49"/>
      <c r="H1098" s="76" t="s">
        <v>18471</v>
      </c>
    </row>
    <row r="1099" spans="1:8" ht="76.5" x14ac:dyDescent="0.2">
      <c r="A1099" s="22" t="s">
        <v>18472</v>
      </c>
      <c r="B1099" s="22" t="s">
        <v>5799</v>
      </c>
      <c r="C1099" s="22" t="s">
        <v>18473</v>
      </c>
      <c r="D1099" s="22"/>
      <c r="E1099" s="22"/>
      <c r="F1099" s="22"/>
      <c r="G1099" s="22"/>
      <c r="H1099" s="73" t="s">
        <v>18474</v>
      </c>
    </row>
    <row r="1100" spans="1:8" ht="51" x14ac:dyDescent="0.2">
      <c r="A1100" s="74" t="s">
        <v>18475</v>
      </c>
      <c r="B1100" s="74" t="s">
        <v>5816</v>
      </c>
      <c r="C1100" s="74" t="s">
        <v>18476</v>
      </c>
      <c r="D1100" s="74"/>
      <c r="E1100" s="74"/>
      <c r="F1100" s="74"/>
      <c r="G1100" s="74"/>
      <c r="H1100" s="73" t="s">
        <v>18477</v>
      </c>
    </row>
    <row r="1101" spans="1:8" ht="63.75" x14ac:dyDescent="0.2">
      <c r="A1101" s="75" t="s">
        <v>18478</v>
      </c>
      <c r="B1101" s="75" t="s">
        <v>5819</v>
      </c>
      <c r="C1101" s="75" t="s">
        <v>18479</v>
      </c>
      <c r="D1101" s="75"/>
      <c r="E1101" s="75"/>
      <c r="F1101" s="75"/>
      <c r="G1101" s="75"/>
      <c r="H1101" s="76" t="s">
        <v>18480</v>
      </c>
    </row>
    <row r="1102" spans="1:8" ht="63.75" x14ac:dyDescent="0.2">
      <c r="A1102" s="74" t="s">
        <v>18481</v>
      </c>
      <c r="B1102" s="74" t="s">
        <v>5822</v>
      </c>
      <c r="C1102" s="74" t="s">
        <v>18482</v>
      </c>
      <c r="D1102" s="74"/>
      <c r="E1102" s="74"/>
      <c r="F1102" s="74"/>
      <c r="G1102" s="74"/>
      <c r="H1102" s="73" t="s">
        <v>18483</v>
      </c>
    </row>
    <row r="1103" spans="1:8" ht="38.25" x14ac:dyDescent="0.2">
      <c r="A1103" s="74" t="s">
        <v>18484</v>
      </c>
      <c r="B1103" s="74" t="s">
        <v>5825</v>
      </c>
      <c r="C1103" s="74" t="s">
        <v>18485</v>
      </c>
      <c r="D1103" s="74"/>
      <c r="E1103" s="74"/>
      <c r="F1103" s="74"/>
      <c r="G1103" s="74"/>
      <c r="H1103" s="73" t="s">
        <v>18486</v>
      </c>
    </row>
    <row r="1104" spans="1:8" ht="51" x14ac:dyDescent="0.2">
      <c r="A1104" s="75" t="s">
        <v>18487</v>
      </c>
      <c r="B1104" s="75" t="s">
        <v>5828</v>
      </c>
      <c r="C1104" s="75" t="s">
        <v>18488</v>
      </c>
      <c r="D1104" s="75"/>
      <c r="E1104" s="75"/>
      <c r="F1104" s="75"/>
      <c r="G1104" s="75"/>
      <c r="H1104" s="75" t="s">
        <v>18489</v>
      </c>
    </row>
    <row r="1105" spans="1:8" ht="38.25" x14ac:dyDescent="0.2">
      <c r="A1105" s="74" t="s">
        <v>18490</v>
      </c>
      <c r="B1105" s="74" t="s">
        <v>5831</v>
      </c>
      <c r="C1105" s="74" t="s">
        <v>18491</v>
      </c>
      <c r="D1105" s="74"/>
      <c r="E1105" s="74"/>
      <c r="F1105" s="74"/>
      <c r="G1105" s="74"/>
      <c r="H1105" s="73" t="s">
        <v>18492</v>
      </c>
    </row>
    <row r="1106" spans="1:8" ht="25.5" x14ac:dyDescent="0.2">
      <c r="A1106" s="74" t="s">
        <v>18493</v>
      </c>
      <c r="B1106" s="74" t="s">
        <v>5848</v>
      </c>
      <c r="C1106" s="74" t="s">
        <v>18494</v>
      </c>
      <c r="D1106" s="74"/>
      <c r="E1106" s="74"/>
      <c r="F1106" s="74"/>
      <c r="G1106" s="74"/>
      <c r="H1106" s="14" t="s">
        <v>18495</v>
      </c>
    </row>
    <row r="1107" spans="1:8" ht="89.25" x14ac:dyDescent="0.2">
      <c r="A1107" s="75" t="s">
        <v>18496</v>
      </c>
      <c r="B1107" s="75" t="s">
        <v>5851</v>
      </c>
      <c r="C1107" s="75" t="s">
        <v>18497</v>
      </c>
      <c r="D1107" s="75"/>
      <c r="E1107" s="75"/>
      <c r="F1107" s="75"/>
      <c r="G1107" s="75"/>
      <c r="H1107" s="75" t="s">
        <v>18498</v>
      </c>
    </row>
    <row r="1108" spans="1:8" ht="102" x14ac:dyDescent="0.2">
      <c r="A1108" s="22" t="s">
        <v>18499</v>
      </c>
      <c r="B1108" s="22" t="s">
        <v>5854</v>
      </c>
      <c r="C1108" s="22" t="s">
        <v>18500</v>
      </c>
      <c r="D1108" s="22"/>
      <c r="E1108" s="22"/>
      <c r="F1108" s="22"/>
      <c r="G1108" s="22"/>
      <c r="H1108" s="74" t="s">
        <v>18501</v>
      </c>
    </row>
    <row r="1109" spans="1:8" ht="63.75" x14ac:dyDescent="0.2">
      <c r="A1109" s="74" t="s">
        <v>18502</v>
      </c>
      <c r="B1109" s="74" t="s">
        <v>5857</v>
      </c>
      <c r="C1109" s="74" t="s">
        <v>18503</v>
      </c>
      <c r="D1109" s="74"/>
      <c r="E1109" s="74"/>
      <c r="F1109" s="74"/>
      <c r="G1109" s="74"/>
      <c r="H1109" s="74" t="s">
        <v>18504</v>
      </c>
    </row>
    <row r="1110" spans="1:8" ht="89.25" x14ac:dyDescent="0.2">
      <c r="A1110" s="75" t="s">
        <v>18505</v>
      </c>
      <c r="B1110" s="75" t="s">
        <v>5860</v>
      </c>
      <c r="C1110" s="75" t="s">
        <v>18506</v>
      </c>
      <c r="D1110" s="75"/>
      <c r="E1110" s="75"/>
      <c r="F1110" s="75"/>
      <c r="G1110" s="75"/>
      <c r="H1110" s="75" t="s">
        <v>18507</v>
      </c>
    </row>
    <row r="1111" spans="1:8" ht="63.75" x14ac:dyDescent="0.2">
      <c r="A1111" s="74" t="s">
        <v>18508</v>
      </c>
      <c r="B1111" s="74" t="s">
        <v>5863</v>
      </c>
      <c r="C1111" s="74" t="s">
        <v>18509</v>
      </c>
      <c r="D1111" s="74" t="s">
        <v>18510</v>
      </c>
      <c r="E1111" s="74" t="s">
        <v>18511</v>
      </c>
      <c r="F1111" s="74" t="s">
        <v>18512</v>
      </c>
      <c r="G1111" s="74"/>
      <c r="H1111" s="74" t="s">
        <v>18513</v>
      </c>
    </row>
    <row r="1112" spans="1:8" ht="25.5" x14ac:dyDescent="0.2">
      <c r="A1112" s="74" t="s">
        <v>18514</v>
      </c>
      <c r="B1112" s="74" t="s">
        <v>5866</v>
      </c>
      <c r="C1112" s="74" t="s">
        <v>18515</v>
      </c>
      <c r="D1112" s="74"/>
      <c r="E1112" s="74"/>
      <c r="F1112" s="74"/>
      <c r="G1112" s="74"/>
      <c r="H1112" s="73" t="s">
        <v>18516</v>
      </c>
    </row>
    <row r="1113" spans="1:8" ht="38.25" x14ac:dyDescent="0.2">
      <c r="A1113" s="75" t="s">
        <v>18517</v>
      </c>
      <c r="B1113" s="75" t="s">
        <v>5871</v>
      </c>
      <c r="C1113" s="75" t="s">
        <v>18518</v>
      </c>
      <c r="D1113" s="75"/>
      <c r="E1113" s="75"/>
      <c r="F1113" s="75"/>
      <c r="G1113" s="75"/>
      <c r="H1113" s="76" t="s">
        <v>18519</v>
      </c>
    </row>
    <row r="1114" spans="1:8" ht="63.75" x14ac:dyDescent="0.2">
      <c r="A1114" s="22" t="s">
        <v>18520</v>
      </c>
      <c r="B1114" s="22" t="s">
        <v>5874</v>
      </c>
      <c r="C1114" s="22" t="s">
        <v>18521</v>
      </c>
      <c r="D1114" s="22"/>
      <c r="E1114" s="22"/>
      <c r="F1114" s="22"/>
      <c r="G1114" s="22"/>
      <c r="H1114" s="74" t="s">
        <v>18522</v>
      </c>
    </row>
    <row r="1115" spans="1:8" ht="25.5" x14ac:dyDescent="0.2">
      <c r="A1115" s="74" t="s">
        <v>18523</v>
      </c>
      <c r="B1115" s="74" t="s">
        <v>5877</v>
      </c>
      <c r="C1115" s="74" t="s">
        <v>18524</v>
      </c>
      <c r="D1115" s="74"/>
      <c r="E1115" s="74"/>
      <c r="F1115" s="74"/>
      <c r="G1115" s="74"/>
      <c r="H1115" s="73" t="s">
        <v>18525</v>
      </c>
    </row>
    <row r="1116" spans="1:8" ht="63.75" x14ac:dyDescent="0.2">
      <c r="A1116" s="49" t="s">
        <v>18526</v>
      </c>
      <c r="B1116" s="49" t="s">
        <v>5880</v>
      </c>
      <c r="C1116" s="49" t="s">
        <v>18527</v>
      </c>
      <c r="D1116" s="49"/>
      <c r="E1116" s="49"/>
      <c r="F1116" s="49"/>
      <c r="G1116" s="49"/>
      <c r="H1116" s="75" t="s">
        <v>18528</v>
      </c>
    </row>
    <row r="1117" spans="1:8" ht="38.25" x14ac:dyDescent="0.2">
      <c r="A1117" s="74" t="s">
        <v>18529</v>
      </c>
      <c r="B1117" s="74" t="s">
        <v>5883</v>
      </c>
      <c r="C1117" s="74" t="s">
        <v>18530</v>
      </c>
      <c r="D1117" s="74"/>
      <c r="E1117" s="74"/>
      <c r="F1117" s="74"/>
      <c r="G1117" s="74"/>
      <c r="H1117" s="73" t="s">
        <v>18531</v>
      </c>
    </row>
    <row r="1118" spans="1:8" ht="38.25" x14ac:dyDescent="0.2">
      <c r="A1118" s="74" t="s">
        <v>18532</v>
      </c>
      <c r="B1118" s="74" t="s">
        <v>5886</v>
      </c>
      <c r="C1118" s="74" t="s">
        <v>18533</v>
      </c>
      <c r="D1118" s="74"/>
      <c r="E1118" s="74"/>
      <c r="F1118" s="74"/>
      <c r="G1118" s="74"/>
      <c r="H1118" s="73" t="s">
        <v>18534</v>
      </c>
    </row>
    <row r="1119" spans="1:8" ht="38.25" x14ac:dyDescent="0.2">
      <c r="A1119" s="75" t="s">
        <v>18535</v>
      </c>
      <c r="B1119" s="75" t="s">
        <v>5897</v>
      </c>
      <c r="C1119" s="75" t="s">
        <v>18536</v>
      </c>
      <c r="D1119" s="75"/>
      <c r="E1119" s="75"/>
      <c r="F1119" s="75"/>
      <c r="G1119" s="75"/>
      <c r="H1119" s="75" t="s">
        <v>18537</v>
      </c>
    </row>
    <row r="1120" spans="1:8" ht="51" x14ac:dyDescent="0.2">
      <c r="A1120" s="74" t="s">
        <v>18538</v>
      </c>
      <c r="B1120" s="74" t="s">
        <v>5900</v>
      </c>
      <c r="C1120" s="74" t="s">
        <v>18539</v>
      </c>
      <c r="D1120" s="74"/>
      <c r="E1120" s="74"/>
      <c r="F1120" s="74"/>
      <c r="G1120" s="74"/>
      <c r="H1120" s="73" t="s">
        <v>18540</v>
      </c>
    </row>
    <row r="1121" spans="1:8" ht="51" x14ac:dyDescent="0.2">
      <c r="A1121" s="74" t="s">
        <v>18541</v>
      </c>
      <c r="B1121" s="74" t="s">
        <v>5903</v>
      </c>
      <c r="C1121" s="74" t="s">
        <v>18542</v>
      </c>
      <c r="D1121" s="74"/>
      <c r="E1121" s="74"/>
      <c r="F1121" s="74"/>
      <c r="G1121" s="74"/>
      <c r="H1121" s="73" t="s">
        <v>18543</v>
      </c>
    </row>
    <row r="1122" spans="1:8" ht="38.25" x14ac:dyDescent="0.2">
      <c r="A1122" s="75" t="s">
        <v>18544</v>
      </c>
      <c r="B1122" s="75" t="s">
        <v>5906</v>
      </c>
      <c r="C1122" s="75" t="s">
        <v>18545</v>
      </c>
      <c r="D1122" s="75"/>
      <c r="E1122" s="75"/>
      <c r="F1122" s="75"/>
      <c r="G1122" s="75"/>
      <c r="H1122" s="76" t="s">
        <v>18546</v>
      </c>
    </row>
    <row r="1123" spans="1:8" ht="51" x14ac:dyDescent="0.2">
      <c r="A1123" s="74" t="s">
        <v>18547</v>
      </c>
      <c r="B1123" s="74" t="s">
        <v>5909</v>
      </c>
      <c r="C1123" s="74" t="s">
        <v>18548</v>
      </c>
      <c r="D1123" s="74"/>
      <c r="E1123" s="74"/>
      <c r="F1123" s="74"/>
      <c r="G1123" s="74"/>
      <c r="H1123" s="73" t="s">
        <v>18549</v>
      </c>
    </row>
    <row r="1124" spans="1:8" ht="38.25" x14ac:dyDescent="0.2">
      <c r="A1124" s="74" t="s">
        <v>18550</v>
      </c>
      <c r="B1124" s="74" t="s">
        <v>5912</v>
      </c>
      <c r="C1124" s="74" t="s">
        <v>18551</v>
      </c>
      <c r="D1124" s="74"/>
      <c r="E1124" s="74"/>
      <c r="F1124" s="74"/>
      <c r="G1124" s="74"/>
      <c r="H1124" s="73" t="s">
        <v>18552</v>
      </c>
    </row>
    <row r="1125" spans="1:8" ht="25.5" x14ac:dyDescent="0.2">
      <c r="A1125" s="46" t="s">
        <v>18553</v>
      </c>
      <c r="B1125" s="46" t="s">
        <v>5921</v>
      </c>
      <c r="C1125" s="46" t="s">
        <v>5922</v>
      </c>
      <c r="D1125" s="46"/>
      <c r="E1125" s="46"/>
      <c r="F1125" s="46"/>
      <c r="G1125" s="46"/>
      <c r="H1125" s="75" t="s">
        <v>18554</v>
      </c>
    </row>
    <row r="1126" spans="1:8" ht="38.25" x14ac:dyDescent="0.2">
      <c r="A1126" s="74" t="s">
        <v>18555</v>
      </c>
      <c r="B1126" s="74" t="s">
        <v>5930</v>
      </c>
      <c r="C1126" s="74" t="s">
        <v>18556</v>
      </c>
      <c r="D1126" s="74"/>
      <c r="E1126" s="74"/>
      <c r="F1126" s="74"/>
      <c r="G1126" s="74"/>
      <c r="H1126" s="14" t="s">
        <v>18557</v>
      </c>
    </row>
    <row r="1127" spans="1:8" ht="51" x14ac:dyDescent="0.2">
      <c r="A1127" s="74" t="s">
        <v>18558</v>
      </c>
      <c r="B1127" s="74" t="s">
        <v>5935</v>
      </c>
      <c r="C1127" s="74" t="s">
        <v>18559</v>
      </c>
      <c r="D1127" s="74"/>
      <c r="E1127" s="74"/>
      <c r="F1127" s="74"/>
      <c r="G1127" s="74"/>
      <c r="H1127" s="74" t="s">
        <v>18560</v>
      </c>
    </row>
    <row r="1128" spans="1:8" ht="51" x14ac:dyDescent="0.2">
      <c r="A1128" s="75" t="s">
        <v>18561</v>
      </c>
      <c r="B1128" s="75" t="s">
        <v>5940</v>
      </c>
      <c r="C1128" s="75" t="s">
        <v>18562</v>
      </c>
      <c r="D1128" s="75" t="s">
        <v>18563</v>
      </c>
      <c r="E1128" s="75"/>
      <c r="F1128" s="75"/>
      <c r="G1128" s="75"/>
      <c r="H1128" s="76" t="s">
        <v>18564</v>
      </c>
    </row>
    <row r="1129" spans="1:8" ht="38.25" x14ac:dyDescent="0.2">
      <c r="A1129" s="74" t="s">
        <v>18565</v>
      </c>
      <c r="B1129" s="74" t="s">
        <v>5943</v>
      </c>
      <c r="C1129" s="74" t="s">
        <v>18566</v>
      </c>
      <c r="D1129" s="74"/>
      <c r="E1129" s="74"/>
      <c r="F1129" s="74"/>
      <c r="G1129" s="74"/>
      <c r="H1129" s="14" t="s">
        <v>18567</v>
      </c>
    </row>
    <row r="1130" spans="1:8" ht="25.5" x14ac:dyDescent="0.2">
      <c r="A1130" s="74" t="s">
        <v>18568</v>
      </c>
      <c r="B1130" s="74" t="s">
        <v>5945</v>
      </c>
      <c r="C1130" s="74" t="s">
        <v>18569</v>
      </c>
      <c r="D1130" s="74"/>
      <c r="E1130" s="74"/>
      <c r="F1130" s="74"/>
      <c r="G1130" s="74"/>
      <c r="H1130" s="73" t="s">
        <v>18570</v>
      </c>
    </row>
    <row r="1131" spans="1:8" ht="25.5" x14ac:dyDescent="0.2">
      <c r="A1131" s="75" t="s">
        <v>18571</v>
      </c>
      <c r="B1131" s="75" t="s">
        <v>5948</v>
      </c>
      <c r="C1131" s="75" t="s">
        <v>18572</v>
      </c>
      <c r="D1131" s="75"/>
      <c r="E1131" s="75"/>
      <c r="F1131" s="75"/>
      <c r="G1131" s="75"/>
      <c r="H1131" s="76" t="s">
        <v>18573</v>
      </c>
    </row>
    <row r="1132" spans="1:8" ht="25.5" x14ac:dyDescent="0.2">
      <c r="A1132" s="74" t="s">
        <v>18574</v>
      </c>
      <c r="B1132" s="74" t="s">
        <v>5950</v>
      </c>
      <c r="C1132" s="74" t="s">
        <v>18575</v>
      </c>
      <c r="D1132" s="74"/>
      <c r="E1132" s="74"/>
      <c r="F1132" s="74"/>
      <c r="G1132" s="74"/>
      <c r="H1132" s="73" t="s">
        <v>18576</v>
      </c>
    </row>
    <row r="1133" spans="1:8" ht="25.5" x14ac:dyDescent="0.2">
      <c r="A1133" s="73" t="s">
        <v>18577</v>
      </c>
      <c r="B1133" s="73" t="s">
        <v>5952</v>
      </c>
      <c r="C1133" s="73" t="s">
        <v>5953</v>
      </c>
      <c r="D1133" s="73"/>
      <c r="E1133" s="73"/>
      <c r="F1133" s="73"/>
      <c r="G1133" s="73"/>
      <c r="H1133" s="14" t="s">
        <v>18578</v>
      </c>
    </row>
    <row r="1134" spans="1:8" ht="63.75" x14ac:dyDescent="0.2">
      <c r="A1134" s="75" t="s">
        <v>18579</v>
      </c>
      <c r="B1134" s="75" t="s">
        <v>5955</v>
      </c>
      <c r="C1134" s="75" t="s">
        <v>18580</v>
      </c>
      <c r="D1134" s="75"/>
      <c r="E1134" s="75"/>
      <c r="F1134" s="75"/>
      <c r="G1134" s="75"/>
      <c r="H1134" s="75" t="s">
        <v>18581</v>
      </c>
    </row>
    <row r="1135" spans="1:8" ht="38.25" x14ac:dyDescent="0.2">
      <c r="A1135" s="74" t="s">
        <v>18582</v>
      </c>
      <c r="B1135" s="74" t="s">
        <v>5958</v>
      </c>
      <c r="C1135" s="74" t="s">
        <v>18583</v>
      </c>
      <c r="D1135" s="74"/>
      <c r="E1135" s="74"/>
      <c r="F1135" s="74"/>
      <c r="G1135" s="74"/>
      <c r="H1135" s="73" t="s">
        <v>18584</v>
      </c>
    </row>
    <row r="1136" spans="1:8" ht="38.25" x14ac:dyDescent="0.2">
      <c r="A1136" s="74" t="s">
        <v>18585</v>
      </c>
      <c r="B1136" s="74" t="s">
        <v>5961</v>
      </c>
      <c r="C1136" s="74" t="s">
        <v>18586</v>
      </c>
      <c r="D1136" s="74"/>
      <c r="E1136" s="74"/>
      <c r="F1136" s="74"/>
      <c r="G1136" s="74"/>
      <c r="H1136" s="73" t="s">
        <v>18587</v>
      </c>
    </row>
    <row r="1137" spans="1:8" ht="38.25" x14ac:dyDescent="0.2">
      <c r="A1137" s="75" t="s">
        <v>18588</v>
      </c>
      <c r="B1137" s="75" t="s">
        <v>5968</v>
      </c>
      <c r="C1137" s="75" t="s">
        <v>18589</v>
      </c>
      <c r="D1137" s="75"/>
      <c r="E1137" s="75"/>
      <c r="F1137" s="75"/>
      <c r="G1137" s="75"/>
      <c r="H1137" s="76" t="s">
        <v>18590</v>
      </c>
    </row>
    <row r="1138" spans="1:8" ht="38.25" x14ac:dyDescent="0.2">
      <c r="A1138" s="74" t="s">
        <v>18591</v>
      </c>
      <c r="B1138" s="74" t="s">
        <v>5971</v>
      </c>
      <c r="C1138" s="74" t="s">
        <v>18592</v>
      </c>
      <c r="D1138" s="74"/>
      <c r="E1138" s="74"/>
      <c r="F1138" s="74"/>
      <c r="G1138" s="74"/>
      <c r="H1138" s="73" t="s">
        <v>18593</v>
      </c>
    </row>
    <row r="1139" spans="1:8" ht="63.75" x14ac:dyDescent="0.2">
      <c r="A1139" s="74" t="s">
        <v>18594</v>
      </c>
      <c r="B1139" s="74" t="s">
        <v>5974</v>
      </c>
      <c r="C1139" s="74" t="s">
        <v>18595</v>
      </c>
      <c r="D1139" s="74"/>
      <c r="E1139" s="74"/>
      <c r="F1139" s="74"/>
      <c r="G1139" s="74"/>
      <c r="H1139" s="74" t="s">
        <v>18596</v>
      </c>
    </row>
    <row r="1140" spans="1:8" ht="38.25" x14ac:dyDescent="0.2">
      <c r="A1140" s="75" t="s">
        <v>18597</v>
      </c>
      <c r="B1140" s="75" t="s">
        <v>5977</v>
      </c>
      <c r="C1140" s="75" t="s">
        <v>18598</v>
      </c>
      <c r="D1140" s="75"/>
      <c r="E1140" s="75"/>
      <c r="F1140" s="75"/>
      <c r="G1140" s="75"/>
      <c r="H1140" s="76" t="s">
        <v>18599</v>
      </c>
    </row>
    <row r="1141" spans="1:8" ht="38.25" x14ac:dyDescent="0.2">
      <c r="A1141" s="74" t="s">
        <v>18600</v>
      </c>
      <c r="B1141" s="74" t="s">
        <v>5980</v>
      </c>
      <c r="C1141" s="74" t="s">
        <v>18601</v>
      </c>
      <c r="D1141" s="74"/>
      <c r="E1141" s="74"/>
      <c r="F1141" s="74"/>
      <c r="G1141" s="74"/>
      <c r="H1141" s="73" t="s">
        <v>18602</v>
      </c>
    </row>
    <row r="1142" spans="1:8" ht="38.25" x14ac:dyDescent="0.2">
      <c r="A1142" s="74" t="s">
        <v>18603</v>
      </c>
      <c r="B1142" s="74" t="s">
        <v>5983</v>
      </c>
      <c r="C1142" s="74" t="s">
        <v>18604</v>
      </c>
      <c r="D1142" s="74"/>
      <c r="E1142" s="74"/>
      <c r="F1142" s="74"/>
      <c r="G1142" s="74"/>
      <c r="H1142" s="73" t="s">
        <v>18605</v>
      </c>
    </row>
    <row r="1143" spans="1:8" ht="38.25" x14ac:dyDescent="0.2">
      <c r="A1143" s="75" t="s">
        <v>18606</v>
      </c>
      <c r="B1143" s="75" t="s">
        <v>5986</v>
      </c>
      <c r="C1143" s="75" t="s">
        <v>18607</v>
      </c>
      <c r="D1143" s="75"/>
      <c r="E1143" s="75"/>
      <c r="F1143" s="75"/>
      <c r="G1143" s="75"/>
      <c r="H1143" s="76" t="s">
        <v>18608</v>
      </c>
    </row>
    <row r="1144" spans="1:8" ht="38.25" x14ac:dyDescent="0.2">
      <c r="A1144" s="74" t="s">
        <v>18609</v>
      </c>
      <c r="B1144" s="74" t="s">
        <v>5989</v>
      </c>
      <c r="C1144" s="74" t="s">
        <v>18610</v>
      </c>
      <c r="D1144" s="74"/>
      <c r="E1144" s="74"/>
      <c r="F1144" s="74"/>
      <c r="G1144" s="74"/>
      <c r="H1144" s="73" t="s">
        <v>18611</v>
      </c>
    </row>
    <row r="1145" spans="1:8" ht="38.25" x14ac:dyDescent="0.2">
      <c r="A1145" s="74" t="s">
        <v>18612</v>
      </c>
      <c r="B1145" s="74" t="s">
        <v>5992</v>
      </c>
      <c r="C1145" s="74" t="s">
        <v>18613</v>
      </c>
      <c r="D1145" s="74"/>
      <c r="E1145" s="74"/>
      <c r="F1145" s="74"/>
      <c r="G1145" s="74"/>
      <c r="H1145" s="73" t="s">
        <v>18614</v>
      </c>
    </row>
    <row r="1146" spans="1:8" ht="38.25" x14ac:dyDescent="0.2">
      <c r="A1146" s="75" t="s">
        <v>18615</v>
      </c>
      <c r="B1146" s="75" t="s">
        <v>5995</v>
      </c>
      <c r="C1146" s="75" t="s">
        <v>18616</v>
      </c>
      <c r="D1146" s="75"/>
      <c r="E1146" s="75"/>
      <c r="F1146" s="75"/>
      <c r="G1146" s="75"/>
      <c r="H1146" s="76" t="s">
        <v>18617</v>
      </c>
    </row>
    <row r="1147" spans="1:8" ht="38.25" x14ac:dyDescent="0.2">
      <c r="A1147" s="74" t="s">
        <v>18618</v>
      </c>
      <c r="B1147" s="74" t="s">
        <v>5998</v>
      </c>
      <c r="C1147" s="74" t="s">
        <v>18619</v>
      </c>
      <c r="D1147" s="74"/>
      <c r="E1147" s="74"/>
      <c r="F1147" s="74"/>
      <c r="G1147" s="74"/>
      <c r="H1147" s="73" t="s">
        <v>18620</v>
      </c>
    </row>
    <row r="1148" spans="1:8" ht="38.25" x14ac:dyDescent="0.2">
      <c r="A1148" s="74" t="s">
        <v>18621</v>
      </c>
      <c r="B1148" s="74" t="s">
        <v>6001</v>
      </c>
      <c r="C1148" s="74" t="s">
        <v>18622</v>
      </c>
      <c r="D1148" s="74"/>
      <c r="E1148" s="74"/>
      <c r="F1148" s="74"/>
      <c r="G1148" s="74"/>
      <c r="H1148" s="73" t="s">
        <v>18623</v>
      </c>
    </row>
    <row r="1149" spans="1:8" ht="38.25" x14ac:dyDescent="0.2">
      <c r="A1149" s="75" t="s">
        <v>18624</v>
      </c>
      <c r="B1149" s="75" t="s">
        <v>6004</v>
      </c>
      <c r="C1149" s="75" t="s">
        <v>18625</v>
      </c>
      <c r="D1149" s="75"/>
      <c r="E1149" s="75"/>
      <c r="F1149" s="75"/>
      <c r="G1149" s="75"/>
      <c r="H1149" s="76" t="s">
        <v>18626</v>
      </c>
    </row>
    <row r="1150" spans="1:8" ht="25.5" x14ac:dyDescent="0.2">
      <c r="A1150" s="74" t="s">
        <v>18627</v>
      </c>
      <c r="B1150" s="74" t="s">
        <v>6007</v>
      </c>
      <c r="C1150" s="74" t="s">
        <v>18628</v>
      </c>
      <c r="D1150" s="74"/>
      <c r="E1150" s="74"/>
      <c r="F1150" s="74"/>
      <c r="G1150" s="74"/>
      <c r="H1150" s="73" t="s">
        <v>18629</v>
      </c>
    </row>
    <row r="1151" spans="1:8" ht="25.5" x14ac:dyDescent="0.2">
      <c r="A1151" s="74" t="s">
        <v>18630</v>
      </c>
      <c r="B1151" s="74" t="s">
        <v>6010</v>
      </c>
      <c r="C1151" s="74" t="s">
        <v>18631</v>
      </c>
      <c r="D1151" s="74"/>
      <c r="E1151" s="74"/>
      <c r="F1151" s="74"/>
      <c r="G1151" s="74"/>
      <c r="H1151" s="73" t="s">
        <v>18632</v>
      </c>
    </row>
    <row r="1152" spans="1:8" ht="25.5" x14ac:dyDescent="0.2">
      <c r="A1152" s="75" t="s">
        <v>18633</v>
      </c>
      <c r="B1152" s="75" t="s">
        <v>6022</v>
      </c>
      <c r="C1152" s="75" t="s">
        <v>18634</v>
      </c>
      <c r="D1152" s="75"/>
      <c r="E1152" s="75"/>
      <c r="F1152" s="75"/>
      <c r="G1152" s="75"/>
      <c r="H1152" s="76" t="s">
        <v>18635</v>
      </c>
    </row>
    <row r="1153" spans="1:8" ht="25.5" x14ac:dyDescent="0.2">
      <c r="A1153" s="74" t="s">
        <v>18636</v>
      </c>
      <c r="B1153" s="74" t="s">
        <v>6025</v>
      </c>
      <c r="C1153" s="74" t="s">
        <v>18637</v>
      </c>
      <c r="D1153" s="74"/>
      <c r="E1153" s="74"/>
      <c r="F1153" s="74"/>
      <c r="G1153" s="74"/>
      <c r="H1153" s="74" t="s">
        <v>18638</v>
      </c>
    </row>
    <row r="1154" spans="1:8" ht="63.75" x14ac:dyDescent="0.2">
      <c r="A1154" s="74" t="s">
        <v>18639</v>
      </c>
      <c r="B1154" s="74" t="s">
        <v>6028</v>
      </c>
      <c r="C1154" s="74" t="s">
        <v>18640</v>
      </c>
      <c r="D1154" s="74"/>
      <c r="E1154" s="74"/>
      <c r="F1154" s="74"/>
      <c r="G1154" s="74"/>
      <c r="H1154" s="74" t="s">
        <v>18641</v>
      </c>
    </row>
    <row r="1155" spans="1:8" ht="25.5" x14ac:dyDescent="0.2">
      <c r="A1155" s="75" t="s">
        <v>18642</v>
      </c>
      <c r="B1155" s="75" t="s">
        <v>6031</v>
      </c>
      <c r="C1155" s="75" t="s">
        <v>18643</v>
      </c>
      <c r="D1155" s="75"/>
      <c r="E1155" s="75"/>
      <c r="F1155" s="75"/>
      <c r="G1155" s="75"/>
      <c r="H1155" s="46" t="s">
        <v>18644</v>
      </c>
    </row>
    <row r="1156" spans="1:8" ht="25.5" x14ac:dyDescent="0.2">
      <c r="A1156" s="73" t="s">
        <v>18645</v>
      </c>
      <c r="B1156" s="73" t="s">
        <v>6034</v>
      </c>
      <c r="C1156" s="73" t="s">
        <v>18646</v>
      </c>
      <c r="D1156" s="73"/>
      <c r="E1156" s="73"/>
      <c r="F1156" s="73"/>
      <c r="G1156" s="73"/>
      <c r="H1156" s="73" t="s">
        <v>18647</v>
      </c>
    </row>
    <row r="1157" spans="1:8" ht="25.5" x14ac:dyDescent="0.2">
      <c r="A1157" s="74" t="s">
        <v>18648</v>
      </c>
      <c r="B1157" s="74" t="s">
        <v>6037</v>
      </c>
      <c r="C1157" s="74" t="s">
        <v>18649</v>
      </c>
      <c r="D1157" s="74"/>
      <c r="E1157" s="74"/>
      <c r="F1157" s="74"/>
      <c r="G1157" s="74"/>
      <c r="H1157" s="14" t="s">
        <v>18650</v>
      </c>
    </row>
    <row r="1158" spans="1:8" ht="76.5" x14ac:dyDescent="0.2">
      <c r="A1158" s="49" t="s">
        <v>18651</v>
      </c>
      <c r="B1158" s="49" t="s">
        <v>6039</v>
      </c>
      <c r="C1158" s="49" t="s">
        <v>18652</v>
      </c>
      <c r="D1158" s="49"/>
      <c r="E1158" s="49"/>
      <c r="F1158" s="49"/>
      <c r="G1158" s="49"/>
      <c r="H1158" s="76" t="s">
        <v>18653</v>
      </c>
    </row>
    <row r="1159" spans="1:8" ht="51" x14ac:dyDescent="0.2">
      <c r="A1159" s="14" t="s">
        <v>18654</v>
      </c>
      <c r="B1159" s="14" t="s">
        <v>6042</v>
      </c>
      <c r="C1159" s="14" t="s">
        <v>6043</v>
      </c>
      <c r="D1159" s="14"/>
      <c r="E1159" s="14"/>
      <c r="F1159" s="14"/>
      <c r="G1159" s="14"/>
      <c r="H1159" s="74" t="s">
        <v>18655</v>
      </c>
    </row>
    <row r="1160" spans="1:8" ht="38.25" x14ac:dyDescent="0.2">
      <c r="A1160" s="74" t="s">
        <v>18656</v>
      </c>
      <c r="B1160" s="74" t="s">
        <v>6045</v>
      </c>
      <c r="C1160" s="74" t="s">
        <v>18657</v>
      </c>
      <c r="D1160" s="74"/>
      <c r="E1160" s="74"/>
      <c r="F1160" s="74"/>
      <c r="G1160" s="74"/>
      <c r="H1160" s="14" t="s">
        <v>18658</v>
      </c>
    </row>
    <row r="1161" spans="1:8" ht="25.5" x14ac:dyDescent="0.2">
      <c r="A1161" s="75" t="s">
        <v>18659</v>
      </c>
      <c r="B1161" s="75" t="s">
        <v>6050</v>
      </c>
      <c r="C1161" s="75" t="s">
        <v>18660</v>
      </c>
      <c r="D1161" s="75"/>
      <c r="E1161" s="75"/>
      <c r="F1161" s="75"/>
      <c r="G1161" s="75"/>
      <c r="H1161" s="76" t="s">
        <v>18661</v>
      </c>
    </row>
    <row r="1162" spans="1:8" ht="38.25" x14ac:dyDescent="0.2">
      <c r="A1162" s="74" t="s">
        <v>18662</v>
      </c>
      <c r="B1162" s="74" t="s">
        <v>6053</v>
      </c>
      <c r="C1162" s="74" t="s">
        <v>18663</v>
      </c>
      <c r="D1162" s="74"/>
      <c r="E1162" s="74"/>
      <c r="F1162" s="74"/>
      <c r="G1162" s="74"/>
      <c r="H1162" s="74" t="s">
        <v>18664</v>
      </c>
    </row>
    <row r="1163" spans="1:8" ht="38.25" x14ac:dyDescent="0.2">
      <c r="A1163" s="74" t="s">
        <v>18665</v>
      </c>
      <c r="B1163" s="74" t="s">
        <v>6062</v>
      </c>
      <c r="C1163" s="74" t="s">
        <v>18666</v>
      </c>
      <c r="D1163" s="74"/>
      <c r="E1163" s="74"/>
      <c r="F1163" s="74"/>
      <c r="G1163" s="74"/>
      <c r="H1163" s="74" t="s">
        <v>18667</v>
      </c>
    </row>
    <row r="1164" spans="1:8" ht="38.25" x14ac:dyDescent="0.2">
      <c r="A1164" s="75" t="s">
        <v>18668</v>
      </c>
      <c r="B1164" s="75" t="s">
        <v>6065</v>
      </c>
      <c r="C1164" s="75" t="s">
        <v>18669</v>
      </c>
      <c r="D1164" s="75"/>
      <c r="E1164" s="75"/>
      <c r="F1164" s="75"/>
      <c r="G1164" s="75"/>
      <c r="H1164" s="76" t="s">
        <v>18670</v>
      </c>
    </row>
    <row r="1165" spans="1:8" ht="38.25" x14ac:dyDescent="0.2">
      <c r="A1165" s="74" t="s">
        <v>18671</v>
      </c>
      <c r="B1165" s="74" t="s">
        <v>6068</v>
      </c>
      <c r="C1165" s="74" t="s">
        <v>18672</v>
      </c>
      <c r="D1165" s="74"/>
      <c r="E1165" s="74"/>
      <c r="F1165" s="74"/>
      <c r="G1165" s="74"/>
      <c r="H1165" s="73" t="s">
        <v>18673</v>
      </c>
    </row>
    <row r="1166" spans="1:8" ht="38.25" x14ac:dyDescent="0.2">
      <c r="A1166" s="74" t="s">
        <v>18674</v>
      </c>
      <c r="B1166" s="74" t="s">
        <v>6075</v>
      </c>
      <c r="C1166" s="74" t="s">
        <v>18675</v>
      </c>
      <c r="D1166" s="74"/>
      <c r="E1166" s="74"/>
      <c r="F1166" s="74"/>
      <c r="G1166" s="74"/>
      <c r="H1166" s="73" t="s">
        <v>18676</v>
      </c>
    </row>
    <row r="1167" spans="1:8" ht="38.25" x14ac:dyDescent="0.2">
      <c r="A1167" s="75" t="s">
        <v>18677</v>
      </c>
      <c r="B1167" s="75" t="s">
        <v>6078</v>
      </c>
      <c r="C1167" s="75" t="s">
        <v>18678</v>
      </c>
      <c r="D1167" s="75"/>
      <c r="E1167" s="75"/>
      <c r="F1167" s="75"/>
      <c r="G1167" s="75"/>
      <c r="H1167" s="76" t="s">
        <v>18679</v>
      </c>
    </row>
    <row r="1168" spans="1:8" ht="25.5" x14ac:dyDescent="0.2">
      <c r="A1168" s="74" t="s">
        <v>18680</v>
      </c>
      <c r="B1168" s="74" t="s">
        <v>6081</v>
      </c>
      <c r="C1168" s="74" t="s">
        <v>18681</v>
      </c>
      <c r="D1168" s="74"/>
      <c r="E1168" s="74"/>
      <c r="F1168" s="74"/>
      <c r="G1168" s="74"/>
      <c r="H1168" s="73" t="s">
        <v>18682</v>
      </c>
    </row>
    <row r="1169" spans="1:8" ht="102" x14ac:dyDescent="0.2">
      <c r="A1169" s="73" t="s">
        <v>18683</v>
      </c>
      <c r="B1169" s="73" t="s">
        <v>6084</v>
      </c>
      <c r="C1169" s="73" t="s">
        <v>6085</v>
      </c>
      <c r="D1169" s="73"/>
      <c r="E1169" s="73"/>
      <c r="F1169" s="73"/>
      <c r="G1169" s="73"/>
      <c r="H1169" s="74" t="s">
        <v>18684</v>
      </c>
    </row>
    <row r="1170" spans="1:8" ht="38.25" x14ac:dyDescent="0.2">
      <c r="A1170" s="75" t="s">
        <v>18685</v>
      </c>
      <c r="B1170" s="75" t="s">
        <v>6087</v>
      </c>
      <c r="C1170" s="75" t="s">
        <v>18686</v>
      </c>
      <c r="D1170" s="75"/>
      <c r="E1170" s="75"/>
      <c r="F1170" s="75"/>
      <c r="G1170" s="75"/>
      <c r="H1170" s="76" t="s">
        <v>18687</v>
      </c>
    </row>
    <row r="1171" spans="1:8" ht="38.25" x14ac:dyDescent="0.2">
      <c r="A1171" s="74" t="s">
        <v>18688</v>
      </c>
      <c r="B1171" s="74" t="s">
        <v>6094</v>
      </c>
      <c r="C1171" s="74" t="s">
        <v>18689</v>
      </c>
      <c r="D1171" s="74"/>
      <c r="E1171" s="74"/>
      <c r="F1171" s="74"/>
      <c r="G1171" s="74"/>
      <c r="H1171" s="73" t="s">
        <v>18690</v>
      </c>
    </row>
    <row r="1172" spans="1:8" ht="51" x14ac:dyDescent="0.2">
      <c r="A1172" s="74" t="s">
        <v>18691</v>
      </c>
      <c r="B1172" s="74" t="s">
        <v>6097</v>
      </c>
      <c r="C1172" s="74" t="s">
        <v>18692</v>
      </c>
      <c r="D1172" s="74"/>
      <c r="E1172" s="74"/>
      <c r="F1172" s="74"/>
      <c r="G1172" s="74"/>
      <c r="H1172" s="73" t="s">
        <v>18693</v>
      </c>
    </row>
    <row r="1173" spans="1:8" ht="38.25" x14ac:dyDescent="0.2">
      <c r="A1173" s="75" t="s">
        <v>18694</v>
      </c>
      <c r="B1173" s="75" t="s">
        <v>6100</v>
      </c>
      <c r="C1173" s="75" t="s">
        <v>18695</v>
      </c>
      <c r="D1173" s="75"/>
      <c r="E1173" s="75"/>
      <c r="F1173" s="75"/>
      <c r="G1173" s="75"/>
      <c r="H1173" s="76" t="s">
        <v>18696</v>
      </c>
    </row>
    <row r="1174" spans="1:8" ht="51" x14ac:dyDescent="0.2">
      <c r="A1174" s="74" t="s">
        <v>18697</v>
      </c>
      <c r="B1174" s="74" t="s">
        <v>6103</v>
      </c>
      <c r="C1174" s="74" t="s">
        <v>18698</v>
      </c>
      <c r="D1174" s="74"/>
      <c r="E1174" s="74"/>
      <c r="F1174" s="74"/>
      <c r="G1174" s="74"/>
      <c r="H1174" s="74" t="s">
        <v>18699</v>
      </c>
    </row>
    <row r="1175" spans="1:8" ht="38.25" x14ac:dyDescent="0.2">
      <c r="A1175" s="73" t="s">
        <v>18700</v>
      </c>
      <c r="B1175" s="73" t="s">
        <v>6106</v>
      </c>
      <c r="C1175" s="73" t="s">
        <v>6107</v>
      </c>
      <c r="D1175" s="73"/>
      <c r="E1175" s="73"/>
      <c r="F1175" s="73"/>
      <c r="G1175" s="73"/>
      <c r="H1175" s="73" t="s">
        <v>18701</v>
      </c>
    </row>
    <row r="1176" spans="1:8" ht="38.25" x14ac:dyDescent="0.2">
      <c r="A1176" s="75" t="s">
        <v>18702</v>
      </c>
      <c r="B1176" s="75" t="s">
        <v>6109</v>
      </c>
      <c r="C1176" s="75" t="s">
        <v>18703</v>
      </c>
      <c r="D1176" s="75"/>
      <c r="E1176" s="75"/>
      <c r="F1176" s="75"/>
      <c r="G1176" s="75"/>
      <c r="H1176" s="76" t="s">
        <v>18704</v>
      </c>
    </row>
    <row r="1177" spans="1:8" ht="38.25" x14ac:dyDescent="0.2">
      <c r="A1177" s="73" t="s">
        <v>18705</v>
      </c>
      <c r="B1177" s="73" t="s">
        <v>6138</v>
      </c>
      <c r="C1177" s="73" t="s">
        <v>6139</v>
      </c>
      <c r="D1177" s="73"/>
      <c r="E1177" s="73"/>
      <c r="F1177" s="73"/>
      <c r="G1177" s="73"/>
      <c r="H1177" s="73" t="s">
        <v>18706</v>
      </c>
    </row>
    <row r="1178" spans="1:8" ht="38.25" x14ac:dyDescent="0.2">
      <c r="A1178" s="73" t="s">
        <v>18707</v>
      </c>
      <c r="B1178" s="73" t="s">
        <v>6141</v>
      </c>
      <c r="C1178" s="73" t="s">
        <v>6142</v>
      </c>
      <c r="D1178" s="73"/>
      <c r="E1178" s="73"/>
      <c r="F1178" s="73"/>
      <c r="G1178" s="73"/>
      <c r="H1178" s="73" t="s">
        <v>18708</v>
      </c>
    </row>
    <row r="1179" spans="1:8" ht="38.25" x14ac:dyDescent="0.2">
      <c r="A1179" s="76" t="s">
        <v>18709</v>
      </c>
      <c r="B1179" s="76" t="s">
        <v>6144</v>
      </c>
      <c r="C1179" s="76" t="s">
        <v>6145</v>
      </c>
      <c r="D1179" s="76"/>
      <c r="E1179" s="76"/>
      <c r="F1179" s="76"/>
      <c r="G1179" s="76"/>
      <c r="H1179" s="76" t="s">
        <v>18710</v>
      </c>
    </row>
    <row r="1180" spans="1:8" ht="38.25" x14ac:dyDescent="0.2">
      <c r="A1180" s="73" t="s">
        <v>18711</v>
      </c>
      <c r="B1180" s="73" t="s">
        <v>6147</v>
      </c>
      <c r="C1180" s="73" t="s">
        <v>6148</v>
      </c>
      <c r="D1180" s="73"/>
      <c r="E1180" s="73"/>
      <c r="F1180" s="73"/>
      <c r="G1180" s="73"/>
      <c r="H1180" s="73" t="s">
        <v>18712</v>
      </c>
    </row>
    <row r="1181" spans="1:8" ht="38.25" x14ac:dyDescent="0.2">
      <c r="A1181" s="73" t="s">
        <v>18713</v>
      </c>
      <c r="B1181" s="73" t="s">
        <v>6150</v>
      </c>
      <c r="C1181" s="73" t="s">
        <v>6151</v>
      </c>
      <c r="D1181" s="73"/>
      <c r="E1181" s="73"/>
      <c r="F1181" s="73"/>
      <c r="G1181" s="73"/>
      <c r="H1181" s="73" t="s">
        <v>18714</v>
      </c>
    </row>
    <row r="1182" spans="1:8" ht="38.25" x14ac:dyDescent="0.2">
      <c r="A1182" s="76" t="s">
        <v>18715</v>
      </c>
      <c r="B1182" s="76" t="s">
        <v>6153</v>
      </c>
      <c r="C1182" s="76" t="s">
        <v>6154</v>
      </c>
      <c r="D1182" s="76"/>
      <c r="E1182" s="76"/>
      <c r="F1182" s="76"/>
      <c r="G1182" s="76"/>
      <c r="H1182" s="76" t="s">
        <v>18716</v>
      </c>
    </row>
    <row r="1183" spans="1:8" ht="25.5" x14ac:dyDescent="0.2">
      <c r="A1183" s="74" t="s">
        <v>18717</v>
      </c>
      <c r="B1183" s="74" t="s">
        <v>6156</v>
      </c>
      <c r="C1183" s="74" t="s">
        <v>18718</v>
      </c>
      <c r="D1183" s="74"/>
      <c r="E1183" s="74"/>
      <c r="F1183" s="74"/>
      <c r="G1183" s="74"/>
      <c r="H1183" s="14" t="s">
        <v>18719</v>
      </c>
    </row>
    <row r="1184" spans="1:8" ht="25.5" x14ac:dyDescent="0.2">
      <c r="A1184" s="74" t="s">
        <v>18720</v>
      </c>
      <c r="B1184" s="74" t="s">
        <v>6159</v>
      </c>
      <c r="C1184" s="74" t="s">
        <v>18721</v>
      </c>
      <c r="D1184" s="74"/>
      <c r="E1184" s="74"/>
      <c r="F1184" s="74"/>
      <c r="G1184" s="74"/>
      <c r="H1184" s="14" t="s">
        <v>18722</v>
      </c>
    </row>
    <row r="1185" spans="1:8" ht="38.25" x14ac:dyDescent="0.2">
      <c r="A1185" s="76" t="s">
        <v>18723</v>
      </c>
      <c r="B1185" s="76" t="s">
        <v>6162</v>
      </c>
      <c r="C1185" s="76" t="s">
        <v>6163</v>
      </c>
      <c r="D1185" s="76"/>
      <c r="E1185" s="76"/>
      <c r="F1185" s="76"/>
      <c r="G1185" s="76"/>
      <c r="H1185" s="76" t="s">
        <v>18724</v>
      </c>
    </row>
    <row r="1186" spans="1:8" ht="38.25" x14ac:dyDescent="0.2">
      <c r="A1186" s="73" t="s">
        <v>18725</v>
      </c>
      <c r="B1186" s="73" t="s">
        <v>6165</v>
      </c>
      <c r="C1186" s="73" t="s">
        <v>6166</v>
      </c>
      <c r="D1186" s="73"/>
      <c r="E1186" s="73"/>
      <c r="F1186" s="73"/>
      <c r="G1186" s="73"/>
      <c r="H1186" s="73" t="s">
        <v>18726</v>
      </c>
    </row>
    <row r="1187" spans="1:8" ht="38.25" x14ac:dyDescent="0.2">
      <c r="A1187" s="73" t="s">
        <v>18727</v>
      </c>
      <c r="B1187" s="73" t="s">
        <v>6168</v>
      </c>
      <c r="C1187" s="73" t="s">
        <v>6169</v>
      </c>
      <c r="D1187" s="73"/>
      <c r="E1187" s="73"/>
      <c r="F1187" s="73"/>
      <c r="G1187" s="73"/>
      <c r="H1187" s="73" t="s">
        <v>18728</v>
      </c>
    </row>
    <row r="1188" spans="1:8" ht="38.25" x14ac:dyDescent="0.2">
      <c r="A1188" s="76" t="s">
        <v>18729</v>
      </c>
      <c r="B1188" s="76" t="s">
        <v>6171</v>
      </c>
      <c r="C1188" s="76" t="s">
        <v>6172</v>
      </c>
      <c r="D1188" s="76"/>
      <c r="E1188" s="76"/>
      <c r="F1188" s="76"/>
      <c r="G1188" s="76"/>
      <c r="H1188" s="76" t="s">
        <v>18730</v>
      </c>
    </row>
    <row r="1189" spans="1:8" ht="38.25" x14ac:dyDescent="0.2">
      <c r="A1189" s="73" t="s">
        <v>18731</v>
      </c>
      <c r="B1189" s="73" t="s">
        <v>6174</v>
      </c>
      <c r="C1189" s="73" t="s">
        <v>6175</v>
      </c>
      <c r="D1189" s="73"/>
      <c r="E1189" s="73"/>
      <c r="F1189" s="73"/>
      <c r="G1189" s="73"/>
      <c r="H1189" s="73" t="s">
        <v>18732</v>
      </c>
    </row>
    <row r="1190" spans="1:8" ht="38.25" x14ac:dyDescent="0.2">
      <c r="A1190" s="73" t="s">
        <v>18733</v>
      </c>
      <c r="B1190" s="73" t="s">
        <v>6177</v>
      </c>
      <c r="C1190" s="73" t="s">
        <v>18734</v>
      </c>
      <c r="D1190" s="73"/>
      <c r="E1190" s="73"/>
      <c r="F1190" s="73"/>
      <c r="G1190" s="73"/>
      <c r="H1190" s="73" t="s">
        <v>18735</v>
      </c>
    </row>
    <row r="1191" spans="1:8" ht="38.25" x14ac:dyDescent="0.2">
      <c r="A1191" s="76" t="s">
        <v>18736</v>
      </c>
      <c r="B1191" s="76" t="s">
        <v>6180</v>
      </c>
      <c r="C1191" s="76" t="s">
        <v>6181</v>
      </c>
      <c r="D1191" s="76"/>
      <c r="E1191" s="76"/>
      <c r="F1191" s="76"/>
      <c r="G1191" s="76"/>
      <c r="H1191" s="76" t="s">
        <v>18737</v>
      </c>
    </row>
    <row r="1192" spans="1:8" ht="38.25" x14ac:dyDescent="0.2">
      <c r="A1192" s="73" t="s">
        <v>18738</v>
      </c>
      <c r="B1192" s="73" t="s">
        <v>6183</v>
      </c>
      <c r="C1192" s="73" t="s">
        <v>6184</v>
      </c>
      <c r="D1192" s="73"/>
      <c r="E1192" s="73"/>
      <c r="F1192" s="73"/>
      <c r="G1192" s="73"/>
      <c r="H1192" s="73" t="s">
        <v>18739</v>
      </c>
    </row>
    <row r="1193" spans="1:8" ht="38.25" x14ac:dyDescent="0.2">
      <c r="A1193" s="73" t="s">
        <v>18740</v>
      </c>
      <c r="B1193" s="73" t="s">
        <v>6186</v>
      </c>
      <c r="C1193" s="73" t="s">
        <v>6187</v>
      </c>
      <c r="D1193" s="73"/>
      <c r="E1193" s="73"/>
      <c r="F1193" s="73"/>
      <c r="G1193" s="73"/>
      <c r="H1193" s="73" t="s">
        <v>18741</v>
      </c>
    </row>
    <row r="1194" spans="1:8" ht="38.25" x14ac:dyDescent="0.2">
      <c r="A1194" s="76" t="s">
        <v>18742</v>
      </c>
      <c r="B1194" s="76" t="s">
        <v>6189</v>
      </c>
      <c r="C1194" s="76" t="s">
        <v>6190</v>
      </c>
      <c r="D1194" s="76"/>
      <c r="E1194" s="76"/>
      <c r="F1194" s="76"/>
      <c r="G1194" s="76"/>
      <c r="H1194" s="76" t="s">
        <v>18743</v>
      </c>
    </row>
    <row r="1195" spans="1:8" ht="38.25" x14ac:dyDescent="0.2">
      <c r="A1195" s="74" t="s">
        <v>18744</v>
      </c>
      <c r="B1195" s="74" t="s">
        <v>6192</v>
      </c>
      <c r="C1195" s="74" t="s">
        <v>18745</v>
      </c>
      <c r="D1195" s="74" t="s">
        <v>18746</v>
      </c>
      <c r="E1195" s="74"/>
      <c r="F1195" s="74"/>
      <c r="G1195" s="74"/>
      <c r="H1195" s="14" t="s">
        <v>18747</v>
      </c>
    </row>
    <row r="1196" spans="1:8" ht="25.5" x14ac:dyDescent="0.2">
      <c r="A1196" s="74" t="s">
        <v>18748</v>
      </c>
      <c r="B1196" s="74" t="s">
        <v>6195</v>
      </c>
      <c r="C1196" s="74" t="s">
        <v>18749</v>
      </c>
      <c r="D1196" s="74"/>
      <c r="E1196" s="74"/>
      <c r="F1196" s="74"/>
      <c r="G1196" s="74"/>
      <c r="H1196" s="14" t="s">
        <v>18750</v>
      </c>
    </row>
    <row r="1197" spans="1:8" ht="25.5" x14ac:dyDescent="0.2">
      <c r="A1197" s="75" t="s">
        <v>18751</v>
      </c>
      <c r="B1197" s="75" t="s">
        <v>6200</v>
      </c>
      <c r="C1197" s="75" t="s">
        <v>18752</v>
      </c>
      <c r="D1197" s="75"/>
      <c r="E1197" s="75"/>
      <c r="F1197" s="75"/>
      <c r="G1197" s="75"/>
      <c r="H1197" s="46" t="s">
        <v>18753</v>
      </c>
    </row>
    <row r="1198" spans="1:8" ht="38.25" x14ac:dyDescent="0.2">
      <c r="A1198" s="74" t="s">
        <v>18754</v>
      </c>
      <c r="B1198" s="74" t="s">
        <v>6206</v>
      </c>
      <c r="C1198" s="74" t="s">
        <v>18755</v>
      </c>
      <c r="D1198" s="74"/>
      <c r="E1198" s="74"/>
      <c r="F1198" s="74"/>
      <c r="G1198" s="74"/>
      <c r="H1198" s="73" t="s">
        <v>18756</v>
      </c>
    </row>
    <row r="1199" spans="1:8" ht="38.25" x14ac:dyDescent="0.2">
      <c r="A1199" s="74" t="s">
        <v>18757</v>
      </c>
      <c r="B1199" s="74" t="s">
        <v>6209</v>
      </c>
      <c r="C1199" s="74" t="s">
        <v>18758</v>
      </c>
      <c r="D1199" s="74"/>
      <c r="E1199" s="74"/>
      <c r="F1199" s="74"/>
      <c r="G1199" s="74"/>
      <c r="H1199" s="73" t="s">
        <v>18759</v>
      </c>
    </row>
    <row r="1200" spans="1:8" ht="38.25" x14ac:dyDescent="0.2">
      <c r="A1200" s="46" t="s">
        <v>18760</v>
      </c>
      <c r="B1200" s="46" t="s">
        <v>6212</v>
      </c>
      <c r="C1200" s="46" t="s">
        <v>6213</v>
      </c>
      <c r="D1200" s="46"/>
      <c r="E1200" s="46"/>
      <c r="F1200" s="46"/>
      <c r="G1200" s="46"/>
      <c r="H1200" s="75" t="s">
        <v>18761</v>
      </c>
    </row>
    <row r="1201" spans="1:8" ht="25.5" x14ac:dyDescent="0.2">
      <c r="A1201" s="73" t="s">
        <v>18762</v>
      </c>
      <c r="B1201" s="73" t="s">
        <v>6221</v>
      </c>
      <c r="C1201" s="73" t="s">
        <v>18763</v>
      </c>
      <c r="D1201" s="73"/>
      <c r="E1201" s="73"/>
      <c r="F1201" s="73"/>
      <c r="G1201" s="73"/>
      <c r="H1201" s="73" t="s">
        <v>18764</v>
      </c>
    </row>
    <row r="1202" spans="1:8" ht="25.5" x14ac:dyDescent="0.2">
      <c r="A1202" s="73" t="s">
        <v>18765</v>
      </c>
      <c r="B1202" s="73" t="s">
        <v>6224</v>
      </c>
      <c r="C1202" s="73" t="s">
        <v>6225</v>
      </c>
      <c r="D1202" s="73"/>
      <c r="E1202" s="73"/>
      <c r="F1202" s="73"/>
      <c r="G1202" s="73"/>
      <c r="H1202" s="73" t="s">
        <v>18766</v>
      </c>
    </row>
    <row r="1203" spans="1:8" ht="38.25" x14ac:dyDescent="0.2">
      <c r="A1203" s="76" t="s">
        <v>18767</v>
      </c>
      <c r="B1203" s="76" t="s">
        <v>6227</v>
      </c>
      <c r="C1203" s="76" t="s">
        <v>6228</v>
      </c>
      <c r="D1203" s="76"/>
      <c r="E1203" s="76"/>
      <c r="F1203" s="76"/>
      <c r="G1203" s="76"/>
      <c r="H1203" s="75" t="s">
        <v>18768</v>
      </c>
    </row>
    <row r="1204" spans="1:8" ht="12.75" x14ac:dyDescent="0.2">
      <c r="A1204" s="14" t="s">
        <v>18769</v>
      </c>
      <c r="B1204" s="14" t="s">
        <v>6230</v>
      </c>
      <c r="C1204" s="14" t="s">
        <v>6231</v>
      </c>
      <c r="D1204" s="14"/>
      <c r="E1204" s="14"/>
      <c r="F1204" s="14"/>
      <c r="G1204" s="14"/>
      <c r="H1204" s="14" t="s">
        <v>18770</v>
      </c>
    </row>
    <row r="1205" spans="1:8" ht="25.5" x14ac:dyDescent="0.2">
      <c r="A1205" s="14" t="s">
        <v>18771</v>
      </c>
      <c r="B1205" s="14" t="s">
        <v>6233</v>
      </c>
      <c r="C1205" s="14" t="s">
        <v>6234</v>
      </c>
      <c r="D1205" s="14"/>
      <c r="E1205" s="14"/>
      <c r="F1205" s="14"/>
      <c r="G1205" s="14"/>
      <c r="H1205" s="74" t="s">
        <v>18772</v>
      </c>
    </row>
    <row r="1206" spans="1:8" ht="38.25" x14ac:dyDescent="0.2">
      <c r="A1206" s="75" t="s">
        <v>18773</v>
      </c>
      <c r="B1206" s="75" t="s">
        <v>6258</v>
      </c>
      <c r="C1206" s="75" t="s">
        <v>6259</v>
      </c>
      <c r="D1206" s="75"/>
      <c r="E1206" s="75"/>
      <c r="F1206" s="75"/>
      <c r="G1206" s="75"/>
      <c r="H1206" s="76" t="s">
        <v>18774</v>
      </c>
    </row>
    <row r="1207" spans="1:8" ht="25.5" x14ac:dyDescent="0.2">
      <c r="A1207" s="74" t="s">
        <v>18775</v>
      </c>
      <c r="B1207" s="74" t="s">
        <v>6261</v>
      </c>
      <c r="C1207" s="74" t="s">
        <v>18776</v>
      </c>
      <c r="D1207" s="74"/>
      <c r="E1207" s="74"/>
      <c r="F1207" s="74"/>
      <c r="G1207" s="74"/>
      <c r="H1207" s="73" t="s">
        <v>18777</v>
      </c>
    </row>
    <row r="1208" spans="1:8" ht="38.25" x14ac:dyDescent="0.2">
      <c r="A1208" s="74" t="s">
        <v>18778</v>
      </c>
      <c r="B1208" s="74" t="s">
        <v>6264</v>
      </c>
      <c r="C1208" s="74" t="s">
        <v>18779</v>
      </c>
      <c r="D1208" s="74"/>
      <c r="E1208" s="74"/>
      <c r="F1208" s="74"/>
      <c r="G1208" s="74"/>
      <c r="H1208" s="74" t="s">
        <v>18780</v>
      </c>
    </row>
    <row r="1209" spans="1:8" ht="25.5" x14ac:dyDescent="0.2">
      <c r="A1209" s="75" t="s">
        <v>18781</v>
      </c>
      <c r="B1209" s="75" t="s">
        <v>6267</v>
      </c>
      <c r="C1209" s="75" t="s">
        <v>18782</v>
      </c>
      <c r="D1209" s="75"/>
      <c r="E1209" s="75"/>
      <c r="F1209" s="75"/>
      <c r="G1209" s="75"/>
      <c r="H1209" s="46" t="s">
        <v>18783</v>
      </c>
    </row>
    <row r="1210" spans="1:8" ht="25.5" x14ac:dyDescent="0.2">
      <c r="A1210" s="14" t="s">
        <v>18784</v>
      </c>
      <c r="B1210" s="14" t="s">
        <v>6270</v>
      </c>
      <c r="C1210" s="14" t="s">
        <v>6271</v>
      </c>
      <c r="D1210" s="14"/>
      <c r="E1210" s="14"/>
      <c r="F1210" s="14"/>
      <c r="G1210" s="14"/>
      <c r="H1210" s="73" t="s">
        <v>18785</v>
      </c>
    </row>
    <row r="1211" spans="1:8" ht="38.25" x14ac:dyDescent="0.2">
      <c r="A1211" s="74" t="s">
        <v>18786</v>
      </c>
      <c r="B1211" s="74" t="s">
        <v>6273</v>
      </c>
      <c r="C1211" s="74" t="s">
        <v>18787</v>
      </c>
      <c r="D1211" s="74"/>
      <c r="E1211" s="74"/>
      <c r="F1211" s="74"/>
      <c r="G1211" s="74"/>
      <c r="H1211" s="14" t="s">
        <v>18788</v>
      </c>
    </row>
    <row r="1212" spans="1:8" ht="38.25" x14ac:dyDescent="0.2">
      <c r="A1212" s="75" t="s">
        <v>18789</v>
      </c>
      <c r="B1212" s="75" t="s">
        <v>6276</v>
      </c>
      <c r="C1212" s="75" t="s">
        <v>18790</v>
      </c>
      <c r="D1212" s="75"/>
      <c r="E1212" s="75"/>
      <c r="F1212" s="75"/>
      <c r="G1212" s="75"/>
      <c r="H1212" s="76" t="s">
        <v>18791</v>
      </c>
    </row>
    <row r="1213" spans="1:8" ht="25.5" x14ac:dyDescent="0.2">
      <c r="A1213" s="73" t="s">
        <v>18792</v>
      </c>
      <c r="B1213" s="73" t="s">
        <v>6279</v>
      </c>
      <c r="C1213" s="73" t="s">
        <v>6280</v>
      </c>
      <c r="D1213" s="73"/>
      <c r="E1213" s="73"/>
      <c r="F1213" s="73"/>
      <c r="G1213" s="73"/>
      <c r="H1213" s="73" t="s">
        <v>18793</v>
      </c>
    </row>
    <row r="1214" spans="1:8" ht="25.5" x14ac:dyDescent="0.2">
      <c r="A1214" s="74" t="s">
        <v>18794</v>
      </c>
      <c r="B1214" s="74" t="s">
        <v>6284</v>
      </c>
      <c r="C1214" s="74" t="s">
        <v>18795</v>
      </c>
      <c r="D1214" s="74"/>
      <c r="E1214" s="74"/>
      <c r="F1214" s="74"/>
      <c r="G1214" s="74"/>
      <c r="H1214" s="74" t="s">
        <v>18796</v>
      </c>
    </row>
    <row r="1215" spans="1:8" ht="63.75" x14ac:dyDescent="0.2">
      <c r="A1215" s="75" t="s">
        <v>18797</v>
      </c>
      <c r="B1215" s="75" t="s">
        <v>6289</v>
      </c>
      <c r="C1215" s="75" t="s">
        <v>18798</v>
      </c>
      <c r="D1215" s="75"/>
      <c r="E1215" s="75"/>
      <c r="F1215" s="75"/>
      <c r="G1215" s="75"/>
      <c r="H1215" s="75" t="s">
        <v>18799</v>
      </c>
    </row>
    <row r="1216" spans="1:8" ht="51" x14ac:dyDescent="0.2">
      <c r="A1216" s="74" t="s">
        <v>18800</v>
      </c>
      <c r="B1216" s="74" t="s">
        <v>6292</v>
      </c>
      <c r="C1216" s="74" t="s">
        <v>18801</v>
      </c>
      <c r="D1216" s="74"/>
      <c r="E1216" s="74"/>
      <c r="F1216" s="74"/>
      <c r="G1216" s="74"/>
      <c r="H1216" s="73" t="s">
        <v>18802</v>
      </c>
    </row>
    <row r="1217" spans="1:8" ht="38.25" x14ac:dyDescent="0.2">
      <c r="A1217" s="74" t="s">
        <v>18803</v>
      </c>
      <c r="B1217" s="74" t="s">
        <v>6295</v>
      </c>
      <c r="C1217" s="74" t="s">
        <v>18804</v>
      </c>
      <c r="D1217" s="74"/>
      <c r="E1217" s="74"/>
      <c r="F1217" s="74"/>
      <c r="G1217" s="74"/>
      <c r="H1217" s="14" t="s">
        <v>18805</v>
      </c>
    </row>
    <row r="1218" spans="1:8" ht="89.25" x14ac:dyDescent="0.2">
      <c r="A1218" s="75" t="s">
        <v>18806</v>
      </c>
      <c r="B1218" s="75" t="s">
        <v>6298</v>
      </c>
      <c r="C1218" s="75" t="s">
        <v>18807</v>
      </c>
      <c r="D1218" s="75"/>
      <c r="E1218" s="75"/>
      <c r="F1218" s="75"/>
      <c r="G1218" s="75"/>
      <c r="H1218" s="75" t="s">
        <v>18808</v>
      </c>
    </row>
    <row r="1219" spans="1:8" ht="76.5" x14ac:dyDescent="0.2">
      <c r="A1219" s="74" t="s">
        <v>18809</v>
      </c>
      <c r="B1219" s="74" t="s">
        <v>6301</v>
      </c>
      <c r="C1219" s="74" t="s">
        <v>18810</v>
      </c>
      <c r="D1219" s="74"/>
      <c r="E1219" s="74"/>
      <c r="F1219" s="74"/>
      <c r="G1219" s="74"/>
      <c r="H1219" s="74" t="s">
        <v>18811</v>
      </c>
    </row>
    <row r="1220" spans="1:8" ht="25.5" x14ac:dyDescent="0.2">
      <c r="A1220" s="74" t="s">
        <v>18812</v>
      </c>
      <c r="B1220" s="74" t="s">
        <v>6306</v>
      </c>
      <c r="C1220" s="74" t="s">
        <v>18813</v>
      </c>
      <c r="D1220" s="74"/>
      <c r="E1220" s="74"/>
      <c r="F1220" s="74"/>
      <c r="G1220" s="74"/>
      <c r="H1220" s="73" t="s">
        <v>18814</v>
      </c>
    </row>
    <row r="1221" spans="1:8" ht="25.5" x14ac:dyDescent="0.2">
      <c r="A1221" s="75" t="s">
        <v>18815</v>
      </c>
      <c r="B1221" s="75" t="s">
        <v>6309</v>
      </c>
      <c r="C1221" s="75" t="s">
        <v>18816</v>
      </c>
      <c r="D1221" s="75"/>
      <c r="E1221" s="75"/>
      <c r="F1221" s="75"/>
      <c r="G1221" s="75"/>
      <c r="H1221" s="76" t="s">
        <v>18817</v>
      </c>
    </row>
    <row r="1222" spans="1:8" ht="25.5" x14ac:dyDescent="0.2">
      <c r="A1222" s="74" t="s">
        <v>18818</v>
      </c>
      <c r="B1222" s="74" t="s">
        <v>6312</v>
      </c>
      <c r="C1222" s="74" t="s">
        <v>18819</v>
      </c>
      <c r="D1222" s="74"/>
      <c r="E1222" s="74"/>
      <c r="F1222" s="74"/>
      <c r="G1222" s="74"/>
      <c r="H1222" s="73" t="s">
        <v>18820</v>
      </c>
    </row>
    <row r="1223" spans="1:8" ht="38.25" x14ac:dyDescent="0.2">
      <c r="A1223" s="74" t="s">
        <v>18821</v>
      </c>
      <c r="B1223" s="74" t="s">
        <v>6329</v>
      </c>
      <c r="C1223" s="74" t="s">
        <v>18822</v>
      </c>
      <c r="D1223" s="74"/>
      <c r="E1223" s="74"/>
      <c r="F1223" s="74"/>
      <c r="G1223" s="74"/>
      <c r="H1223" s="14" t="s">
        <v>18823</v>
      </c>
    </row>
    <row r="1224" spans="1:8" ht="38.25" x14ac:dyDescent="0.2">
      <c r="A1224" s="75" t="s">
        <v>18824</v>
      </c>
      <c r="B1224" s="75" t="s">
        <v>6331</v>
      </c>
      <c r="C1224" s="75" t="s">
        <v>18825</v>
      </c>
      <c r="D1224" s="75"/>
      <c r="E1224" s="75"/>
      <c r="F1224" s="75"/>
      <c r="G1224" s="75"/>
      <c r="H1224" s="46" t="s">
        <v>18826</v>
      </c>
    </row>
    <row r="1225" spans="1:8" ht="38.25" x14ac:dyDescent="0.2">
      <c r="A1225" s="74" t="s">
        <v>18827</v>
      </c>
      <c r="B1225" s="74" t="s">
        <v>6334</v>
      </c>
      <c r="C1225" s="74" t="s">
        <v>18828</v>
      </c>
      <c r="D1225" s="74"/>
      <c r="E1225" s="74"/>
      <c r="F1225" s="74"/>
      <c r="G1225" s="74"/>
      <c r="H1225" s="14" t="s">
        <v>18829</v>
      </c>
    </row>
    <row r="1226" spans="1:8" ht="38.25" x14ac:dyDescent="0.2">
      <c r="A1226" s="74" t="s">
        <v>18830</v>
      </c>
      <c r="B1226" s="74" t="s">
        <v>6337</v>
      </c>
      <c r="C1226" s="74" t="s">
        <v>18831</v>
      </c>
      <c r="D1226" s="74"/>
      <c r="E1226" s="74"/>
      <c r="F1226" s="74"/>
      <c r="G1226" s="74"/>
      <c r="H1226" s="14" t="s">
        <v>18832</v>
      </c>
    </row>
    <row r="1227" spans="1:8" ht="38.25" x14ac:dyDescent="0.2">
      <c r="A1227" s="75" t="s">
        <v>18833</v>
      </c>
      <c r="B1227" s="75" t="s">
        <v>6340</v>
      </c>
      <c r="C1227" s="75" t="s">
        <v>18834</v>
      </c>
      <c r="D1227" s="75"/>
      <c r="E1227" s="75"/>
      <c r="F1227" s="75"/>
      <c r="G1227" s="75"/>
      <c r="H1227" s="46" t="s">
        <v>18835</v>
      </c>
    </row>
    <row r="1228" spans="1:8" ht="38.25" x14ac:dyDescent="0.2">
      <c r="A1228" s="14" t="s">
        <v>18836</v>
      </c>
      <c r="B1228" s="14" t="s">
        <v>6353</v>
      </c>
      <c r="C1228" s="14" t="s">
        <v>6354</v>
      </c>
      <c r="D1228" s="14"/>
      <c r="E1228" s="14"/>
      <c r="F1228" s="14"/>
      <c r="G1228" s="14"/>
      <c r="H1228" s="74" t="s">
        <v>18837</v>
      </c>
    </row>
    <row r="1229" spans="1:8" ht="25.5" x14ac:dyDescent="0.2">
      <c r="A1229" s="74" t="s">
        <v>18838</v>
      </c>
      <c r="B1229" s="74" t="s">
        <v>18839</v>
      </c>
      <c r="C1229" s="74"/>
      <c r="D1229" s="74"/>
      <c r="E1229" s="74"/>
      <c r="F1229" s="74"/>
      <c r="G1229" s="74"/>
      <c r="H1229" s="14" t="s">
        <v>18840</v>
      </c>
    </row>
    <row r="1230" spans="1:8" ht="25.5" x14ac:dyDescent="0.2">
      <c r="A1230" s="75" t="s">
        <v>18841</v>
      </c>
      <c r="B1230" s="75" t="s">
        <v>6362</v>
      </c>
      <c r="C1230" s="75" t="s">
        <v>18842</v>
      </c>
      <c r="D1230" s="75"/>
      <c r="E1230" s="75"/>
      <c r="F1230" s="75"/>
      <c r="G1230" s="75"/>
      <c r="H1230" s="46" t="s">
        <v>18843</v>
      </c>
    </row>
    <row r="1231" spans="1:8" ht="51" x14ac:dyDescent="0.2">
      <c r="A1231" s="74" t="s">
        <v>18844</v>
      </c>
      <c r="B1231" s="74" t="s">
        <v>6365</v>
      </c>
      <c r="C1231" s="74" t="s">
        <v>18845</v>
      </c>
      <c r="D1231" s="74"/>
      <c r="E1231" s="74"/>
      <c r="F1231" s="74"/>
      <c r="G1231" s="74"/>
      <c r="H1231" s="14" t="s">
        <v>18846</v>
      </c>
    </row>
    <row r="1232" spans="1:8" ht="25.5" x14ac:dyDescent="0.2">
      <c r="A1232" s="74" t="s">
        <v>18847</v>
      </c>
      <c r="B1232" s="74" t="s">
        <v>6370</v>
      </c>
      <c r="C1232" s="74" t="s">
        <v>18848</v>
      </c>
      <c r="D1232" s="74"/>
      <c r="E1232" s="74"/>
      <c r="F1232" s="74"/>
      <c r="G1232" s="74"/>
      <c r="H1232" s="73" t="s">
        <v>18849</v>
      </c>
    </row>
    <row r="1233" spans="1:8" ht="38.25" x14ac:dyDescent="0.2">
      <c r="A1233" s="75" t="s">
        <v>18850</v>
      </c>
      <c r="B1233" s="75" t="s">
        <v>6375</v>
      </c>
      <c r="C1233" s="75" t="s">
        <v>18851</v>
      </c>
      <c r="D1233" s="75"/>
      <c r="E1233" s="75"/>
      <c r="F1233" s="75"/>
      <c r="G1233" s="75"/>
      <c r="H1233" s="76" t="s">
        <v>18852</v>
      </c>
    </row>
    <row r="1234" spans="1:8" ht="38.25" x14ac:dyDescent="0.2">
      <c r="A1234" s="74" t="s">
        <v>18853</v>
      </c>
      <c r="B1234" s="74" t="s">
        <v>6378</v>
      </c>
      <c r="C1234" s="74" t="s">
        <v>18854</v>
      </c>
      <c r="D1234" s="74"/>
      <c r="E1234" s="74"/>
      <c r="F1234" s="74"/>
      <c r="G1234" s="74"/>
      <c r="H1234" s="73" t="s">
        <v>18855</v>
      </c>
    </row>
    <row r="1235" spans="1:8" ht="25.5" x14ac:dyDescent="0.2">
      <c r="A1235" s="74" t="s">
        <v>18856</v>
      </c>
      <c r="B1235" s="74" t="s">
        <v>6381</v>
      </c>
      <c r="C1235" s="74" t="s">
        <v>18857</v>
      </c>
      <c r="D1235" s="74"/>
      <c r="E1235" s="74"/>
      <c r="F1235" s="74"/>
      <c r="G1235" s="74"/>
      <c r="H1235" s="14" t="s">
        <v>18858</v>
      </c>
    </row>
    <row r="1236" spans="1:8" ht="25.5" x14ac:dyDescent="0.2">
      <c r="A1236" s="76" t="s">
        <v>18859</v>
      </c>
      <c r="B1236" s="76" t="s">
        <v>6386</v>
      </c>
      <c r="C1236" s="76" t="s">
        <v>6387</v>
      </c>
      <c r="D1236" s="76"/>
      <c r="E1236" s="76"/>
      <c r="F1236" s="76"/>
      <c r="G1236" s="76"/>
      <c r="H1236" s="76" t="s">
        <v>18860</v>
      </c>
    </row>
    <row r="1237" spans="1:8" ht="25.5" x14ac:dyDescent="0.2">
      <c r="A1237" s="73" t="s">
        <v>18861</v>
      </c>
      <c r="B1237" s="73" t="s">
        <v>6391</v>
      </c>
      <c r="C1237" s="73" t="s">
        <v>18862</v>
      </c>
      <c r="D1237" s="73"/>
      <c r="E1237" s="73"/>
      <c r="F1237" s="73"/>
      <c r="G1237" s="73"/>
      <c r="H1237" s="73" t="s">
        <v>18863</v>
      </c>
    </row>
    <row r="1238" spans="1:8" ht="25.5" x14ac:dyDescent="0.2">
      <c r="A1238" s="14" t="s">
        <v>18864</v>
      </c>
      <c r="B1238" s="14" t="s">
        <v>6394</v>
      </c>
      <c r="C1238" s="14" t="s">
        <v>6395</v>
      </c>
      <c r="D1238" s="14"/>
      <c r="E1238" s="14"/>
      <c r="F1238" s="14"/>
      <c r="G1238" s="14"/>
      <c r="H1238" s="14" t="s">
        <v>18865</v>
      </c>
    </row>
    <row r="1239" spans="1:8" ht="25.5" x14ac:dyDescent="0.2">
      <c r="A1239" s="76" t="s">
        <v>18866</v>
      </c>
      <c r="B1239" s="76" t="s">
        <v>6399</v>
      </c>
      <c r="C1239" s="76" t="s">
        <v>6400</v>
      </c>
      <c r="D1239" s="76"/>
      <c r="E1239" s="76"/>
      <c r="F1239" s="76"/>
      <c r="G1239" s="76"/>
      <c r="H1239" s="46" t="s">
        <v>18867</v>
      </c>
    </row>
    <row r="1240" spans="1:8" ht="38.25" x14ac:dyDescent="0.2">
      <c r="A1240" s="74" t="s">
        <v>18868</v>
      </c>
      <c r="B1240" s="74" t="s">
        <v>6402</v>
      </c>
      <c r="C1240" s="74" t="s">
        <v>18869</v>
      </c>
      <c r="D1240" s="74"/>
      <c r="E1240" s="74"/>
      <c r="F1240" s="74"/>
      <c r="G1240" s="74"/>
      <c r="H1240" s="73" t="s">
        <v>18870</v>
      </c>
    </row>
    <row r="1241" spans="1:8" ht="63.75" x14ac:dyDescent="0.2">
      <c r="A1241" s="74" t="s">
        <v>18871</v>
      </c>
      <c r="B1241" s="74" t="s">
        <v>6411</v>
      </c>
      <c r="C1241" s="74" t="s">
        <v>18872</v>
      </c>
      <c r="D1241" s="74"/>
      <c r="E1241" s="74"/>
      <c r="F1241" s="74"/>
      <c r="G1241" s="74"/>
      <c r="H1241" s="74" t="s">
        <v>18873</v>
      </c>
    </row>
    <row r="1242" spans="1:8" ht="63.75" x14ac:dyDescent="0.2">
      <c r="A1242" s="75" t="s">
        <v>18874</v>
      </c>
      <c r="B1242" s="75" t="s">
        <v>6419</v>
      </c>
      <c r="C1242" s="75" t="s">
        <v>18875</v>
      </c>
      <c r="D1242" s="75"/>
      <c r="E1242" s="75"/>
      <c r="F1242" s="75"/>
      <c r="G1242" s="75"/>
      <c r="H1242" s="76" t="s">
        <v>18876</v>
      </c>
    </row>
    <row r="1243" spans="1:8" ht="25.5" x14ac:dyDescent="0.2">
      <c r="A1243" s="74" t="s">
        <v>18877</v>
      </c>
      <c r="B1243" s="74" t="s">
        <v>6424</v>
      </c>
      <c r="C1243" s="74" t="s">
        <v>18878</v>
      </c>
      <c r="D1243" s="74"/>
      <c r="E1243" s="74"/>
      <c r="F1243" s="74"/>
      <c r="G1243" s="74"/>
      <c r="H1243" s="73" t="s">
        <v>18879</v>
      </c>
    </row>
    <row r="1244" spans="1:8" ht="38.25" x14ac:dyDescent="0.2">
      <c r="A1244" s="74" t="s">
        <v>18880</v>
      </c>
      <c r="B1244" s="74" t="s">
        <v>6427</v>
      </c>
      <c r="C1244" s="74" t="s">
        <v>18881</v>
      </c>
      <c r="D1244" s="74"/>
      <c r="E1244" s="74"/>
      <c r="F1244" s="74"/>
      <c r="G1244" s="74"/>
      <c r="H1244" s="74" t="s">
        <v>18882</v>
      </c>
    </row>
    <row r="1245" spans="1:8" ht="63.75" x14ac:dyDescent="0.2">
      <c r="A1245" s="75" t="s">
        <v>18883</v>
      </c>
      <c r="B1245" s="75" t="s">
        <v>6430</v>
      </c>
      <c r="C1245" s="75" t="s">
        <v>18884</v>
      </c>
      <c r="D1245" s="75" t="s">
        <v>18885</v>
      </c>
      <c r="E1245" s="75" t="s">
        <v>18886</v>
      </c>
      <c r="F1245" s="75" t="s">
        <v>18887</v>
      </c>
      <c r="G1245" s="75"/>
      <c r="H1245" s="76" t="s">
        <v>18888</v>
      </c>
    </row>
    <row r="1246" spans="1:8" ht="63.75" x14ac:dyDescent="0.2">
      <c r="A1246" s="74" t="s">
        <v>18889</v>
      </c>
      <c r="B1246" s="74" t="s">
        <v>6433</v>
      </c>
      <c r="C1246" s="74" t="s">
        <v>18890</v>
      </c>
      <c r="D1246" s="74" t="s">
        <v>18885</v>
      </c>
      <c r="E1246" s="74" t="s">
        <v>18886</v>
      </c>
      <c r="F1246" s="74" t="s">
        <v>18887</v>
      </c>
      <c r="G1246" s="74"/>
      <c r="H1246" s="73" t="s">
        <v>18891</v>
      </c>
    </row>
    <row r="1247" spans="1:8" ht="25.5" x14ac:dyDescent="0.2">
      <c r="A1247" s="74" t="s">
        <v>18892</v>
      </c>
      <c r="B1247" s="74" t="s">
        <v>6438</v>
      </c>
      <c r="C1247" s="74" t="s">
        <v>18893</v>
      </c>
      <c r="D1247" s="74"/>
      <c r="E1247" s="74"/>
      <c r="F1247" s="74"/>
      <c r="G1247" s="74"/>
      <c r="H1247" s="73" t="s">
        <v>18894</v>
      </c>
    </row>
    <row r="1248" spans="1:8" ht="38.25" x14ac:dyDescent="0.2">
      <c r="A1248" s="75" t="s">
        <v>18895</v>
      </c>
      <c r="B1248" s="75" t="s">
        <v>6442</v>
      </c>
      <c r="C1248" s="75" t="s">
        <v>18896</v>
      </c>
      <c r="D1248" s="75"/>
      <c r="E1248" s="75"/>
      <c r="F1248" s="75"/>
      <c r="G1248" s="75"/>
      <c r="H1248" s="76" t="s">
        <v>18897</v>
      </c>
    </row>
    <row r="1249" spans="1:8" ht="25.5" x14ac:dyDescent="0.2">
      <c r="A1249" s="74" t="s">
        <v>18898</v>
      </c>
      <c r="B1249" s="74" t="s">
        <v>6444</v>
      </c>
      <c r="C1249" s="74" t="s">
        <v>18899</v>
      </c>
      <c r="D1249" s="74"/>
      <c r="E1249" s="74"/>
      <c r="F1249" s="74"/>
      <c r="G1249" s="74"/>
      <c r="H1249" s="14" t="s">
        <v>18900</v>
      </c>
    </row>
    <row r="1250" spans="1:8" ht="25.5" x14ac:dyDescent="0.2">
      <c r="A1250" s="74" t="s">
        <v>18901</v>
      </c>
      <c r="B1250" s="74" t="s">
        <v>6451</v>
      </c>
      <c r="C1250" s="74" t="s">
        <v>18902</v>
      </c>
      <c r="D1250" s="74"/>
      <c r="E1250" s="74"/>
      <c r="F1250" s="74"/>
      <c r="G1250" s="74"/>
      <c r="H1250" s="73" t="s">
        <v>18903</v>
      </c>
    </row>
    <row r="1251" spans="1:8" ht="25.5" x14ac:dyDescent="0.2">
      <c r="A1251" s="75" t="s">
        <v>18904</v>
      </c>
      <c r="B1251" s="75" t="s">
        <v>6458</v>
      </c>
      <c r="C1251" s="75" t="s">
        <v>18905</v>
      </c>
      <c r="D1251" s="75"/>
      <c r="E1251" s="75"/>
      <c r="F1251" s="75"/>
      <c r="G1251" s="75"/>
      <c r="H1251" s="76" t="s">
        <v>18906</v>
      </c>
    </row>
    <row r="1252" spans="1:8" ht="25.5" x14ac:dyDescent="0.2">
      <c r="A1252" s="74" t="s">
        <v>18907</v>
      </c>
      <c r="B1252" s="74" t="s">
        <v>6462</v>
      </c>
      <c r="C1252" s="74" t="s">
        <v>18908</v>
      </c>
      <c r="D1252" s="74"/>
      <c r="E1252" s="74"/>
      <c r="F1252" s="74"/>
      <c r="G1252" s="74"/>
      <c r="H1252" s="74" t="s">
        <v>18909</v>
      </c>
    </row>
    <row r="1253" spans="1:8" ht="25.5" x14ac:dyDescent="0.2">
      <c r="A1253" s="74" t="s">
        <v>18910</v>
      </c>
      <c r="B1253" s="74" t="s">
        <v>6471</v>
      </c>
      <c r="C1253" s="74" t="s">
        <v>18911</v>
      </c>
      <c r="D1253" s="74"/>
      <c r="E1253" s="74"/>
      <c r="F1253" s="74"/>
      <c r="G1253" s="74"/>
      <c r="H1253" s="74" t="s">
        <v>18912</v>
      </c>
    </row>
    <row r="1254" spans="1:8" ht="25.5" x14ac:dyDescent="0.2">
      <c r="A1254" s="75" t="s">
        <v>18913</v>
      </c>
      <c r="B1254" s="75" t="s">
        <v>6474</v>
      </c>
      <c r="C1254" s="75" t="s">
        <v>18914</v>
      </c>
      <c r="D1254" s="75"/>
      <c r="E1254" s="75"/>
      <c r="F1254" s="75"/>
      <c r="G1254" s="75"/>
      <c r="H1254" s="46" t="s">
        <v>18915</v>
      </c>
    </row>
    <row r="1255" spans="1:8" ht="38.25" x14ac:dyDescent="0.2">
      <c r="A1255" s="74" t="s">
        <v>18916</v>
      </c>
      <c r="B1255" s="74" t="s">
        <v>6477</v>
      </c>
      <c r="C1255" s="74" t="s">
        <v>18917</v>
      </c>
      <c r="D1255" s="74"/>
      <c r="E1255" s="74"/>
      <c r="F1255" s="74"/>
      <c r="G1255" s="74"/>
      <c r="H1255" s="73" t="s">
        <v>18918</v>
      </c>
    </row>
    <row r="1256" spans="1:8" ht="25.5" x14ac:dyDescent="0.2">
      <c r="A1256" s="74" t="s">
        <v>18919</v>
      </c>
      <c r="B1256" s="74" t="s">
        <v>6484</v>
      </c>
      <c r="C1256" s="74" t="s">
        <v>18920</v>
      </c>
      <c r="D1256" s="74"/>
      <c r="E1256" s="74"/>
      <c r="F1256" s="74"/>
      <c r="G1256" s="74"/>
      <c r="H1256" s="73" t="s">
        <v>18921</v>
      </c>
    </row>
    <row r="1257" spans="1:8" ht="25.5" x14ac:dyDescent="0.2">
      <c r="A1257" s="75" t="s">
        <v>18922</v>
      </c>
      <c r="B1257" s="75" t="s">
        <v>6491</v>
      </c>
      <c r="C1257" s="75" t="s">
        <v>18923</v>
      </c>
      <c r="D1257" s="75"/>
      <c r="E1257" s="75"/>
      <c r="F1257" s="75"/>
      <c r="G1257" s="75"/>
      <c r="H1257" s="46" t="s">
        <v>18924</v>
      </c>
    </row>
    <row r="1258" spans="1:8" ht="38.25" x14ac:dyDescent="0.2">
      <c r="A1258" s="74" t="s">
        <v>18925</v>
      </c>
      <c r="B1258" s="74" t="s">
        <v>6494</v>
      </c>
      <c r="C1258" s="74" t="s">
        <v>18926</v>
      </c>
      <c r="D1258" s="74"/>
      <c r="E1258" s="74"/>
      <c r="F1258" s="74"/>
      <c r="G1258" s="74"/>
      <c r="H1258" s="73" t="s">
        <v>18927</v>
      </c>
    </row>
    <row r="1259" spans="1:8" ht="51" x14ac:dyDescent="0.2">
      <c r="A1259" s="73" t="s">
        <v>18928</v>
      </c>
      <c r="B1259" s="73" t="s">
        <v>6497</v>
      </c>
      <c r="C1259" s="73" t="s">
        <v>6498</v>
      </c>
      <c r="D1259" s="73"/>
      <c r="E1259" s="73"/>
      <c r="F1259" s="73"/>
      <c r="G1259" s="73"/>
      <c r="H1259" s="73" t="s">
        <v>18929</v>
      </c>
    </row>
    <row r="1260" spans="1:8" ht="51" x14ac:dyDescent="0.2">
      <c r="A1260" s="75" t="s">
        <v>18930</v>
      </c>
      <c r="B1260" s="75" t="s">
        <v>6500</v>
      </c>
      <c r="C1260" s="75" t="s">
        <v>18931</v>
      </c>
      <c r="D1260" s="75"/>
      <c r="E1260" s="75"/>
      <c r="F1260" s="75"/>
      <c r="G1260" s="75"/>
      <c r="H1260" s="76" t="s">
        <v>18932</v>
      </c>
    </row>
    <row r="1261" spans="1:8" ht="63.75" x14ac:dyDescent="0.2">
      <c r="A1261" s="73" t="s">
        <v>18933</v>
      </c>
      <c r="B1261" s="73" t="s">
        <v>6503</v>
      </c>
      <c r="C1261" s="73" t="s">
        <v>6504</v>
      </c>
      <c r="D1261" s="73"/>
      <c r="E1261" s="73"/>
      <c r="F1261" s="73"/>
      <c r="G1261" s="73"/>
      <c r="H1261" s="74" t="s">
        <v>18934</v>
      </c>
    </row>
    <row r="1262" spans="1:8" ht="38.25" x14ac:dyDescent="0.2">
      <c r="A1262" s="74" t="s">
        <v>18935</v>
      </c>
      <c r="B1262" s="74" t="s">
        <v>6506</v>
      </c>
      <c r="C1262" s="74" t="s">
        <v>18936</v>
      </c>
      <c r="D1262" s="74"/>
      <c r="E1262" s="74"/>
      <c r="F1262" s="74"/>
      <c r="G1262" s="74"/>
      <c r="H1262" s="73" t="s">
        <v>18937</v>
      </c>
    </row>
    <row r="1263" spans="1:8" ht="38.25" x14ac:dyDescent="0.2">
      <c r="A1263" s="75" t="s">
        <v>18938</v>
      </c>
      <c r="B1263" s="75" t="s">
        <v>6509</v>
      </c>
      <c r="C1263" s="75" t="s">
        <v>18939</v>
      </c>
      <c r="D1263" s="75"/>
      <c r="E1263" s="75"/>
      <c r="F1263" s="75"/>
      <c r="G1263" s="75"/>
      <c r="H1263" s="76" t="s">
        <v>18940</v>
      </c>
    </row>
    <row r="1264" spans="1:8" ht="25.5" x14ac:dyDescent="0.2">
      <c r="A1264" s="74" t="s">
        <v>18941</v>
      </c>
      <c r="B1264" s="74" t="s">
        <v>6514</v>
      </c>
      <c r="C1264" s="74" t="s">
        <v>18942</v>
      </c>
      <c r="D1264" s="74"/>
      <c r="E1264" s="74"/>
      <c r="F1264" s="74"/>
      <c r="G1264" s="74"/>
      <c r="H1264" s="73" t="s">
        <v>18943</v>
      </c>
    </row>
    <row r="1265" spans="1:8" ht="89.25" x14ac:dyDescent="0.2">
      <c r="A1265" s="74" t="s">
        <v>18944</v>
      </c>
      <c r="B1265" s="74" t="s">
        <v>6523</v>
      </c>
      <c r="C1265" s="74" t="s">
        <v>18945</v>
      </c>
      <c r="D1265" s="74" t="s">
        <v>18946</v>
      </c>
      <c r="E1265" s="74"/>
      <c r="F1265" s="74"/>
      <c r="G1265" s="74"/>
      <c r="H1265" s="74" t="s">
        <v>18947</v>
      </c>
    </row>
    <row r="1266" spans="1:8" ht="25.5" x14ac:dyDescent="0.2">
      <c r="A1266" s="75" t="s">
        <v>18948</v>
      </c>
      <c r="B1266" s="75" t="s">
        <v>6526</v>
      </c>
      <c r="C1266" s="75" t="s">
        <v>18949</v>
      </c>
      <c r="D1266" s="75"/>
      <c r="E1266" s="75"/>
      <c r="F1266" s="75"/>
      <c r="G1266" s="75"/>
      <c r="H1266" s="46" t="s">
        <v>18950</v>
      </c>
    </row>
    <row r="1267" spans="1:8" ht="25.5" x14ac:dyDescent="0.2">
      <c r="A1267" s="74" t="s">
        <v>18951</v>
      </c>
      <c r="B1267" s="74" t="s">
        <v>6529</v>
      </c>
      <c r="C1267" s="74" t="s">
        <v>18952</v>
      </c>
      <c r="D1267" s="74"/>
      <c r="E1267" s="74"/>
      <c r="F1267" s="74"/>
      <c r="G1267" s="74"/>
      <c r="H1267" s="73" t="s">
        <v>18953</v>
      </c>
    </row>
    <row r="1268" spans="1:8" ht="63.75" x14ac:dyDescent="0.2">
      <c r="A1268" s="74" t="s">
        <v>18954</v>
      </c>
      <c r="B1268" s="74" t="s">
        <v>6532</v>
      </c>
      <c r="C1268" s="74" t="s">
        <v>18955</v>
      </c>
      <c r="D1268" s="74"/>
      <c r="E1268" s="74"/>
      <c r="F1268" s="74"/>
      <c r="G1268" s="74"/>
      <c r="H1268" s="73" t="s">
        <v>18956</v>
      </c>
    </row>
    <row r="1269" spans="1:8" ht="63.75" x14ac:dyDescent="0.2">
      <c r="A1269" s="49" t="s">
        <v>18957</v>
      </c>
      <c r="B1269" s="49" t="s">
        <v>6537</v>
      </c>
      <c r="C1269" s="49" t="s">
        <v>18958</v>
      </c>
      <c r="D1269" s="49"/>
      <c r="E1269" s="49"/>
      <c r="F1269" s="49"/>
      <c r="G1269" s="49"/>
      <c r="H1269" s="76" t="s">
        <v>18959</v>
      </c>
    </row>
    <row r="1270" spans="1:8" ht="38.25" x14ac:dyDescent="0.2">
      <c r="A1270" s="74" t="s">
        <v>18960</v>
      </c>
      <c r="B1270" s="74" t="s">
        <v>6540</v>
      </c>
      <c r="C1270" s="74" t="s">
        <v>18961</v>
      </c>
      <c r="D1270" s="74"/>
      <c r="E1270" s="74"/>
      <c r="F1270" s="74"/>
      <c r="G1270" s="74"/>
      <c r="H1270" s="73" t="s">
        <v>18962</v>
      </c>
    </row>
    <row r="1271" spans="1:8" ht="51" x14ac:dyDescent="0.2">
      <c r="A1271" s="75" t="s">
        <v>18963</v>
      </c>
      <c r="B1271" s="75" t="s">
        <v>6543</v>
      </c>
      <c r="C1271" s="75" t="s">
        <v>18964</v>
      </c>
      <c r="D1271" s="75"/>
      <c r="E1271" s="75"/>
      <c r="F1271" s="75"/>
      <c r="G1271" s="75"/>
      <c r="H1271" s="76" t="s">
        <v>18965</v>
      </c>
    </row>
    <row r="1272" spans="1:8" ht="153" x14ac:dyDescent="0.2">
      <c r="A1272" s="22" t="s">
        <v>18966</v>
      </c>
      <c r="B1272" s="22" t="s">
        <v>6546</v>
      </c>
      <c r="C1272" s="22" t="s">
        <v>18967</v>
      </c>
      <c r="D1272" s="22"/>
      <c r="E1272" s="22"/>
      <c r="F1272" s="22"/>
      <c r="G1272" s="22"/>
      <c r="H1272" s="73" t="s">
        <v>18968</v>
      </c>
    </row>
    <row r="1273" spans="1:8" ht="114.75" x14ac:dyDescent="0.2">
      <c r="A1273" s="75" t="s">
        <v>18969</v>
      </c>
      <c r="B1273" s="75" t="s">
        <v>6549</v>
      </c>
      <c r="C1273" s="75" t="s">
        <v>18970</v>
      </c>
      <c r="D1273" s="75"/>
      <c r="E1273" s="75"/>
      <c r="F1273" s="75"/>
      <c r="G1273" s="75"/>
      <c r="H1273" s="75" t="s">
        <v>18971</v>
      </c>
    </row>
    <row r="1274" spans="1:8" ht="51" x14ac:dyDescent="0.2">
      <c r="A1274" s="74" t="s">
        <v>18972</v>
      </c>
      <c r="B1274" s="74" t="s">
        <v>6552</v>
      </c>
      <c r="C1274" s="74" t="s">
        <v>18973</v>
      </c>
      <c r="D1274" s="74"/>
      <c r="E1274" s="74"/>
      <c r="F1274" s="74"/>
      <c r="G1274" s="74"/>
      <c r="H1274" s="73" t="s">
        <v>18974</v>
      </c>
    </row>
    <row r="1275" spans="1:8" ht="51" x14ac:dyDescent="0.2">
      <c r="A1275" s="74" t="s">
        <v>18975</v>
      </c>
      <c r="B1275" s="74" t="s">
        <v>6563</v>
      </c>
      <c r="C1275" s="74" t="s">
        <v>18976</v>
      </c>
      <c r="D1275" s="74"/>
      <c r="E1275" s="74"/>
      <c r="F1275" s="74"/>
      <c r="G1275" s="74"/>
      <c r="H1275" s="73" t="s">
        <v>18977</v>
      </c>
    </row>
    <row r="1276" spans="1:8" ht="38.25" x14ac:dyDescent="0.2">
      <c r="A1276" s="75" t="s">
        <v>18978</v>
      </c>
      <c r="B1276" s="75" t="s">
        <v>6566</v>
      </c>
      <c r="C1276" s="75" t="s">
        <v>18979</v>
      </c>
      <c r="D1276" s="75"/>
      <c r="E1276" s="75"/>
      <c r="F1276" s="75"/>
      <c r="G1276" s="75"/>
      <c r="H1276" s="76" t="s">
        <v>18980</v>
      </c>
    </row>
    <row r="1277" spans="1:8" ht="89.25" x14ac:dyDescent="0.2">
      <c r="A1277" s="74" t="s">
        <v>18981</v>
      </c>
      <c r="B1277" s="74" t="s">
        <v>6569</v>
      </c>
      <c r="C1277" s="74" t="s">
        <v>18982</v>
      </c>
      <c r="D1277" s="74"/>
      <c r="E1277" s="74"/>
      <c r="F1277" s="74"/>
      <c r="G1277" s="74"/>
      <c r="H1277" s="74" t="s">
        <v>18983</v>
      </c>
    </row>
    <row r="1278" spans="1:8" ht="63.75" x14ac:dyDescent="0.2">
      <c r="A1278" s="73" t="s">
        <v>18984</v>
      </c>
      <c r="B1278" s="73" t="s">
        <v>6572</v>
      </c>
      <c r="C1278" s="73" t="s">
        <v>6573</v>
      </c>
      <c r="D1278" s="73"/>
      <c r="E1278" s="73"/>
      <c r="F1278" s="73"/>
      <c r="G1278" s="73"/>
      <c r="H1278" s="74" t="s">
        <v>18985</v>
      </c>
    </row>
    <row r="1279" spans="1:8" ht="63.75" x14ac:dyDescent="0.2">
      <c r="A1279" s="75" t="s">
        <v>18986</v>
      </c>
      <c r="B1279" s="75" t="s">
        <v>6575</v>
      </c>
      <c r="C1279" s="75" t="s">
        <v>18987</v>
      </c>
      <c r="D1279" s="75"/>
      <c r="E1279" s="75"/>
      <c r="F1279" s="75"/>
      <c r="G1279" s="75"/>
      <c r="H1279" s="76" t="s">
        <v>18988</v>
      </c>
    </row>
    <row r="1280" spans="1:8" ht="51" x14ac:dyDescent="0.2">
      <c r="A1280" s="74" t="s">
        <v>18989</v>
      </c>
      <c r="B1280" s="74" t="s">
        <v>6578</v>
      </c>
      <c r="C1280" s="74" t="s">
        <v>18990</v>
      </c>
      <c r="D1280" s="74"/>
      <c r="E1280" s="74"/>
      <c r="F1280" s="74"/>
      <c r="G1280" s="74"/>
      <c r="H1280" s="73" t="s">
        <v>18991</v>
      </c>
    </row>
    <row r="1281" spans="1:8" ht="38.25" x14ac:dyDescent="0.2">
      <c r="A1281" s="73" t="s">
        <v>18992</v>
      </c>
      <c r="B1281" s="73" t="s">
        <v>6581</v>
      </c>
      <c r="C1281" s="73" t="s">
        <v>6582</v>
      </c>
      <c r="D1281" s="73"/>
      <c r="E1281" s="73"/>
      <c r="F1281" s="73"/>
      <c r="G1281" s="73"/>
      <c r="H1281" s="73" t="s">
        <v>18993</v>
      </c>
    </row>
    <row r="1282" spans="1:8" ht="51" x14ac:dyDescent="0.2">
      <c r="A1282" s="75" t="s">
        <v>18994</v>
      </c>
      <c r="B1282" s="75" t="s">
        <v>6584</v>
      </c>
      <c r="C1282" s="75" t="s">
        <v>18995</v>
      </c>
      <c r="D1282" s="75"/>
      <c r="E1282" s="75"/>
      <c r="F1282" s="75"/>
      <c r="G1282" s="75"/>
      <c r="H1282" s="46" t="s">
        <v>18996</v>
      </c>
    </row>
    <row r="1283" spans="1:8" ht="51" x14ac:dyDescent="0.2">
      <c r="A1283" s="73" t="s">
        <v>18997</v>
      </c>
      <c r="B1283" s="73" t="s">
        <v>6587</v>
      </c>
      <c r="C1283" s="73" t="s">
        <v>18998</v>
      </c>
      <c r="D1283" s="73"/>
      <c r="E1283" s="73"/>
      <c r="F1283" s="73"/>
      <c r="G1283" s="73"/>
      <c r="H1283" s="74" t="s">
        <v>18999</v>
      </c>
    </row>
    <row r="1284" spans="1:8" ht="25.5" x14ac:dyDescent="0.2">
      <c r="A1284" s="74" t="s">
        <v>19000</v>
      </c>
      <c r="B1284" s="74" t="s">
        <v>6592</v>
      </c>
      <c r="C1284" s="74" t="s">
        <v>19001</v>
      </c>
      <c r="D1284" s="74"/>
      <c r="E1284" s="74"/>
      <c r="F1284" s="74"/>
      <c r="G1284" s="74"/>
      <c r="H1284" s="14" t="s">
        <v>19002</v>
      </c>
    </row>
    <row r="1285" spans="1:8" ht="25.5" x14ac:dyDescent="0.2">
      <c r="A1285" s="75" t="s">
        <v>19003</v>
      </c>
      <c r="B1285" s="75" t="s">
        <v>6597</v>
      </c>
      <c r="C1285" s="75" t="s">
        <v>19004</v>
      </c>
      <c r="D1285" s="75"/>
      <c r="E1285" s="75"/>
      <c r="F1285" s="75"/>
      <c r="G1285" s="75"/>
      <c r="H1285" s="46" t="s">
        <v>19005</v>
      </c>
    </row>
    <row r="1286" spans="1:8" ht="25.5" x14ac:dyDescent="0.2">
      <c r="A1286" s="74" t="s">
        <v>19006</v>
      </c>
      <c r="B1286" s="74" t="s">
        <v>6600</v>
      </c>
      <c r="C1286" s="74" t="s">
        <v>19007</v>
      </c>
      <c r="D1286" s="74"/>
      <c r="E1286" s="74"/>
      <c r="F1286" s="74"/>
      <c r="G1286" s="74"/>
      <c r="H1286" s="73" t="s">
        <v>19008</v>
      </c>
    </row>
    <row r="1287" spans="1:8" ht="63.75" x14ac:dyDescent="0.2">
      <c r="A1287" s="74" t="s">
        <v>19009</v>
      </c>
      <c r="B1287" s="74" t="s">
        <v>6603</v>
      </c>
      <c r="C1287" s="74" t="s">
        <v>19010</v>
      </c>
      <c r="D1287" s="74"/>
      <c r="E1287" s="74"/>
      <c r="F1287" s="74"/>
      <c r="G1287" s="74"/>
      <c r="H1287" s="73" t="s">
        <v>19011</v>
      </c>
    </row>
    <row r="1288" spans="1:8" ht="38.25" x14ac:dyDescent="0.2">
      <c r="A1288" s="75" t="s">
        <v>19012</v>
      </c>
      <c r="B1288" s="75" t="s">
        <v>6610</v>
      </c>
      <c r="C1288" s="75" t="s">
        <v>19013</v>
      </c>
      <c r="D1288" s="75"/>
      <c r="E1288" s="75"/>
      <c r="F1288" s="75"/>
      <c r="G1288" s="75"/>
      <c r="H1288" s="76" t="s">
        <v>19014</v>
      </c>
    </row>
    <row r="1289" spans="1:8" ht="63.75" x14ac:dyDescent="0.2">
      <c r="A1289" s="74" t="s">
        <v>19015</v>
      </c>
      <c r="B1289" s="74" t="s">
        <v>6613</v>
      </c>
      <c r="C1289" s="74" t="s">
        <v>19016</v>
      </c>
      <c r="D1289" s="74"/>
      <c r="E1289" s="74"/>
      <c r="F1289" s="74"/>
      <c r="G1289" s="74"/>
      <c r="H1289" s="73" t="s">
        <v>19017</v>
      </c>
    </row>
    <row r="1290" spans="1:8" ht="51" x14ac:dyDescent="0.2">
      <c r="A1290" s="74" t="s">
        <v>19018</v>
      </c>
      <c r="B1290" s="74" t="s">
        <v>6616</v>
      </c>
      <c r="C1290" s="74" t="s">
        <v>19019</v>
      </c>
      <c r="D1290" s="74"/>
      <c r="E1290" s="74"/>
      <c r="F1290" s="74"/>
      <c r="G1290" s="74"/>
      <c r="H1290" s="74" t="s">
        <v>19020</v>
      </c>
    </row>
    <row r="1291" spans="1:8" ht="51" x14ac:dyDescent="0.2">
      <c r="A1291" s="75" t="s">
        <v>19021</v>
      </c>
      <c r="B1291" s="75" t="s">
        <v>6619</v>
      </c>
      <c r="C1291" s="75" t="s">
        <v>19022</v>
      </c>
      <c r="D1291" s="75"/>
      <c r="E1291" s="75"/>
      <c r="F1291" s="75"/>
      <c r="G1291" s="75"/>
      <c r="H1291" s="76" t="s">
        <v>19023</v>
      </c>
    </row>
    <row r="1292" spans="1:8" ht="51" x14ac:dyDescent="0.2">
      <c r="A1292" s="74" t="s">
        <v>19024</v>
      </c>
      <c r="B1292" s="74" t="s">
        <v>6622</v>
      </c>
      <c r="C1292" s="74" t="s">
        <v>19025</v>
      </c>
      <c r="D1292" s="74"/>
      <c r="E1292" s="74"/>
      <c r="F1292" s="74"/>
      <c r="G1292" s="74"/>
      <c r="H1292" s="73" t="s">
        <v>19026</v>
      </c>
    </row>
    <row r="1293" spans="1:8" ht="25.5" x14ac:dyDescent="0.2">
      <c r="A1293" s="73" t="s">
        <v>19027</v>
      </c>
      <c r="B1293" s="73" t="s">
        <v>6627</v>
      </c>
      <c r="C1293" s="73" t="s">
        <v>6628</v>
      </c>
      <c r="D1293" s="73"/>
      <c r="E1293" s="73"/>
      <c r="F1293" s="73"/>
      <c r="G1293" s="73"/>
      <c r="H1293" s="14" t="s">
        <v>19028</v>
      </c>
    </row>
    <row r="1294" spans="1:8" ht="25.5" x14ac:dyDescent="0.2">
      <c r="A1294" s="46" t="s">
        <v>19029</v>
      </c>
      <c r="B1294" s="46" t="s">
        <v>6646</v>
      </c>
      <c r="C1294" s="46" t="s">
        <v>6647</v>
      </c>
      <c r="D1294" s="46"/>
      <c r="E1294" s="46"/>
      <c r="F1294" s="46"/>
      <c r="G1294" s="46"/>
      <c r="H1294" s="76" t="s">
        <v>19030</v>
      </c>
    </row>
    <row r="1295" spans="1:8" ht="38.25" x14ac:dyDescent="0.2">
      <c r="A1295" s="73" t="s">
        <v>19031</v>
      </c>
      <c r="B1295" s="73" t="s">
        <v>6651</v>
      </c>
      <c r="C1295" s="73" t="s">
        <v>6652</v>
      </c>
      <c r="D1295" s="73"/>
      <c r="E1295" s="73"/>
      <c r="F1295" s="73"/>
      <c r="G1295" s="73"/>
      <c r="H1295" s="14" t="s">
        <v>19032</v>
      </c>
    </row>
    <row r="1296" spans="1:8" ht="25.5" x14ac:dyDescent="0.2">
      <c r="A1296" s="74" t="s">
        <v>19033</v>
      </c>
      <c r="B1296" s="74" t="s">
        <v>6658</v>
      </c>
      <c r="C1296" s="74" t="s">
        <v>19034</v>
      </c>
      <c r="D1296" s="74"/>
      <c r="E1296" s="74"/>
      <c r="F1296" s="74"/>
      <c r="G1296" s="74"/>
      <c r="H1296" s="14" t="s">
        <v>19035</v>
      </c>
    </row>
    <row r="1297" spans="1:8" ht="25.5" x14ac:dyDescent="0.2">
      <c r="A1297" s="75" t="s">
        <v>19036</v>
      </c>
      <c r="B1297" s="75" t="s">
        <v>6663</v>
      </c>
      <c r="C1297" s="75" t="s">
        <v>19037</v>
      </c>
      <c r="D1297" s="75"/>
      <c r="E1297" s="75"/>
      <c r="F1297" s="75"/>
      <c r="G1297" s="75"/>
      <c r="H1297" s="76" t="s">
        <v>19038</v>
      </c>
    </row>
    <row r="1298" spans="1:8" ht="38.25" x14ac:dyDescent="0.2">
      <c r="A1298" s="74" t="s">
        <v>19039</v>
      </c>
      <c r="B1298" s="74" t="s">
        <v>6666</v>
      </c>
      <c r="C1298" s="74" t="s">
        <v>19040</v>
      </c>
      <c r="D1298" s="74"/>
      <c r="E1298" s="74"/>
      <c r="F1298" s="74"/>
      <c r="G1298" s="74"/>
      <c r="H1298" s="74" t="s">
        <v>19041</v>
      </c>
    </row>
    <row r="1299" spans="1:8" ht="51" x14ac:dyDescent="0.2">
      <c r="A1299" s="74" t="s">
        <v>19042</v>
      </c>
      <c r="B1299" s="74" t="s">
        <v>6669</v>
      </c>
      <c r="C1299" s="74" t="s">
        <v>19043</v>
      </c>
      <c r="D1299" s="74"/>
      <c r="E1299" s="74"/>
      <c r="F1299" s="74"/>
      <c r="G1299" s="74"/>
      <c r="H1299" s="74" t="s">
        <v>19044</v>
      </c>
    </row>
    <row r="1300" spans="1:8" ht="51" x14ac:dyDescent="0.2">
      <c r="A1300" s="75" t="s">
        <v>19045</v>
      </c>
      <c r="B1300" s="75" t="s">
        <v>6672</v>
      </c>
      <c r="C1300" s="75" t="s">
        <v>19046</v>
      </c>
      <c r="D1300" s="75"/>
      <c r="E1300" s="75"/>
      <c r="F1300" s="75"/>
      <c r="G1300" s="75"/>
      <c r="H1300" s="75" t="s">
        <v>19047</v>
      </c>
    </row>
    <row r="1301" spans="1:8" ht="51" x14ac:dyDescent="0.2">
      <c r="A1301" s="74" t="s">
        <v>19048</v>
      </c>
      <c r="B1301" s="74" t="s">
        <v>6675</v>
      </c>
      <c r="C1301" s="74" t="s">
        <v>19049</v>
      </c>
      <c r="D1301" s="74"/>
      <c r="E1301" s="74"/>
      <c r="F1301" s="74"/>
      <c r="G1301" s="74"/>
      <c r="H1301" s="74" t="s">
        <v>19050</v>
      </c>
    </row>
    <row r="1302" spans="1:8" ht="51" x14ac:dyDescent="0.2">
      <c r="A1302" s="74" t="s">
        <v>19051</v>
      </c>
      <c r="B1302" s="74" t="s">
        <v>6678</v>
      </c>
      <c r="C1302" s="74" t="s">
        <v>19052</v>
      </c>
      <c r="D1302" s="74"/>
      <c r="E1302" s="74"/>
      <c r="F1302" s="74"/>
      <c r="G1302" s="74"/>
      <c r="H1302" s="74" t="s">
        <v>19053</v>
      </c>
    </row>
    <row r="1303" spans="1:8" ht="25.5" x14ac:dyDescent="0.2">
      <c r="A1303" s="75" t="s">
        <v>19054</v>
      </c>
      <c r="B1303" s="75" t="s">
        <v>6681</v>
      </c>
      <c r="C1303" s="75" t="s">
        <v>19055</v>
      </c>
      <c r="D1303" s="75"/>
      <c r="E1303" s="75"/>
      <c r="F1303" s="75"/>
      <c r="G1303" s="75"/>
      <c r="H1303" s="76" t="s">
        <v>19056</v>
      </c>
    </row>
    <row r="1304" spans="1:8" ht="38.25" x14ac:dyDescent="0.2">
      <c r="A1304" s="74" t="s">
        <v>19057</v>
      </c>
      <c r="B1304" s="74" t="s">
        <v>6684</v>
      </c>
      <c r="C1304" s="74" t="s">
        <v>19058</v>
      </c>
      <c r="D1304" s="74" t="s">
        <v>19059</v>
      </c>
      <c r="E1304" s="74"/>
      <c r="F1304" s="74"/>
      <c r="G1304" s="74"/>
      <c r="H1304" s="73" t="s">
        <v>19060</v>
      </c>
    </row>
    <row r="1305" spans="1:8" ht="25.5" x14ac:dyDescent="0.2">
      <c r="A1305" s="74" t="s">
        <v>19061</v>
      </c>
      <c r="B1305" s="74" t="s">
        <v>6687</v>
      </c>
      <c r="C1305" s="74" t="s">
        <v>19062</v>
      </c>
      <c r="D1305" s="74"/>
      <c r="E1305" s="74"/>
      <c r="F1305" s="74"/>
      <c r="G1305" s="74"/>
      <c r="H1305" s="73" t="s">
        <v>19063</v>
      </c>
    </row>
    <row r="1306" spans="1:8" ht="12.75" x14ac:dyDescent="0.2">
      <c r="A1306" s="46" t="s">
        <v>19064</v>
      </c>
      <c r="B1306" s="46" t="s">
        <v>6690</v>
      </c>
      <c r="C1306" s="46" t="s">
        <v>6691</v>
      </c>
      <c r="D1306" s="46"/>
      <c r="E1306" s="46"/>
      <c r="F1306" s="46"/>
      <c r="G1306" s="46"/>
      <c r="H1306" s="46" t="s">
        <v>19065</v>
      </c>
    </row>
    <row r="1307" spans="1:8" ht="38.25" x14ac:dyDescent="0.2">
      <c r="A1307" s="74" t="s">
        <v>19066</v>
      </c>
      <c r="B1307" s="74" t="s">
        <v>6696</v>
      </c>
      <c r="C1307" s="74" t="s">
        <v>19067</v>
      </c>
      <c r="D1307" s="74"/>
      <c r="E1307" s="74"/>
      <c r="F1307" s="74"/>
      <c r="G1307" s="74"/>
      <c r="H1307" s="73" t="s">
        <v>19068</v>
      </c>
    </row>
    <row r="1308" spans="1:8" ht="38.25" x14ac:dyDescent="0.2">
      <c r="A1308" s="74" t="s">
        <v>19069</v>
      </c>
      <c r="B1308" s="74" t="s">
        <v>6699</v>
      </c>
      <c r="C1308" s="74" t="s">
        <v>19070</v>
      </c>
      <c r="D1308" s="74"/>
      <c r="E1308" s="74"/>
      <c r="F1308" s="74"/>
      <c r="G1308" s="74"/>
      <c r="H1308" s="74" t="s">
        <v>19071</v>
      </c>
    </row>
    <row r="1309" spans="1:8" ht="51" x14ac:dyDescent="0.2">
      <c r="A1309" s="75" t="s">
        <v>19072</v>
      </c>
      <c r="B1309" s="75" t="s">
        <v>6702</v>
      </c>
      <c r="C1309" s="75" t="s">
        <v>19073</v>
      </c>
      <c r="D1309" s="75"/>
      <c r="E1309" s="75"/>
      <c r="F1309" s="75"/>
      <c r="G1309" s="75"/>
      <c r="H1309" s="75" t="s">
        <v>19074</v>
      </c>
    </row>
    <row r="1310" spans="1:8" ht="51" x14ac:dyDescent="0.2">
      <c r="A1310" s="74" t="s">
        <v>19075</v>
      </c>
      <c r="B1310" s="74" t="s">
        <v>6705</v>
      </c>
      <c r="C1310" s="74" t="s">
        <v>19076</v>
      </c>
      <c r="D1310" s="74"/>
      <c r="E1310" s="74"/>
      <c r="F1310" s="74"/>
      <c r="G1310" s="74"/>
      <c r="H1310" s="74" t="s">
        <v>19077</v>
      </c>
    </row>
    <row r="1311" spans="1:8" ht="51" x14ac:dyDescent="0.2">
      <c r="A1311" s="74" t="s">
        <v>19078</v>
      </c>
      <c r="B1311" s="74" t="s">
        <v>6708</v>
      </c>
      <c r="C1311" s="74" t="s">
        <v>19079</v>
      </c>
      <c r="D1311" s="74"/>
      <c r="E1311" s="74"/>
      <c r="F1311" s="74"/>
      <c r="G1311" s="74"/>
      <c r="H1311" s="74" t="s">
        <v>19080</v>
      </c>
    </row>
    <row r="1312" spans="1:8" ht="25.5" x14ac:dyDescent="0.2">
      <c r="A1312" s="75" t="s">
        <v>19081</v>
      </c>
      <c r="B1312" s="75" t="s">
        <v>6711</v>
      </c>
      <c r="C1312" s="75" t="s">
        <v>19082</v>
      </c>
      <c r="D1312" s="75"/>
      <c r="E1312" s="75"/>
      <c r="F1312" s="75"/>
      <c r="G1312" s="75"/>
      <c r="H1312" s="46" t="s">
        <v>19083</v>
      </c>
    </row>
    <row r="1313" spans="1:8" ht="38.25" x14ac:dyDescent="0.2">
      <c r="A1313" s="74" t="s">
        <v>19084</v>
      </c>
      <c r="B1313" s="74" t="s">
        <v>6714</v>
      </c>
      <c r="C1313" s="74" t="s">
        <v>19085</v>
      </c>
      <c r="D1313" s="74"/>
      <c r="E1313" s="74"/>
      <c r="F1313" s="74"/>
      <c r="G1313" s="74"/>
      <c r="H1313" s="73" t="s">
        <v>19086</v>
      </c>
    </row>
    <row r="1314" spans="1:8" ht="25.5" x14ac:dyDescent="0.2">
      <c r="A1314" s="74" t="s">
        <v>19087</v>
      </c>
      <c r="B1314" s="74" t="s">
        <v>6717</v>
      </c>
      <c r="C1314" s="74" t="s">
        <v>19088</v>
      </c>
      <c r="D1314" s="74"/>
      <c r="E1314" s="74"/>
      <c r="F1314" s="74"/>
      <c r="G1314" s="74"/>
      <c r="H1314" s="74" t="s">
        <v>19089</v>
      </c>
    </row>
    <row r="1315" spans="1:8" ht="25.5" x14ac:dyDescent="0.2">
      <c r="A1315" s="75" t="s">
        <v>19090</v>
      </c>
      <c r="B1315" s="75" t="s">
        <v>6720</v>
      </c>
      <c r="C1315" s="75" t="s">
        <v>19091</v>
      </c>
      <c r="D1315" s="75"/>
      <c r="E1315" s="75"/>
      <c r="F1315" s="75"/>
      <c r="G1315" s="75"/>
      <c r="H1315" s="76" t="s">
        <v>19092</v>
      </c>
    </row>
    <row r="1316" spans="1:8" ht="25.5" x14ac:dyDescent="0.2">
      <c r="A1316" s="74" t="s">
        <v>19093</v>
      </c>
      <c r="B1316" s="74" t="s">
        <v>6723</v>
      </c>
      <c r="C1316" s="74" t="s">
        <v>19094</v>
      </c>
      <c r="D1316" s="74"/>
      <c r="E1316" s="74"/>
      <c r="F1316" s="74"/>
      <c r="G1316" s="74"/>
      <c r="H1316" s="74" t="s">
        <v>19095</v>
      </c>
    </row>
    <row r="1317" spans="1:8" ht="38.25" x14ac:dyDescent="0.2">
      <c r="A1317" s="14" t="s">
        <v>19096</v>
      </c>
      <c r="B1317" s="14" t="s">
        <v>6726</v>
      </c>
      <c r="C1317" s="14" t="s">
        <v>6727</v>
      </c>
      <c r="D1317" s="14"/>
      <c r="E1317" s="14"/>
      <c r="F1317" s="14"/>
      <c r="G1317" s="14"/>
      <c r="H1317" s="73" t="s">
        <v>19097</v>
      </c>
    </row>
    <row r="1318" spans="1:8" ht="25.5" x14ac:dyDescent="0.2">
      <c r="A1318" s="75" t="s">
        <v>19098</v>
      </c>
      <c r="B1318" s="75" t="s">
        <v>6729</v>
      </c>
      <c r="C1318" s="75" t="s">
        <v>19099</v>
      </c>
      <c r="D1318" s="75"/>
      <c r="E1318" s="75"/>
      <c r="F1318" s="75"/>
      <c r="G1318" s="75"/>
      <c r="H1318" s="76" t="s">
        <v>19100</v>
      </c>
    </row>
    <row r="1319" spans="1:8" ht="25.5" x14ac:dyDescent="0.2">
      <c r="A1319" s="74" t="s">
        <v>19101</v>
      </c>
      <c r="B1319" s="74" t="s">
        <v>6732</v>
      </c>
      <c r="C1319" s="74" t="s">
        <v>19102</v>
      </c>
      <c r="D1319" s="74"/>
      <c r="E1319" s="74"/>
      <c r="F1319" s="74"/>
      <c r="G1319" s="74"/>
      <c r="H1319" s="73" t="s">
        <v>19103</v>
      </c>
    </row>
    <row r="1320" spans="1:8" ht="38.25" x14ac:dyDescent="0.2">
      <c r="A1320" s="74" t="s">
        <v>19104</v>
      </c>
      <c r="B1320" s="74" t="s">
        <v>6735</v>
      </c>
      <c r="C1320" s="74" t="s">
        <v>19105</v>
      </c>
      <c r="D1320" s="74"/>
      <c r="E1320" s="74"/>
      <c r="F1320" s="74"/>
      <c r="G1320" s="74"/>
      <c r="H1320" s="73" t="s">
        <v>19106</v>
      </c>
    </row>
    <row r="1321" spans="1:8" ht="38.25" x14ac:dyDescent="0.2">
      <c r="A1321" s="75" t="s">
        <v>19107</v>
      </c>
      <c r="B1321" s="75" t="s">
        <v>6738</v>
      </c>
      <c r="C1321" s="75" t="s">
        <v>19108</v>
      </c>
      <c r="D1321" s="75"/>
      <c r="E1321" s="75"/>
      <c r="F1321" s="75"/>
      <c r="G1321" s="75"/>
      <c r="H1321" s="76" t="s">
        <v>19109</v>
      </c>
    </row>
    <row r="1322" spans="1:8" ht="38.25" x14ac:dyDescent="0.2">
      <c r="A1322" s="74" t="s">
        <v>19110</v>
      </c>
      <c r="B1322" s="74" t="s">
        <v>6741</v>
      </c>
      <c r="C1322" s="74" t="s">
        <v>19111</v>
      </c>
      <c r="D1322" s="74"/>
      <c r="E1322" s="74"/>
      <c r="F1322" s="74"/>
      <c r="G1322" s="74"/>
      <c r="H1322" s="73" t="s">
        <v>19112</v>
      </c>
    </row>
    <row r="1323" spans="1:8" ht="25.5" x14ac:dyDescent="0.2">
      <c r="A1323" s="74" t="s">
        <v>19113</v>
      </c>
      <c r="B1323" s="74" t="s">
        <v>6744</v>
      </c>
      <c r="C1323" s="74" t="s">
        <v>19114</v>
      </c>
      <c r="D1323" s="74"/>
      <c r="E1323" s="74"/>
      <c r="F1323" s="74"/>
      <c r="G1323" s="74"/>
      <c r="H1323" s="73" t="s">
        <v>19115</v>
      </c>
    </row>
    <row r="1324" spans="1:8" ht="25.5" x14ac:dyDescent="0.2">
      <c r="A1324" s="75" t="s">
        <v>19116</v>
      </c>
      <c r="B1324" s="75" t="s">
        <v>6747</v>
      </c>
      <c r="C1324" s="75" t="s">
        <v>19117</v>
      </c>
      <c r="D1324" s="75"/>
      <c r="E1324" s="75"/>
      <c r="F1324" s="75"/>
      <c r="G1324" s="75"/>
      <c r="H1324" s="76" t="s">
        <v>19118</v>
      </c>
    </row>
    <row r="1325" spans="1:8" ht="38.25" x14ac:dyDescent="0.2">
      <c r="A1325" s="74" t="s">
        <v>19119</v>
      </c>
      <c r="B1325" s="74" t="s">
        <v>6750</v>
      </c>
      <c r="C1325" s="74" t="s">
        <v>19120</v>
      </c>
      <c r="D1325" s="74"/>
      <c r="E1325" s="74"/>
      <c r="F1325" s="74"/>
      <c r="G1325" s="74"/>
      <c r="H1325" s="73" t="s">
        <v>19121</v>
      </c>
    </row>
    <row r="1326" spans="1:8" ht="38.25" x14ac:dyDescent="0.2">
      <c r="A1326" s="74" t="s">
        <v>19122</v>
      </c>
      <c r="B1326" s="74" t="s">
        <v>6754</v>
      </c>
      <c r="C1326" s="74" t="s">
        <v>19123</v>
      </c>
      <c r="D1326" s="74"/>
      <c r="E1326" s="74"/>
      <c r="F1326" s="74"/>
      <c r="G1326" s="74"/>
      <c r="H1326" s="73" t="s">
        <v>19124</v>
      </c>
    </row>
    <row r="1327" spans="1:8" ht="38.25" x14ac:dyDescent="0.2">
      <c r="A1327" s="75" t="s">
        <v>19125</v>
      </c>
      <c r="B1327" s="75" t="s">
        <v>6756</v>
      </c>
      <c r="C1327" s="75" t="s">
        <v>19126</v>
      </c>
      <c r="D1327" s="75"/>
      <c r="E1327" s="75"/>
      <c r="F1327" s="75"/>
      <c r="G1327" s="75"/>
      <c r="H1327" s="76" t="s">
        <v>19127</v>
      </c>
    </row>
    <row r="1328" spans="1:8" ht="38.25" x14ac:dyDescent="0.2">
      <c r="A1328" s="74" t="s">
        <v>19128</v>
      </c>
      <c r="B1328" s="74" t="s">
        <v>6758</v>
      </c>
      <c r="C1328" s="74" t="s">
        <v>19129</v>
      </c>
      <c r="D1328" s="74"/>
      <c r="E1328" s="74"/>
      <c r="F1328" s="74"/>
      <c r="G1328" s="74"/>
      <c r="H1328" s="73" t="s">
        <v>19130</v>
      </c>
    </row>
    <row r="1329" spans="1:8" ht="38.25" x14ac:dyDescent="0.2">
      <c r="A1329" s="74" t="s">
        <v>19131</v>
      </c>
      <c r="B1329" s="74" t="s">
        <v>6760</v>
      </c>
      <c r="C1329" s="74" t="s">
        <v>19132</v>
      </c>
      <c r="D1329" s="74"/>
      <c r="E1329" s="74"/>
      <c r="F1329" s="74"/>
      <c r="G1329" s="74"/>
      <c r="H1329" s="73" t="s">
        <v>19133</v>
      </c>
    </row>
    <row r="1330" spans="1:8" ht="25.5" x14ac:dyDescent="0.2">
      <c r="A1330" s="75" t="s">
        <v>19134</v>
      </c>
      <c r="B1330" s="75" t="s">
        <v>6770</v>
      </c>
      <c r="C1330" s="75" t="s">
        <v>19135</v>
      </c>
      <c r="D1330" s="75"/>
      <c r="E1330" s="75"/>
      <c r="F1330" s="75"/>
      <c r="G1330" s="75"/>
      <c r="H1330" s="76" t="s">
        <v>19136</v>
      </c>
    </row>
    <row r="1331" spans="1:8" ht="25.5" x14ac:dyDescent="0.2">
      <c r="A1331" s="74" t="s">
        <v>19137</v>
      </c>
      <c r="B1331" s="74" t="s">
        <v>6773</v>
      </c>
      <c r="C1331" s="74" t="s">
        <v>19138</v>
      </c>
      <c r="D1331" s="74"/>
      <c r="E1331" s="74"/>
      <c r="F1331" s="74"/>
      <c r="G1331" s="74"/>
      <c r="H1331" s="73" t="s">
        <v>19139</v>
      </c>
    </row>
    <row r="1332" spans="1:8" ht="25.5" x14ac:dyDescent="0.2">
      <c r="A1332" s="74" t="s">
        <v>19140</v>
      </c>
      <c r="B1332" s="74" t="s">
        <v>6776</v>
      </c>
      <c r="C1332" s="74" t="s">
        <v>19141</v>
      </c>
      <c r="D1332" s="74"/>
      <c r="E1332" s="74"/>
      <c r="F1332" s="74"/>
      <c r="G1332" s="74"/>
      <c r="H1332" s="73" t="s">
        <v>19142</v>
      </c>
    </row>
    <row r="1333" spans="1:8" ht="25.5" x14ac:dyDescent="0.2">
      <c r="A1333" s="75" t="s">
        <v>19143</v>
      </c>
      <c r="B1333" s="75" t="s">
        <v>6779</v>
      </c>
      <c r="C1333" s="75" t="s">
        <v>19144</v>
      </c>
      <c r="D1333" s="75"/>
      <c r="E1333" s="75"/>
      <c r="F1333" s="75"/>
      <c r="G1333" s="75"/>
      <c r="H1333" s="76" t="s">
        <v>19145</v>
      </c>
    </row>
    <row r="1334" spans="1:8" ht="38.25" x14ac:dyDescent="0.2">
      <c r="A1334" s="74" t="s">
        <v>19146</v>
      </c>
      <c r="B1334" s="74" t="s">
        <v>19147</v>
      </c>
      <c r="C1334" s="74"/>
      <c r="D1334" s="74"/>
      <c r="E1334" s="74"/>
      <c r="F1334" s="74"/>
      <c r="G1334" s="74"/>
      <c r="H1334" s="73" t="s">
        <v>19148</v>
      </c>
    </row>
    <row r="1335" spans="1:8" ht="25.5" x14ac:dyDescent="0.2">
      <c r="A1335" s="74" t="s">
        <v>19149</v>
      </c>
      <c r="B1335" s="74" t="s">
        <v>6784</v>
      </c>
      <c r="C1335" s="74" t="s">
        <v>19150</v>
      </c>
      <c r="D1335" s="74"/>
      <c r="E1335" s="74"/>
      <c r="F1335" s="74"/>
      <c r="G1335" s="74"/>
      <c r="H1335" s="73" t="s">
        <v>19151</v>
      </c>
    </row>
    <row r="1336" spans="1:8" ht="25.5" x14ac:dyDescent="0.2">
      <c r="A1336" s="75" t="s">
        <v>19152</v>
      </c>
      <c r="B1336" s="75" t="s">
        <v>6787</v>
      </c>
      <c r="C1336" s="75" t="s">
        <v>19153</v>
      </c>
      <c r="D1336" s="75"/>
      <c r="E1336" s="75"/>
      <c r="F1336" s="75"/>
      <c r="G1336" s="75"/>
      <c r="H1336" s="76" t="s">
        <v>19154</v>
      </c>
    </row>
    <row r="1337" spans="1:8" ht="25.5" x14ac:dyDescent="0.2">
      <c r="A1337" s="74" t="s">
        <v>19155</v>
      </c>
      <c r="B1337" s="74" t="s">
        <v>6790</v>
      </c>
      <c r="C1337" s="74" t="s">
        <v>19156</v>
      </c>
      <c r="D1337" s="74"/>
      <c r="E1337" s="74"/>
      <c r="F1337" s="74"/>
      <c r="G1337" s="74"/>
      <c r="H1337" s="73" t="s">
        <v>19157</v>
      </c>
    </row>
    <row r="1338" spans="1:8" ht="25.5" x14ac:dyDescent="0.2">
      <c r="A1338" s="74" t="s">
        <v>19158</v>
      </c>
      <c r="B1338" s="74" t="s">
        <v>6793</v>
      </c>
      <c r="C1338" s="74" t="s">
        <v>19159</v>
      </c>
      <c r="D1338" s="74"/>
      <c r="E1338" s="74"/>
      <c r="F1338" s="74"/>
      <c r="G1338" s="74"/>
      <c r="H1338" s="73" t="s">
        <v>19160</v>
      </c>
    </row>
    <row r="1339" spans="1:8" ht="25.5" x14ac:dyDescent="0.2">
      <c r="A1339" s="75" t="s">
        <v>19161</v>
      </c>
      <c r="B1339" s="75" t="s">
        <v>6796</v>
      </c>
      <c r="C1339" s="75" t="s">
        <v>19162</v>
      </c>
      <c r="D1339" s="75"/>
      <c r="E1339" s="75"/>
      <c r="F1339" s="75"/>
      <c r="G1339" s="75"/>
      <c r="H1339" s="76" t="s">
        <v>19163</v>
      </c>
    </row>
    <row r="1340" spans="1:8" ht="25.5" x14ac:dyDescent="0.2">
      <c r="A1340" s="74" t="s">
        <v>19164</v>
      </c>
      <c r="B1340" s="74" t="s">
        <v>6799</v>
      </c>
      <c r="C1340" s="74" t="s">
        <v>19165</v>
      </c>
      <c r="D1340" s="74"/>
      <c r="E1340" s="74"/>
      <c r="F1340" s="74"/>
      <c r="G1340" s="74"/>
      <c r="H1340" s="73" t="s">
        <v>19166</v>
      </c>
    </row>
    <row r="1341" spans="1:8" ht="25.5" x14ac:dyDescent="0.2">
      <c r="A1341" s="74" t="s">
        <v>19167</v>
      </c>
      <c r="B1341" s="74" t="s">
        <v>6802</v>
      </c>
      <c r="C1341" s="74" t="s">
        <v>19168</v>
      </c>
      <c r="D1341" s="74"/>
      <c r="E1341" s="74"/>
      <c r="F1341" s="74"/>
      <c r="G1341" s="74"/>
      <c r="H1341" s="73" t="s">
        <v>19169</v>
      </c>
    </row>
    <row r="1342" spans="1:8" ht="25.5" x14ac:dyDescent="0.2">
      <c r="A1342" s="75" t="s">
        <v>19170</v>
      </c>
      <c r="B1342" s="75" t="s">
        <v>6805</v>
      </c>
      <c r="C1342" s="75" t="s">
        <v>19171</v>
      </c>
      <c r="D1342" s="75"/>
      <c r="E1342" s="75"/>
      <c r="F1342" s="75"/>
      <c r="G1342" s="75"/>
      <c r="H1342" s="76" t="s">
        <v>19172</v>
      </c>
    </row>
    <row r="1343" spans="1:8" ht="25.5" x14ac:dyDescent="0.2">
      <c r="A1343" s="74" t="s">
        <v>19173</v>
      </c>
      <c r="B1343" s="74" t="s">
        <v>6808</v>
      </c>
      <c r="C1343" s="74" t="s">
        <v>19174</v>
      </c>
      <c r="D1343" s="74"/>
      <c r="E1343" s="74"/>
      <c r="F1343" s="74"/>
      <c r="G1343" s="74"/>
      <c r="H1343" s="73" t="s">
        <v>19175</v>
      </c>
    </row>
    <row r="1344" spans="1:8" ht="25.5" x14ac:dyDescent="0.2">
      <c r="A1344" s="74" t="s">
        <v>19176</v>
      </c>
      <c r="B1344" s="74" t="s">
        <v>6811</v>
      </c>
      <c r="C1344" s="74" t="s">
        <v>19177</v>
      </c>
      <c r="D1344" s="74"/>
      <c r="E1344" s="74"/>
      <c r="F1344" s="74"/>
      <c r="G1344" s="74"/>
      <c r="H1344" s="73" t="s">
        <v>19178</v>
      </c>
    </row>
    <row r="1345" spans="1:8" ht="25.5" x14ac:dyDescent="0.2">
      <c r="A1345" s="76" t="s">
        <v>19179</v>
      </c>
      <c r="B1345" s="76" t="s">
        <v>6814</v>
      </c>
      <c r="C1345" s="76" t="s">
        <v>6815</v>
      </c>
      <c r="D1345" s="76"/>
      <c r="E1345" s="76"/>
      <c r="F1345" s="76"/>
      <c r="G1345" s="76"/>
      <c r="H1345" s="76" t="s">
        <v>19180</v>
      </c>
    </row>
    <row r="1346" spans="1:8" ht="25.5" x14ac:dyDescent="0.2">
      <c r="A1346" s="73" t="s">
        <v>19181</v>
      </c>
      <c r="B1346" s="73" t="s">
        <v>6817</v>
      </c>
      <c r="C1346" s="73" t="s">
        <v>6818</v>
      </c>
      <c r="D1346" s="73"/>
      <c r="E1346" s="73"/>
      <c r="F1346" s="73"/>
      <c r="G1346" s="73"/>
      <c r="H1346" s="73" t="s">
        <v>19182</v>
      </c>
    </row>
    <row r="1347" spans="1:8" ht="25.5" x14ac:dyDescent="0.2">
      <c r="A1347" s="73" t="s">
        <v>19183</v>
      </c>
      <c r="B1347" s="73" t="s">
        <v>6820</v>
      </c>
      <c r="C1347" s="73" t="s">
        <v>6821</v>
      </c>
      <c r="D1347" s="73"/>
      <c r="E1347" s="73"/>
      <c r="F1347" s="73"/>
      <c r="G1347" s="73"/>
      <c r="H1347" s="73" t="s">
        <v>19184</v>
      </c>
    </row>
    <row r="1348" spans="1:8" ht="25.5" x14ac:dyDescent="0.2">
      <c r="A1348" s="76" t="s">
        <v>19185</v>
      </c>
      <c r="B1348" s="76" t="s">
        <v>6823</v>
      </c>
      <c r="C1348" s="76" t="s">
        <v>6824</v>
      </c>
      <c r="D1348" s="76"/>
      <c r="E1348" s="76"/>
      <c r="F1348" s="76"/>
      <c r="G1348" s="76"/>
      <c r="H1348" s="76" t="s">
        <v>19186</v>
      </c>
    </row>
    <row r="1349" spans="1:8" ht="63.75" x14ac:dyDescent="0.2">
      <c r="A1349" s="74" t="s">
        <v>19187</v>
      </c>
      <c r="B1349" s="74" t="s">
        <v>6832</v>
      </c>
      <c r="C1349" s="74" t="s">
        <v>19188</v>
      </c>
      <c r="D1349" s="74"/>
      <c r="E1349" s="74"/>
      <c r="F1349" s="74"/>
      <c r="G1349" s="74"/>
      <c r="H1349" s="73" t="s">
        <v>19189</v>
      </c>
    </row>
    <row r="1350" spans="1:8" ht="38.25" x14ac:dyDescent="0.2">
      <c r="A1350" s="74" t="s">
        <v>19190</v>
      </c>
      <c r="B1350" s="74" t="s">
        <v>6839</v>
      </c>
      <c r="C1350" s="74" t="s">
        <v>19191</v>
      </c>
      <c r="D1350" s="74"/>
      <c r="E1350" s="74"/>
      <c r="F1350" s="74"/>
      <c r="G1350" s="74"/>
      <c r="H1350" s="74" t="s">
        <v>19192</v>
      </c>
    </row>
    <row r="1351" spans="1:8" ht="12.75" x14ac:dyDescent="0.2">
      <c r="A1351" s="46" t="s">
        <v>19193</v>
      </c>
      <c r="B1351" s="46" t="s">
        <v>6844</v>
      </c>
      <c r="C1351" s="46" t="s">
        <v>6845</v>
      </c>
      <c r="D1351" s="46"/>
      <c r="E1351" s="46"/>
      <c r="F1351" s="46"/>
      <c r="G1351" s="46"/>
      <c r="H1351" s="46" t="s">
        <v>19194</v>
      </c>
    </row>
    <row r="1352" spans="1:8" ht="51" x14ac:dyDescent="0.2">
      <c r="A1352" s="14" t="s">
        <v>19195</v>
      </c>
      <c r="B1352" s="14" t="s">
        <v>6849</v>
      </c>
      <c r="C1352" s="14" t="s">
        <v>6850</v>
      </c>
      <c r="D1352" s="14"/>
      <c r="E1352" s="14"/>
      <c r="F1352" s="14"/>
      <c r="G1352" s="14"/>
      <c r="H1352" s="74" t="s">
        <v>19196</v>
      </c>
    </row>
    <row r="1353" spans="1:8" ht="51" x14ac:dyDescent="0.2">
      <c r="A1353" s="74" t="s">
        <v>19197</v>
      </c>
      <c r="B1353" s="74" t="s">
        <v>6852</v>
      </c>
      <c r="C1353" s="74" t="s">
        <v>19198</v>
      </c>
      <c r="D1353" s="74"/>
      <c r="E1353" s="74"/>
      <c r="F1353" s="74"/>
      <c r="G1353" s="74"/>
      <c r="H1353" s="73" t="s">
        <v>19199</v>
      </c>
    </row>
    <row r="1354" spans="1:8" ht="51" x14ac:dyDescent="0.2">
      <c r="A1354" s="75" t="s">
        <v>19200</v>
      </c>
      <c r="B1354" s="75" t="s">
        <v>6855</v>
      </c>
      <c r="C1354" s="75" t="s">
        <v>19201</v>
      </c>
      <c r="D1354" s="75"/>
      <c r="E1354" s="75"/>
      <c r="F1354" s="75"/>
      <c r="G1354" s="75"/>
      <c r="H1354" s="75" t="s">
        <v>19202</v>
      </c>
    </row>
    <row r="1355" spans="1:8" ht="12.75" x14ac:dyDescent="0.2">
      <c r="A1355" s="14" t="s">
        <v>19203</v>
      </c>
      <c r="B1355" s="14" t="s">
        <v>6860</v>
      </c>
      <c r="C1355" s="14" t="s">
        <v>6861</v>
      </c>
      <c r="D1355" s="14"/>
      <c r="E1355" s="14"/>
      <c r="F1355" s="14"/>
      <c r="G1355" s="14"/>
      <c r="H1355" s="14" t="s">
        <v>19204</v>
      </c>
    </row>
    <row r="1356" spans="1:8" ht="12.75" x14ac:dyDescent="0.2">
      <c r="A1356" s="14" t="s">
        <v>19205</v>
      </c>
      <c r="B1356" s="14" t="s">
        <v>6863</v>
      </c>
      <c r="C1356" s="14" t="s">
        <v>6864</v>
      </c>
      <c r="D1356" s="14"/>
      <c r="E1356" s="14"/>
      <c r="F1356" s="14"/>
      <c r="G1356" s="14"/>
      <c r="H1356" s="14" t="s">
        <v>19206</v>
      </c>
    </row>
    <row r="1357" spans="1:8" ht="12.75" x14ac:dyDescent="0.2">
      <c r="A1357" s="46" t="s">
        <v>19207</v>
      </c>
      <c r="B1357" s="46" t="s">
        <v>6866</v>
      </c>
      <c r="C1357" s="46" t="s">
        <v>6867</v>
      </c>
      <c r="D1357" s="46"/>
      <c r="E1357" s="46"/>
      <c r="F1357" s="46"/>
      <c r="G1357" s="46"/>
      <c r="H1357" s="46" t="s">
        <v>19208</v>
      </c>
    </row>
    <row r="1358" spans="1:8" ht="51" x14ac:dyDescent="0.2">
      <c r="A1358" s="74" t="s">
        <v>19209</v>
      </c>
      <c r="B1358" s="74" t="s">
        <v>6877</v>
      </c>
      <c r="C1358" s="74" t="s">
        <v>19210</v>
      </c>
      <c r="D1358" s="74" t="s">
        <v>19211</v>
      </c>
      <c r="E1358" s="74"/>
      <c r="F1358" s="74"/>
      <c r="G1358" s="74"/>
      <c r="H1358" s="74" t="s">
        <v>19212</v>
      </c>
    </row>
    <row r="1359" spans="1:8" ht="51" x14ac:dyDescent="0.2">
      <c r="A1359" s="74" t="s">
        <v>19213</v>
      </c>
      <c r="B1359" s="74" t="s">
        <v>6880</v>
      </c>
      <c r="C1359" s="74" t="s">
        <v>19214</v>
      </c>
      <c r="D1359" s="74"/>
      <c r="E1359" s="74"/>
      <c r="F1359" s="74"/>
      <c r="G1359" s="74"/>
      <c r="H1359" s="73" t="s">
        <v>19215</v>
      </c>
    </row>
    <row r="1360" spans="1:8" ht="25.5" x14ac:dyDescent="0.2">
      <c r="A1360" s="75" t="s">
        <v>19216</v>
      </c>
      <c r="B1360" s="75" t="s">
        <v>6887</v>
      </c>
      <c r="C1360" s="75" t="s">
        <v>19217</v>
      </c>
      <c r="D1360" s="75"/>
      <c r="E1360" s="75"/>
      <c r="F1360" s="75"/>
      <c r="G1360" s="75"/>
      <c r="H1360" s="46" t="s">
        <v>19218</v>
      </c>
    </row>
    <row r="1361" spans="1:8" ht="38.25" x14ac:dyDescent="0.2">
      <c r="A1361" s="74" t="s">
        <v>19219</v>
      </c>
      <c r="B1361" s="74" t="s">
        <v>6896</v>
      </c>
      <c r="C1361" s="74" t="s">
        <v>19220</v>
      </c>
      <c r="D1361" s="74"/>
      <c r="E1361" s="74"/>
      <c r="F1361" s="74"/>
      <c r="G1361" s="74"/>
      <c r="H1361" s="74" t="s">
        <v>19221</v>
      </c>
    </row>
    <row r="1362" spans="1:8" ht="25.5" x14ac:dyDescent="0.2">
      <c r="A1362" s="74" t="s">
        <v>19222</v>
      </c>
      <c r="B1362" s="74" t="s">
        <v>6899</v>
      </c>
      <c r="C1362" s="74" t="s">
        <v>19223</v>
      </c>
      <c r="D1362" s="74"/>
      <c r="E1362" s="74"/>
      <c r="F1362" s="74"/>
      <c r="G1362" s="74"/>
      <c r="H1362" s="73" t="s">
        <v>19224</v>
      </c>
    </row>
    <row r="1363" spans="1:8" ht="25.5" x14ac:dyDescent="0.2">
      <c r="A1363" s="75" t="s">
        <v>19225</v>
      </c>
      <c r="B1363" s="75" t="s">
        <v>6918</v>
      </c>
      <c r="C1363" s="75" t="s">
        <v>19226</v>
      </c>
      <c r="D1363" s="75"/>
      <c r="E1363" s="75"/>
      <c r="F1363" s="75"/>
      <c r="G1363" s="75"/>
      <c r="H1363" s="76" t="s">
        <v>19227</v>
      </c>
    </row>
    <row r="1364" spans="1:8" ht="38.25" x14ac:dyDescent="0.2">
      <c r="A1364" s="74" t="s">
        <v>19228</v>
      </c>
      <c r="B1364" s="74" t="s">
        <v>6923</v>
      </c>
      <c r="C1364" s="74" t="s">
        <v>19229</v>
      </c>
      <c r="D1364" s="74"/>
      <c r="E1364" s="74"/>
      <c r="F1364" s="74"/>
      <c r="G1364" s="74"/>
      <c r="H1364" s="73" t="s">
        <v>19230</v>
      </c>
    </row>
    <row r="1365" spans="1:8" ht="38.25" x14ac:dyDescent="0.2">
      <c r="A1365" s="74" t="s">
        <v>19231</v>
      </c>
      <c r="B1365" s="74" t="s">
        <v>6926</v>
      </c>
      <c r="C1365" s="74" t="s">
        <v>19232</v>
      </c>
      <c r="D1365" s="74"/>
      <c r="E1365" s="74"/>
      <c r="F1365" s="74"/>
      <c r="G1365" s="74"/>
      <c r="H1365" s="73" t="s">
        <v>19233</v>
      </c>
    </row>
    <row r="1366" spans="1:8" ht="51" x14ac:dyDescent="0.2">
      <c r="A1366" s="75" t="s">
        <v>19234</v>
      </c>
      <c r="B1366" s="75" t="s">
        <v>6929</v>
      </c>
      <c r="C1366" s="75" t="s">
        <v>19235</v>
      </c>
      <c r="D1366" s="75"/>
      <c r="E1366" s="75"/>
      <c r="F1366" s="75"/>
      <c r="G1366" s="75"/>
      <c r="H1366" s="76" t="s">
        <v>19236</v>
      </c>
    </row>
    <row r="1367" spans="1:8" ht="38.25" x14ac:dyDescent="0.2">
      <c r="A1367" s="74" t="s">
        <v>19237</v>
      </c>
      <c r="B1367" s="74" t="s">
        <v>6932</v>
      </c>
      <c r="C1367" s="74" t="s">
        <v>19238</v>
      </c>
      <c r="D1367" s="74"/>
      <c r="E1367" s="74"/>
      <c r="F1367" s="74"/>
      <c r="G1367" s="74"/>
      <c r="H1367" s="73" t="s">
        <v>19239</v>
      </c>
    </row>
    <row r="1368" spans="1:8" ht="76.5" x14ac:dyDescent="0.2">
      <c r="A1368" s="74" t="s">
        <v>19240</v>
      </c>
      <c r="B1368" s="74" t="s">
        <v>6935</v>
      </c>
      <c r="C1368" s="74" t="s">
        <v>19241</v>
      </c>
      <c r="D1368" s="74"/>
      <c r="E1368" s="74"/>
      <c r="F1368" s="74"/>
      <c r="G1368" s="74"/>
      <c r="H1368" s="74" t="s">
        <v>19242</v>
      </c>
    </row>
    <row r="1369" spans="1:8" ht="51" x14ac:dyDescent="0.2">
      <c r="A1369" s="75" t="s">
        <v>19243</v>
      </c>
      <c r="B1369" s="75" t="s">
        <v>6938</v>
      </c>
      <c r="C1369" s="75" t="s">
        <v>19244</v>
      </c>
      <c r="D1369" s="75"/>
      <c r="E1369" s="75"/>
      <c r="F1369" s="75"/>
      <c r="G1369" s="75"/>
      <c r="H1369" s="76" t="s">
        <v>19245</v>
      </c>
    </row>
    <row r="1370" spans="1:8" ht="89.25" x14ac:dyDescent="0.2">
      <c r="A1370" s="74" t="s">
        <v>19246</v>
      </c>
      <c r="B1370" s="74" t="s">
        <v>6952</v>
      </c>
      <c r="C1370" s="74" t="s">
        <v>19247</v>
      </c>
      <c r="D1370" s="74"/>
      <c r="E1370" s="74"/>
      <c r="F1370" s="74"/>
      <c r="G1370" s="74"/>
      <c r="H1370" s="74" t="s">
        <v>19248</v>
      </c>
    </row>
    <row r="1371" spans="1:8" ht="51" x14ac:dyDescent="0.2">
      <c r="A1371" s="74" t="s">
        <v>19249</v>
      </c>
      <c r="B1371" s="74" t="s">
        <v>6955</v>
      </c>
      <c r="C1371" s="74" t="s">
        <v>19250</v>
      </c>
      <c r="D1371" s="74"/>
      <c r="E1371" s="74"/>
      <c r="F1371" s="74"/>
      <c r="G1371" s="74"/>
      <c r="H1371" s="73" t="s">
        <v>19251</v>
      </c>
    </row>
    <row r="1372" spans="1:8" ht="63.75" x14ac:dyDescent="0.2">
      <c r="A1372" s="75" t="s">
        <v>19252</v>
      </c>
      <c r="B1372" s="75" t="s">
        <v>6960</v>
      </c>
      <c r="C1372" s="75" t="s">
        <v>19253</v>
      </c>
      <c r="D1372" s="75"/>
      <c r="E1372" s="75"/>
      <c r="F1372" s="75"/>
      <c r="G1372" s="75"/>
      <c r="H1372" s="75" t="s">
        <v>19254</v>
      </c>
    </row>
    <row r="1373" spans="1:8" ht="63.75" x14ac:dyDescent="0.2">
      <c r="A1373" s="74" t="s">
        <v>19255</v>
      </c>
      <c r="B1373" s="74" t="s">
        <v>6963</v>
      </c>
      <c r="C1373" s="74" t="s">
        <v>19256</v>
      </c>
      <c r="D1373" s="74"/>
      <c r="E1373" s="74"/>
      <c r="F1373" s="74"/>
      <c r="G1373" s="74"/>
      <c r="H1373" s="74" t="s">
        <v>19257</v>
      </c>
    </row>
    <row r="1374" spans="1:8" ht="51" x14ac:dyDescent="0.2">
      <c r="A1374" s="74" t="s">
        <v>19258</v>
      </c>
      <c r="B1374" s="74" t="s">
        <v>6966</v>
      </c>
      <c r="C1374" s="74" t="s">
        <v>19259</v>
      </c>
      <c r="D1374" s="74"/>
      <c r="E1374" s="74"/>
      <c r="F1374" s="74"/>
      <c r="G1374" s="74"/>
      <c r="H1374" s="74" t="s">
        <v>19260</v>
      </c>
    </row>
    <row r="1375" spans="1:8" ht="51" x14ac:dyDescent="0.2">
      <c r="A1375" s="75" t="s">
        <v>19261</v>
      </c>
      <c r="B1375" s="75" t="s">
        <v>6969</v>
      </c>
      <c r="C1375" s="75" t="s">
        <v>19262</v>
      </c>
      <c r="D1375" s="75"/>
      <c r="E1375" s="75"/>
      <c r="F1375" s="75"/>
      <c r="G1375" s="75"/>
      <c r="H1375" s="75" t="s">
        <v>19263</v>
      </c>
    </row>
    <row r="1376" spans="1:8" ht="51" x14ac:dyDescent="0.2">
      <c r="A1376" s="74" t="s">
        <v>19264</v>
      </c>
      <c r="B1376" s="74" t="s">
        <v>6972</v>
      </c>
      <c r="C1376" s="74" t="s">
        <v>19265</v>
      </c>
      <c r="D1376" s="74"/>
      <c r="E1376" s="74"/>
      <c r="F1376" s="74"/>
      <c r="G1376" s="74"/>
      <c r="H1376" s="74" t="s">
        <v>19266</v>
      </c>
    </row>
    <row r="1377" spans="1:8" ht="51" x14ac:dyDescent="0.2">
      <c r="A1377" s="74" t="s">
        <v>19267</v>
      </c>
      <c r="B1377" s="74" t="s">
        <v>6975</v>
      </c>
      <c r="C1377" s="74" t="s">
        <v>19268</v>
      </c>
      <c r="D1377" s="74"/>
      <c r="E1377" s="74"/>
      <c r="F1377" s="74"/>
      <c r="G1377" s="74"/>
      <c r="H1377" s="74" t="s">
        <v>19269</v>
      </c>
    </row>
    <row r="1378" spans="1:8" ht="51" x14ac:dyDescent="0.2">
      <c r="A1378" s="75" t="s">
        <v>19270</v>
      </c>
      <c r="B1378" s="75" t="s">
        <v>6980</v>
      </c>
      <c r="C1378" s="75" t="s">
        <v>19271</v>
      </c>
      <c r="D1378" s="75"/>
      <c r="E1378" s="75"/>
      <c r="F1378" s="75"/>
      <c r="G1378" s="75"/>
      <c r="H1378" s="76" t="s">
        <v>19272</v>
      </c>
    </row>
    <row r="1379" spans="1:8" ht="51" x14ac:dyDescent="0.2">
      <c r="A1379" s="73" t="s">
        <v>19273</v>
      </c>
      <c r="B1379" s="73" t="s">
        <v>6985</v>
      </c>
      <c r="C1379" s="73" t="s">
        <v>6986</v>
      </c>
      <c r="D1379" s="73"/>
      <c r="E1379" s="73"/>
      <c r="F1379" s="73"/>
      <c r="G1379" s="73"/>
      <c r="H1379" s="73" t="s">
        <v>19274</v>
      </c>
    </row>
    <row r="1380" spans="1:8" ht="51" x14ac:dyDescent="0.2">
      <c r="A1380" s="73" t="s">
        <v>19275</v>
      </c>
      <c r="B1380" s="73" t="s">
        <v>6988</v>
      </c>
      <c r="C1380" s="73" t="s">
        <v>19276</v>
      </c>
      <c r="D1380" s="73"/>
      <c r="E1380" s="73"/>
      <c r="F1380" s="73"/>
      <c r="G1380" s="73"/>
      <c r="H1380" s="73" t="s">
        <v>19277</v>
      </c>
    </row>
    <row r="1381" spans="1:8" ht="102" x14ac:dyDescent="0.2">
      <c r="A1381" s="75" t="s">
        <v>19278</v>
      </c>
      <c r="B1381" s="75" t="s">
        <v>19279</v>
      </c>
      <c r="C1381" s="75"/>
      <c r="D1381" s="75"/>
      <c r="E1381" s="75"/>
      <c r="F1381" s="75"/>
      <c r="G1381" s="75"/>
      <c r="H1381" s="75" t="s">
        <v>19280</v>
      </c>
    </row>
    <row r="1382" spans="1:8" ht="38.25" x14ac:dyDescent="0.2">
      <c r="A1382" s="74" t="s">
        <v>19281</v>
      </c>
      <c r="B1382" s="74" t="s">
        <v>6995</v>
      </c>
      <c r="C1382" s="74" t="s">
        <v>19282</v>
      </c>
      <c r="D1382" s="74"/>
      <c r="E1382" s="74"/>
      <c r="F1382" s="74"/>
      <c r="G1382" s="74"/>
      <c r="H1382" s="73" t="s">
        <v>19283</v>
      </c>
    </row>
    <row r="1383" spans="1:8" ht="25.5" x14ac:dyDescent="0.2">
      <c r="A1383" s="74" t="s">
        <v>19284</v>
      </c>
      <c r="B1383" s="74" t="s">
        <v>6998</v>
      </c>
      <c r="C1383" s="74" t="s">
        <v>19285</v>
      </c>
      <c r="D1383" s="74"/>
      <c r="E1383" s="74"/>
      <c r="F1383" s="74"/>
      <c r="G1383" s="74"/>
      <c r="H1383" s="73" t="s">
        <v>19286</v>
      </c>
    </row>
    <row r="1384" spans="1:8" ht="51" x14ac:dyDescent="0.2">
      <c r="A1384" s="75" t="s">
        <v>19287</v>
      </c>
      <c r="B1384" s="75" t="s">
        <v>7001</v>
      </c>
      <c r="C1384" s="75" t="s">
        <v>19288</v>
      </c>
      <c r="D1384" s="75"/>
      <c r="E1384" s="75"/>
      <c r="F1384" s="75"/>
      <c r="G1384" s="75"/>
      <c r="H1384" s="75" t="s">
        <v>19289</v>
      </c>
    </row>
    <row r="1385" spans="1:8" ht="63.75" x14ac:dyDescent="0.2">
      <c r="A1385" s="74" t="s">
        <v>19290</v>
      </c>
      <c r="B1385" s="74" t="s">
        <v>7004</v>
      </c>
      <c r="C1385" s="74" t="s">
        <v>19291</v>
      </c>
      <c r="D1385" s="74"/>
      <c r="E1385" s="74"/>
      <c r="F1385" s="74"/>
      <c r="G1385" s="74"/>
      <c r="H1385" s="73" t="s">
        <v>19292</v>
      </c>
    </row>
    <row r="1386" spans="1:8" ht="38.25" x14ac:dyDescent="0.2">
      <c r="A1386" s="74" t="s">
        <v>19293</v>
      </c>
      <c r="B1386" s="74" t="s">
        <v>7007</v>
      </c>
      <c r="C1386" s="74" t="s">
        <v>19294</v>
      </c>
      <c r="D1386" s="74"/>
      <c r="E1386" s="74"/>
      <c r="F1386" s="74"/>
      <c r="G1386" s="74"/>
      <c r="H1386" s="73" t="s">
        <v>19295</v>
      </c>
    </row>
    <row r="1387" spans="1:8" ht="51" x14ac:dyDescent="0.2">
      <c r="A1387" s="75" t="s">
        <v>19296</v>
      </c>
      <c r="B1387" s="75" t="s">
        <v>7012</v>
      </c>
      <c r="C1387" s="75" t="s">
        <v>19297</v>
      </c>
      <c r="D1387" s="75"/>
      <c r="E1387" s="75"/>
      <c r="F1387" s="75"/>
      <c r="G1387" s="75"/>
      <c r="H1387" s="75" t="s">
        <v>19298</v>
      </c>
    </row>
    <row r="1388" spans="1:8" ht="51" x14ac:dyDescent="0.2">
      <c r="A1388" s="74" t="s">
        <v>19299</v>
      </c>
      <c r="B1388" s="74" t="s">
        <v>7015</v>
      </c>
      <c r="C1388" s="74" t="s">
        <v>19300</v>
      </c>
      <c r="D1388" s="74"/>
      <c r="E1388" s="74"/>
      <c r="F1388" s="74"/>
      <c r="G1388" s="74"/>
      <c r="H1388" s="74" t="s">
        <v>19301</v>
      </c>
    </row>
    <row r="1389" spans="1:8" ht="38.25" x14ac:dyDescent="0.2">
      <c r="A1389" s="74" t="s">
        <v>19302</v>
      </c>
      <c r="B1389" s="74" t="s">
        <v>7018</v>
      </c>
      <c r="C1389" s="74" t="s">
        <v>19303</v>
      </c>
      <c r="D1389" s="74"/>
      <c r="E1389" s="74"/>
      <c r="F1389" s="74"/>
      <c r="G1389" s="74"/>
      <c r="H1389" s="73" t="s">
        <v>19304</v>
      </c>
    </row>
    <row r="1390" spans="1:8" ht="25.5" x14ac:dyDescent="0.2">
      <c r="A1390" s="75" t="s">
        <v>19305</v>
      </c>
      <c r="B1390" s="75" t="s">
        <v>7021</v>
      </c>
      <c r="C1390" s="75" t="s">
        <v>19306</v>
      </c>
      <c r="D1390" s="75"/>
      <c r="E1390" s="75"/>
      <c r="F1390" s="75"/>
      <c r="G1390" s="75"/>
      <c r="H1390" s="76" t="s">
        <v>19307</v>
      </c>
    </row>
    <row r="1391" spans="1:8" ht="51" x14ac:dyDescent="0.2">
      <c r="A1391" s="14" t="s">
        <v>19308</v>
      </c>
      <c r="B1391" s="14" t="s">
        <v>7024</v>
      </c>
      <c r="C1391" s="14" t="s">
        <v>7025</v>
      </c>
      <c r="D1391" s="14"/>
      <c r="E1391" s="14"/>
      <c r="F1391" s="14"/>
      <c r="G1391" s="14"/>
      <c r="H1391" s="74" t="s">
        <v>19309</v>
      </c>
    </row>
    <row r="1392" spans="1:8" ht="63.75" x14ac:dyDescent="0.2">
      <c r="A1392" s="14" t="s">
        <v>19310</v>
      </c>
      <c r="B1392" s="14" t="s">
        <v>7027</v>
      </c>
      <c r="C1392" s="14" t="s">
        <v>7028</v>
      </c>
      <c r="D1392" s="14"/>
      <c r="E1392" s="14"/>
      <c r="F1392" s="14"/>
      <c r="G1392" s="14"/>
      <c r="H1392" s="74" t="s">
        <v>19311</v>
      </c>
    </row>
    <row r="1393" spans="1:8" ht="63.75" x14ac:dyDescent="0.2">
      <c r="A1393" s="75" t="s">
        <v>19312</v>
      </c>
      <c r="B1393" s="75" t="s">
        <v>7030</v>
      </c>
      <c r="C1393" s="75" t="s">
        <v>19313</v>
      </c>
      <c r="D1393" s="75"/>
      <c r="E1393" s="75"/>
      <c r="F1393" s="75"/>
      <c r="G1393" s="75"/>
      <c r="H1393" s="75" t="s">
        <v>19314</v>
      </c>
    </row>
    <row r="1394" spans="1:8" ht="25.5" x14ac:dyDescent="0.2">
      <c r="A1394" s="74" t="s">
        <v>19315</v>
      </c>
      <c r="B1394" s="74" t="s">
        <v>7033</v>
      </c>
      <c r="C1394" s="74" t="s">
        <v>19316</v>
      </c>
      <c r="D1394" s="74"/>
      <c r="E1394" s="74"/>
      <c r="F1394" s="74"/>
      <c r="G1394" s="74"/>
      <c r="H1394" s="73" t="s">
        <v>19317</v>
      </c>
    </row>
    <row r="1395" spans="1:8" ht="51" x14ac:dyDescent="0.2">
      <c r="A1395" s="74" t="s">
        <v>19318</v>
      </c>
      <c r="B1395" s="74" t="s">
        <v>7036</v>
      </c>
      <c r="C1395" s="74" t="s">
        <v>19319</v>
      </c>
      <c r="D1395" s="74"/>
      <c r="E1395" s="74"/>
      <c r="F1395" s="74"/>
      <c r="G1395" s="74"/>
      <c r="H1395" s="73" t="s">
        <v>19320</v>
      </c>
    </row>
    <row r="1396" spans="1:8" ht="38.25" x14ac:dyDescent="0.2">
      <c r="A1396" s="75" t="s">
        <v>19321</v>
      </c>
      <c r="B1396" s="75" t="s">
        <v>7039</v>
      </c>
      <c r="C1396" s="75" t="s">
        <v>19322</v>
      </c>
      <c r="D1396" s="75"/>
      <c r="E1396" s="75"/>
      <c r="F1396" s="75"/>
      <c r="G1396" s="75"/>
      <c r="H1396" s="76" t="s">
        <v>19323</v>
      </c>
    </row>
    <row r="1397" spans="1:8" ht="38.25" x14ac:dyDescent="0.2">
      <c r="A1397" s="74" t="s">
        <v>19324</v>
      </c>
      <c r="B1397" s="74" t="s">
        <v>7042</v>
      </c>
      <c r="C1397" s="74" t="s">
        <v>19325</v>
      </c>
      <c r="D1397" s="74"/>
      <c r="E1397" s="74"/>
      <c r="F1397" s="74"/>
      <c r="G1397" s="74"/>
      <c r="H1397" s="73" t="s">
        <v>19326</v>
      </c>
    </row>
    <row r="1398" spans="1:8" ht="38.25" x14ac:dyDescent="0.2">
      <c r="A1398" s="74" t="s">
        <v>19327</v>
      </c>
      <c r="B1398" s="74" t="s">
        <v>7045</v>
      </c>
      <c r="C1398" s="74" t="s">
        <v>19328</v>
      </c>
      <c r="D1398" s="74"/>
      <c r="E1398" s="74"/>
      <c r="F1398" s="74"/>
      <c r="G1398" s="74"/>
      <c r="H1398" s="73" t="s">
        <v>19329</v>
      </c>
    </row>
    <row r="1399" spans="1:8" ht="38.25" x14ac:dyDescent="0.2">
      <c r="A1399" s="75" t="s">
        <v>19330</v>
      </c>
      <c r="B1399" s="75" t="s">
        <v>7048</v>
      </c>
      <c r="C1399" s="75" t="s">
        <v>19331</v>
      </c>
      <c r="D1399" s="75"/>
      <c r="E1399" s="75"/>
      <c r="F1399" s="75"/>
      <c r="G1399" s="75"/>
      <c r="H1399" s="76" t="s">
        <v>19332</v>
      </c>
    </row>
    <row r="1400" spans="1:8" ht="38.25" x14ac:dyDescent="0.2">
      <c r="A1400" s="74" t="s">
        <v>19333</v>
      </c>
      <c r="B1400" s="74" t="s">
        <v>7051</v>
      </c>
      <c r="C1400" s="74" t="s">
        <v>19334</v>
      </c>
      <c r="D1400" s="74"/>
      <c r="E1400" s="74"/>
      <c r="F1400" s="74"/>
      <c r="G1400" s="74"/>
      <c r="H1400" s="73" t="s">
        <v>19335</v>
      </c>
    </row>
    <row r="1401" spans="1:8" ht="38.25" x14ac:dyDescent="0.2">
      <c r="A1401" s="74" t="s">
        <v>19336</v>
      </c>
      <c r="B1401" s="74" t="s">
        <v>7054</v>
      </c>
      <c r="C1401" s="74" t="s">
        <v>19337</v>
      </c>
      <c r="D1401" s="74"/>
      <c r="E1401" s="74"/>
      <c r="F1401" s="74"/>
      <c r="G1401" s="74"/>
      <c r="H1401" s="73" t="s">
        <v>19338</v>
      </c>
    </row>
    <row r="1402" spans="1:8" ht="51" x14ac:dyDescent="0.2">
      <c r="A1402" s="75" t="s">
        <v>19339</v>
      </c>
      <c r="B1402" s="75" t="s">
        <v>7060</v>
      </c>
      <c r="C1402" s="75" t="s">
        <v>19340</v>
      </c>
      <c r="D1402" s="75"/>
      <c r="E1402" s="75"/>
      <c r="F1402" s="75"/>
      <c r="G1402" s="75"/>
      <c r="H1402" s="76" t="s">
        <v>19341</v>
      </c>
    </row>
    <row r="1403" spans="1:8" ht="38.25" x14ac:dyDescent="0.2">
      <c r="A1403" s="74" t="s">
        <v>19342</v>
      </c>
      <c r="B1403" s="74" t="s">
        <v>7063</v>
      </c>
      <c r="C1403" s="74" t="s">
        <v>19343</v>
      </c>
      <c r="D1403" s="74"/>
      <c r="E1403" s="74"/>
      <c r="F1403" s="74"/>
      <c r="G1403" s="74"/>
      <c r="H1403" s="73" t="s">
        <v>19344</v>
      </c>
    </row>
    <row r="1404" spans="1:8" ht="38.25" x14ac:dyDescent="0.2">
      <c r="A1404" s="74" t="s">
        <v>19345</v>
      </c>
      <c r="B1404" s="74" t="s">
        <v>7066</v>
      </c>
      <c r="C1404" s="74" t="s">
        <v>19346</v>
      </c>
      <c r="D1404" s="74"/>
      <c r="E1404" s="74"/>
      <c r="F1404" s="74"/>
      <c r="G1404" s="74"/>
      <c r="H1404" s="74" t="s">
        <v>19347</v>
      </c>
    </row>
    <row r="1405" spans="1:8" ht="25.5" x14ac:dyDescent="0.2">
      <c r="A1405" s="76" t="s">
        <v>19348</v>
      </c>
      <c r="B1405" s="76" t="s">
        <v>7069</v>
      </c>
      <c r="C1405" s="76" t="s">
        <v>7070</v>
      </c>
      <c r="D1405" s="76"/>
      <c r="E1405" s="76"/>
      <c r="F1405" s="76"/>
      <c r="G1405" s="76"/>
      <c r="H1405" s="75" t="s">
        <v>19349</v>
      </c>
    </row>
    <row r="1406" spans="1:8" ht="51" x14ac:dyDescent="0.2">
      <c r="A1406" s="74" t="s">
        <v>19350</v>
      </c>
      <c r="B1406" s="74" t="s">
        <v>7072</v>
      </c>
      <c r="C1406" s="74" t="s">
        <v>19351</v>
      </c>
      <c r="D1406" s="74"/>
      <c r="E1406" s="74"/>
      <c r="F1406" s="74"/>
      <c r="G1406" s="74"/>
      <c r="H1406" s="14" t="s">
        <v>19352</v>
      </c>
    </row>
    <row r="1407" spans="1:8" ht="38.25" x14ac:dyDescent="0.2">
      <c r="A1407" s="74" t="s">
        <v>19353</v>
      </c>
      <c r="B1407" s="74" t="s">
        <v>7077</v>
      </c>
      <c r="C1407" s="74" t="s">
        <v>19354</v>
      </c>
      <c r="D1407" s="74"/>
      <c r="E1407" s="74"/>
      <c r="F1407" s="74"/>
      <c r="G1407" s="74"/>
      <c r="H1407" s="73" t="s">
        <v>19355</v>
      </c>
    </row>
    <row r="1408" spans="1:8" ht="38.25" x14ac:dyDescent="0.2">
      <c r="A1408" s="75" t="s">
        <v>19356</v>
      </c>
      <c r="B1408" s="75" t="s">
        <v>7080</v>
      </c>
      <c r="C1408" s="75" t="s">
        <v>19357</v>
      </c>
      <c r="D1408" s="75"/>
      <c r="E1408" s="75"/>
      <c r="F1408" s="75"/>
      <c r="G1408" s="75"/>
      <c r="H1408" s="75" t="s">
        <v>19358</v>
      </c>
    </row>
    <row r="1409" spans="1:8" ht="38.25" x14ac:dyDescent="0.2">
      <c r="A1409" s="73" t="s">
        <v>19359</v>
      </c>
      <c r="B1409" s="73" t="s">
        <v>7085</v>
      </c>
      <c r="C1409" s="73" t="s">
        <v>7086</v>
      </c>
      <c r="D1409" s="73"/>
      <c r="E1409" s="73"/>
      <c r="F1409" s="73"/>
      <c r="G1409" s="73"/>
      <c r="H1409" s="73" t="s">
        <v>19360</v>
      </c>
    </row>
    <row r="1410" spans="1:8" ht="38.25" x14ac:dyDescent="0.2">
      <c r="A1410" s="74" t="s">
        <v>19361</v>
      </c>
      <c r="B1410" s="74" t="s">
        <v>7090</v>
      </c>
      <c r="C1410" s="74" t="s">
        <v>19362</v>
      </c>
      <c r="D1410" s="74"/>
      <c r="E1410" s="74"/>
      <c r="F1410" s="74"/>
      <c r="G1410" s="74"/>
      <c r="H1410" s="14" t="s">
        <v>19363</v>
      </c>
    </row>
    <row r="1411" spans="1:8" ht="38.25" x14ac:dyDescent="0.2">
      <c r="A1411" s="75" t="s">
        <v>19364</v>
      </c>
      <c r="B1411" s="75" t="s">
        <v>7095</v>
      </c>
      <c r="C1411" s="75" t="s">
        <v>19365</v>
      </c>
      <c r="D1411" s="75"/>
      <c r="E1411" s="75"/>
      <c r="F1411" s="75"/>
      <c r="G1411" s="75"/>
      <c r="H1411" s="76" t="s">
        <v>19366</v>
      </c>
    </row>
    <row r="1412" spans="1:8" ht="38.25" x14ac:dyDescent="0.2">
      <c r="A1412" s="74" t="s">
        <v>19367</v>
      </c>
      <c r="B1412" s="74" t="s">
        <v>7100</v>
      </c>
      <c r="C1412" s="74" t="s">
        <v>19368</v>
      </c>
      <c r="D1412" s="74"/>
      <c r="E1412" s="74"/>
      <c r="F1412" s="74"/>
      <c r="G1412" s="74"/>
      <c r="H1412" s="74" t="s">
        <v>19369</v>
      </c>
    </row>
    <row r="1413" spans="1:8" ht="25.5" x14ac:dyDescent="0.2">
      <c r="A1413" s="74" t="s">
        <v>19370</v>
      </c>
      <c r="B1413" s="74" t="s">
        <v>7103</v>
      </c>
      <c r="C1413" s="74" t="s">
        <v>19371</v>
      </c>
      <c r="D1413" s="74"/>
      <c r="E1413" s="74"/>
      <c r="F1413" s="74"/>
      <c r="G1413" s="74"/>
      <c r="H1413" s="73" t="s">
        <v>19372</v>
      </c>
    </row>
    <row r="1414" spans="1:8" ht="25.5" x14ac:dyDescent="0.2">
      <c r="A1414" s="75" t="s">
        <v>19373</v>
      </c>
      <c r="B1414" s="75" t="s">
        <v>7106</v>
      </c>
      <c r="C1414" s="75" t="s">
        <v>19374</v>
      </c>
      <c r="D1414" s="75"/>
      <c r="E1414" s="75"/>
      <c r="F1414" s="75"/>
      <c r="G1414" s="75"/>
      <c r="H1414" s="46" t="s">
        <v>19375</v>
      </c>
    </row>
    <row r="1415" spans="1:8" ht="25.5" x14ac:dyDescent="0.2">
      <c r="A1415" s="74" t="s">
        <v>19376</v>
      </c>
      <c r="B1415" s="74" t="s">
        <v>7109</v>
      </c>
      <c r="C1415" s="74" t="s">
        <v>19377</v>
      </c>
      <c r="D1415" s="74"/>
      <c r="E1415" s="74"/>
      <c r="F1415" s="74"/>
      <c r="G1415" s="74"/>
      <c r="H1415" s="14" t="s">
        <v>19378</v>
      </c>
    </row>
    <row r="1416" spans="1:8" ht="25.5" x14ac:dyDescent="0.2">
      <c r="A1416" s="74" t="s">
        <v>19379</v>
      </c>
      <c r="B1416" s="74" t="s">
        <v>7112</v>
      </c>
      <c r="C1416" s="74" t="s">
        <v>19380</v>
      </c>
      <c r="D1416" s="74"/>
      <c r="E1416" s="74"/>
      <c r="F1416" s="74"/>
      <c r="G1416" s="74"/>
      <c r="H1416" s="14" t="s">
        <v>19381</v>
      </c>
    </row>
    <row r="1417" spans="1:8" ht="25.5" x14ac:dyDescent="0.2">
      <c r="A1417" s="75" t="s">
        <v>19382</v>
      </c>
      <c r="B1417" s="75" t="s">
        <v>7115</v>
      </c>
      <c r="C1417" s="75" t="s">
        <v>19383</v>
      </c>
      <c r="D1417" s="75"/>
      <c r="E1417" s="75"/>
      <c r="F1417" s="75"/>
      <c r="G1417" s="75"/>
      <c r="H1417" s="46" t="s">
        <v>19384</v>
      </c>
    </row>
    <row r="1418" spans="1:8" ht="25.5" x14ac:dyDescent="0.2">
      <c r="A1418" s="74" t="s">
        <v>19385</v>
      </c>
      <c r="B1418" s="74" t="s">
        <v>7118</v>
      </c>
      <c r="C1418" s="74" t="s">
        <v>19386</v>
      </c>
      <c r="D1418" s="74"/>
      <c r="E1418" s="74"/>
      <c r="F1418" s="74"/>
      <c r="G1418" s="74"/>
      <c r="H1418" s="74" t="s">
        <v>19387</v>
      </c>
    </row>
    <row r="1419" spans="1:8" ht="25.5" x14ac:dyDescent="0.2">
      <c r="A1419" s="74" t="s">
        <v>19388</v>
      </c>
      <c r="B1419" s="74" t="s">
        <v>7121</v>
      </c>
      <c r="C1419" s="74" t="s">
        <v>19389</v>
      </c>
      <c r="D1419" s="74"/>
      <c r="E1419" s="74"/>
      <c r="F1419" s="74"/>
      <c r="G1419" s="74"/>
      <c r="H1419" s="73" t="s">
        <v>19390</v>
      </c>
    </row>
    <row r="1420" spans="1:8" ht="25.5" x14ac:dyDescent="0.2">
      <c r="A1420" s="75" t="s">
        <v>19391</v>
      </c>
      <c r="B1420" s="75" t="s">
        <v>7124</v>
      </c>
      <c r="C1420" s="75" t="s">
        <v>19392</v>
      </c>
      <c r="D1420" s="75"/>
      <c r="E1420" s="75"/>
      <c r="F1420" s="75"/>
      <c r="G1420" s="75"/>
      <c r="H1420" s="75" t="s">
        <v>19393</v>
      </c>
    </row>
    <row r="1421" spans="1:8" ht="38.25" x14ac:dyDescent="0.2">
      <c r="A1421" s="74" t="s">
        <v>19394</v>
      </c>
      <c r="B1421" s="74" t="s">
        <v>7129</v>
      </c>
      <c r="C1421" s="74" t="s">
        <v>19395</v>
      </c>
      <c r="D1421" s="74"/>
      <c r="E1421" s="74"/>
      <c r="F1421" s="74"/>
      <c r="G1421" s="74"/>
      <c r="H1421" s="74" t="s">
        <v>19396</v>
      </c>
    </row>
    <row r="1422" spans="1:8" ht="25.5" x14ac:dyDescent="0.2">
      <c r="A1422" s="74" t="s">
        <v>19397</v>
      </c>
      <c r="B1422" s="74" t="s">
        <v>7132</v>
      </c>
      <c r="C1422" s="74" t="s">
        <v>19398</v>
      </c>
      <c r="D1422" s="74"/>
      <c r="E1422" s="74"/>
      <c r="F1422" s="74"/>
      <c r="G1422" s="74"/>
      <c r="H1422" s="74" t="s">
        <v>19399</v>
      </c>
    </row>
    <row r="1423" spans="1:8" ht="25.5" x14ac:dyDescent="0.2">
      <c r="A1423" s="75" t="s">
        <v>19400</v>
      </c>
      <c r="B1423" s="75" t="s">
        <v>7135</v>
      </c>
      <c r="C1423" s="75" t="s">
        <v>19401</v>
      </c>
      <c r="D1423" s="75"/>
      <c r="E1423" s="75"/>
      <c r="F1423" s="75"/>
      <c r="G1423" s="75"/>
      <c r="H1423" s="46" t="s">
        <v>19402</v>
      </c>
    </row>
    <row r="1424" spans="1:8" ht="38.25" x14ac:dyDescent="0.2">
      <c r="A1424" s="74" t="s">
        <v>19403</v>
      </c>
      <c r="B1424" s="74" t="s">
        <v>7138</v>
      </c>
      <c r="C1424" s="74" t="s">
        <v>19404</v>
      </c>
      <c r="D1424" s="74"/>
      <c r="E1424" s="74"/>
      <c r="F1424" s="74"/>
      <c r="G1424" s="74"/>
      <c r="H1424" s="14" t="s">
        <v>19405</v>
      </c>
    </row>
    <row r="1425" spans="1:8" ht="25.5" x14ac:dyDescent="0.2">
      <c r="A1425" s="73" t="s">
        <v>19406</v>
      </c>
      <c r="B1425" s="73" t="s">
        <v>7141</v>
      </c>
      <c r="C1425" s="73" t="s">
        <v>19407</v>
      </c>
      <c r="D1425" s="73"/>
      <c r="E1425" s="73"/>
      <c r="F1425" s="73"/>
      <c r="G1425" s="73"/>
      <c r="H1425" s="14" t="s">
        <v>19408</v>
      </c>
    </row>
    <row r="1426" spans="1:8" ht="25.5" x14ac:dyDescent="0.2">
      <c r="A1426" s="75" t="s">
        <v>19409</v>
      </c>
      <c r="B1426" s="75" t="s">
        <v>7144</v>
      </c>
      <c r="C1426" s="75" t="s">
        <v>19410</v>
      </c>
      <c r="D1426" s="75"/>
      <c r="E1426" s="75"/>
      <c r="F1426" s="75"/>
      <c r="G1426" s="75"/>
      <c r="H1426" s="75" t="s">
        <v>19411</v>
      </c>
    </row>
    <row r="1427" spans="1:8" ht="38.25" x14ac:dyDescent="0.2">
      <c r="A1427" s="74" t="s">
        <v>19412</v>
      </c>
      <c r="B1427" s="74" t="s">
        <v>7147</v>
      </c>
      <c r="C1427" s="74" t="s">
        <v>19413</v>
      </c>
      <c r="D1427" s="74"/>
      <c r="E1427" s="74"/>
      <c r="F1427" s="74"/>
      <c r="G1427" s="74"/>
      <c r="H1427" s="73" t="s">
        <v>19414</v>
      </c>
    </row>
    <row r="1428" spans="1:8" ht="25.5" x14ac:dyDescent="0.2">
      <c r="A1428" s="74" t="s">
        <v>19415</v>
      </c>
      <c r="B1428" s="74" t="s">
        <v>7150</v>
      </c>
      <c r="C1428" s="74" t="s">
        <v>19416</v>
      </c>
      <c r="D1428" s="74"/>
      <c r="E1428" s="74"/>
      <c r="F1428" s="74"/>
      <c r="G1428" s="74"/>
      <c r="H1428" s="14" t="s">
        <v>19417</v>
      </c>
    </row>
    <row r="1429" spans="1:8" ht="38.25" x14ac:dyDescent="0.2">
      <c r="A1429" s="75" t="s">
        <v>19418</v>
      </c>
      <c r="B1429" s="75" t="s">
        <v>7153</v>
      </c>
      <c r="C1429" s="75" t="s">
        <v>19419</v>
      </c>
      <c r="D1429" s="75"/>
      <c r="E1429" s="75"/>
      <c r="F1429" s="75"/>
      <c r="G1429" s="75"/>
      <c r="H1429" s="76" t="s">
        <v>19420</v>
      </c>
    </row>
    <row r="1430" spans="1:8" ht="63.75" x14ac:dyDescent="0.2">
      <c r="A1430" s="73" t="s">
        <v>19421</v>
      </c>
      <c r="B1430" s="73" t="s">
        <v>7156</v>
      </c>
      <c r="C1430" s="73" t="s">
        <v>7157</v>
      </c>
      <c r="D1430" s="73"/>
      <c r="E1430" s="73"/>
      <c r="F1430" s="73"/>
      <c r="G1430" s="73"/>
      <c r="H1430" s="74" t="s">
        <v>19422</v>
      </c>
    </row>
    <row r="1431" spans="1:8" ht="38.25" x14ac:dyDescent="0.2">
      <c r="A1431" s="74" t="s">
        <v>19423</v>
      </c>
      <c r="B1431" s="74" t="s">
        <v>7159</v>
      </c>
      <c r="C1431" s="74" t="s">
        <v>19424</v>
      </c>
      <c r="D1431" s="74"/>
      <c r="E1431" s="74"/>
      <c r="F1431" s="74"/>
      <c r="G1431" s="74"/>
      <c r="H1431" s="14" t="s">
        <v>19425</v>
      </c>
    </row>
    <row r="1432" spans="1:8" ht="38.25" x14ac:dyDescent="0.2">
      <c r="A1432" s="75" t="s">
        <v>19426</v>
      </c>
      <c r="B1432" s="75" t="s">
        <v>7162</v>
      </c>
      <c r="C1432" s="75" t="s">
        <v>19427</v>
      </c>
      <c r="D1432" s="75"/>
      <c r="E1432" s="75"/>
      <c r="F1432" s="75"/>
      <c r="G1432" s="75"/>
      <c r="H1432" s="76" t="s">
        <v>19428</v>
      </c>
    </row>
    <row r="1433" spans="1:8" ht="38.25" x14ac:dyDescent="0.2">
      <c r="A1433" s="74" t="s">
        <v>19429</v>
      </c>
      <c r="B1433" s="74" t="s">
        <v>7165</v>
      </c>
      <c r="C1433" s="74" t="s">
        <v>19430</v>
      </c>
      <c r="D1433" s="74"/>
      <c r="E1433" s="74"/>
      <c r="F1433" s="74"/>
      <c r="G1433" s="74"/>
      <c r="H1433" s="73" t="s">
        <v>19431</v>
      </c>
    </row>
    <row r="1434" spans="1:8" ht="25.5" x14ac:dyDescent="0.2">
      <c r="A1434" s="74" t="s">
        <v>19432</v>
      </c>
      <c r="B1434" s="74" t="s">
        <v>7168</v>
      </c>
      <c r="C1434" s="74" t="s">
        <v>19433</v>
      </c>
      <c r="D1434" s="74"/>
      <c r="E1434" s="74"/>
      <c r="F1434" s="74"/>
      <c r="G1434" s="74"/>
      <c r="H1434" s="14" t="s">
        <v>19434</v>
      </c>
    </row>
    <row r="1435" spans="1:8" ht="25.5" x14ac:dyDescent="0.2">
      <c r="A1435" s="75" t="s">
        <v>19435</v>
      </c>
      <c r="B1435" s="75" t="s">
        <v>7171</v>
      </c>
      <c r="C1435" s="75" t="s">
        <v>19436</v>
      </c>
      <c r="D1435" s="75"/>
      <c r="E1435" s="75"/>
      <c r="F1435" s="75"/>
      <c r="G1435" s="75"/>
      <c r="H1435" s="46" t="s">
        <v>19437</v>
      </c>
    </row>
    <row r="1436" spans="1:8" ht="38.25" x14ac:dyDescent="0.2">
      <c r="A1436" s="74" t="s">
        <v>19438</v>
      </c>
      <c r="B1436" s="74" t="s">
        <v>7174</v>
      </c>
      <c r="C1436" s="74" t="s">
        <v>19439</v>
      </c>
      <c r="D1436" s="74"/>
      <c r="E1436" s="74"/>
      <c r="F1436" s="74"/>
      <c r="G1436" s="74"/>
      <c r="H1436" s="73" t="s">
        <v>19440</v>
      </c>
    </row>
    <row r="1437" spans="1:8" ht="25.5" x14ac:dyDescent="0.2">
      <c r="A1437" s="73" t="s">
        <v>19441</v>
      </c>
      <c r="B1437" s="73" t="s">
        <v>7177</v>
      </c>
      <c r="C1437" s="73" t="s">
        <v>7178</v>
      </c>
      <c r="D1437" s="73"/>
      <c r="E1437" s="73"/>
      <c r="F1437" s="73"/>
      <c r="G1437" s="73"/>
      <c r="H1437" s="73" t="s">
        <v>19442</v>
      </c>
    </row>
    <row r="1438" spans="1:8" ht="25.5" x14ac:dyDescent="0.2">
      <c r="A1438" s="76" t="s">
        <v>19443</v>
      </c>
      <c r="B1438" s="76" t="s">
        <v>7180</v>
      </c>
      <c r="C1438" s="76" t="s">
        <v>7181</v>
      </c>
      <c r="D1438" s="76"/>
      <c r="E1438" s="76"/>
      <c r="F1438" s="76"/>
      <c r="G1438" s="76"/>
      <c r="H1438" s="75" t="s">
        <v>19444</v>
      </c>
    </row>
    <row r="1439" spans="1:8" ht="38.25" x14ac:dyDescent="0.2">
      <c r="A1439" s="74" t="s">
        <v>19445</v>
      </c>
      <c r="B1439" s="74" t="s">
        <v>7183</v>
      </c>
      <c r="C1439" s="74" t="s">
        <v>19446</v>
      </c>
      <c r="D1439" s="74"/>
      <c r="E1439" s="74"/>
      <c r="F1439" s="74"/>
      <c r="G1439" s="74"/>
      <c r="H1439" s="14" t="s">
        <v>19447</v>
      </c>
    </row>
    <row r="1440" spans="1:8" ht="25.5" x14ac:dyDescent="0.2">
      <c r="A1440" s="74" t="s">
        <v>19448</v>
      </c>
      <c r="B1440" s="74" t="s">
        <v>7186</v>
      </c>
      <c r="C1440" s="74" t="s">
        <v>19449</v>
      </c>
      <c r="D1440" s="74"/>
      <c r="E1440" s="74"/>
      <c r="F1440" s="74"/>
      <c r="G1440" s="74"/>
      <c r="H1440" s="73" t="s">
        <v>19450</v>
      </c>
    </row>
    <row r="1441" spans="1:8" ht="38.25" x14ac:dyDescent="0.2">
      <c r="A1441" s="75" t="s">
        <v>19451</v>
      </c>
      <c r="B1441" s="75" t="s">
        <v>7189</v>
      </c>
      <c r="C1441" s="75" t="s">
        <v>19452</v>
      </c>
      <c r="D1441" s="75"/>
      <c r="E1441" s="75"/>
      <c r="F1441" s="75"/>
      <c r="G1441" s="75"/>
      <c r="H1441" s="76" t="s">
        <v>19453</v>
      </c>
    </row>
    <row r="1442" spans="1:8" ht="51" x14ac:dyDescent="0.2">
      <c r="A1442" s="73" t="s">
        <v>19454</v>
      </c>
      <c r="B1442" s="73" t="s">
        <v>7192</v>
      </c>
      <c r="C1442" s="73" t="s">
        <v>7193</v>
      </c>
      <c r="D1442" s="73"/>
      <c r="E1442" s="73"/>
      <c r="F1442" s="73"/>
      <c r="G1442" s="73"/>
      <c r="H1442" s="74" t="s">
        <v>19455</v>
      </c>
    </row>
    <row r="1443" spans="1:8" ht="38.25" x14ac:dyDescent="0.2">
      <c r="A1443" s="73" t="s">
        <v>19456</v>
      </c>
      <c r="B1443" s="73" t="s">
        <v>7195</v>
      </c>
      <c r="C1443" s="73" t="s">
        <v>7196</v>
      </c>
      <c r="D1443" s="73"/>
      <c r="E1443" s="73"/>
      <c r="F1443" s="73"/>
      <c r="G1443" s="73"/>
      <c r="H1443" s="73" t="s">
        <v>19457</v>
      </c>
    </row>
    <row r="1444" spans="1:8" ht="25.5" x14ac:dyDescent="0.2">
      <c r="A1444" s="76" t="s">
        <v>19458</v>
      </c>
      <c r="B1444" s="76" t="s">
        <v>7198</v>
      </c>
      <c r="C1444" s="76" t="s">
        <v>7199</v>
      </c>
      <c r="D1444" s="76"/>
      <c r="E1444" s="76"/>
      <c r="F1444" s="76"/>
      <c r="G1444" s="76"/>
      <c r="H1444" s="76" t="s">
        <v>19459</v>
      </c>
    </row>
    <row r="1445" spans="1:8" ht="25.5" x14ac:dyDescent="0.2">
      <c r="A1445" s="73" t="s">
        <v>19460</v>
      </c>
      <c r="B1445" s="73" t="s">
        <v>7201</v>
      </c>
      <c r="C1445" s="73" t="s">
        <v>19461</v>
      </c>
      <c r="D1445" s="73"/>
      <c r="E1445" s="73"/>
      <c r="F1445" s="73"/>
      <c r="G1445" s="73"/>
      <c r="H1445" s="73" t="s">
        <v>19462</v>
      </c>
    </row>
    <row r="1446" spans="1:8" ht="38.25" x14ac:dyDescent="0.2">
      <c r="A1446" s="74" t="s">
        <v>19463</v>
      </c>
      <c r="B1446" s="74" t="s">
        <v>7204</v>
      </c>
      <c r="C1446" s="74" t="s">
        <v>19464</v>
      </c>
      <c r="D1446" s="74"/>
      <c r="E1446" s="74"/>
      <c r="F1446" s="74"/>
      <c r="G1446" s="74"/>
      <c r="H1446" s="74" t="s">
        <v>19465</v>
      </c>
    </row>
    <row r="1447" spans="1:8" ht="38.25" x14ac:dyDescent="0.2">
      <c r="A1447" s="75" t="s">
        <v>19466</v>
      </c>
      <c r="B1447" s="75" t="s">
        <v>19467</v>
      </c>
      <c r="C1447" s="75"/>
      <c r="D1447" s="75"/>
      <c r="E1447" s="75"/>
      <c r="F1447" s="75"/>
      <c r="G1447" s="75"/>
      <c r="H1447" s="76" t="s">
        <v>19468</v>
      </c>
    </row>
    <row r="1448" spans="1:8" ht="38.25" x14ac:dyDescent="0.2">
      <c r="A1448" s="73" t="s">
        <v>19469</v>
      </c>
      <c r="B1448" s="73" t="s">
        <v>7209</v>
      </c>
      <c r="C1448" s="73" t="s">
        <v>19470</v>
      </c>
      <c r="D1448" s="73"/>
      <c r="E1448" s="73"/>
      <c r="F1448" s="73"/>
      <c r="G1448" s="73"/>
      <c r="H1448" s="73" t="s">
        <v>19471</v>
      </c>
    </row>
    <row r="1449" spans="1:8" ht="38.25" x14ac:dyDescent="0.2">
      <c r="A1449" s="74" t="s">
        <v>19472</v>
      </c>
      <c r="B1449" s="74" t="s">
        <v>7212</v>
      </c>
      <c r="C1449" s="74" t="s">
        <v>19473</v>
      </c>
      <c r="D1449" s="74"/>
      <c r="E1449" s="74"/>
      <c r="F1449" s="74"/>
      <c r="G1449" s="74"/>
      <c r="H1449" s="22" t="s">
        <v>19474</v>
      </c>
    </row>
    <row r="1450" spans="1:8" ht="51" x14ac:dyDescent="0.2">
      <c r="A1450" s="75" t="s">
        <v>19475</v>
      </c>
      <c r="B1450" s="75" t="s">
        <v>7215</v>
      </c>
      <c r="C1450" s="75" t="s">
        <v>19476</v>
      </c>
      <c r="D1450" s="75"/>
      <c r="E1450" s="75"/>
      <c r="F1450" s="75"/>
      <c r="G1450" s="75"/>
      <c r="H1450" s="75" t="s">
        <v>19477</v>
      </c>
    </row>
    <row r="1451" spans="1:8" ht="25.5" x14ac:dyDescent="0.2">
      <c r="A1451" s="73" t="s">
        <v>19478</v>
      </c>
      <c r="B1451" s="73" t="s">
        <v>7218</v>
      </c>
      <c r="C1451" s="73" t="s">
        <v>7219</v>
      </c>
      <c r="D1451" s="73"/>
      <c r="E1451" s="73"/>
      <c r="F1451" s="73"/>
      <c r="G1451" s="73"/>
      <c r="H1451" s="74" t="s">
        <v>19479</v>
      </c>
    </row>
    <row r="1452" spans="1:8" ht="38.25" x14ac:dyDescent="0.2">
      <c r="A1452" s="74" t="s">
        <v>19480</v>
      </c>
      <c r="B1452" s="74" t="s">
        <v>7221</v>
      </c>
      <c r="C1452" s="74" t="s">
        <v>19481</v>
      </c>
      <c r="D1452" s="74"/>
      <c r="E1452" s="74"/>
      <c r="F1452" s="74"/>
      <c r="G1452" s="74"/>
      <c r="H1452" s="22" t="s">
        <v>19482</v>
      </c>
    </row>
    <row r="1453" spans="1:8" ht="38.25" x14ac:dyDescent="0.2">
      <c r="A1453" s="75" t="s">
        <v>19483</v>
      </c>
      <c r="B1453" s="75" t="s">
        <v>7224</v>
      </c>
      <c r="C1453" s="75" t="s">
        <v>19484</v>
      </c>
      <c r="D1453" s="75"/>
      <c r="E1453" s="75"/>
      <c r="F1453" s="75"/>
      <c r="G1453" s="75"/>
      <c r="H1453" s="75" t="s">
        <v>19485</v>
      </c>
    </row>
    <row r="1454" spans="1:8" ht="25.5" x14ac:dyDescent="0.2">
      <c r="A1454" s="14" t="s">
        <v>19486</v>
      </c>
      <c r="B1454" s="14" t="s">
        <v>7227</v>
      </c>
      <c r="C1454" s="14" t="s">
        <v>7228</v>
      </c>
      <c r="D1454" s="14"/>
      <c r="E1454" s="14"/>
      <c r="F1454" s="14"/>
      <c r="G1454" s="14"/>
      <c r="H1454" s="73" t="s">
        <v>19487</v>
      </c>
    </row>
    <row r="1455" spans="1:8" ht="25.5" x14ac:dyDescent="0.2">
      <c r="A1455" s="74" t="s">
        <v>19488</v>
      </c>
      <c r="B1455" s="74" t="s">
        <v>19489</v>
      </c>
      <c r="C1455" s="74"/>
      <c r="D1455" s="74"/>
      <c r="E1455" s="74"/>
      <c r="F1455" s="74"/>
      <c r="G1455" s="74"/>
      <c r="H1455" s="73" t="s">
        <v>19490</v>
      </c>
    </row>
    <row r="1456" spans="1:8" ht="51" x14ac:dyDescent="0.2">
      <c r="A1456" s="75" t="s">
        <v>19491</v>
      </c>
      <c r="B1456" s="75" t="s">
        <v>7232</v>
      </c>
      <c r="C1456" s="75" t="s">
        <v>19492</v>
      </c>
      <c r="D1456" s="75"/>
      <c r="E1456" s="75"/>
      <c r="F1456" s="75"/>
      <c r="G1456" s="75"/>
      <c r="H1456" s="76" t="s">
        <v>19493</v>
      </c>
    </row>
    <row r="1457" spans="1:8" ht="38.25" x14ac:dyDescent="0.2">
      <c r="A1457" s="14" t="s">
        <v>19494</v>
      </c>
      <c r="B1457" s="14" t="s">
        <v>7235</v>
      </c>
      <c r="C1457" s="14" t="s">
        <v>7236</v>
      </c>
      <c r="D1457" s="14"/>
      <c r="E1457" s="14"/>
      <c r="F1457" s="14"/>
      <c r="G1457" s="14"/>
      <c r="H1457" s="74" t="s">
        <v>19495</v>
      </c>
    </row>
    <row r="1458" spans="1:8" ht="102" x14ac:dyDescent="0.2">
      <c r="A1458" s="22" t="s">
        <v>19496</v>
      </c>
      <c r="B1458" s="22" t="s">
        <v>7238</v>
      </c>
      <c r="C1458" s="22" t="s">
        <v>19497</v>
      </c>
      <c r="D1458" s="22"/>
      <c r="E1458" s="22"/>
      <c r="F1458" s="22"/>
      <c r="G1458" s="22"/>
      <c r="H1458" s="74" t="s">
        <v>19498</v>
      </c>
    </row>
    <row r="1459" spans="1:8" ht="76.5" x14ac:dyDescent="0.2">
      <c r="A1459" s="75" t="s">
        <v>19499</v>
      </c>
      <c r="B1459" s="75" t="s">
        <v>7241</v>
      </c>
      <c r="C1459" s="75" t="s">
        <v>19500</v>
      </c>
      <c r="D1459" s="75"/>
      <c r="E1459" s="75"/>
      <c r="F1459" s="75"/>
      <c r="G1459" s="75"/>
      <c r="H1459" s="76" t="s">
        <v>19501</v>
      </c>
    </row>
    <row r="1460" spans="1:8" ht="25.5" x14ac:dyDescent="0.2">
      <c r="A1460" s="14" t="s">
        <v>19502</v>
      </c>
      <c r="B1460" s="14" t="s">
        <v>7244</v>
      </c>
      <c r="C1460" s="14" t="s">
        <v>7245</v>
      </c>
      <c r="D1460" s="14"/>
      <c r="E1460" s="14"/>
      <c r="F1460" s="14"/>
      <c r="G1460" s="14"/>
      <c r="H1460" s="73" t="s">
        <v>19503</v>
      </c>
    </row>
    <row r="1461" spans="1:8" ht="25.5" x14ac:dyDescent="0.2">
      <c r="A1461" s="74" t="s">
        <v>19504</v>
      </c>
      <c r="B1461" s="74" t="s">
        <v>7249</v>
      </c>
      <c r="C1461" s="74" t="s">
        <v>19505</v>
      </c>
      <c r="D1461" s="74"/>
      <c r="E1461" s="74"/>
      <c r="F1461" s="74"/>
      <c r="G1461" s="74"/>
      <c r="H1461" s="14" t="s">
        <v>19506</v>
      </c>
    </row>
    <row r="1462" spans="1:8" ht="25.5" x14ac:dyDescent="0.2">
      <c r="A1462" s="75" t="s">
        <v>19507</v>
      </c>
      <c r="B1462" s="75" t="s">
        <v>7252</v>
      </c>
      <c r="C1462" s="75" t="s">
        <v>19508</v>
      </c>
      <c r="D1462" s="75"/>
      <c r="E1462" s="75"/>
      <c r="F1462" s="75"/>
      <c r="G1462" s="75"/>
      <c r="H1462" s="46" t="s">
        <v>19509</v>
      </c>
    </row>
    <row r="1463" spans="1:8" ht="38.25" x14ac:dyDescent="0.2">
      <c r="A1463" s="73" t="s">
        <v>19510</v>
      </c>
      <c r="B1463" s="73" t="s">
        <v>7255</v>
      </c>
      <c r="C1463" s="73" t="s">
        <v>7256</v>
      </c>
      <c r="D1463" s="73"/>
      <c r="E1463" s="73"/>
      <c r="F1463" s="73"/>
      <c r="G1463" s="73"/>
      <c r="H1463" s="74" t="s">
        <v>19511</v>
      </c>
    </row>
    <row r="1464" spans="1:8" ht="38.25" x14ac:dyDescent="0.2">
      <c r="A1464" s="73" t="s">
        <v>19512</v>
      </c>
      <c r="B1464" s="73" t="s">
        <v>7258</v>
      </c>
      <c r="C1464" s="73" t="s">
        <v>7259</v>
      </c>
      <c r="D1464" s="73"/>
      <c r="E1464" s="73"/>
      <c r="F1464" s="73"/>
      <c r="G1464" s="73"/>
      <c r="H1464" s="74" t="s">
        <v>19513</v>
      </c>
    </row>
    <row r="1465" spans="1:8" ht="51" x14ac:dyDescent="0.2">
      <c r="A1465" s="76" t="s">
        <v>19514</v>
      </c>
      <c r="B1465" s="76" t="s">
        <v>7261</v>
      </c>
      <c r="C1465" s="76" t="s">
        <v>7262</v>
      </c>
      <c r="D1465" s="76"/>
      <c r="E1465" s="76"/>
      <c r="F1465" s="76"/>
      <c r="G1465" s="76"/>
      <c r="H1465" s="75" t="s">
        <v>19515</v>
      </c>
    </row>
    <row r="1466" spans="1:8" ht="51" x14ac:dyDescent="0.2">
      <c r="A1466" s="73" t="s">
        <v>19516</v>
      </c>
      <c r="B1466" s="73" t="s">
        <v>7264</v>
      </c>
      <c r="C1466" s="73" t="s">
        <v>7265</v>
      </c>
      <c r="D1466" s="73"/>
      <c r="E1466" s="73"/>
      <c r="F1466" s="73"/>
      <c r="G1466" s="73"/>
      <c r="H1466" s="74" t="s">
        <v>19517</v>
      </c>
    </row>
    <row r="1467" spans="1:8" ht="51" x14ac:dyDescent="0.2">
      <c r="A1467" s="73" t="s">
        <v>19518</v>
      </c>
      <c r="B1467" s="73" t="s">
        <v>7267</v>
      </c>
      <c r="C1467" s="73" t="s">
        <v>7268</v>
      </c>
      <c r="D1467" s="73"/>
      <c r="E1467" s="73"/>
      <c r="F1467" s="73"/>
      <c r="G1467" s="73"/>
      <c r="H1467" s="74" t="s">
        <v>19519</v>
      </c>
    </row>
    <row r="1468" spans="1:8" ht="51" x14ac:dyDescent="0.2">
      <c r="A1468" s="76" t="s">
        <v>19520</v>
      </c>
      <c r="B1468" s="76" t="s">
        <v>7270</v>
      </c>
      <c r="C1468" s="76" t="s">
        <v>7271</v>
      </c>
      <c r="D1468" s="76"/>
      <c r="E1468" s="76"/>
      <c r="F1468" s="76"/>
      <c r="G1468" s="76"/>
      <c r="H1468" s="75" t="s">
        <v>19521</v>
      </c>
    </row>
    <row r="1469" spans="1:8" ht="51" x14ac:dyDescent="0.2">
      <c r="A1469" s="73" t="s">
        <v>19522</v>
      </c>
      <c r="B1469" s="73" t="s">
        <v>7273</v>
      </c>
      <c r="C1469" s="73" t="s">
        <v>7274</v>
      </c>
      <c r="D1469" s="73"/>
      <c r="E1469" s="73"/>
      <c r="F1469" s="73"/>
      <c r="G1469" s="73"/>
      <c r="H1469" s="74" t="s">
        <v>19523</v>
      </c>
    </row>
    <row r="1470" spans="1:8" ht="38.25" x14ac:dyDescent="0.2">
      <c r="A1470" s="73" t="s">
        <v>19524</v>
      </c>
      <c r="B1470" s="73" t="s">
        <v>7276</v>
      </c>
      <c r="C1470" s="73" t="s">
        <v>19525</v>
      </c>
      <c r="D1470" s="73"/>
      <c r="E1470" s="73"/>
      <c r="F1470" s="73"/>
      <c r="G1470" s="73"/>
      <c r="H1470" s="73" t="s">
        <v>19526</v>
      </c>
    </row>
    <row r="1471" spans="1:8" ht="25.5" x14ac:dyDescent="0.2">
      <c r="A1471" s="75" t="s">
        <v>19527</v>
      </c>
      <c r="B1471" s="75" t="s">
        <v>7281</v>
      </c>
      <c r="C1471" s="75" t="s">
        <v>19528</v>
      </c>
      <c r="D1471" s="75"/>
      <c r="E1471" s="75"/>
      <c r="F1471" s="75"/>
      <c r="G1471" s="75"/>
      <c r="H1471" s="76" t="s">
        <v>19529</v>
      </c>
    </row>
    <row r="1472" spans="1:8" ht="25.5" x14ac:dyDescent="0.2">
      <c r="A1472" s="74" t="s">
        <v>19530</v>
      </c>
      <c r="B1472" s="74" t="s">
        <v>7284</v>
      </c>
      <c r="C1472" s="74" t="s">
        <v>19531</v>
      </c>
      <c r="D1472" s="74"/>
      <c r="E1472" s="74"/>
      <c r="F1472" s="74"/>
      <c r="G1472" s="74"/>
      <c r="H1472" s="74" t="s">
        <v>19532</v>
      </c>
    </row>
    <row r="1473" spans="1:8" ht="25.5" x14ac:dyDescent="0.2">
      <c r="A1473" s="74" t="s">
        <v>19533</v>
      </c>
      <c r="B1473" s="74" t="s">
        <v>7287</v>
      </c>
      <c r="C1473" s="74" t="s">
        <v>19534</v>
      </c>
      <c r="D1473" s="74"/>
      <c r="E1473" s="74"/>
      <c r="F1473" s="74"/>
      <c r="G1473" s="74"/>
      <c r="H1473" s="73" t="s">
        <v>19535</v>
      </c>
    </row>
    <row r="1474" spans="1:8" ht="51" x14ac:dyDescent="0.2">
      <c r="A1474" s="46" t="s">
        <v>19536</v>
      </c>
      <c r="B1474" s="46" t="s">
        <v>7290</v>
      </c>
      <c r="C1474" s="46" t="s">
        <v>7291</v>
      </c>
      <c r="D1474" s="46"/>
      <c r="E1474" s="46"/>
      <c r="F1474" s="46"/>
      <c r="G1474" s="46"/>
      <c r="H1474" s="76" t="s">
        <v>19537</v>
      </c>
    </row>
    <row r="1475" spans="1:8" ht="25.5" x14ac:dyDescent="0.2">
      <c r="A1475" s="74" t="s">
        <v>19538</v>
      </c>
      <c r="B1475" s="74" t="s">
        <v>7295</v>
      </c>
      <c r="C1475" s="74" t="s">
        <v>19539</v>
      </c>
      <c r="D1475" s="74"/>
      <c r="E1475" s="74"/>
      <c r="F1475" s="74"/>
      <c r="G1475" s="74"/>
      <c r="H1475" s="14" t="s">
        <v>19540</v>
      </c>
    </row>
    <row r="1476" spans="1:8" ht="25.5" x14ac:dyDescent="0.2">
      <c r="A1476" s="74" t="s">
        <v>19541</v>
      </c>
      <c r="B1476" s="74" t="s">
        <v>7298</v>
      </c>
      <c r="C1476" s="74" t="s">
        <v>19542</v>
      </c>
      <c r="D1476" s="74"/>
      <c r="E1476" s="74"/>
      <c r="F1476" s="74"/>
      <c r="G1476" s="74"/>
      <c r="H1476" s="14" t="s">
        <v>19543</v>
      </c>
    </row>
    <row r="1477" spans="1:8" ht="25.5" x14ac:dyDescent="0.2">
      <c r="A1477" s="75" t="s">
        <v>19544</v>
      </c>
      <c r="B1477" s="75" t="s">
        <v>7300</v>
      </c>
      <c r="C1477" s="75" t="s">
        <v>19545</v>
      </c>
      <c r="D1477" s="75"/>
      <c r="E1477" s="75"/>
      <c r="F1477" s="75"/>
      <c r="G1477" s="75"/>
      <c r="H1477" s="46" t="s">
        <v>19546</v>
      </c>
    </row>
    <row r="1478" spans="1:8" ht="38.25" x14ac:dyDescent="0.2">
      <c r="A1478" s="74" t="s">
        <v>19547</v>
      </c>
      <c r="B1478" s="74" t="s">
        <v>7304</v>
      </c>
      <c r="C1478" s="74" t="s">
        <v>19548</v>
      </c>
      <c r="D1478" s="74"/>
      <c r="E1478" s="74"/>
      <c r="F1478" s="74"/>
      <c r="G1478" s="74"/>
      <c r="H1478" s="73" t="s">
        <v>19549</v>
      </c>
    </row>
    <row r="1479" spans="1:8" ht="38.25" x14ac:dyDescent="0.2">
      <c r="A1479" s="74" t="s">
        <v>19550</v>
      </c>
      <c r="B1479" s="74" t="s">
        <v>7307</v>
      </c>
      <c r="C1479" s="74" t="s">
        <v>19551</v>
      </c>
      <c r="D1479" s="74"/>
      <c r="E1479" s="74"/>
      <c r="F1479" s="74"/>
      <c r="G1479" s="74"/>
      <c r="H1479" s="73" t="s">
        <v>19552</v>
      </c>
    </row>
    <row r="1480" spans="1:8" ht="38.25" x14ac:dyDescent="0.2">
      <c r="A1480" s="75" t="s">
        <v>19553</v>
      </c>
      <c r="B1480" s="75" t="s">
        <v>7310</v>
      </c>
      <c r="C1480" s="75" t="s">
        <v>19554</v>
      </c>
      <c r="D1480" s="75"/>
      <c r="E1480" s="75"/>
      <c r="F1480" s="75"/>
      <c r="G1480" s="75"/>
      <c r="H1480" s="76" t="s">
        <v>19555</v>
      </c>
    </row>
    <row r="1481" spans="1:8" ht="38.25" x14ac:dyDescent="0.2">
      <c r="A1481" s="74" t="s">
        <v>19556</v>
      </c>
      <c r="B1481" s="74" t="s">
        <v>7313</v>
      </c>
      <c r="C1481" s="74" t="s">
        <v>19557</v>
      </c>
      <c r="D1481" s="74"/>
      <c r="E1481" s="74"/>
      <c r="F1481" s="74"/>
      <c r="G1481" s="74"/>
      <c r="H1481" s="73" t="s">
        <v>19558</v>
      </c>
    </row>
    <row r="1482" spans="1:8" ht="38.25" x14ac:dyDescent="0.2">
      <c r="A1482" s="74" t="s">
        <v>19559</v>
      </c>
      <c r="B1482" s="74" t="s">
        <v>7316</v>
      </c>
      <c r="C1482" s="74" t="s">
        <v>19560</v>
      </c>
      <c r="D1482" s="74"/>
      <c r="E1482" s="74"/>
      <c r="F1482" s="74"/>
      <c r="G1482" s="74"/>
      <c r="H1482" s="73" t="s">
        <v>19561</v>
      </c>
    </row>
    <row r="1483" spans="1:8" ht="38.25" x14ac:dyDescent="0.2">
      <c r="A1483" s="75" t="s">
        <v>19562</v>
      </c>
      <c r="B1483" s="75" t="s">
        <v>7319</v>
      </c>
      <c r="C1483" s="75" t="s">
        <v>19563</v>
      </c>
      <c r="D1483" s="75"/>
      <c r="E1483" s="75"/>
      <c r="F1483" s="75"/>
      <c r="G1483" s="75"/>
      <c r="H1483" s="76" t="s">
        <v>19564</v>
      </c>
    </row>
    <row r="1484" spans="1:8" ht="102" x14ac:dyDescent="0.2">
      <c r="A1484" s="22" t="s">
        <v>19565</v>
      </c>
      <c r="B1484" s="22" t="s">
        <v>7322</v>
      </c>
      <c r="C1484" s="22" t="s">
        <v>19566</v>
      </c>
      <c r="D1484" s="22"/>
      <c r="E1484" s="22"/>
      <c r="F1484" s="22"/>
      <c r="G1484" s="22"/>
      <c r="H1484" s="74" t="s">
        <v>19567</v>
      </c>
    </row>
    <row r="1485" spans="1:8" ht="51" x14ac:dyDescent="0.2">
      <c r="A1485" s="74" t="s">
        <v>19568</v>
      </c>
      <c r="B1485" s="74" t="s">
        <v>7325</v>
      </c>
      <c r="C1485" s="74" t="s">
        <v>19569</v>
      </c>
      <c r="D1485" s="74"/>
      <c r="E1485" s="74"/>
      <c r="F1485" s="74"/>
      <c r="G1485" s="74"/>
      <c r="H1485" s="74" t="s">
        <v>19570</v>
      </c>
    </row>
    <row r="1486" spans="1:8" ht="51" x14ac:dyDescent="0.2">
      <c r="A1486" s="75" t="s">
        <v>19571</v>
      </c>
      <c r="B1486" s="75" t="s">
        <v>7328</v>
      </c>
      <c r="C1486" s="75" t="s">
        <v>19572</v>
      </c>
      <c r="D1486" s="75"/>
      <c r="E1486" s="75"/>
      <c r="F1486" s="75"/>
      <c r="G1486" s="75"/>
      <c r="H1486" s="75" t="s">
        <v>19573</v>
      </c>
    </row>
    <row r="1487" spans="1:8" ht="51" x14ac:dyDescent="0.2">
      <c r="A1487" s="74" t="s">
        <v>19574</v>
      </c>
      <c r="B1487" s="74" t="s">
        <v>7331</v>
      </c>
      <c r="C1487" s="74" t="s">
        <v>19575</v>
      </c>
      <c r="D1487" s="74"/>
      <c r="E1487" s="74"/>
      <c r="F1487" s="74"/>
      <c r="G1487" s="74"/>
      <c r="H1487" s="74" t="s">
        <v>19576</v>
      </c>
    </row>
    <row r="1488" spans="1:8" ht="51" x14ac:dyDescent="0.2">
      <c r="A1488" s="74" t="s">
        <v>19577</v>
      </c>
      <c r="B1488" s="74" t="s">
        <v>7334</v>
      </c>
      <c r="C1488" s="74" t="s">
        <v>19578</v>
      </c>
      <c r="D1488" s="74"/>
      <c r="E1488" s="74"/>
      <c r="F1488" s="74"/>
      <c r="G1488" s="74"/>
      <c r="H1488" s="74" t="s">
        <v>19579</v>
      </c>
    </row>
    <row r="1489" spans="1:8" ht="25.5" x14ac:dyDescent="0.2">
      <c r="A1489" s="75" t="s">
        <v>19580</v>
      </c>
      <c r="B1489" s="75" t="s">
        <v>7339</v>
      </c>
      <c r="C1489" s="75" t="s">
        <v>19581</v>
      </c>
      <c r="D1489" s="75"/>
      <c r="E1489" s="75"/>
      <c r="F1489" s="75"/>
      <c r="G1489" s="75"/>
      <c r="H1489" s="75" t="s">
        <v>19582</v>
      </c>
    </row>
    <row r="1490" spans="1:8" ht="38.25" x14ac:dyDescent="0.2">
      <c r="A1490" s="74" t="s">
        <v>19583</v>
      </c>
      <c r="B1490" s="74" t="s">
        <v>7342</v>
      </c>
      <c r="C1490" s="74" t="s">
        <v>19584</v>
      </c>
      <c r="D1490" s="74"/>
      <c r="E1490" s="74"/>
      <c r="F1490" s="74"/>
      <c r="G1490" s="74"/>
      <c r="H1490" s="74" t="s">
        <v>19585</v>
      </c>
    </row>
    <row r="1491" spans="1:8" ht="38.25" x14ac:dyDescent="0.2">
      <c r="A1491" s="74" t="s">
        <v>19586</v>
      </c>
      <c r="B1491" s="74" t="s">
        <v>7345</v>
      </c>
      <c r="C1491" s="74" t="s">
        <v>19587</v>
      </c>
      <c r="D1491" s="74"/>
      <c r="E1491" s="74"/>
      <c r="F1491" s="74"/>
      <c r="G1491" s="74"/>
      <c r="H1491" s="74" t="s">
        <v>19588</v>
      </c>
    </row>
    <row r="1492" spans="1:8" ht="38.25" x14ac:dyDescent="0.2">
      <c r="A1492" s="75" t="s">
        <v>19589</v>
      </c>
      <c r="B1492" s="75" t="s">
        <v>7348</v>
      </c>
      <c r="C1492" s="75" t="s">
        <v>19590</v>
      </c>
      <c r="D1492" s="75"/>
      <c r="E1492" s="75"/>
      <c r="F1492" s="75"/>
      <c r="G1492" s="75"/>
      <c r="H1492" s="75" t="s">
        <v>19591</v>
      </c>
    </row>
    <row r="1493" spans="1:8" ht="38.25" x14ac:dyDescent="0.2">
      <c r="A1493" s="74" t="s">
        <v>19592</v>
      </c>
      <c r="B1493" s="74" t="s">
        <v>7351</v>
      </c>
      <c r="C1493" s="74" t="s">
        <v>19593</v>
      </c>
      <c r="D1493" s="74"/>
      <c r="E1493" s="74"/>
      <c r="F1493" s="74"/>
      <c r="G1493" s="74"/>
      <c r="H1493" s="74" t="s">
        <v>19594</v>
      </c>
    </row>
    <row r="1494" spans="1:8" ht="38.25" x14ac:dyDescent="0.2">
      <c r="A1494" s="74" t="s">
        <v>19595</v>
      </c>
      <c r="B1494" s="74" t="s">
        <v>7354</v>
      </c>
      <c r="C1494" s="74" t="s">
        <v>19596</v>
      </c>
      <c r="D1494" s="74"/>
      <c r="E1494" s="74"/>
      <c r="F1494" s="74"/>
      <c r="G1494" s="74"/>
      <c r="H1494" s="74" t="s">
        <v>19597</v>
      </c>
    </row>
    <row r="1495" spans="1:8" ht="51" x14ac:dyDescent="0.2">
      <c r="A1495" s="75" t="s">
        <v>19598</v>
      </c>
      <c r="B1495" s="75" t="s">
        <v>7359</v>
      </c>
      <c r="C1495" s="75" t="s">
        <v>19599</v>
      </c>
      <c r="D1495" s="75"/>
      <c r="E1495" s="75"/>
      <c r="F1495" s="75"/>
      <c r="G1495" s="75"/>
      <c r="H1495" s="75" t="s">
        <v>19600</v>
      </c>
    </row>
    <row r="1496" spans="1:8" ht="63.75" x14ac:dyDescent="0.2">
      <c r="A1496" s="73" t="s">
        <v>19601</v>
      </c>
      <c r="B1496" s="73" t="s">
        <v>7362</v>
      </c>
      <c r="C1496" s="73" t="s">
        <v>7363</v>
      </c>
      <c r="D1496" s="73"/>
      <c r="E1496" s="73"/>
      <c r="F1496" s="73"/>
      <c r="G1496" s="73"/>
      <c r="H1496" s="74" t="s">
        <v>19602</v>
      </c>
    </row>
    <row r="1497" spans="1:8" ht="25.5" x14ac:dyDescent="0.2">
      <c r="A1497" s="73" t="s">
        <v>19603</v>
      </c>
      <c r="B1497" s="73" t="s">
        <v>7365</v>
      </c>
      <c r="C1497" s="73" t="s">
        <v>7366</v>
      </c>
      <c r="D1497" s="73"/>
      <c r="E1497" s="73"/>
      <c r="F1497" s="73"/>
      <c r="G1497" s="73"/>
      <c r="H1497" s="73" t="s">
        <v>19604</v>
      </c>
    </row>
    <row r="1498" spans="1:8" ht="51" x14ac:dyDescent="0.2">
      <c r="A1498" s="75" t="s">
        <v>19605</v>
      </c>
      <c r="B1498" s="75" t="s">
        <v>7368</v>
      </c>
      <c r="C1498" s="75" t="s">
        <v>19606</v>
      </c>
      <c r="D1498" s="75"/>
      <c r="E1498" s="75"/>
      <c r="F1498" s="75"/>
      <c r="G1498" s="75"/>
      <c r="H1498" s="46" t="s">
        <v>19607</v>
      </c>
    </row>
    <row r="1499" spans="1:8" ht="51" x14ac:dyDescent="0.2">
      <c r="A1499" s="74" t="s">
        <v>19608</v>
      </c>
      <c r="B1499" s="74" t="s">
        <v>7371</v>
      </c>
      <c r="C1499" s="74" t="s">
        <v>19609</v>
      </c>
      <c r="D1499" s="74"/>
      <c r="E1499" s="74"/>
      <c r="F1499" s="74"/>
      <c r="G1499" s="74"/>
      <c r="H1499" s="14" t="s">
        <v>19610</v>
      </c>
    </row>
    <row r="1500" spans="1:8" ht="25.5" x14ac:dyDescent="0.2">
      <c r="A1500" s="74" t="s">
        <v>19611</v>
      </c>
      <c r="B1500" s="74" t="s">
        <v>7373</v>
      </c>
      <c r="C1500" s="74" t="s">
        <v>19612</v>
      </c>
      <c r="D1500" s="74"/>
      <c r="E1500" s="74"/>
      <c r="F1500" s="74"/>
      <c r="G1500" s="74"/>
      <c r="H1500" s="73" t="s">
        <v>19613</v>
      </c>
    </row>
    <row r="1501" spans="1:8" ht="38.25" x14ac:dyDescent="0.2">
      <c r="A1501" s="75" t="s">
        <v>19614</v>
      </c>
      <c r="B1501" s="75" t="s">
        <v>7376</v>
      </c>
      <c r="C1501" s="75" t="s">
        <v>19615</v>
      </c>
      <c r="D1501" s="75"/>
      <c r="E1501" s="75"/>
      <c r="F1501" s="75"/>
      <c r="G1501" s="75"/>
      <c r="H1501" s="75" t="s">
        <v>19616</v>
      </c>
    </row>
    <row r="1502" spans="1:8" ht="51" x14ac:dyDescent="0.2">
      <c r="A1502" s="73" t="s">
        <v>19617</v>
      </c>
      <c r="B1502" s="73" t="s">
        <v>7379</v>
      </c>
      <c r="C1502" s="73" t="s">
        <v>7380</v>
      </c>
      <c r="D1502" s="73"/>
      <c r="E1502" s="73"/>
      <c r="F1502" s="73"/>
      <c r="G1502" s="73"/>
      <c r="H1502" s="14" t="s">
        <v>19618</v>
      </c>
    </row>
    <row r="1503" spans="1:8" ht="25.5" x14ac:dyDescent="0.2">
      <c r="A1503" s="14" t="s">
        <v>19619</v>
      </c>
      <c r="B1503" s="14" t="s">
        <v>7387</v>
      </c>
      <c r="C1503" s="14" t="s">
        <v>7388</v>
      </c>
      <c r="D1503" s="14"/>
      <c r="E1503" s="14"/>
      <c r="F1503" s="14"/>
      <c r="G1503" s="14"/>
      <c r="H1503" s="73" t="s">
        <v>19620</v>
      </c>
    </row>
    <row r="1504" spans="1:8" ht="38.25" x14ac:dyDescent="0.2">
      <c r="A1504" s="75" t="s">
        <v>19621</v>
      </c>
      <c r="B1504" s="75" t="s">
        <v>7395</v>
      </c>
      <c r="C1504" s="75" t="s">
        <v>19622</v>
      </c>
      <c r="D1504" s="75"/>
      <c r="E1504" s="75"/>
      <c r="F1504" s="75"/>
      <c r="G1504" s="75"/>
      <c r="H1504" s="76" t="s">
        <v>19623</v>
      </c>
    </row>
    <row r="1505" spans="1:8" ht="51" x14ac:dyDescent="0.2">
      <c r="A1505" s="74" t="s">
        <v>19624</v>
      </c>
      <c r="B1505" s="74" t="s">
        <v>7398</v>
      </c>
      <c r="C1505" s="74" t="s">
        <v>19625</v>
      </c>
      <c r="D1505" s="74"/>
      <c r="E1505" s="74"/>
      <c r="F1505" s="74"/>
      <c r="G1505" s="74"/>
      <c r="H1505" s="74" t="s">
        <v>19626</v>
      </c>
    </row>
    <row r="1506" spans="1:8" ht="38.25" x14ac:dyDescent="0.2">
      <c r="A1506" s="74" t="s">
        <v>19627</v>
      </c>
      <c r="B1506" s="74" t="s">
        <v>7401</v>
      </c>
      <c r="C1506" s="74" t="s">
        <v>19628</v>
      </c>
      <c r="D1506" s="74"/>
      <c r="E1506" s="74"/>
      <c r="F1506" s="74"/>
      <c r="G1506" s="74"/>
      <c r="H1506" s="14" t="s">
        <v>19629</v>
      </c>
    </row>
    <row r="1507" spans="1:8" ht="38.25" x14ac:dyDescent="0.2">
      <c r="A1507" s="75" t="s">
        <v>19630</v>
      </c>
      <c r="B1507" s="75" t="s">
        <v>7404</v>
      </c>
      <c r="C1507" s="75" t="s">
        <v>19631</v>
      </c>
      <c r="D1507" s="75"/>
      <c r="E1507" s="75"/>
      <c r="F1507" s="75"/>
      <c r="G1507" s="75"/>
      <c r="H1507" s="46" t="s">
        <v>19632</v>
      </c>
    </row>
    <row r="1508" spans="1:8" ht="38.25" x14ac:dyDescent="0.2">
      <c r="A1508" s="74" t="s">
        <v>19633</v>
      </c>
      <c r="B1508" s="74" t="s">
        <v>7406</v>
      </c>
      <c r="C1508" s="74" t="s">
        <v>19634</v>
      </c>
      <c r="D1508" s="74"/>
      <c r="E1508" s="74"/>
      <c r="F1508" s="74"/>
      <c r="G1508" s="74"/>
      <c r="H1508" s="74" t="s">
        <v>19635</v>
      </c>
    </row>
    <row r="1509" spans="1:8" ht="38.25" x14ac:dyDescent="0.2">
      <c r="A1509" s="74" t="s">
        <v>19636</v>
      </c>
      <c r="B1509" s="74" t="s">
        <v>7409</v>
      </c>
      <c r="C1509" s="74" t="s">
        <v>19637</v>
      </c>
      <c r="D1509" s="74"/>
      <c r="E1509" s="74"/>
      <c r="F1509" s="74"/>
      <c r="G1509" s="74"/>
      <c r="H1509" s="73" t="s">
        <v>19638</v>
      </c>
    </row>
    <row r="1510" spans="1:8" ht="76.5" x14ac:dyDescent="0.2">
      <c r="A1510" s="75" t="s">
        <v>19639</v>
      </c>
      <c r="B1510" s="75" t="s">
        <v>7412</v>
      </c>
      <c r="C1510" s="75" t="s">
        <v>19640</v>
      </c>
      <c r="D1510" s="75"/>
      <c r="E1510" s="75"/>
      <c r="F1510" s="75"/>
      <c r="G1510" s="75"/>
      <c r="H1510" s="75" t="s">
        <v>19641</v>
      </c>
    </row>
    <row r="1511" spans="1:8" ht="63.75" x14ac:dyDescent="0.2">
      <c r="A1511" s="74" t="s">
        <v>19642</v>
      </c>
      <c r="B1511" s="74" t="s">
        <v>7415</v>
      </c>
      <c r="C1511" s="74" t="s">
        <v>19643</v>
      </c>
      <c r="D1511" s="74"/>
      <c r="E1511" s="74"/>
      <c r="F1511" s="74"/>
      <c r="G1511" s="74"/>
      <c r="H1511" s="73" t="s">
        <v>19644</v>
      </c>
    </row>
    <row r="1512" spans="1:8" ht="51" x14ac:dyDescent="0.2">
      <c r="A1512" s="74" t="s">
        <v>19645</v>
      </c>
      <c r="B1512" s="74" t="s">
        <v>7418</v>
      </c>
      <c r="C1512" s="74" t="s">
        <v>19646</v>
      </c>
      <c r="D1512" s="74"/>
      <c r="E1512" s="74"/>
      <c r="F1512" s="74"/>
      <c r="G1512" s="74"/>
      <c r="H1512" s="73" t="s">
        <v>19647</v>
      </c>
    </row>
    <row r="1513" spans="1:8" ht="76.5" x14ac:dyDescent="0.2">
      <c r="A1513" s="75" t="s">
        <v>19648</v>
      </c>
      <c r="B1513" s="75" t="s">
        <v>7421</v>
      </c>
      <c r="C1513" s="75" t="s">
        <v>19649</v>
      </c>
      <c r="D1513" s="75"/>
      <c r="E1513" s="75"/>
      <c r="F1513" s="75"/>
      <c r="G1513" s="75"/>
      <c r="H1513" s="76" t="s">
        <v>19650</v>
      </c>
    </row>
    <row r="1514" spans="1:8" ht="76.5" x14ac:dyDescent="0.2">
      <c r="A1514" s="74" t="s">
        <v>19651</v>
      </c>
      <c r="B1514" s="74" t="s">
        <v>7424</v>
      </c>
      <c r="C1514" s="74" t="s">
        <v>19652</v>
      </c>
      <c r="D1514" s="74"/>
      <c r="E1514" s="74"/>
      <c r="F1514" s="74"/>
      <c r="G1514" s="74"/>
      <c r="H1514" s="73" t="s">
        <v>19653</v>
      </c>
    </row>
    <row r="1515" spans="1:8" ht="38.25" x14ac:dyDescent="0.2">
      <c r="A1515" s="74" t="s">
        <v>19654</v>
      </c>
      <c r="B1515" s="74" t="s">
        <v>7429</v>
      </c>
      <c r="C1515" s="74" t="s">
        <v>19655</v>
      </c>
      <c r="D1515" s="74"/>
      <c r="E1515" s="74"/>
      <c r="F1515" s="74"/>
      <c r="G1515" s="74"/>
      <c r="H1515" s="73" t="s">
        <v>19656</v>
      </c>
    </row>
    <row r="1516" spans="1:8" ht="51" x14ac:dyDescent="0.2">
      <c r="A1516" s="75" t="s">
        <v>19657</v>
      </c>
      <c r="B1516" s="75" t="s">
        <v>7432</v>
      </c>
      <c r="C1516" s="75" t="s">
        <v>19658</v>
      </c>
      <c r="D1516" s="75"/>
      <c r="E1516" s="75"/>
      <c r="F1516" s="75"/>
      <c r="G1516" s="75"/>
      <c r="H1516" s="75" t="s">
        <v>19659</v>
      </c>
    </row>
    <row r="1517" spans="1:8" ht="38.25" x14ac:dyDescent="0.2">
      <c r="A1517" s="74" t="s">
        <v>19660</v>
      </c>
      <c r="B1517" s="74" t="s">
        <v>7435</v>
      </c>
      <c r="C1517" s="74" t="s">
        <v>19661</v>
      </c>
      <c r="D1517" s="74"/>
      <c r="E1517" s="74"/>
      <c r="F1517" s="74"/>
      <c r="G1517" s="74"/>
      <c r="H1517" s="14" t="s">
        <v>19662</v>
      </c>
    </row>
    <row r="1518" spans="1:8" ht="38.25" x14ac:dyDescent="0.2">
      <c r="A1518" s="74" t="s">
        <v>19663</v>
      </c>
      <c r="B1518" s="74" t="s">
        <v>7437</v>
      </c>
      <c r="C1518" s="74" t="s">
        <v>19664</v>
      </c>
      <c r="D1518" s="74"/>
      <c r="E1518" s="74"/>
      <c r="F1518" s="74"/>
      <c r="G1518" s="74"/>
      <c r="H1518" s="14" t="s">
        <v>19665</v>
      </c>
    </row>
    <row r="1519" spans="1:8" ht="25.5" x14ac:dyDescent="0.2">
      <c r="A1519" s="75" t="s">
        <v>19666</v>
      </c>
      <c r="B1519" s="75" t="s">
        <v>7440</v>
      </c>
      <c r="C1519" s="75" t="s">
        <v>19667</v>
      </c>
      <c r="D1519" s="75"/>
      <c r="E1519" s="75"/>
      <c r="F1519" s="75"/>
      <c r="G1519" s="75"/>
      <c r="H1519" s="46" t="s">
        <v>19668</v>
      </c>
    </row>
    <row r="1520" spans="1:8" ht="76.5" x14ac:dyDescent="0.2">
      <c r="A1520" s="74" t="s">
        <v>19669</v>
      </c>
      <c r="B1520" s="74" t="s">
        <v>7443</v>
      </c>
      <c r="C1520" s="74" t="s">
        <v>19670</v>
      </c>
      <c r="D1520" s="74"/>
      <c r="E1520" s="74"/>
      <c r="F1520" s="74"/>
      <c r="G1520" s="74"/>
      <c r="H1520" s="74" t="s">
        <v>19671</v>
      </c>
    </row>
    <row r="1521" spans="1:8" ht="51" x14ac:dyDescent="0.2">
      <c r="A1521" s="74" t="s">
        <v>19672</v>
      </c>
      <c r="B1521" s="74" t="s">
        <v>7446</v>
      </c>
      <c r="C1521" s="74" t="s">
        <v>19673</v>
      </c>
      <c r="D1521" s="74"/>
      <c r="E1521" s="74"/>
      <c r="F1521" s="74"/>
      <c r="G1521" s="74"/>
      <c r="H1521" s="74" t="s">
        <v>19674</v>
      </c>
    </row>
    <row r="1522" spans="1:8" ht="89.25" x14ac:dyDescent="0.2">
      <c r="A1522" s="75" t="s">
        <v>19675</v>
      </c>
      <c r="B1522" s="75" t="s">
        <v>7449</v>
      </c>
      <c r="C1522" s="75" t="s">
        <v>19676</v>
      </c>
      <c r="D1522" s="75"/>
      <c r="E1522" s="75"/>
      <c r="F1522" s="75"/>
      <c r="G1522" s="75"/>
      <c r="H1522" s="75" t="s">
        <v>19677</v>
      </c>
    </row>
    <row r="1523" spans="1:8" ht="76.5" x14ac:dyDescent="0.2">
      <c r="A1523" s="74" t="s">
        <v>19678</v>
      </c>
      <c r="B1523" s="74" t="s">
        <v>7452</v>
      </c>
      <c r="C1523" s="74" t="s">
        <v>19679</v>
      </c>
      <c r="D1523" s="74"/>
      <c r="E1523" s="74"/>
      <c r="F1523" s="74"/>
      <c r="G1523" s="74"/>
      <c r="H1523" s="74" t="s">
        <v>19680</v>
      </c>
    </row>
    <row r="1524" spans="1:8" ht="51" x14ac:dyDescent="0.2">
      <c r="A1524" s="75" t="s">
        <v>19681</v>
      </c>
      <c r="B1524" s="75" t="s">
        <v>7455</v>
      </c>
      <c r="C1524" s="75" t="s">
        <v>19682</v>
      </c>
      <c r="D1524" s="75"/>
      <c r="E1524" s="75"/>
      <c r="F1524" s="75"/>
      <c r="G1524" s="75"/>
      <c r="H1524" s="76" t="s">
        <v>19683</v>
      </c>
    </row>
    <row r="1525" spans="1:8" ht="127.5" x14ac:dyDescent="0.2">
      <c r="A1525" s="22" t="s">
        <v>19684</v>
      </c>
      <c r="B1525" s="22" t="s">
        <v>7458</v>
      </c>
      <c r="C1525" s="22" t="s">
        <v>19685</v>
      </c>
      <c r="D1525" s="22"/>
      <c r="E1525" s="22"/>
      <c r="F1525" s="22"/>
      <c r="G1525" s="22"/>
      <c r="H1525" s="73" t="s">
        <v>19686</v>
      </c>
    </row>
    <row r="1526" spans="1:8" ht="25.5" x14ac:dyDescent="0.2">
      <c r="A1526" s="75" t="s">
        <v>19687</v>
      </c>
      <c r="B1526" s="75" t="s">
        <v>7463</v>
      </c>
      <c r="C1526" s="75" t="s">
        <v>19688</v>
      </c>
      <c r="D1526" s="75"/>
      <c r="E1526" s="75"/>
      <c r="F1526" s="75"/>
      <c r="G1526" s="75"/>
      <c r="H1526" s="46" t="s">
        <v>19689</v>
      </c>
    </row>
    <row r="1527" spans="1:8" ht="38.25" x14ac:dyDescent="0.2">
      <c r="A1527" s="74" t="s">
        <v>19690</v>
      </c>
      <c r="B1527" s="74" t="s">
        <v>7466</v>
      </c>
      <c r="C1527" s="74" t="s">
        <v>19691</v>
      </c>
      <c r="D1527" s="74"/>
      <c r="E1527" s="74"/>
      <c r="F1527" s="74"/>
      <c r="G1527" s="74"/>
      <c r="H1527" s="14" t="s">
        <v>19692</v>
      </c>
    </row>
    <row r="1528" spans="1:8" ht="38.25" x14ac:dyDescent="0.2">
      <c r="A1528" s="74" t="s">
        <v>19693</v>
      </c>
      <c r="B1528" s="74" t="s">
        <v>7469</v>
      </c>
      <c r="C1528" s="74" t="s">
        <v>19694</v>
      </c>
      <c r="D1528" s="74"/>
      <c r="E1528" s="74"/>
      <c r="F1528" s="74"/>
      <c r="G1528" s="74"/>
      <c r="H1528" s="74" t="s">
        <v>19695</v>
      </c>
    </row>
    <row r="1529" spans="1:8" ht="38.25" x14ac:dyDescent="0.2">
      <c r="A1529" s="75" t="s">
        <v>19696</v>
      </c>
      <c r="B1529" s="75" t="s">
        <v>7472</v>
      </c>
      <c r="C1529" s="75" t="s">
        <v>19697</v>
      </c>
      <c r="D1529" s="75"/>
      <c r="E1529" s="75"/>
      <c r="F1529" s="75"/>
      <c r="G1529" s="75"/>
      <c r="H1529" s="46" t="s">
        <v>19698</v>
      </c>
    </row>
    <row r="1530" spans="1:8" ht="38.25" x14ac:dyDescent="0.2">
      <c r="A1530" s="74" t="s">
        <v>19699</v>
      </c>
      <c r="B1530" s="74" t="s">
        <v>7475</v>
      </c>
      <c r="C1530" s="74" t="s">
        <v>19700</v>
      </c>
      <c r="D1530" s="74"/>
      <c r="E1530" s="74"/>
      <c r="F1530" s="74"/>
      <c r="G1530" s="74"/>
      <c r="H1530" s="73" t="s">
        <v>19701</v>
      </c>
    </row>
    <row r="1531" spans="1:8" ht="38.25" x14ac:dyDescent="0.2">
      <c r="A1531" s="74" t="s">
        <v>19702</v>
      </c>
      <c r="B1531" s="74" t="s">
        <v>7478</v>
      </c>
      <c r="C1531" s="74" t="s">
        <v>19703</v>
      </c>
      <c r="D1531" s="74"/>
      <c r="E1531" s="74"/>
      <c r="F1531" s="74"/>
      <c r="G1531" s="74"/>
      <c r="H1531" s="73" t="s">
        <v>19704</v>
      </c>
    </row>
    <row r="1532" spans="1:8" ht="63.75" x14ac:dyDescent="0.2">
      <c r="A1532" s="75" t="s">
        <v>19705</v>
      </c>
      <c r="B1532" s="75" t="s">
        <v>7481</v>
      </c>
      <c r="C1532" s="75" t="s">
        <v>19706</v>
      </c>
      <c r="D1532" s="75"/>
      <c r="E1532" s="75"/>
      <c r="F1532" s="75"/>
      <c r="G1532" s="75"/>
      <c r="H1532" s="75" t="s">
        <v>19707</v>
      </c>
    </row>
    <row r="1533" spans="1:8" ht="76.5" x14ac:dyDescent="0.2">
      <c r="A1533" s="22" t="s">
        <v>19708</v>
      </c>
      <c r="B1533" s="22" t="s">
        <v>7484</v>
      </c>
      <c r="C1533" s="22" t="s">
        <v>19709</v>
      </c>
      <c r="D1533" s="22"/>
      <c r="E1533" s="22"/>
      <c r="F1533" s="22"/>
      <c r="G1533" s="22"/>
      <c r="H1533" s="73" t="s">
        <v>19710</v>
      </c>
    </row>
    <row r="1534" spans="1:8" ht="38.25" x14ac:dyDescent="0.2">
      <c r="A1534" s="74" t="s">
        <v>19711</v>
      </c>
      <c r="B1534" s="74" t="s">
        <v>7487</v>
      </c>
      <c r="C1534" s="74" t="s">
        <v>19712</v>
      </c>
      <c r="D1534" s="74"/>
      <c r="E1534" s="74"/>
      <c r="F1534" s="74"/>
      <c r="G1534" s="74"/>
      <c r="H1534" s="74" t="s">
        <v>19713</v>
      </c>
    </row>
    <row r="1535" spans="1:8" ht="51" x14ac:dyDescent="0.2">
      <c r="A1535" s="75" t="s">
        <v>19714</v>
      </c>
      <c r="B1535" s="75" t="s">
        <v>7490</v>
      </c>
      <c r="C1535" s="75" t="s">
        <v>19715</v>
      </c>
      <c r="D1535" s="75"/>
      <c r="E1535" s="75"/>
      <c r="F1535" s="75"/>
      <c r="G1535" s="75"/>
      <c r="H1535" s="75" t="s">
        <v>19716</v>
      </c>
    </row>
    <row r="1536" spans="1:8" ht="38.25" x14ac:dyDescent="0.2">
      <c r="A1536" s="74" t="s">
        <v>19717</v>
      </c>
      <c r="B1536" s="74" t="s">
        <v>7493</v>
      </c>
      <c r="C1536" s="74" t="s">
        <v>19718</v>
      </c>
      <c r="D1536" s="74"/>
      <c r="E1536" s="74"/>
      <c r="F1536" s="74"/>
      <c r="G1536" s="74"/>
      <c r="H1536" s="14" t="s">
        <v>19719</v>
      </c>
    </row>
    <row r="1537" spans="1:8" ht="38.25" x14ac:dyDescent="0.2">
      <c r="A1537" s="75" t="s">
        <v>19720</v>
      </c>
      <c r="B1537" s="75" t="s">
        <v>7495</v>
      </c>
      <c r="C1537" s="75" t="s">
        <v>19721</v>
      </c>
      <c r="D1537" s="75"/>
      <c r="E1537" s="75"/>
      <c r="F1537" s="75"/>
      <c r="G1537" s="75"/>
      <c r="H1537" s="46" t="s">
        <v>19722</v>
      </c>
    </row>
    <row r="1538" spans="1:8" ht="127.5" x14ac:dyDescent="0.2">
      <c r="A1538" s="75" t="s">
        <v>19723</v>
      </c>
      <c r="B1538" s="75" t="s">
        <v>7497</v>
      </c>
      <c r="C1538" s="75" t="s">
        <v>19724</v>
      </c>
      <c r="D1538" s="75"/>
      <c r="E1538" s="75"/>
      <c r="F1538" s="75"/>
      <c r="G1538" s="75"/>
      <c r="H1538" s="76" t="s">
        <v>19725</v>
      </c>
    </row>
    <row r="1539" spans="1:8" ht="153" x14ac:dyDescent="0.2">
      <c r="A1539" s="46" t="s">
        <v>19726</v>
      </c>
      <c r="B1539" s="46" t="s">
        <v>7500</v>
      </c>
      <c r="C1539" s="46" t="s">
        <v>7501</v>
      </c>
      <c r="D1539" s="46"/>
      <c r="E1539" s="46"/>
      <c r="F1539" s="46"/>
      <c r="G1539" s="46"/>
      <c r="H1539" s="75" t="s">
        <v>19727</v>
      </c>
    </row>
    <row r="1540" spans="1:8" ht="140.25" x14ac:dyDescent="0.2">
      <c r="A1540" s="22" t="s">
        <v>19728</v>
      </c>
      <c r="B1540" s="22" t="s">
        <v>7503</v>
      </c>
      <c r="C1540" s="22" t="s">
        <v>19729</v>
      </c>
      <c r="D1540" s="22"/>
      <c r="E1540" s="22"/>
      <c r="F1540" s="22"/>
      <c r="G1540" s="22"/>
      <c r="H1540" s="74" t="s">
        <v>19730</v>
      </c>
    </row>
    <row r="1541" spans="1:8" ht="63.75" x14ac:dyDescent="0.2">
      <c r="A1541" s="74" t="s">
        <v>19731</v>
      </c>
      <c r="B1541" s="74" t="s">
        <v>7508</v>
      </c>
      <c r="C1541" s="74" t="s">
        <v>19732</v>
      </c>
      <c r="D1541" s="74"/>
      <c r="E1541" s="74"/>
      <c r="F1541" s="74"/>
      <c r="G1541" s="74"/>
      <c r="H1541" s="73" t="s">
        <v>19733</v>
      </c>
    </row>
    <row r="1542" spans="1:8" ht="51" x14ac:dyDescent="0.2">
      <c r="A1542" s="75" t="s">
        <v>19734</v>
      </c>
      <c r="B1542" s="75" t="s">
        <v>7511</v>
      </c>
      <c r="C1542" s="75" t="s">
        <v>19735</v>
      </c>
      <c r="D1542" s="75"/>
      <c r="E1542" s="75"/>
      <c r="F1542" s="75"/>
      <c r="G1542" s="75"/>
      <c r="H1542" s="46" t="s">
        <v>19736</v>
      </c>
    </row>
    <row r="1543" spans="1:8" ht="51" x14ac:dyDescent="0.2">
      <c r="A1543" s="74" t="s">
        <v>19737</v>
      </c>
      <c r="B1543" s="74" t="s">
        <v>7513</v>
      </c>
      <c r="C1543" s="74" t="s">
        <v>19738</v>
      </c>
      <c r="D1543" s="74"/>
      <c r="E1543" s="74"/>
      <c r="F1543" s="74"/>
      <c r="G1543" s="74"/>
      <c r="H1543" s="14" t="s">
        <v>19739</v>
      </c>
    </row>
    <row r="1544" spans="1:8" ht="51" x14ac:dyDescent="0.2">
      <c r="A1544" s="74" t="s">
        <v>19740</v>
      </c>
      <c r="B1544" s="74" t="s">
        <v>7515</v>
      </c>
      <c r="C1544" s="74" t="s">
        <v>19741</v>
      </c>
      <c r="D1544" s="74"/>
      <c r="E1544" s="74"/>
      <c r="F1544" s="74"/>
      <c r="G1544" s="74"/>
      <c r="H1544" s="14" t="s">
        <v>19742</v>
      </c>
    </row>
    <row r="1545" spans="1:8" ht="51" x14ac:dyDescent="0.2">
      <c r="A1545" s="75" t="s">
        <v>19743</v>
      </c>
      <c r="B1545" s="75" t="s">
        <v>7518</v>
      </c>
      <c r="C1545" s="75" t="s">
        <v>19744</v>
      </c>
      <c r="D1545" s="75"/>
      <c r="E1545" s="75"/>
      <c r="F1545" s="75"/>
      <c r="G1545" s="75"/>
      <c r="H1545" s="46" t="s">
        <v>19745</v>
      </c>
    </row>
    <row r="1546" spans="1:8" ht="51" x14ac:dyDescent="0.2">
      <c r="A1546" s="74" t="s">
        <v>19746</v>
      </c>
      <c r="B1546" s="74" t="s">
        <v>7520</v>
      </c>
      <c r="C1546" s="74" t="s">
        <v>19747</v>
      </c>
      <c r="D1546" s="74"/>
      <c r="E1546" s="74"/>
      <c r="F1546" s="74"/>
      <c r="G1546" s="74"/>
      <c r="H1546" s="14" t="s">
        <v>19748</v>
      </c>
    </row>
    <row r="1547" spans="1:8" ht="25.5" x14ac:dyDescent="0.2">
      <c r="A1547" s="74" t="s">
        <v>19749</v>
      </c>
      <c r="B1547" s="74" t="s">
        <v>7523</v>
      </c>
      <c r="C1547" s="74" t="s">
        <v>19750</v>
      </c>
      <c r="D1547" s="74"/>
      <c r="E1547" s="74"/>
      <c r="F1547" s="74"/>
      <c r="G1547" s="74"/>
      <c r="H1547" s="14" t="s">
        <v>19751</v>
      </c>
    </row>
    <row r="1548" spans="1:8" ht="38.25" x14ac:dyDescent="0.2">
      <c r="A1548" s="75" t="s">
        <v>19752</v>
      </c>
      <c r="B1548" s="75" t="s">
        <v>7526</v>
      </c>
      <c r="C1548" s="75" t="s">
        <v>19753</v>
      </c>
      <c r="D1548" s="75"/>
      <c r="E1548" s="75"/>
      <c r="F1548" s="75"/>
      <c r="G1548" s="75"/>
      <c r="H1548" s="75" t="s">
        <v>19754</v>
      </c>
    </row>
    <row r="1549" spans="1:8" ht="25.5" x14ac:dyDescent="0.2">
      <c r="A1549" s="74" t="s">
        <v>19755</v>
      </c>
      <c r="B1549" s="74" t="s">
        <v>7529</v>
      </c>
      <c r="C1549" s="74" t="s">
        <v>19756</v>
      </c>
      <c r="D1549" s="74"/>
      <c r="E1549" s="74"/>
      <c r="F1549" s="74"/>
      <c r="G1549" s="74"/>
      <c r="H1549" s="73" t="s">
        <v>19757</v>
      </c>
    </row>
    <row r="1550" spans="1:8" ht="25.5" x14ac:dyDescent="0.2">
      <c r="A1550" s="74" t="s">
        <v>19758</v>
      </c>
      <c r="B1550" s="74" t="s">
        <v>7532</v>
      </c>
      <c r="C1550" s="74" t="s">
        <v>19759</v>
      </c>
      <c r="D1550" s="74"/>
      <c r="E1550" s="74"/>
      <c r="F1550" s="74"/>
      <c r="G1550" s="74"/>
      <c r="H1550" s="73" t="s">
        <v>19760</v>
      </c>
    </row>
    <row r="1551" spans="1:8" ht="102" x14ac:dyDescent="0.2">
      <c r="A1551" s="75" t="s">
        <v>19761</v>
      </c>
      <c r="B1551" s="75" t="s">
        <v>7534</v>
      </c>
      <c r="C1551" s="75" t="s">
        <v>19762</v>
      </c>
      <c r="D1551" s="75"/>
      <c r="E1551" s="75"/>
      <c r="F1551" s="75"/>
      <c r="G1551" s="75"/>
      <c r="H1551" s="76" t="s">
        <v>19763</v>
      </c>
    </row>
    <row r="1552" spans="1:8" ht="25.5" x14ac:dyDescent="0.2">
      <c r="A1552" s="74" t="s">
        <v>19764</v>
      </c>
      <c r="B1552" s="74" t="s">
        <v>7537</v>
      </c>
      <c r="C1552" s="74" t="s">
        <v>19765</v>
      </c>
      <c r="D1552" s="74"/>
      <c r="E1552" s="74"/>
      <c r="F1552" s="74"/>
      <c r="G1552" s="74"/>
      <c r="H1552" s="14" t="s">
        <v>19766</v>
      </c>
    </row>
    <row r="1553" spans="1:8" ht="38.25" x14ac:dyDescent="0.2">
      <c r="A1553" s="74" t="s">
        <v>19767</v>
      </c>
      <c r="B1553" s="74" t="s">
        <v>7540</v>
      </c>
      <c r="C1553" s="74" t="s">
        <v>19768</v>
      </c>
      <c r="D1553" s="74"/>
      <c r="E1553" s="74"/>
      <c r="F1553" s="74"/>
      <c r="G1553" s="74"/>
      <c r="H1553" s="73" t="s">
        <v>19769</v>
      </c>
    </row>
    <row r="1554" spans="1:8" ht="63.75" x14ac:dyDescent="0.2">
      <c r="A1554" s="75" t="s">
        <v>19770</v>
      </c>
      <c r="B1554" s="75" t="s">
        <v>7543</v>
      </c>
      <c r="C1554" s="75" t="s">
        <v>19771</v>
      </c>
      <c r="D1554" s="75"/>
      <c r="E1554" s="75"/>
      <c r="F1554" s="75"/>
      <c r="G1554" s="75"/>
      <c r="H1554" s="76" t="s">
        <v>19772</v>
      </c>
    </row>
    <row r="1555" spans="1:8" ht="63.75" x14ac:dyDescent="0.2">
      <c r="A1555" s="74" t="s">
        <v>19773</v>
      </c>
      <c r="B1555" s="74" t="s">
        <v>7546</v>
      </c>
      <c r="C1555" s="74" t="s">
        <v>19774</v>
      </c>
      <c r="D1555" s="74"/>
      <c r="E1555" s="74"/>
      <c r="F1555" s="74"/>
      <c r="G1555" s="74"/>
      <c r="H1555" s="73" t="s">
        <v>19775</v>
      </c>
    </row>
    <row r="1556" spans="1:8" ht="38.25" x14ac:dyDescent="0.2">
      <c r="A1556" s="74" t="s">
        <v>19776</v>
      </c>
      <c r="B1556" s="74" t="s">
        <v>7549</v>
      </c>
      <c r="C1556" s="74" t="s">
        <v>19777</v>
      </c>
      <c r="D1556" s="74"/>
      <c r="E1556" s="74"/>
      <c r="F1556" s="74"/>
      <c r="G1556" s="74"/>
      <c r="H1556" s="14" t="s">
        <v>19778</v>
      </c>
    </row>
    <row r="1557" spans="1:8" ht="102" x14ac:dyDescent="0.2">
      <c r="A1557" s="49" t="s">
        <v>19779</v>
      </c>
      <c r="B1557" s="49" t="s">
        <v>7551</v>
      </c>
      <c r="C1557" s="49" t="s">
        <v>19780</v>
      </c>
      <c r="D1557" s="49"/>
      <c r="E1557" s="49"/>
      <c r="F1557" s="49"/>
      <c r="G1557" s="49"/>
      <c r="H1557" s="75" t="s">
        <v>19781</v>
      </c>
    </row>
    <row r="1558" spans="1:8" ht="102" x14ac:dyDescent="0.2">
      <c r="A1558" s="22" t="s">
        <v>19782</v>
      </c>
      <c r="B1558" s="22" t="s">
        <v>7554</v>
      </c>
      <c r="C1558" s="22" t="s">
        <v>19783</v>
      </c>
      <c r="D1558" s="22"/>
      <c r="E1558" s="22"/>
      <c r="F1558" s="22"/>
      <c r="G1558" s="22"/>
      <c r="H1558" s="74" t="s">
        <v>19784</v>
      </c>
    </row>
    <row r="1559" spans="1:8" ht="89.25" x14ac:dyDescent="0.2">
      <c r="A1559" s="22" t="s">
        <v>19785</v>
      </c>
      <c r="B1559" s="22" t="s">
        <v>7557</v>
      </c>
      <c r="C1559" s="22" t="s">
        <v>19786</v>
      </c>
      <c r="D1559" s="22"/>
      <c r="E1559" s="22"/>
      <c r="F1559" s="22"/>
      <c r="G1559" s="22"/>
      <c r="H1559" s="73" t="s">
        <v>19787</v>
      </c>
    </row>
    <row r="1560" spans="1:8" ht="51" x14ac:dyDescent="0.2">
      <c r="A1560" s="75" t="s">
        <v>19788</v>
      </c>
      <c r="B1560" s="75" t="s">
        <v>7560</v>
      </c>
      <c r="C1560" s="75" t="s">
        <v>19789</v>
      </c>
      <c r="D1560" s="75"/>
      <c r="E1560" s="75"/>
      <c r="F1560" s="75"/>
      <c r="G1560" s="75"/>
      <c r="H1560" s="75" t="s">
        <v>19790</v>
      </c>
    </row>
    <row r="1561" spans="1:8" ht="76.5" x14ac:dyDescent="0.2">
      <c r="A1561" s="74" t="s">
        <v>19791</v>
      </c>
      <c r="B1561" s="74" t="s">
        <v>7563</v>
      </c>
      <c r="C1561" s="74" t="s">
        <v>19792</v>
      </c>
      <c r="D1561" s="74"/>
      <c r="E1561" s="74"/>
      <c r="F1561" s="74"/>
      <c r="G1561" s="74"/>
      <c r="H1561" s="74" t="s">
        <v>19793</v>
      </c>
    </row>
    <row r="1562" spans="1:8" ht="76.5" x14ac:dyDescent="0.2">
      <c r="A1562" s="74" t="s">
        <v>19794</v>
      </c>
      <c r="B1562" s="74" t="s">
        <v>7566</v>
      </c>
      <c r="C1562" s="74" t="s">
        <v>19795</v>
      </c>
      <c r="D1562" s="74"/>
      <c r="E1562" s="74"/>
      <c r="F1562" s="74"/>
      <c r="G1562" s="74"/>
      <c r="H1562" s="73" t="s">
        <v>19796</v>
      </c>
    </row>
    <row r="1563" spans="1:8" ht="25.5" x14ac:dyDescent="0.2">
      <c r="A1563" s="75" t="s">
        <v>19797</v>
      </c>
      <c r="B1563" s="75" t="s">
        <v>7571</v>
      </c>
      <c r="C1563" s="75" t="s">
        <v>19798</v>
      </c>
      <c r="D1563" s="75"/>
      <c r="E1563" s="75"/>
      <c r="F1563" s="75"/>
      <c r="G1563" s="75"/>
      <c r="H1563" s="46" t="s">
        <v>19799</v>
      </c>
    </row>
    <row r="1564" spans="1:8" ht="25.5" x14ac:dyDescent="0.2">
      <c r="A1564" s="74" t="s">
        <v>19800</v>
      </c>
      <c r="B1564" s="74" t="s">
        <v>7574</v>
      </c>
      <c r="C1564" s="74" t="s">
        <v>19801</v>
      </c>
      <c r="D1564" s="74"/>
      <c r="E1564" s="74"/>
      <c r="F1564" s="74"/>
      <c r="G1564" s="74"/>
      <c r="H1564" s="14" t="s">
        <v>19802</v>
      </c>
    </row>
    <row r="1565" spans="1:8" ht="25.5" x14ac:dyDescent="0.2">
      <c r="A1565" s="74" t="s">
        <v>19803</v>
      </c>
      <c r="B1565" s="74" t="s">
        <v>7576</v>
      </c>
      <c r="C1565" s="74" t="s">
        <v>19804</v>
      </c>
      <c r="D1565" s="74"/>
      <c r="E1565" s="74"/>
      <c r="F1565" s="74"/>
      <c r="G1565" s="74"/>
      <c r="H1565" s="14" t="s">
        <v>19805</v>
      </c>
    </row>
    <row r="1566" spans="1:8" ht="38.25" x14ac:dyDescent="0.2">
      <c r="A1566" s="75" t="s">
        <v>19806</v>
      </c>
      <c r="B1566" s="75" t="s">
        <v>7579</v>
      </c>
      <c r="C1566" s="75" t="s">
        <v>19807</v>
      </c>
      <c r="D1566" s="75"/>
      <c r="E1566" s="75"/>
      <c r="F1566" s="75"/>
      <c r="G1566" s="75"/>
      <c r="H1566" s="76" t="s">
        <v>19808</v>
      </c>
    </row>
    <row r="1567" spans="1:8" ht="51" x14ac:dyDescent="0.2">
      <c r="A1567" s="73" t="s">
        <v>19809</v>
      </c>
      <c r="B1567" s="73" t="s">
        <v>7582</v>
      </c>
      <c r="C1567" s="73" t="s">
        <v>7583</v>
      </c>
      <c r="D1567" s="73"/>
      <c r="E1567" s="73"/>
      <c r="F1567" s="73"/>
      <c r="G1567" s="73"/>
      <c r="H1567" s="73" t="s">
        <v>19810</v>
      </c>
    </row>
    <row r="1568" spans="1:8" ht="51" x14ac:dyDescent="0.2">
      <c r="A1568" s="73" t="s">
        <v>19811</v>
      </c>
      <c r="B1568" s="73" t="s">
        <v>7585</v>
      </c>
      <c r="C1568" s="73" t="s">
        <v>7586</v>
      </c>
      <c r="D1568" s="73"/>
      <c r="E1568" s="73"/>
      <c r="F1568" s="73"/>
      <c r="G1568" s="73"/>
      <c r="H1568" s="73" t="s">
        <v>19812</v>
      </c>
    </row>
    <row r="1569" spans="1:8" ht="38.25" x14ac:dyDescent="0.2">
      <c r="A1569" s="76" t="s">
        <v>19813</v>
      </c>
      <c r="B1569" s="76" t="s">
        <v>7588</v>
      </c>
      <c r="C1569" s="76" t="s">
        <v>7589</v>
      </c>
      <c r="D1569" s="76"/>
      <c r="E1569" s="76"/>
      <c r="F1569" s="76"/>
      <c r="G1569" s="76"/>
      <c r="H1569" s="76" t="s">
        <v>19814</v>
      </c>
    </row>
    <row r="1570" spans="1:8" ht="51" x14ac:dyDescent="0.2">
      <c r="A1570" s="73" t="s">
        <v>19815</v>
      </c>
      <c r="B1570" s="73" t="s">
        <v>7591</v>
      </c>
      <c r="C1570" s="73" t="s">
        <v>7592</v>
      </c>
      <c r="D1570" s="73"/>
      <c r="E1570" s="73"/>
      <c r="F1570" s="73"/>
      <c r="G1570" s="73"/>
      <c r="H1570" s="73" t="s">
        <v>19816</v>
      </c>
    </row>
    <row r="1571" spans="1:8" ht="51" x14ac:dyDescent="0.2">
      <c r="A1571" s="73" t="s">
        <v>19817</v>
      </c>
      <c r="B1571" s="73" t="s">
        <v>7594</v>
      </c>
      <c r="C1571" s="73" t="s">
        <v>19818</v>
      </c>
      <c r="D1571" s="73"/>
      <c r="E1571" s="73"/>
      <c r="F1571" s="73"/>
      <c r="G1571" s="73"/>
      <c r="H1571" s="73" t="s">
        <v>19819</v>
      </c>
    </row>
    <row r="1572" spans="1:8" ht="76.5" x14ac:dyDescent="0.2">
      <c r="A1572" s="46" t="s">
        <v>19820</v>
      </c>
      <c r="B1572" s="46" t="s">
        <v>7597</v>
      </c>
      <c r="C1572" s="46" t="s">
        <v>7598</v>
      </c>
      <c r="D1572" s="46"/>
      <c r="E1572" s="46"/>
      <c r="F1572" s="46"/>
      <c r="G1572" s="46"/>
      <c r="H1572" s="76" t="s">
        <v>19821</v>
      </c>
    </row>
    <row r="1573" spans="1:8" ht="38.25" x14ac:dyDescent="0.2">
      <c r="A1573" s="73" t="s">
        <v>19822</v>
      </c>
      <c r="B1573" s="73" t="s">
        <v>7600</v>
      </c>
      <c r="C1573" s="73" t="s">
        <v>7601</v>
      </c>
      <c r="D1573" s="73"/>
      <c r="E1573" s="73"/>
      <c r="F1573" s="73"/>
      <c r="G1573" s="73"/>
      <c r="H1573" s="73" t="s">
        <v>19823</v>
      </c>
    </row>
    <row r="1574" spans="1:8" ht="102" x14ac:dyDescent="0.2">
      <c r="A1574" s="75" t="s">
        <v>19824</v>
      </c>
      <c r="B1574" s="75" t="s">
        <v>7603</v>
      </c>
      <c r="C1574" s="75" t="s">
        <v>19825</v>
      </c>
      <c r="D1574" s="75"/>
      <c r="E1574" s="75"/>
      <c r="F1574" s="75"/>
      <c r="G1574" s="75"/>
      <c r="H1574" s="75" t="s">
        <v>19826</v>
      </c>
    </row>
    <row r="1575" spans="1:8" ht="102" x14ac:dyDescent="0.2">
      <c r="A1575" s="22" t="s">
        <v>19827</v>
      </c>
      <c r="B1575" s="22" t="s">
        <v>7606</v>
      </c>
      <c r="C1575" s="22" t="s">
        <v>19828</v>
      </c>
      <c r="D1575" s="22"/>
      <c r="E1575" s="22"/>
      <c r="F1575" s="22"/>
      <c r="G1575" s="22"/>
      <c r="H1575" s="73" t="s">
        <v>19829</v>
      </c>
    </row>
    <row r="1576" spans="1:8" ht="38.25" x14ac:dyDescent="0.2">
      <c r="A1576" s="74" t="s">
        <v>19830</v>
      </c>
      <c r="B1576" s="74" t="s">
        <v>7611</v>
      </c>
      <c r="C1576" s="74" t="s">
        <v>19831</v>
      </c>
      <c r="D1576" s="74"/>
      <c r="E1576" s="74"/>
      <c r="F1576" s="74"/>
      <c r="G1576" s="74"/>
      <c r="H1576" s="14" t="s">
        <v>19832</v>
      </c>
    </row>
    <row r="1577" spans="1:8" ht="38.25" x14ac:dyDescent="0.2">
      <c r="A1577" s="75" t="s">
        <v>19833</v>
      </c>
      <c r="B1577" s="75" t="s">
        <v>7614</v>
      </c>
      <c r="C1577" s="75" t="s">
        <v>19834</v>
      </c>
      <c r="D1577" s="75"/>
      <c r="E1577" s="75"/>
      <c r="F1577" s="75"/>
      <c r="G1577" s="75"/>
      <c r="H1577" s="46" t="s">
        <v>19835</v>
      </c>
    </row>
    <row r="1578" spans="1:8" ht="51" x14ac:dyDescent="0.2">
      <c r="A1578" s="74" t="s">
        <v>19836</v>
      </c>
      <c r="B1578" s="74" t="s">
        <v>7617</v>
      </c>
      <c r="C1578" s="74" t="s">
        <v>19837</v>
      </c>
      <c r="D1578" s="74"/>
      <c r="E1578" s="74"/>
      <c r="F1578" s="74"/>
      <c r="G1578" s="74"/>
      <c r="H1578" s="73" t="s">
        <v>19838</v>
      </c>
    </row>
    <row r="1579" spans="1:8" ht="51" x14ac:dyDescent="0.2">
      <c r="A1579" s="74" t="s">
        <v>19839</v>
      </c>
      <c r="B1579" s="74" t="s">
        <v>7620</v>
      </c>
      <c r="C1579" s="74" t="s">
        <v>19840</v>
      </c>
      <c r="D1579" s="74"/>
      <c r="E1579" s="74"/>
      <c r="F1579" s="74"/>
      <c r="G1579" s="74"/>
      <c r="H1579" s="74" t="s">
        <v>19841</v>
      </c>
    </row>
    <row r="1580" spans="1:8" ht="51" x14ac:dyDescent="0.2">
      <c r="A1580" s="75" t="s">
        <v>19842</v>
      </c>
      <c r="B1580" s="75" t="s">
        <v>7623</v>
      </c>
      <c r="C1580" s="75" t="s">
        <v>19843</v>
      </c>
      <c r="D1580" s="75"/>
      <c r="E1580" s="75"/>
      <c r="F1580" s="75"/>
      <c r="G1580" s="75"/>
      <c r="H1580" s="76" t="s">
        <v>19844</v>
      </c>
    </row>
    <row r="1581" spans="1:8" ht="51" x14ac:dyDescent="0.2">
      <c r="A1581" s="74" t="s">
        <v>19845</v>
      </c>
      <c r="B1581" s="74" t="s">
        <v>7625</v>
      </c>
      <c r="C1581" s="74" t="s">
        <v>19846</v>
      </c>
      <c r="D1581" s="74"/>
      <c r="E1581" s="74"/>
      <c r="F1581" s="74"/>
      <c r="G1581" s="74"/>
      <c r="H1581" s="73" t="s">
        <v>19847</v>
      </c>
    </row>
    <row r="1582" spans="1:8" ht="51" x14ac:dyDescent="0.2">
      <c r="A1582" s="74" t="s">
        <v>19848</v>
      </c>
      <c r="B1582" s="74" t="s">
        <v>7627</v>
      </c>
      <c r="C1582" s="74" t="s">
        <v>19849</v>
      </c>
      <c r="D1582" s="74"/>
      <c r="E1582" s="74"/>
      <c r="F1582" s="74"/>
      <c r="G1582" s="74"/>
      <c r="H1582" s="74" t="s">
        <v>19850</v>
      </c>
    </row>
    <row r="1583" spans="1:8" ht="51" x14ac:dyDescent="0.2">
      <c r="A1583" s="75" t="s">
        <v>19851</v>
      </c>
      <c r="B1583" s="75" t="s">
        <v>7630</v>
      </c>
      <c r="C1583" s="75" t="s">
        <v>19852</v>
      </c>
      <c r="D1583" s="75" t="s">
        <v>19853</v>
      </c>
      <c r="E1583" s="75"/>
      <c r="F1583" s="75"/>
      <c r="G1583" s="75"/>
      <c r="H1583" s="76" t="s">
        <v>19854</v>
      </c>
    </row>
    <row r="1584" spans="1:8" ht="51" x14ac:dyDescent="0.2">
      <c r="A1584" s="74" t="s">
        <v>19855</v>
      </c>
      <c r="B1584" s="74" t="s">
        <v>7632</v>
      </c>
      <c r="C1584" s="74" t="s">
        <v>19856</v>
      </c>
      <c r="D1584" s="74" t="s">
        <v>19857</v>
      </c>
      <c r="E1584" s="74"/>
      <c r="F1584" s="74"/>
      <c r="G1584" s="74"/>
      <c r="H1584" s="73" t="s">
        <v>19858</v>
      </c>
    </row>
    <row r="1585" spans="1:8" ht="102" x14ac:dyDescent="0.2">
      <c r="A1585" s="74" t="s">
        <v>19859</v>
      </c>
      <c r="B1585" s="74" t="s">
        <v>7634</v>
      </c>
      <c r="C1585" s="74" t="s">
        <v>19860</v>
      </c>
      <c r="D1585" s="74"/>
      <c r="E1585" s="74"/>
      <c r="F1585" s="74"/>
      <c r="G1585" s="74"/>
      <c r="H1585" s="74" t="s">
        <v>19861</v>
      </c>
    </row>
    <row r="1586" spans="1:8" ht="76.5" x14ac:dyDescent="0.2">
      <c r="A1586" s="75" t="s">
        <v>19862</v>
      </c>
      <c r="B1586" s="75" t="s">
        <v>7637</v>
      </c>
      <c r="C1586" s="75" t="s">
        <v>19863</v>
      </c>
      <c r="D1586" s="75"/>
      <c r="E1586" s="75"/>
      <c r="F1586" s="75"/>
      <c r="G1586" s="75"/>
      <c r="H1586" s="75" t="s">
        <v>19864</v>
      </c>
    </row>
    <row r="1587" spans="1:8" ht="63.75" x14ac:dyDescent="0.2">
      <c r="A1587" s="74" t="s">
        <v>19865</v>
      </c>
      <c r="B1587" s="74" t="s">
        <v>7640</v>
      </c>
      <c r="C1587" s="74" t="s">
        <v>19866</v>
      </c>
      <c r="D1587" s="74"/>
      <c r="E1587" s="74"/>
      <c r="F1587" s="74"/>
      <c r="G1587" s="74"/>
      <c r="H1587" s="73" t="s">
        <v>19867</v>
      </c>
    </row>
    <row r="1588" spans="1:8" ht="51" x14ac:dyDescent="0.2">
      <c r="A1588" s="74" t="s">
        <v>19868</v>
      </c>
      <c r="B1588" s="74" t="s">
        <v>7643</v>
      </c>
      <c r="C1588" s="74" t="s">
        <v>19869</v>
      </c>
      <c r="D1588" s="74"/>
      <c r="E1588" s="74"/>
      <c r="F1588" s="74"/>
      <c r="G1588" s="74"/>
      <c r="H1588" s="73" t="s">
        <v>19870</v>
      </c>
    </row>
    <row r="1589" spans="1:8" ht="114.75" x14ac:dyDescent="0.2">
      <c r="A1589" s="75" t="s">
        <v>19871</v>
      </c>
      <c r="B1589" s="75" t="s">
        <v>7646</v>
      </c>
      <c r="C1589" s="75" t="s">
        <v>19872</v>
      </c>
      <c r="D1589" s="75"/>
      <c r="E1589" s="75"/>
      <c r="F1589" s="75"/>
      <c r="G1589" s="75"/>
      <c r="H1589" s="75" t="s">
        <v>19873</v>
      </c>
    </row>
    <row r="1590" spans="1:8" ht="89.25" x14ac:dyDescent="0.2">
      <c r="A1590" s="74" t="s">
        <v>19874</v>
      </c>
      <c r="B1590" s="74" t="s">
        <v>7649</v>
      </c>
      <c r="C1590" s="74" t="s">
        <v>19875</v>
      </c>
      <c r="D1590" s="74"/>
      <c r="E1590" s="74"/>
      <c r="F1590" s="74"/>
      <c r="G1590" s="74"/>
      <c r="H1590" s="74" t="s">
        <v>19876</v>
      </c>
    </row>
    <row r="1591" spans="1:8" ht="89.25" x14ac:dyDescent="0.2">
      <c r="A1591" s="74" t="s">
        <v>19877</v>
      </c>
      <c r="B1591" s="74" t="s">
        <v>7652</v>
      </c>
      <c r="C1591" s="74" t="s">
        <v>19878</v>
      </c>
      <c r="D1591" s="74"/>
      <c r="E1591" s="74"/>
      <c r="F1591" s="74"/>
      <c r="G1591" s="74"/>
      <c r="H1591" s="74" t="s">
        <v>19879</v>
      </c>
    </row>
    <row r="1592" spans="1:8" ht="89.25" x14ac:dyDescent="0.2">
      <c r="A1592" s="75" t="s">
        <v>19880</v>
      </c>
      <c r="B1592" s="75" t="s">
        <v>7655</v>
      </c>
      <c r="C1592" s="75" t="s">
        <v>19881</v>
      </c>
      <c r="D1592" s="75"/>
      <c r="E1592" s="75"/>
      <c r="F1592" s="75"/>
      <c r="G1592" s="75"/>
      <c r="H1592" s="75" t="s">
        <v>19882</v>
      </c>
    </row>
    <row r="1593" spans="1:8" ht="76.5" x14ac:dyDescent="0.2">
      <c r="A1593" s="74" t="s">
        <v>19883</v>
      </c>
      <c r="B1593" s="74" t="s">
        <v>7658</v>
      </c>
      <c r="C1593" s="74" t="s">
        <v>19884</v>
      </c>
      <c r="D1593" s="74"/>
      <c r="E1593" s="74"/>
      <c r="F1593" s="74"/>
      <c r="G1593" s="74"/>
      <c r="H1593" s="74" t="s">
        <v>19885</v>
      </c>
    </row>
    <row r="1594" spans="1:8" ht="89.25" x14ac:dyDescent="0.2">
      <c r="A1594" s="74" t="s">
        <v>19886</v>
      </c>
      <c r="B1594" s="74" t="s">
        <v>7661</v>
      </c>
      <c r="C1594" s="74" t="s">
        <v>19887</v>
      </c>
      <c r="D1594" s="74"/>
      <c r="E1594" s="74"/>
      <c r="F1594" s="74"/>
      <c r="G1594" s="74"/>
      <c r="H1594" s="74" t="s">
        <v>19888</v>
      </c>
    </row>
    <row r="1595" spans="1:8" ht="89.25" x14ac:dyDescent="0.2">
      <c r="A1595" s="75" t="s">
        <v>19889</v>
      </c>
      <c r="B1595" s="75" t="s">
        <v>7664</v>
      </c>
      <c r="C1595" s="75" t="s">
        <v>19890</v>
      </c>
      <c r="D1595" s="75"/>
      <c r="E1595" s="75"/>
      <c r="F1595" s="75"/>
      <c r="G1595" s="75"/>
      <c r="H1595" s="75" t="s">
        <v>19891</v>
      </c>
    </row>
    <row r="1596" spans="1:8" ht="89.25" x14ac:dyDescent="0.2">
      <c r="A1596" s="74" t="s">
        <v>19892</v>
      </c>
      <c r="B1596" s="74" t="s">
        <v>7667</v>
      </c>
      <c r="C1596" s="74" t="s">
        <v>19893</v>
      </c>
      <c r="D1596" s="74"/>
      <c r="E1596" s="74"/>
      <c r="F1596" s="74"/>
      <c r="G1596" s="74"/>
      <c r="H1596" s="74" t="s">
        <v>19894</v>
      </c>
    </row>
    <row r="1597" spans="1:8" ht="102" x14ac:dyDescent="0.2">
      <c r="A1597" s="74" t="s">
        <v>19895</v>
      </c>
      <c r="B1597" s="74" t="s">
        <v>7670</v>
      </c>
      <c r="C1597" s="74" t="s">
        <v>19896</v>
      </c>
      <c r="D1597" s="74"/>
      <c r="E1597" s="74"/>
      <c r="F1597" s="74"/>
      <c r="G1597" s="74"/>
      <c r="H1597" s="74" t="s">
        <v>19897</v>
      </c>
    </row>
    <row r="1598" spans="1:8" ht="76.5" x14ac:dyDescent="0.2">
      <c r="A1598" s="75" t="s">
        <v>19898</v>
      </c>
      <c r="B1598" s="75" t="s">
        <v>7673</v>
      </c>
      <c r="C1598" s="75" t="s">
        <v>19899</v>
      </c>
      <c r="D1598" s="75"/>
      <c r="E1598" s="75"/>
      <c r="F1598" s="75"/>
      <c r="G1598" s="75"/>
      <c r="H1598" s="75" t="s">
        <v>19900</v>
      </c>
    </row>
    <row r="1599" spans="1:8" ht="63.75" x14ac:dyDescent="0.2">
      <c r="A1599" s="74" t="s">
        <v>19901</v>
      </c>
      <c r="B1599" s="74" t="s">
        <v>7676</v>
      </c>
      <c r="C1599" s="74" t="s">
        <v>19902</v>
      </c>
      <c r="D1599" s="74"/>
      <c r="E1599" s="74"/>
      <c r="F1599" s="74"/>
      <c r="G1599" s="74"/>
      <c r="H1599" s="73" t="s">
        <v>19903</v>
      </c>
    </row>
    <row r="1600" spans="1:8" ht="89.25" x14ac:dyDescent="0.2">
      <c r="A1600" s="74" t="s">
        <v>19904</v>
      </c>
      <c r="B1600" s="74" t="s">
        <v>7679</v>
      </c>
      <c r="C1600" s="74" t="s">
        <v>19905</v>
      </c>
      <c r="D1600" s="74"/>
      <c r="E1600" s="74"/>
      <c r="F1600" s="74"/>
      <c r="G1600" s="74"/>
      <c r="H1600" s="74" t="s">
        <v>19906</v>
      </c>
    </row>
    <row r="1601" spans="1:8" ht="89.25" x14ac:dyDescent="0.2">
      <c r="A1601" s="75" t="s">
        <v>19907</v>
      </c>
      <c r="B1601" s="75" t="s">
        <v>7682</v>
      </c>
      <c r="C1601" s="75" t="s">
        <v>19908</v>
      </c>
      <c r="D1601" s="75"/>
      <c r="E1601" s="75"/>
      <c r="F1601" s="75"/>
      <c r="G1601" s="75"/>
      <c r="H1601" s="75" t="s">
        <v>19909</v>
      </c>
    </row>
    <row r="1602" spans="1:8" ht="51" x14ac:dyDescent="0.2">
      <c r="A1602" s="74" t="s">
        <v>19910</v>
      </c>
      <c r="B1602" s="74" t="s">
        <v>7685</v>
      </c>
      <c r="C1602" s="74" t="s">
        <v>19911</v>
      </c>
      <c r="D1602" s="74"/>
      <c r="E1602" s="74"/>
      <c r="F1602" s="74"/>
      <c r="G1602" s="74"/>
      <c r="H1602" s="73" t="s">
        <v>19912</v>
      </c>
    </row>
    <row r="1603" spans="1:8" ht="51" x14ac:dyDescent="0.2">
      <c r="A1603" s="74" t="s">
        <v>19913</v>
      </c>
      <c r="B1603" s="74" t="s">
        <v>7688</v>
      </c>
      <c r="C1603" s="74" t="s">
        <v>19914</v>
      </c>
      <c r="D1603" s="74"/>
      <c r="E1603" s="74"/>
      <c r="F1603" s="74"/>
      <c r="G1603" s="74"/>
      <c r="H1603" s="73" t="s">
        <v>19915</v>
      </c>
    </row>
    <row r="1604" spans="1:8" ht="51" x14ac:dyDescent="0.2">
      <c r="A1604" s="75" t="s">
        <v>19916</v>
      </c>
      <c r="B1604" s="75" t="s">
        <v>7691</v>
      </c>
      <c r="C1604" s="75" t="s">
        <v>19917</v>
      </c>
      <c r="D1604" s="75"/>
      <c r="E1604" s="75"/>
      <c r="F1604" s="75"/>
      <c r="G1604" s="75"/>
      <c r="H1604" s="76" t="s">
        <v>19918</v>
      </c>
    </row>
    <row r="1605" spans="1:8" ht="51" x14ac:dyDescent="0.2">
      <c r="A1605" s="74" t="s">
        <v>19919</v>
      </c>
      <c r="B1605" s="74" t="s">
        <v>7694</v>
      </c>
      <c r="C1605" s="74" t="s">
        <v>19920</v>
      </c>
      <c r="D1605" s="74"/>
      <c r="E1605" s="74"/>
      <c r="F1605" s="74"/>
      <c r="G1605" s="74"/>
      <c r="H1605" s="74" t="s">
        <v>19921</v>
      </c>
    </row>
    <row r="1606" spans="1:8" ht="51" x14ac:dyDescent="0.2">
      <c r="A1606" s="74" t="s">
        <v>19922</v>
      </c>
      <c r="B1606" s="74" t="s">
        <v>7697</v>
      </c>
      <c r="C1606" s="74" t="s">
        <v>19923</v>
      </c>
      <c r="D1606" s="74"/>
      <c r="E1606" s="74"/>
      <c r="F1606" s="74"/>
      <c r="G1606" s="74"/>
      <c r="H1606" s="74" t="s">
        <v>19924</v>
      </c>
    </row>
    <row r="1607" spans="1:8" ht="38.25" x14ac:dyDescent="0.2">
      <c r="A1607" s="75" t="s">
        <v>19925</v>
      </c>
      <c r="B1607" s="75" t="s">
        <v>7700</v>
      </c>
      <c r="C1607" s="75" t="s">
        <v>19926</v>
      </c>
      <c r="D1607" s="75"/>
      <c r="E1607" s="75"/>
      <c r="F1607" s="75"/>
      <c r="G1607" s="75"/>
      <c r="H1607" s="76" t="s">
        <v>19927</v>
      </c>
    </row>
    <row r="1608" spans="1:8" ht="38.25" x14ac:dyDescent="0.2">
      <c r="A1608" s="74" t="s">
        <v>19928</v>
      </c>
      <c r="B1608" s="74" t="s">
        <v>7703</v>
      </c>
      <c r="C1608" s="74" t="s">
        <v>19929</v>
      </c>
      <c r="D1608" s="74"/>
      <c r="E1608" s="74"/>
      <c r="F1608" s="74"/>
      <c r="G1608" s="74"/>
      <c r="H1608" s="73" t="s">
        <v>19930</v>
      </c>
    </row>
    <row r="1609" spans="1:8" ht="127.5" x14ac:dyDescent="0.2">
      <c r="A1609" s="75" t="s">
        <v>19931</v>
      </c>
      <c r="B1609" s="75" t="s">
        <v>7705</v>
      </c>
      <c r="C1609" s="75" t="s">
        <v>19932</v>
      </c>
      <c r="D1609" s="75"/>
      <c r="E1609" s="75"/>
      <c r="F1609" s="75"/>
      <c r="G1609" s="75"/>
      <c r="H1609" s="75" t="s">
        <v>19933</v>
      </c>
    </row>
    <row r="1610" spans="1:8" ht="102" x14ac:dyDescent="0.2">
      <c r="A1610" s="74" t="s">
        <v>19934</v>
      </c>
      <c r="B1610" s="74" t="s">
        <v>7708</v>
      </c>
      <c r="C1610" s="74" t="s">
        <v>19935</v>
      </c>
      <c r="D1610" s="74"/>
      <c r="E1610" s="74"/>
      <c r="F1610" s="74"/>
      <c r="G1610" s="74"/>
      <c r="H1610" s="74" t="s">
        <v>19936</v>
      </c>
    </row>
    <row r="1611" spans="1:8" ht="102" x14ac:dyDescent="0.2">
      <c r="A1611" s="75" t="s">
        <v>19937</v>
      </c>
      <c r="B1611" s="75" t="s">
        <v>7711</v>
      </c>
      <c r="C1611" s="75" t="s">
        <v>19938</v>
      </c>
      <c r="D1611" s="75"/>
      <c r="E1611" s="75"/>
      <c r="F1611" s="75"/>
      <c r="G1611" s="75"/>
      <c r="H1611" s="75" t="s">
        <v>19939</v>
      </c>
    </row>
    <row r="1612" spans="1:8" ht="178.5" x14ac:dyDescent="0.2">
      <c r="A1612" s="22" t="s">
        <v>19940</v>
      </c>
      <c r="B1612" s="22" t="s">
        <v>7714</v>
      </c>
      <c r="C1612" s="22" t="s">
        <v>19941</v>
      </c>
      <c r="D1612" s="22"/>
      <c r="E1612" s="22"/>
      <c r="F1612" s="22"/>
      <c r="G1612" s="22"/>
      <c r="H1612" s="74" t="s">
        <v>19942</v>
      </c>
    </row>
    <row r="1613" spans="1:8" ht="63.75" x14ac:dyDescent="0.2">
      <c r="A1613" s="75" t="s">
        <v>19943</v>
      </c>
      <c r="B1613" s="75" t="s">
        <v>7717</v>
      </c>
      <c r="C1613" s="75" t="s">
        <v>19944</v>
      </c>
      <c r="D1613" s="75"/>
      <c r="E1613" s="75"/>
      <c r="F1613" s="75"/>
      <c r="G1613" s="75"/>
      <c r="H1613" s="76" t="s">
        <v>19945</v>
      </c>
    </row>
    <row r="1614" spans="1:8" ht="63.75" x14ac:dyDescent="0.2">
      <c r="A1614" s="74" t="s">
        <v>19946</v>
      </c>
      <c r="B1614" s="74" t="s">
        <v>7720</v>
      </c>
      <c r="C1614" s="74" t="s">
        <v>19947</v>
      </c>
      <c r="D1614" s="74"/>
      <c r="E1614" s="74"/>
      <c r="F1614" s="74"/>
      <c r="G1614" s="74"/>
      <c r="H1614" s="73" t="s">
        <v>19948</v>
      </c>
    </row>
    <row r="1615" spans="1:8" ht="191.25" x14ac:dyDescent="0.2">
      <c r="A1615" s="75" t="s">
        <v>19949</v>
      </c>
      <c r="B1615" s="75" t="s">
        <v>7723</v>
      </c>
      <c r="C1615" s="75" t="s">
        <v>19950</v>
      </c>
      <c r="D1615" s="75"/>
      <c r="E1615" s="75"/>
      <c r="F1615" s="75"/>
      <c r="G1615" s="75"/>
      <c r="H1615" s="75" t="s">
        <v>19951</v>
      </c>
    </row>
    <row r="1616" spans="1:8" ht="178.5" x14ac:dyDescent="0.2">
      <c r="A1616" s="49" t="s">
        <v>19952</v>
      </c>
      <c r="B1616" s="49" t="s">
        <v>7726</v>
      </c>
      <c r="C1616" s="49" t="s">
        <v>19953</v>
      </c>
      <c r="D1616" s="49"/>
      <c r="E1616" s="49"/>
      <c r="F1616" s="49"/>
      <c r="G1616" s="49"/>
      <c r="H1616" s="75" t="s">
        <v>19954</v>
      </c>
    </row>
    <row r="1617" spans="1:8" ht="178.5" x14ac:dyDescent="0.2">
      <c r="A1617" s="49" t="s">
        <v>19955</v>
      </c>
      <c r="B1617" s="49" t="s">
        <v>7729</v>
      </c>
      <c r="C1617" s="49" t="s">
        <v>19956</v>
      </c>
      <c r="D1617" s="49"/>
      <c r="E1617" s="49"/>
      <c r="F1617" s="49"/>
      <c r="G1617" s="49"/>
      <c r="H1617" s="75" t="s">
        <v>19957</v>
      </c>
    </row>
    <row r="1618" spans="1:8" ht="178.5" x14ac:dyDescent="0.2">
      <c r="A1618" s="49" t="s">
        <v>19958</v>
      </c>
      <c r="B1618" s="49" t="s">
        <v>7732</v>
      </c>
      <c r="C1618" s="49" t="s">
        <v>19959</v>
      </c>
      <c r="D1618" s="49"/>
      <c r="E1618" s="49"/>
      <c r="F1618" s="49"/>
      <c r="G1618" s="49"/>
      <c r="H1618" s="75" t="s">
        <v>19960</v>
      </c>
    </row>
    <row r="1619" spans="1:8" ht="153" x14ac:dyDescent="0.2">
      <c r="A1619" s="22" t="s">
        <v>19961</v>
      </c>
      <c r="B1619" s="22" t="s">
        <v>7735</v>
      </c>
      <c r="C1619" s="22" t="s">
        <v>19962</v>
      </c>
      <c r="D1619" s="22"/>
      <c r="E1619" s="22"/>
      <c r="F1619" s="22"/>
      <c r="G1619" s="22"/>
      <c r="H1619" s="73" t="s">
        <v>19963</v>
      </c>
    </row>
    <row r="1620" spans="1:8" ht="89.25" x14ac:dyDescent="0.2">
      <c r="A1620" s="75" t="s">
        <v>19964</v>
      </c>
      <c r="B1620" s="75" t="s">
        <v>7738</v>
      </c>
      <c r="C1620" s="75" t="s">
        <v>19965</v>
      </c>
      <c r="D1620" s="75"/>
      <c r="E1620" s="75"/>
      <c r="F1620" s="75"/>
      <c r="G1620" s="75"/>
      <c r="H1620" s="75" t="s">
        <v>19966</v>
      </c>
    </row>
    <row r="1621" spans="1:8" ht="127.5" x14ac:dyDescent="0.2">
      <c r="A1621" s="74" t="s">
        <v>19967</v>
      </c>
      <c r="B1621" s="74" t="s">
        <v>7741</v>
      </c>
      <c r="C1621" s="74" t="s">
        <v>19968</v>
      </c>
      <c r="D1621" s="74"/>
      <c r="E1621" s="74"/>
      <c r="F1621" s="74"/>
      <c r="G1621" s="74"/>
      <c r="H1621" s="74" t="s">
        <v>19969</v>
      </c>
    </row>
    <row r="1622" spans="1:8" ht="114.75" x14ac:dyDescent="0.2">
      <c r="A1622" s="75" t="s">
        <v>19970</v>
      </c>
      <c r="B1622" s="75" t="s">
        <v>7744</v>
      </c>
      <c r="C1622" s="75" t="s">
        <v>19971</v>
      </c>
      <c r="D1622" s="75"/>
      <c r="E1622" s="75"/>
      <c r="F1622" s="75"/>
      <c r="G1622" s="75"/>
      <c r="H1622" s="75" t="s">
        <v>19972</v>
      </c>
    </row>
    <row r="1623" spans="1:8" ht="38.25" x14ac:dyDescent="0.2">
      <c r="A1623" s="74" t="s">
        <v>19973</v>
      </c>
      <c r="B1623" s="74" t="s">
        <v>7749</v>
      </c>
      <c r="C1623" s="74" t="s">
        <v>19974</v>
      </c>
      <c r="D1623" s="74"/>
      <c r="E1623" s="74"/>
      <c r="F1623" s="74"/>
      <c r="G1623" s="74"/>
      <c r="H1623" s="14" t="s">
        <v>19975</v>
      </c>
    </row>
    <row r="1624" spans="1:8" ht="25.5" x14ac:dyDescent="0.2">
      <c r="A1624" s="74" t="s">
        <v>19976</v>
      </c>
      <c r="B1624" s="74" t="s">
        <v>7752</v>
      </c>
      <c r="C1624" s="74" t="s">
        <v>19977</v>
      </c>
      <c r="D1624" s="74"/>
      <c r="E1624" s="74"/>
      <c r="F1624" s="74"/>
      <c r="G1624" s="74"/>
      <c r="H1624" s="14" t="s">
        <v>19978</v>
      </c>
    </row>
    <row r="1625" spans="1:8" ht="25.5" x14ac:dyDescent="0.2">
      <c r="A1625" s="75" t="s">
        <v>19979</v>
      </c>
      <c r="B1625" s="75" t="s">
        <v>7755</v>
      </c>
      <c r="C1625" s="75" t="s">
        <v>19980</v>
      </c>
      <c r="D1625" s="75"/>
      <c r="E1625" s="75"/>
      <c r="F1625" s="75"/>
      <c r="G1625" s="75"/>
      <c r="H1625" s="46" t="s">
        <v>19981</v>
      </c>
    </row>
    <row r="1626" spans="1:8" ht="63.75" x14ac:dyDescent="0.2">
      <c r="A1626" s="74" t="s">
        <v>19982</v>
      </c>
      <c r="B1626" s="74" t="s">
        <v>7758</v>
      </c>
      <c r="C1626" s="74" t="s">
        <v>19983</v>
      </c>
      <c r="D1626" s="74"/>
      <c r="E1626" s="74"/>
      <c r="F1626" s="74"/>
      <c r="G1626" s="74"/>
      <c r="H1626" s="73" t="s">
        <v>19984</v>
      </c>
    </row>
    <row r="1627" spans="1:8" ht="51" x14ac:dyDescent="0.2">
      <c r="A1627" s="74" t="s">
        <v>19985</v>
      </c>
      <c r="B1627" s="74" t="s">
        <v>7761</v>
      </c>
      <c r="C1627" s="74" t="s">
        <v>19986</v>
      </c>
      <c r="D1627" s="74"/>
      <c r="E1627" s="74"/>
      <c r="F1627" s="74"/>
      <c r="G1627" s="74"/>
      <c r="H1627" s="74" t="s">
        <v>19987</v>
      </c>
    </row>
    <row r="1628" spans="1:8" ht="51" x14ac:dyDescent="0.2">
      <c r="A1628" s="75" t="s">
        <v>19988</v>
      </c>
      <c r="B1628" s="75" t="s">
        <v>7764</v>
      </c>
      <c r="C1628" s="75" t="s">
        <v>19989</v>
      </c>
      <c r="D1628" s="75"/>
      <c r="E1628" s="75"/>
      <c r="F1628" s="75"/>
      <c r="G1628" s="75"/>
      <c r="H1628" s="76" t="s">
        <v>19990</v>
      </c>
    </row>
    <row r="1629" spans="1:8" ht="51" x14ac:dyDescent="0.2">
      <c r="A1629" s="74" t="s">
        <v>19991</v>
      </c>
      <c r="B1629" s="74" t="s">
        <v>7767</v>
      </c>
      <c r="C1629" s="74" t="s">
        <v>19992</v>
      </c>
      <c r="D1629" s="74"/>
      <c r="E1629" s="74"/>
      <c r="F1629" s="74"/>
      <c r="G1629" s="74"/>
      <c r="H1629" s="73" t="s">
        <v>19993</v>
      </c>
    </row>
    <row r="1630" spans="1:8" ht="38.25" x14ac:dyDescent="0.2">
      <c r="A1630" s="74" t="s">
        <v>19994</v>
      </c>
      <c r="B1630" s="74" t="s">
        <v>7769</v>
      </c>
      <c r="C1630" s="74" t="s">
        <v>19995</v>
      </c>
      <c r="D1630" s="74"/>
      <c r="E1630" s="74"/>
      <c r="F1630" s="74"/>
      <c r="G1630" s="74"/>
      <c r="H1630" s="14" t="s">
        <v>19996</v>
      </c>
    </row>
    <row r="1631" spans="1:8" ht="102" x14ac:dyDescent="0.2">
      <c r="A1631" s="75" t="s">
        <v>19997</v>
      </c>
      <c r="B1631" s="75" t="s">
        <v>7772</v>
      </c>
      <c r="C1631" s="75" t="s">
        <v>19998</v>
      </c>
      <c r="D1631" s="75"/>
      <c r="E1631" s="75"/>
      <c r="F1631" s="75"/>
      <c r="G1631" s="75"/>
      <c r="H1631" s="75" t="s">
        <v>19999</v>
      </c>
    </row>
    <row r="1632" spans="1:8" ht="51" x14ac:dyDescent="0.2">
      <c r="A1632" s="74" t="s">
        <v>20000</v>
      </c>
      <c r="B1632" s="74" t="s">
        <v>7775</v>
      </c>
      <c r="C1632" s="74" t="s">
        <v>20001</v>
      </c>
      <c r="D1632" s="74"/>
      <c r="E1632" s="74"/>
      <c r="F1632" s="74"/>
      <c r="G1632" s="74"/>
      <c r="H1632" s="74" t="s">
        <v>20002</v>
      </c>
    </row>
    <row r="1633" spans="1:8" ht="63.75" x14ac:dyDescent="0.2">
      <c r="A1633" s="74" t="s">
        <v>20003</v>
      </c>
      <c r="B1633" s="74" t="s">
        <v>7778</v>
      </c>
      <c r="C1633" s="74" t="s">
        <v>20004</v>
      </c>
      <c r="D1633" s="74"/>
      <c r="E1633" s="74"/>
      <c r="F1633" s="74"/>
      <c r="G1633" s="74"/>
      <c r="H1633" s="73" t="s">
        <v>20005</v>
      </c>
    </row>
    <row r="1634" spans="1:8" ht="76.5" x14ac:dyDescent="0.2">
      <c r="A1634" s="75" t="s">
        <v>20006</v>
      </c>
      <c r="B1634" s="75" t="s">
        <v>7781</v>
      </c>
      <c r="C1634" s="75" t="s">
        <v>20007</v>
      </c>
      <c r="D1634" s="75"/>
      <c r="E1634" s="75"/>
      <c r="F1634" s="75"/>
      <c r="G1634" s="75"/>
      <c r="H1634" s="76" t="s">
        <v>20008</v>
      </c>
    </row>
    <row r="1635" spans="1:8" ht="51" x14ac:dyDescent="0.2">
      <c r="A1635" s="74" t="s">
        <v>20009</v>
      </c>
      <c r="B1635" s="74" t="s">
        <v>7784</v>
      </c>
      <c r="C1635" s="74" t="s">
        <v>20010</v>
      </c>
      <c r="D1635" s="74"/>
      <c r="E1635" s="74"/>
      <c r="F1635" s="74"/>
      <c r="G1635" s="74"/>
      <c r="H1635" s="73" t="s">
        <v>20011</v>
      </c>
    </row>
    <row r="1636" spans="1:8" ht="114.75" x14ac:dyDescent="0.2">
      <c r="A1636" s="74" t="s">
        <v>20012</v>
      </c>
      <c r="B1636" s="74" t="s">
        <v>7787</v>
      </c>
      <c r="C1636" s="74" t="s">
        <v>20013</v>
      </c>
      <c r="D1636" s="74"/>
      <c r="E1636" s="74"/>
      <c r="F1636" s="74"/>
      <c r="G1636" s="74"/>
      <c r="H1636" s="74" t="s">
        <v>20014</v>
      </c>
    </row>
    <row r="1637" spans="1:8" ht="89.25" x14ac:dyDescent="0.2">
      <c r="A1637" s="75" t="s">
        <v>20015</v>
      </c>
      <c r="B1637" s="75" t="s">
        <v>7790</v>
      </c>
      <c r="C1637" s="75" t="s">
        <v>20016</v>
      </c>
      <c r="D1637" s="75"/>
      <c r="E1637" s="75"/>
      <c r="F1637" s="75"/>
      <c r="G1637" s="75"/>
      <c r="H1637" s="75" t="s">
        <v>20017</v>
      </c>
    </row>
    <row r="1638" spans="1:8" ht="89.25" x14ac:dyDescent="0.2">
      <c r="A1638" s="74" t="s">
        <v>20018</v>
      </c>
      <c r="B1638" s="74" t="s">
        <v>7793</v>
      </c>
      <c r="C1638" s="74" t="s">
        <v>20019</v>
      </c>
      <c r="D1638" s="74"/>
      <c r="E1638" s="74"/>
      <c r="F1638" s="74"/>
      <c r="G1638" s="74"/>
      <c r="H1638" s="74" t="s">
        <v>20020</v>
      </c>
    </row>
    <row r="1639" spans="1:8" ht="89.25" x14ac:dyDescent="0.2">
      <c r="A1639" s="75" t="s">
        <v>20021</v>
      </c>
      <c r="B1639" s="75" t="s">
        <v>7796</v>
      </c>
      <c r="C1639" s="75" t="s">
        <v>20022</v>
      </c>
      <c r="D1639" s="75"/>
      <c r="E1639" s="75"/>
      <c r="F1639" s="75"/>
      <c r="G1639" s="75"/>
      <c r="H1639" s="75" t="s">
        <v>20023</v>
      </c>
    </row>
    <row r="1640" spans="1:8" ht="76.5" x14ac:dyDescent="0.2">
      <c r="A1640" s="74" t="s">
        <v>20024</v>
      </c>
      <c r="B1640" s="74" t="s">
        <v>7799</v>
      </c>
      <c r="C1640" s="74" t="s">
        <v>20025</v>
      </c>
      <c r="D1640" s="74"/>
      <c r="E1640" s="74"/>
      <c r="F1640" s="74"/>
      <c r="G1640" s="74"/>
      <c r="H1640" s="74" t="s">
        <v>20026</v>
      </c>
    </row>
    <row r="1641" spans="1:8" ht="89.25" x14ac:dyDescent="0.2">
      <c r="A1641" s="74" t="s">
        <v>20027</v>
      </c>
      <c r="B1641" s="74" t="s">
        <v>7802</v>
      </c>
      <c r="C1641" s="74" t="s">
        <v>20028</v>
      </c>
      <c r="D1641" s="74"/>
      <c r="E1641" s="74"/>
      <c r="F1641" s="74"/>
      <c r="G1641" s="74"/>
      <c r="H1641" s="74" t="s">
        <v>20029</v>
      </c>
    </row>
    <row r="1642" spans="1:8" ht="89.25" x14ac:dyDescent="0.2">
      <c r="A1642" s="75" t="s">
        <v>20030</v>
      </c>
      <c r="B1642" s="75" t="s">
        <v>7805</v>
      </c>
      <c r="C1642" s="75" t="s">
        <v>20031</v>
      </c>
      <c r="D1642" s="75"/>
      <c r="E1642" s="75"/>
      <c r="F1642" s="75"/>
      <c r="G1642" s="75"/>
      <c r="H1642" s="75" t="s">
        <v>20032</v>
      </c>
    </row>
    <row r="1643" spans="1:8" ht="89.25" x14ac:dyDescent="0.2">
      <c r="A1643" s="74" t="s">
        <v>20033</v>
      </c>
      <c r="B1643" s="74" t="s">
        <v>7808</v>
      </c>
      <c r="C1643" s="74" t="s">
        <v>20034</v>
      </c>
      <c r="D1643" s="74"/>
      <c r="E1643" s="74"/>
      <c r="F1643" s="74"/>
      <c r="G1643" s="74"/>
      <c r="H1643" s="74" t="s">
        <v>20035</v>
      </c>
    </row>
    <row r="1644" spans="1:8" ht="76.5" x14ac:dyDescent="0.2">
      <c r="A1644" s="74" t="s">
        <v>20036</v>
      </c>
      <c r="B1644" s="74" t="s">
        <v>7811</v>
      </c>
      <c r="C1644" s="74" t="s">
        <v>20037</v>
      </c>
      <c r="D1644" s="74"/>
      <c r="E1644" s="74"/>
      <c r="F1644" s="74"/>
      <c r="G1644" s="74"/>
      <c r="H1644" s="74" t="s">
        <v>20038</v>
      </c>
    </row>
    <row r="1645" spans="1:8" ht="51" x14ac:dyDescent="0.2">
      <c r="A1645" s="75" t="s">
        <v>20039</v>
      </c>
      <c r="B1645" s="75" t="s">
        <v>7814</v>
      </c>
      <c r="C1645" s="75" t="s">
        <v>20040</v>
      </c>
      <c r="D1645" s="75"/>
      <c r="E1645" s="75"/>
      <c r="F1645" s="75"/>
      <c r="G1645" s="75"/>
      <c r="H1645" s="76" t="s">
        <v>20041</v>
      </c>
    </row>
    <row r="1646" spans="1:8" ht="51" x14ac:dyDescent="0.2">
      <c r="A1646" s="74" t="s">
        <v>20042</v>
      </c>
      <c r="B1646" s="74" t="s">
        <v>7816</v>
      </c>
      <c r="C1646" s="74" t="s">
        <v>20043</v>
      </c>
      <c r="D1646" s="74"/>
      <c r="E1646" s="74"/>
      <c r="F1646" s="74"/>
      <c r="G1646" s="74"/>
      <c r="H1646" s="73" t="s">
        <v>20044</v>
      </c>
    </row>
    <row r="1647" spans="1:8" ht="51" x14ac:dyDescent="0.2">
      <c r="A1647" s="74" t="s">
        <v>20045</v>
      </c>
      <c r="B1647" s="74" t="s">
        <v>7818</v>
      </c>
      <c r="C1647" s="74" t="s">
        <v>20046</v>
      </c>
      <c r="D1647" s="74"/>
      <c r="E1647" s="74"/>
      <c r="F1647" s="74"/>
      <c r="G1647" s="74"/>
      <c r="H1647" s="74" t="s">
        <v>20047</v>
      </c>
    </row>
    <row r="1648" spans="1:8" ht="51" x14ac:dyDescent="0.2">
      <c r="A1648" s="75" t="s">
        <v>20048</v>
      </c>
      <c r="B1648" s="75" t="s">
        <v>7821</v>
      </c>
      <c r="C1648" s="75" t="s">
        <v>20049</v>
      </c>
      <c r="D1648" s="75"/>
      <c r="E1648" s="75"/>
      <c r="F1648" s="75"/>
      <c r="G1648" s="75"/>
      <c r="H1648" s="75" t="s">
        <v>20050</v>
      </c>
    </row>
    <row r="1649" spans="1:8" ht="51" x14ac:dyDescent="0.2">
      <c r="A1649" s="74" t="s">
        <v>20051</v>
      </c>
      <c r="B1649" s="74" t="s">
        <v>7824</v>
      </c>
      <c r="C1649" s="74" t="s">
        <v>20052</v>
      </c>
      <c r="D1649" s="74"/>
      <c r="E1649" s="74"/>
      <c r="F1649" s="74"/>
      <c r="G1649" s="74"/>
      <c r="H1649" s="73" t="s">
        <v>20053</v>
      </c>
    </row>
    <row r="1650" spans="1:8" ht="51" x14ac:dyDescent="0.2">
      <c r="A1650" s="74" t="s">
        <v>20054</v>
      </c>
      <c r="B1650" s="74" t="s">
        <v>7827</v>
      </c>
      <c r="C1650" s="74" t="s">
        <v>20055</v>
      </c>
      <c r="D1650" s="74"/>
      <c r="E1650" s="74"/>
      <c r="F1650" s="74"/>
      <c r="G1650" s="74"/>
      <c r="H1650" s="73" t="s">
        <v>20056</v>
      </c>
    </row>
    <row r="1651" spans="1:8" ht="127.5" x14ac:dyDescent="0.2">
      <c r="A1651" s="75" t="s">
        <v>20057</v>
      </c>
      <c r="B1651" s="75" t="s">
        <v>7830</v>
      </c>
      <c r="C1651" s="75" t="s">
        <v>20058</v>
      </c>
      <c r="D1651" s="75"/>
      <c r="E1651" s="75"/>
      <c r="F1651" s="75"/>
      <c r="G1651" s="75"/>
      <c r="H1651" s="75" t="s">
        <v>20059</v>
      </c>
    </row>
    <row r="1652" spans="1:8" ht="102" x14ac:dyDescent="0.2">
      <c r="A1652" s="74" t="s">
        <v>20060</v>
      </c>
      <c r="B1652" s="74" t="s">
        <v>7833</v>
      </c>
      <c r="C1652" s="74" t="s">
        <v>20061</v>
      </c>
      <c r="D1652" s="74"/>
      <c r="E1652" s="74"/>
      <c r="F1652" s="74"/>
      <c r="G1652" s="74"/>
      <c r="H1652" s="74" t="s">
        <v>20062</v>
      </c>
    </row>
    <row r="1653" spans="1:8" ht="102" x14ac:dyDescent="0.2">
      <c r="A1653" s="75" t="s">
        <v>20063</v>
      </c>
      <c r="B1653" s="75" t="s">
        <v>7836</v>
      </c>
      <c r="C1653" s="75" t="s">
        <v>20064</v>
      </c>
      <c r="D1653" s="75"/>
      <c r="E1653" s="75"/>
      <c r="F1653" s="75"/>
      <c r="G1653" s="75"/>
      <c r="H1653" s="75" t="s">
        <v>20065</v>
      </c>
    </row>
    <row r="1654" spans="1:8" ht="178.5" x14ac:dyDescent="0.2">
      <c r="A1654" s="22" t="s">
        <v>20066</v>
      </c>
      <c r="B1654" s="22" t="s">
        <v>7839</v>
      </c>
      <c r="C1654" s="22" t="s">
        <v>20067</v>
      </c>
      <c r="D1654" s="22"/>
      <c r="E1654" s="22"/>
      <c r="F1654" s="22"/>
      <c r="G1654" s="22"/>
      <c r="H1654" s="74" t="s">
        <v>20068</v>
      </c>
    </row>
    <row r="1655" spans="1:8" ht="51" x14ac:dyDescent="0.2">
      <c r="A1655" s="75" t="s">
        <v>20069</v>
      </c>
      <c r="B1655" s="75" t="s">
        <v>7842</v>
      </c>
      <c r="C1655" s="75" t="s">
        <v>20070</v>
      </c>
      <c r="D1655" s="75"/>
      <c r="E1655" s="75"/>
      <c r="F1655" s="75"/>
      <c r="G1655" s="75"/>
      <c r="H1655" s="76" t="s">
        <v>20071</v>
      </c>
    </row>
    <row r="1656" spans="1:8" ht="178.5" x14ac:dyDescent="0.2">
      <c r="A1656" s="49" t="s">
        <v>20072</v>
      </c>
      <c r="B1656" s="49" t="s">
        <v>7845</v>
      </c>
      <c r="C1656" s="49" t="s">
        <v>20073</v>
      </c>
      <c r="D1656" s="49"/>
      <c r="E1656" s="49"/>
      <c r="F1656" s="49"/>
      <c r="G1656" s="49"/>
      <c r="H1656" s="75" t="s">
        <v>20074</v>
      </c>
    </row>
    <row r="1657" spans="1:8" ht="191.25" x14ac:dyDescent="0.2">
      <c r="A1657" s="49" t="s">
        <v>20075</v>
      </c>
      <c r="B1657" s="49" t="s">
        <v>7848</v>
      </c>
      <c r="C1657" s="49" t="s">
        <v>20076</v>
      </c>
      <c r="D1657" s="49"/>
      <c r="E1657" s="49"/>
      <c r="F1657" s="49"/>
      <c r="G1657" s="49"/>
      <c r="H1657" s="75" t="s">
        <v>20077</v>
      </c>
    </row>
    <row r="1658" spans="1:8" ht="114.75" x14ac:dyDescent="0.2">
      <c r="A1658" s="49" t="s">
        <v>20078</v>
      </c>
      <c r="B1658" s="49" t="s">
        <v>7851</v>
      </c>
      <c r="C1658" s="49" t="s">
        <v>20079</v>
      </c>
      <c r="D1658" s="49"/>
      <c r="E1658" s="49"/>
      <c r="F1658" s="49"/>
      <c r="G1658" s="49"/>
      <c r="H1658" s="76" t="s">
        <v>20080</v>
      </c>
    </row>
    <row r="1659" spans="1:8" ht="165.75" x14ac:dyDescent="0.2">
      <c r="A1659" s="22" t="s">
        <v>20081</v>
      </c>
      <c r="B1659" s="22" t="s">
        <v>7854</v>
      </c>
      <c r="C1659" s="22" t="s">
        <v>20082</v>
      </c>
      <c r="D1659" s="22"/>
      <c r="E1659" s="22"/>
      <c r="F1659" s="22"/>
      <c r="G1659" s="22"/>
      <c r="H1659" s="74" t="s">
        <v>20083</v>
      </c>
    </row>
    <row r="1660" spans="1:8" ht="89.25" x14ac:dyDescent="0.2">
      <c r="A1660" s="75" t="s">
        <v>20084</v>
      </c>
      <c r="B1660" s="75" t="s">
        <v>7859</v>
      </c>
      <c r="C1660" s="75" t="s">
        <v>20085</v>
      </c>
      <c r="D1660" s="75"/>
      <c r="E1660" s="75"/>
      <c r="F1660" s="75"/>
      <c r="G1660" s="75"/>
      <c r="H1660" s="75" t="s">
        <v>20086</v>
      </c>
    </row>
    <row r="1661" spans="1:8" ht="63.75" x14ac:dyDescent="0.2">
      <c r="A1661" s="74" t="s">
        <v>20087</v>
      </c>
      <c r="B1661" s="74" t="s">
        <v>7862</v>
      </c>
      <c r="C1661" s="74" t="s">
        <v>20088</v>
      </c>
      <c r="D1661" s="74"/>
      <c r="E1661" s="74"/>
      <c r="F1661" s="74"/>
      <c r="G1661" s="74"/>
      <c r="H1661" s="74" t="s">
        <v>20089</v>
      </c>
    </row>
    <row r="1662" spans="1:8" ht="89.25" x14ac:dyDescent="0.2">
      <c r="A1662" s="74" t="s">
        <v>20090</v>
      </c>
      <c r="B1662" s="74" t="s">
        <v>7865</v>
      </c>
      <c r="C1662" s="74" t="s">
        <v>20091</v>
      </c>
      <c r="D1662" s="74"/>
      <c r="E1662" s="74"/>
      <c r="F1662" s="74"/>
      <c r="G1662" s="74"/>
      <c r="H1662" s="74" t="s">
        <v>20092</v>
      </c>
    </row>
    <row r="1663" spans="1:8" ht="63.75" x14ac:dyDescent="0.2">
      <c r="A1663" s="75" t="s">
        <v>20093</v>
      </c>
      <c r="B1663" s="75" t="s">
        <v>7868</v>
      </c>
      <c r="C1663" s="75" t="s">
        <v>20094</v>
      </c>
      <c r="D1663" s="75"/>
      <c r="E1663" s="75"/>
      <c r="F1663" s="75"/>
      <c r="G1663" s="75"/>
      <c r="H1663" s="76" t="s">
        <v>20095</v>
      </c>
    </row>
    <row r="1664" spans="1:8" ht="76.5" x14ac:dyDescent="0.2">
      <c r="A1664" s="74" t="s">
        <v>20096</v>
      </c>
      <c r="B1664" s="74" t="s">
        <v>7871</v>
      </c>
      <c r="C1664" s="74" t="s">
        <v>20097</v>
      </c>
      <c r="D1664" s="74"/>
      <c r="E1664" s="74"/>
      <c r="F1664" s="74"/>
      <c r="G1664" s="74"/>
      <c r="H1664" s="73" t="s">
        <v>20098</v>
      </c>
    </row>
    <row r="1665" spans="1:8" ht="63.75" x14ac:dyDescent="0.2">
      <c r="A1665" s="75" t="s">
        <v>20099</v>
      </c>
      <c r="B1665" s="75" t="s">
        <v>7874</v>
      </c>
      <c r="C1665" s="75" t="s">
        <v>20100</v>
      </c>
      <c r="D1665" s="75"/>
      <c r="E1665" s="75"/>
      <c r="F1665" s="75"/>
      <c r="G1665" s="75"/>
      <c r="H1665" s="76" t="s">
        <v>20101</v>
      </c>
    </row>
    <row r="1666" spans="1:8" ht="140.25" x14ac:dyDescent="0.2">
      <c r="A1666" s="49" t="s">
        <v>20102</v>
      </c>
      <c r="B1666" s="49" t="s">
        <v>7877</v>
      </c>
      <c r="C1666" s="49" t="s">
        <v>20103</v>
      </c>
      <c r="D1666" s="49"/>
      <c r="E1666" s="49"/>
      <c r="F1666" s="49"/>
      <c r="G1666" s="49"/>
      <c r="H1666" s="76" t="s">
        <v>20104</v>
      </c>
    </row>
    <row r="1667" spans="1:8" ht="229.5" x14ac:dyDescent="0.2">
      <c r="A1667" s="49" t="s">
        <v>20105</v>
      </c>
      <c r="B1667" s="49" t="s">
        <v>7880</v>
      </c>
      <c r="C1667" s="49" t="s">
        <v>20106</v>
      </c>
      <c r="D1667" s="49"/>
      <c r="E1667" s="49"/>
      <c r="F1667" s="49"/>
      <c r="G1667" s="49"/>
      <c r="H1667" s="75" t="s">
        <v>20107</v>
      </c>
    </row>
    <row r="1668" spans="1:8" ht="25.5" x14ac:dyDescent="0.2">
      <c r="A1668" s="74" t="s">
        <v>20108</v>
      </c>
      <c r="B1668" s="74" t="s">
        <v>7913</v>
      </c>
      <c r="C1668" s="74" t="s">
        <v>20109</v>
      </c>
      <c r="D1668" s="74"/>
      <c r="E1668" s="74"/>
      <c r="F1668" s="74"/>
      <c r="G1668" s="74"/>
      <c r="H1668" s="14" t="s">
        <v>20110</v>
      </c>
    </row>
    <row r="1669" spans="1:8" ht="38.25" x14ac:dyDescent="0.2">
      <c r="A1669" s="74" t="s">
        <v>20111</v>
      </c>
      <c r="B1669" s="74" t="s">
        <v>7916</v>
      </c>
      <c r="C1669" s="74" t="s">
        <v>20112</v>
      </c>
      <c r="D1669" s="74"/>
      <c r="E1669" s="74"/>
      <c r="F1669" s="74"/>
      <c r="G1669" s="74"/>
      <c r="H1669" s="73" t="s">
        <v>20113</v>
      </c>
    </row>
    <row r="1670" spans="1:8" ht="51" x14ac:dyDescent="0.2">
      <c r="A1670" s="75" t="s">
        <v>20114</v>
      </c>
      <c r="B1670" s="75" t="s">
        <v>7919</v>
      </c>
      <c r="C1670" s="75" t="s">
        <v>20115</v>
      </c>
      <c r="D1670" s="75"/>
      <c r="E1670" s="75"/>
      <c r="F1670" s="75"/>
      <c r="G1670" s="75"/>
      <c r="H1670" s="76" t="s">
        <v>20116</v>
      </c>
    </row>
    <row r="1671" spans="1:8" ht="38.25" x14ac:dyDescent="0.2">
      <c r="A1671" s="74" t="s">
        <v>20117</v>
      </c>
      <c r="B1671" s="74" t="s">
        <v>7924</v>
      </c>
      <c r="C1671" s="74" t="s">
        <v>20118</v>
      </c>
      <c r="D1671" s="74"/>
      <c r="E1671" s="74"/>
      <c r="F1671" s="74"/>
      <c r="G1671" s="74"/>
      <c r="H1671" s="14" t="s">
        <v>20119</v>
      </c>
    </row>
    <row r="1672" spans="1:8" ht="25.5" x14ac:dyDescent="0.2">
      <c r="A1672" s="74" t="s">
        <v>20120</v>
      </c>
      <c r="B1672" s="74" t="s">
        <v>7927</v>
      </c>
      <c r="C1672" s="74" t="s">
        <v>20121</v>
      </c>
      <c r="D1672" s="74"/>
      <c r="E1672" s="74"/>
      <c r="F1672" s="74"/>
      <c r="G1672" s="74"/>
      <c r="H1672" s="73" t="s">
        <v>20122</v>
      </c>
    </row>
    <row r="1673" spans="1:8" ht="63.75" x14ac:dyDescent="0.2">
      <c r="A1673" s="75" t="s">
        <v>20123</v>
      </c>
      <c r="B1673" s="75" t="s">
        <v>7930</v>
      </c>
      <c r="C1673" s="75" t="s">
        <v>20124</v>
      </c>
      <c r="D1673" s="75"/>
      <c r="E1673" s="75"/>
      <c r="F1673" s="75"/>
      <c r="G1673" s="75"/>
      <c r="H1673" s="76" t="s">
        <v>20125</v>
      </c>
    </row>
    <row r="1674" spans="1:8" ht="89.25" x14ac:dyDescent="0.2">
      <c r="A1674" s="74" t="s">
        <v>20126</v>
      </c>
      <c r="B1674" s="74" t="s">
        <v>7935</v>
      </c>
      <c r="C1674" s="74" t="s">
        <v>20127</v>
      </c>
      <c r="D1674" s="74"/>
      <c r="E1674" s="74"/>
      <c r="F1674" s="74"/>
      <c r="G1674" s="74"/>
      <c r="H1674" s="73" t="s">
        <v>20128</v>
      </c>
    </row>
    <row r="1675" spans="1:8" ht="89.25" x14ac:dyDescent="0.2">
      <c r="A1675" s="74" t="s">
        <v>20129</v>
      </c>
      <c r="B1675" s="74" t="s">
        <v>7938</v>
      </c>
      <c r="C1675" s="74" t="s">
        <v>20130</v>
      </c>
      <c r="D1675" s="74"/>
      <c r="E1675" s="74"/>
      <c r="F1675" s="74"/>
      <c r="G1675" s="74"/>
      <c r="H1675" s="74" t="s">
        <v>20131</v>
      </c>
    </row>
    <row r="1676" spans="1:8" ht="89.25" x14ac:dyDescent="0.2">
      <c r="A1676" s="75" t="s">
        <v>20132</v>
      </c>
      <c r="B1676" s="75" t="s">
        <v>7941</v>
      </c>
      <c r="C1676" s="75" t="s">
        <v>20133</v>
      </c>
      <c r="D1676" s="75"/>
      <c r="E1676" s="75"/>
      <c r="F1676" s="75"/>
      <c r="G1676" s="75"/>
      <c r="H1676" s="75" t="s">
        <v>20134</v>
      </c>
    </row>
    <row r="1677" spans="1:8" ht="63.75" x14ac:dyDescent="0.2">
      <c r="A1677" s="74" t="s">
        <v>20135</v>
      </c>
      <c r="B1677" s="74" t="s">
        <v>7944</v>
      </c>
      <c r="C1677" s="74" t="s">
        <v>20136</v>
      </c>
      <c r="D1677" s="74"/>
      <c r="E1677" s="74"/>
      <c r="F1677" s="74"/>
      <c r="G1677" s="74"/>
      <c r="H1677" s="73" t="s">
        <v>20137</v>
      </c>
    </row>
    <row r="1678" spans="1:8" ht="89.25" x14ac:dyDescent="0.2">
      <c r="A1678" s="74" t="s">
        <v>20138</v>
      </c>
      <c r="B1678" s="74" t="s">
        <v>7947</v>
      </c>
      <c r="C1678" s="74" t="s">
        <v>20139</v>
      </c>
      <c r="D1678" s="74"/>
      <c r="E1678" s="74"/>
      <c r="F1678" s="74"/>
      <c r="G1678" s="74"/>
      <c r="H1678" s="73" t="s">
        <v>20140</v>
      </c>
    </row>
    <row r="1679" spans="1:8" ht="76.5" x14ac:dyDescent="0.2">
      <c r="A1679" s="75" t="s">
        <v>20141</v>
      </c>
      <c r="B1679" s="75" t="s">
        <v>7950</v>
      </c>
      <c r="C1679" s="75" t="s">
        <v>20142</v>
      </c>
      <c r="D1679" s="75"/>
      <c r="E1679" s="75"/>
      <c r="F1679" s="75"/>
      <c r="G1679" s="75"/>
      <c r="H1679" s="76" t="s">
        <v>20143</v>
      </c>
    </row>
    <row r="1680" spans="1:8" ht="114.75" x14ac:dyDescent="0.2">
      <c r="A1680" s="75" t="s">
        <v>20144</v>
      </c>
      <c r="B1680" s="75" t="s">
        <v>7953</v>
      </c>
      <c r="C1680" s="75" t="s">
        <v>20145</v>
      </c>
      <c r="D1680" s="75"/>
      <c r="E1680" s="75"/>
      <c r="F1680" s="75"/>
      <c r="G1680" s="75"/>
      <c r="H1680" s="75" t="s">
        <v>20146</v>
      </c>
    </row>
    <row r="1681" spans="1:8" ht="178.5" x14ac:dyDescent="0.2">
      <c r="A1681" s="22" t="s">
        <v>20147</v>
      </c>
      <c r="B1681" s="22" t="s">
        <v>7956</v>
      </c>
      <c r="C1681" s="22" t="s">
        <v>20148</v>
      </c>
      <c r="D1681" s="22"/>
      <c r="E1681" s="22"/>
      <c r="F1681" s="22"/>
      <c r="G1681" s="22"/>
      <c r="H1681" s="74" t="s">
        <v>20149</v>
      </c>
    </row>
    <row r="1682" spans="1:8" ht="63.75" x14ac:dyDescent="0.2">
      <c r="A1682" s="75" t="s">
        <v>20150</v>
      </c>
      <c r="B1682" s="75" t="s">
        <v>7961</v>
      </c>
      <c r="C1682" s="75" t="s">
        <v>20151</v>
      </c>
      <c r="D1682" s="75"/>
      <c r="E1682" s="75"/>
      <c r="F1682" s="75"/>
      <c r="G1682" s="75"/>
      <c r="H1682" s="76" t="s">
        <v>20152</v>
      </c>
    </row>
    <row r="1683" spans="1:8" ht="63.75" x14ac:dyDescent="0.2">
      <c r="A1683" s="74" t="s">
        <v>20153</v>
      </c>
      <c r="B1683" s="74" t="s">
        <v>7963</v>
      </c>
      <c r="C1683" s="74" t="s">
        <v>20154</v>
      </c>
      <c r="D1683" s="74"/>
      <c r="E1683" s="74"/>
      <c r="F1683" s="74"/>
      <c r="G1683" s="74"/>
      <c r="H1683" s="73" t="s">
        <v>20155</v>
      </c>
    </row>
    <row r="1684" spans="1:8" ht="76.5" x14ac:dyDescent="0.2">
      <c r="A1684" s="74" t="s">
        <v>20156</v>
      </c>
      <c r="B1684" s="74" t="s">
        <v>7966</v>
      </c>
      <c r="C1684" s="74" t="s">
        <v>20157</v>
      </c>
      <c r="D1684" s="74"/>
      <c r="E1684" s="74"/>
      <c r="F1684" s="74"/>
      <c r="G1684" s="74"/>
      <c r="H1684" s="74" t="s">
        <v>20158</v>
      </c>
    </row>
    <row r="1685" spans="1:8" ht="63.75" x14ac:dyDescent="0.2">
      <c r="A1685" s="75" t="s">
        <v>20159</v>
      </c>
      <c r="B1685" s="75" t="s">
        <v>7969</v>
      </c>
      <c r="C1685" s="75" t="s">
        <v>20160</v>
      </c>
      <c r="D1685" s="75"/>
      <c r="E1685" s="75"/>
      <c r="F1685" s="75"/>
      <c r="G1685" s="75"/>
      <c r="H1685" s="76" t="s">
        <v>20161</v>
      </c>
    </row>
    <row r="1686" spans="1:8" ht="140.25" x14ac:dyDescent="0.2">
      <c r="A1686" s="74" t="s">
        <v>20162</v>
      </c>
      <c r="B1686" s="74" t="s">
        <v>7972</v>
      </c>
      <c r="C1686" s="74" t="s">
        <v>20163</v>
      </c>
      <c r="D1686" s="74"/>
      <c r="E1686" s="74"/>
      <c r="F1686" s="74"/>
      <c r="G1686" s="74"/>
      <c r="H1686" s="74" t="s">
        <v>20164</v>
      </c>
    </row>
    <row r="1687" spans="1:8" ht="89.25" x14ac:dyDescent="0.2">
      <c r="A1687" s="49" t="s">
        <v>20165</v>
      </c>
      <c r="B1687" s="49" t="s">
        <v>7975</v>
      </c>
      <c r="C1687" s="49" t="s">
        <v>20166</v>
      </c>
      <c r="D1687" s="49"/>
      <c r="E1687" s="49"/>
      <c r="F1687" s="49"/>
      <c r="G1687" s="49"/>
      <c r="H1687" s="75" t="s">
        <v>20167</v>
      </c>
    </row>
    <row r="1688" spans="1:8" ht="127.5" x14ac:dyDescent="0.2">
      <c r="A1688" s="22" t="s">
        <v>20168</v>
      </c>
      <c r="B1688" s="22" t="s">
        <v>7978</v>
      </c>
      <c r="C1688" s="22" t="s">
        <v>20169</v>
      </c>
      <c r="D1688" s="22"/>
      <c r="E1688" s="22"/>
      <c r="F1688" s="22"/>
      <c r="G1688" s="22"/>
      <c r="H1688" s="73" t="s">
        <v>20170</v>
      </c>
    </row>
    <row r="1689" spans="1:8" ht="51" x14ac:dyDescent="0.2">
      <c r="A1689" s="75" t="s">
        <v>20171</v>
      </c>
      <c r="B1689" s="75" t="s">
        <v>7983</v>
      </c>
      <c r="C1689" s="75" t="s">
        <v>20172</v>
      </c>
      <c r="D1689" s="75"/>
      <c r="E1689" s="75"/>
      <c r="F1689" s="75"/>
      <c r="G1689" s="75"/>
      <c r="H1689" s="46" t="s">
        <v>20173</v>
      </c>
    </row>
    <row r="1690" spans="1:8" ht="51" x14ac:dyDescent="0.2">
      <c r="A1690" s="74" t="s">
        <v>20174</v>
      </c>
      <c r="B1690" s="74" t="s">
        <v>7985</v>
      </c>
      <c r="C1690" s="74" t="s">
        <v>20175</v>
      </c>
      <c r="D1690" s="74"/>
      <c r="E1690" s="74"/>
      <c r="F1690" s="74"/>
      <c r="G1690" s="74"/>
      <c r="H1690" s="73" t="s">
        <v>20176</v>
      </c>
    </row>
    <row r="1691" spans="1:8" ht="51" x14ac:dyDescent="0.2">
      <c r="A1691" s="74" t="s">
        <v>20177</v>
      </c>
      <c r="B1691" s="74" t="s">
        <v>7988</v>
      </c>
      <c r="C1691" s="74" t="s">
        <v>20178</v>
      </c>
      <c r="D1691" s="74"/>
      <c r="E1691" s="74"/>
      <c r="F1691" s="74"/>
      <c r="G1691" s="74"/>
      <c r="H1691" s="73" t="s">
        <v>20179</v>
      </c>
    </row>
    <row r="1692" spans="1:8" ht="63.75" x14ac:dyDescent="0.2">
      <c r="A1692" s="75" t="s">
        <v>20180</v>
      </c>
      <c r="B1692" s="75" t="s">
        <v>7990</v>
      </c>
      <c r="C1692" s="75" t="s">
        <v>20181</v>
      </c>
      <c r="D1692" s="75"/>
      <c r="E1692" s="75"/>
      <c r="F1692" s="75"/>
      <c r="G1692" s="75"/>
      <c r="H1692" s="76" t="s">
        <v>20182</v>
      </c>
    </row>
    <row r="1693" spans="1:8" ht="63.75" x14ac:dyDescent="0.2">
      <c r="A1693" s="74" t="s">
        <v>20183</v>
      </c>
      <c r="B1693" s="74" t="s">
        <v>7992</v>
      </c>
      <c r="C1693" s="74" t="s">
        <v>20184</v>
      </c>
      <c r="D1693" s="74"/>
      <c r="E1693" s="74"/>
      <c r="F1693" s="74"/>
      <c r="G1693" s="74"/>
      <c r="H1693" s="74" t="s">
        <v>20185</v>
      </c>
    </row>
    <row r="1694" spans="1:8" ht="140.25" x14ac:dyDescent="0.2">
      <c r="A1694" s="49" t="s">
        <v>20186</v>
      </c>
      <c r="B1694" s="49" t="s">
        <v>7995</v>
      </c>
      <c r="C1694" s="49" t="s">
        <v>20187</v>
      </c>
      <c r="D1694" s="49"/>
      <c r="E1694" s="49"/>
      <c r="F1694" s="49"/>
      <c r="G1694" s="49"/>
      <c r="H1694" s="75" t="s">
        <v>20188</v>
      </c>
    </row>
    <row r="1695" spans="1:8" ht="165.75" x14ac:dyDescent="0.2">
      <c r="A1695" s="22" t="s">
        <v>20189</v>
      </c>
      <c r="B1695" s="22" t="s">
        <v>7998</v>
      </c>
      <c r="C1695" s="22" t="s">
        <v>20190</v>
      </c>
      <c r="D1695" s="22"/>
      <c r="E1695" s="22"/>
      <c r="F1695" s="22"/>
      <c r="G1695" s="22"/>
      <c r="H1695" s="74" t="s">
        <v>20191</v>
      </c>
    </row>
    <row r="1696" spans="1:8" ht="63.75" x14ac:dyDescent="0.2">
      <c r="A1696" s="75" t="s">
        <v>20192</v>
      </c>
      <c r="B1696" s="75" t="s">
        <v>8039</v>
      </c>
      <c r="C1696" s="75" t="s">
        <v>20193</v>
      </c>
      <c r="D1696" s="75"/>
      <c r="E1696" s="75"/>
      <c r="F1696" s="75"/>
      <c r="G1696" s="75"/>
      <c r="H1696" s="76" t="s">
        <v>20194</v>
      </c>
    </row>
    <row r="1697" spans="1:8" ht="63.75" x14ac:dyDescent="0.2">
      <c r="A1697" s="74" t="s">
        <v>20195</v>
      </c>
      <c r="B1697" s="74" t="s">
        <v>8042</v>
      </c>
      <c r="C1697" s="74" t="s">
        <v>20196</v>
      </c>
      <c r="D1697" s="74"/>
      <c r="E1697" s="74"/>
      <c r="F1697" s="74"/>
      <c r="G1697" s="74"/>
      <c r="H1697" s="73" t="s">
        <v>20197</v>
      </c>
    </row>
    <row r="1698" spans="1:8" ht="25.5" x14ac:dyDescent="0.2">
      <c r="A1698" s="74" t="s">
        <v>20198</v>
      </c>
      <c r="B1698" s="74" t="s">
        <v>8056</v>
      </c>
      <c r="C1698" s="74" t="s">
        <v>20199</v>
      </c>
      <c r="D1698" s="74"/>
      <c r="E1698" s="74"/>
      <c r="F1698" s="74"/>
      <c r="G1698" s="74"/>
      <c r="H1698" s="14" t="s">
        <v>20200</v>
      </c>
    </row>
    <row r="1699" spans="1:8" ht="38.25" x14ac:dyDescent="0.2">
      <c r="A1699" s="75" t="s">
        <v>20201</v>
      </c>
      <c r="B1699" s="75" t="s">
        <v>8059</v>
      </c>
      <c r="C1699" s="75" t="s">
        <v>20202</v>
      </c>
      <c r="D1699" s="75"/>
      <c r="E1699" s="75"/>
      <c r="F1699" s="75"/>
      <c r="G1699" s="75"/>
      <c r="H1699" s="76" t="s">
        <v>20203</v>
      </c>
    </row>
    <row r="1700" spans="1:8" ht="25.5" x14ac:dyDescent="0.2">
      <c r="A1700" s="74" t="s">
        <v>20204</v>
      </c>
      <c r="B1700" s="74" t="s">
        <v>8062</v>
      </c>
      <c r="C1700" s="74" t="s">
        <v>20205</v>
      </c>
      <c r="D1700" s="74"/>
      <c r="E1700" s="74"/>
      <c r="F1700" s="74"/>
      <c r="G1700" s="74"/>
      <c r="H1700" s="14" t="s">
        <v>20206</v>
      </c>
    </row>
    <row r="1701" spans="1:8" ht="25.5" x14ac:dyDescent="0.2">
      <c r="A1701" s="74" t="s">
        <v>20207</v>
      </c>
      <c r="B1701" s="74" t="s">
        <v>8065</v>
      </c>
      <c r="C1701" s="74" t="s">
        <v>20208</v>
      </c>
      <c r="D1701" s="74"/>
      <c r="E1701" s="74"/>
      <c r="F1701" s="74"/>
      <c r="G1701" s="74"/>
      <c r="H1701" s="14" t="s">
        <v>20209</v>
      </c>
    </row>
    <row r="1702" spans="1:8" ht="63.75" x14ac:dyDescent="0.2">
      <c r="A1702" s="46" t="s">
        <v>20210</v>
      </c>
      <c r="B1702" s="46" t="s">
        <v>8068</v>
      </c>
      <c r="C1702" s="46" t="s">
        <v>20211</v>
      </c>
      <c r="D1702" s="46"/>
      <c r="E1702" s="46"/>
      <c r="F1702" s="46"/>
      <c r="G1702" s="46"/>
      <c r="H1702" s="75" t="s">
        <v>20212</v>
      </c>
    </row>
    <row r="1703" spans="1:8" ht="38.25" x14ac:dyDescent="0.2">
      <c r="A1703" s="74" t="s">
        <v>20213</v>
      </c>
      <c r="B1703" s="74" t="s">
        <v>8071</v>
      </c>
      <c r="C1703" s="74" t="s">
        <v>20214</v>
      </c>
      <c r="D1703" s="74"/>
      <c r="E1703" s="74"/>
      <c r="F1703" s="74"/>
      <c r="G1703" s="74"/>
      <c r="H1703" s="73" t="s">
        <v>20215</v>
      </c>
    </row>
    <row r="1704" spans="1:8" ht="25.5" x14ac:dyDescent="0.2">
      <c r="A1704" s="74" t="s">
        <v>20216</v>
      </c>
      <c r="B1704" s="74" t="s">
        <v>8074</v>
      </c>
      <c r="C1704" s="74" t="s">
        <v>20217</v>
      </c>
      <c r="D1704" s="74"/>
      <c r="E1704" s="74"/>
      <c r="F1704" s="74"/>
      <c r="G1704" s="74"/>
      <c r="H1704" s="73" t="s">
        <v>20218</v>
      </c>
    </row>
    <row r="1705" spans="1:8" ht="76.5" x14ac:dyDescent="0.2">
      <c r="A1705" s="75" t="s">
        <v>20219</v>
      </c>
      <c r="B1705" s="75" t="s">
        <v>8076</v>
      </c>
      <c r="C1705" s="75" t="s">
        <v>20220</v>
      </c>
      <c r="D1705" s="75"/>
      <c r="E1705" s="75"/>
      <c r="F1705" s="75"/>
      <c r="G1705" s="75"/>
      <c r="H1705" s="75" t="s">
        <v>20221</v>
      </c>
    </row>
    <row r="1706" spans="1:8" ht="63.75" x14ac:dyDescent="0.2">
      <c r="A1706" s="74" t="s">
        <v>20222</v>
      </c>
      <c r="B1706" s="74" t="s">
        <v>8079</v>
      </c>
      <c r="C1706" s="74" t="s">
        <v>20223</v>
      </c>
      <c r="D1706" s="74"/>
      <c r="E1706" s="74"/>
      <c r="F1706" s="74"/>
      <c r="G1706" s="74"/>
      <c r="H1706" s="73" t="s">
        <v>20224</v>
      </c>
    </row>
    <row r="1707" spans="1:8" ht="76.5" x14ac:dyDescent="0.2">
      <c r="A1707" s="76" t="s">
        <v>20225</v>
      </c>
      <c r="B1707" s="76" t="s">
        <v>8082</v>
      </c>
      <c r="C1707" s="76" t="s">
        <v>8083</v>
      </c>
      <c r="D1707" s="76"/>
      <c r="E1707" s="76"/>
      <c r="F1707" s="76"/>
      <c r="G1707" s="76"/>
      <c r="H1707" s="76" t="s">
        <v>20226</v>
      </c>
    </row>
    <row r="1708" spans="1:8" ht="204" x14ac:dyDescent="0.2">
      <c r="A1708" s="46" t="s">
        <v>20227</v>
      </c>
      <c r="B1708" s="46" t="s">
        <v>8085</v>
      </c>
      <c r="C1708" s="46" t="s">
        <v>8086</v>
      </c>
      <c r="D1708" s="46"/>
      <c r="E1708" s="46"/>
      <c r="F1708" s="46"/>
      <c r="G1708" s="46"/>
      <c r="H1708" s="75" t="s">
        <v>20228</v>
      </c>
    </row>
    <row r="1709" spans="1:8" ht="89.25" x14ac:dyDescent="0.2">
      <c r="A1709" s="22" t="s">
        <v>20229</v>
      </c>
      <c r="B1709" s="22" t="s">
        <v>8088</v>
      </c>
      <c r="C1709" s="22" t="s">
        <v>20230</v>
      </c>
      <c r="D1709" s="22"/>
      <c r="E1709" s="22"/>
      <c r="F1709" s="22"/>
      <c r="G1709" s="22"/>
      <c r="H1709" s="74" t="s">
        <v>20231</v>
      </c>
    </row>
    <row r="1710" spans="1:8" ht="102" x14ac:dyDescent="0.2">
      <c r="A1710" s="46" t="s">
        <v>20232</v>
      </c>
      <c r="B1710" s="46" t="s">
        <v>8091</v>
      </c>
      <c r="C1710" s="46" t="s">
        <v>8092</v>
      </c>
      <c r="D1710" s="46"/>
      <c r="E1710" s="46"/>
      <c r="F1710" s="46"/>
      <c r="G1710" s="46"/>
      <c r="H1710" s="76" t="s">
        <v>20233</v>
      </c>
    </row>
    <row r="1711" spans="1:8" ht="178.5" x14ac:dyDescent="0.2">
      <c r="A1711" s="46" t="s">
        <v>20234</v>
      </c>
      <c r="B1711" s="46" t="s">
        <v>8094</v>
      </c>
      <c r="C1711" s="46" t="s">
        <v>8095</v>
      </c>
      <c r="D1711" s="46"/>
      <c r="E1711" s="46"/>
      <c r="F1711" s="46"/>
      <c r="G1711" s="46"/>
      <c r="H1711" s="75" t="s">
        <v>20235</v>
      </c>
    </row>
    <row r="1712" spans="1:8" ht="191.25" x14ac:dyDescent="0.2">
      <c r="A1712" s="46" t="s">
        <v>20236</v>
      </c>
      <c r="B1712" s="46" t="s">
        <v>8097</v>
      </c>
      <c r="C1712" s="46" t="s">
        <v>8098</v>
      </c>
      <c r="D1712" s="46"/>
      <c r="E1712" s="46"/>
      <c r="F1712" s="46"/>
      <c r="G1712" s="46"/>
      <c r="H1712" s="75" t="s">
        <v>20237</v>
      </c>
    </row>
    <row r="1713" spans="1:8" ht="165.75" x14ac:dyDescent="0.2">
      <c r="A1713" s="14" t="s">
        <v>20238</v>
      </c>
      <c r="B1713" s="14" t="s">
        <v>8100</v>
      </c>
      <c r="C1713" s="14" t="s">
        <v>8101</v>
      </c>
      <c r="D1713" s="14"/>
      <c r="E1713" s="14"/>
      <c r="F1713" s="14"/>
      <c r="G1713" s="14"/>
      <c r="H1713" s="74" t="s">
        <v>20239</v>
      </c>
    </row>
    <row r="1714" spans="1:8" ht="76.5" x14ac:dyDescent="0.2">
      <c r="A1714" s="75" t="s">
        <v>20240</v>
      </c>
      <c r="B1714" s="75" t="s">
        <v>8103</v>
      </c>
      <c r="C1714" s="75" t="s">
        <v>20241</v>
      </c>
      <c r="D1714" s="75"/>
      <c r="E1714" s="75"/>
      <c r="F1714" s="75"/>
      <c r="G1714" s="75"/>
      <c r="H1714" s="76" t="s">
        <v>20242</v>
      </c>
    </row>
    <row r="1715" spans="1:8" ht="114.75" x14ac:dyDescent="0.2">
      <c r="A1715" s="75" t="s">
        <v>20243</v>
      </c>
      <c r="B1715" s="75" t="s">
        <v>8106</v>
      </c>
      <c r="C1715" s="75" t="s">
        <v>20244</v>
      </c>
      <c r="D1715" s="75"/>
      <c r="E1715" s="75"/>
      <c r="F1715" s="75"/>
      <c r="G1715" s="75"/>
      <c r="H1715" s="75" t="s">
        <v>20245</v>
      </c>
    </row>
    <row r="1716" spans="1:8" ht="178.5" x14ac:dyDescent="0.2">
      <c r="A1716" s="49" t="s">
        <v>20246</v>
      </c>
      <c r="B1716" s="49" t="s">
        <v>8109</v>
      </c>
      <c r="C1716" s="49" t="s">
        <v>20247</v>
      </c>
      <c r="D1716" s="49"/>
      <c r="E1716" s="49"/>
      <c r="F1716" s="49"/>
      <c r="G1716" s="49"/>
      <c r="H1716" s="75" t="s">
        <v>20248</v>
      </c>
    </row>
    <row r="1717" spans="1:8" ht="204" x14ac:dyDescent="0.2">
      <c r="A1717" s="49" t="s">
        <v>20249</v>
      </c>
      <c r="B1717" s="49" t="s">
        <v>8112</v>
      </c>
      <c r="C1717" s="49" t="s">
        <v>20250</v>
      </c>
      <c r="D1717" s="49"/>
      <c r="E1717" s="49"/>
      <c r="F1717" s="49"/>
      <c r="G1717" s="49"/>
      <c r="H1717" s="75" t="s">
        <v>20251</v>
      </c>
    </row>
    <row r="1718" spans="1:8" ht="229.5" x14ac:dyDescent="0.2">
      <c r="A1718" s="46" t="s">
        <v>20252</v>
      </c>
      <c r="B1718" s="46" t="s">
        <v>8115</v>
      </c>
      <c r="C1718" s="46" t="s">
        <v>8116</v>
      </c>
      <c r="D1718" s="46"/>
      <c r="E1718" s="46"/>
      <c r="F1718" s="46"/>
      <c r="G1718" s="46"/>
      <c r="H1718" s="75" t="s">
        <v>20253</v>
      </c>
    </row>
    <row r="1719" spans="1:8" ht="216.75" x14ac:dyDescent="0.2">
      <c r="A1719" s="49" t="s">
        <v>20254</v>
      </c>
      <c r="B1719" s="49" t="s">
        <v>8118</v>
      </c>
      <c r="C1719" s="49" t="s">
        <v>20255</v>
      </c>
      <c r="D1719" s="49"/>
      <c r="E1719" s="49"/>
      <c r="F1719" s="49"/>
      <c r="G1719" s="49"/>
      <c r="H1719" s="75" t="s">
        <v>20256</v>
      </c>
    </row>
    <row r="1720" spans="1:8" ht="114.75" x14ac:dyDescent="0.2">
      <c r="A1720" s="22" t="s">
        <v>20257</v>
      </c>
      <c r="B1720" s="22" t="s">
        <v>8121</v>
      </c>
      <c r="C1720" s="22" t="s">
        <v>20258</v>
      </c>
      <c r="D1720" s="22"/>
      <c r="E1720" s="22"/>
      <c r="F1720" s="22"/>
      <c r="G1720" s="22"/>
      <c r="H1720" s="74" t="s">
        <v>20259</v>
      </c>
    </row>
    <row r="1721" spans="1:8" ht="89.25" x14ac:dyDescent="0.2">
      <c r="A1721" s="46" t="s">
        <v>20260</v>
      </c>
      <c r="B1721" s="46" t="s">
        <v>8124</v>
      </c>
      <c r="C1721" s="46" t="s">
        <v>8125</v>
      </c>
      <c r="D1721" s="46"/>
      <c r="E1721" s="46"/>
      <c r="F1721" s="46"/>
      <c r="G1721" s="46"/>
      <c r="H1721" s="76" t="s">
        <v>20261</v>
      </c>
    </row>
    <row r="1722" spans="1:8" ht="51" x14ac:dyDescent="0.2">
      <c r="A1722" s="73" t="s">
        <v>20262</v>
      </c>
      <c r="B1722" s="73" t="s">
        <v>8127</v>
      </c>
      <c r="C1722" s="73" t="s">
        <v>8128</v>
      </c>
      <c r="D1722" s="73"/>
      <c r="E1722" s="73"/>
      <c r="F1722" s="73"/>
      <c r="G1722" s="73"/>
      <c r="H1722" s="73" t="s">
        <v>20263</v>
      </c>
    </row>
    <row r="1723" spans="1:8" ht="114.75" x14ac:dyDescent="0.2">
      <c r="A1723" s="14" t="s">
        <v>20264</v>
      </c>
      <c r="B1723" s="14" t="s">
        <v>8130</v>
      </c>
      <c r="C1723" s="14" t="s">
        <v>8131</v>
      </c>
      <c r="D1723" s="14"/>
      <c r="E1723" s="14"/>
      <c r="F1723" s="14"/>
      <c r="G1723" s="14"/>
      <c r="H1723" s="74" t="s">
        <v>20265</v>
      </c>
    </row>
    <row r="1724" spans="1:8" ht="25.5" x14ac:dyDescent="0.2">
      <c r="A1724" s="75" t="s">
        <v>20266</v>
      </c>
      <c r="B1724" s="75" t="s">
        <v>8135</v>
      </c>
      <c r="C1724" s="75" t="s">
        <v>20267</v>
      </c>
      <c r="D1724" s="75"/>
      <c r="E1724" s="75"/>
      <c r="F1724" s="75"/>
      <c r="G1724" s="75"/>
      <c r="H1724" s="46" t="s">
        <v>20268</v>
      </c>
    </row>
    <row r="1725" spans="1:8" ht="25.5" x14ac:dyDescent="0.2">
      <c r="A1725" s="74" t="s">
        <v>20269</v>
      </c>
      <c r="B1725" s="74" t="s">
        <v>8138</v>
      </c>
      <c r="C1725" s="74" t="s">
        <v>20270</v>
      </c>
      <c r="D1725" s="74"/>
      <c r="E1725" s="74"/>
      <c r="F1725" s="74"/>
      <c r="G1725" s="74"/>
      <c r="H1725" s="14" t="s">
        <v>20271</v>
      </c>
    </row>
    <row r="1726" spans="1:8" ht="12.75" x14ac:dyDescent="0.2">
      <c r="A1726" s="14" t="s">
        <v>20272</v>
      </c>
      <c r="B1726" s="14" t="s">
        <v>8141</v>
      </c>
      <c r="C1726" s="14" t="s">
        <v>8142</v>
      </c>
      <c r="D1726" s="14"/>
      <c r="E1726" s="14"/>
      <c r="F1726" s="14"/>
      <c r="G1726" s="14"/>
      <c r="H1726" s="14" t="s">
        <v>20273</v>
      </c>
    </row>
    <row r="1727" spans="1:8" ht="12.75" x14ac:dyDescent="0.2">
      <c r="A1727" s="46" t="s">
        <v>20274</v>
      </c>
      <c r="B1727" s="46" t="s">
        <v>8144</v>
      </c>
      <c r="C1727" s="46" t="s">
        <v>8145</v>
      </c>
      <c r="D1727" s="46"/>
      <c r="E1727" s="46"/>
      <c r="F1727" s="46"/>
      <c r="G1727" s="46"/>
      <c r="H1727" s="46" t="s">
        <v>20275</v>
      </c>
    </row>
    <row r="1728" spans="1:8" ht="12.75" x14ac:dyDescent="0.2">
      <c r="A1728" s="14" t="s">
        <v>20276</v>
      </c>
      <c r="B1728" s="14" t="s">
        <v>8147</v>
      </c>
      <c r="C1728" s="14" t="s">
        <v>8148</v>
      </c>
      <c r="D1728" s="14"/>
      <c r="E1728" s="14"/>
      <c r="F1728" s="14"/>
      <c r="G1728" s="14"/>
      <c r="H1728" s="14" t="s">
        <v>20277</v>
      </c>
    </row>
    <row r="1729" spans="1:8" ht="25.5" x14ac:dyDescent="0.2">
      <c r="A1729" s="74" t="s">
        <v>20278</v>
      </c>
      <c r="B1729" s="74" t="s">
        <v>8152</v>
      </c>
      <c r="C1729" s="74" t="s">
        <v>20279</v>
      </c>
      <c r="D1729" s="74"/>
      <c r="E1729" s="74"/>
      <c r="F1729" s="74"/>
      <c r="G1729" s="74"/>
      <c r="H1729" s="14" t="s">
        <v>20280</v>
      </c>
    </row>
    <row r="1730" spans="1:8" ht="25.5" x14ac:dyDescent="0.2">
      <c r="A1730" s="75" t="s">
        <v>20281</v>
      </c>
      <c r="B1730" s="75" t="s">
        <v>8154</v>
      </c>
      <c r="C1730" s="75" t="s">
        <v>20282</v>
      </c>
      <c r="D1730" s="75"/>
      <c r="E1730" s="75"/>
      <c r="F1730" s="75"/>
      <c r="G1730" s="75"/>
      <c r="H1730" s="46" t="s">
        <v>20283</v>
      </c>
    </row>
    <row r="1731" spans="1:8" ht="25.5" x14ac:dyDescent="0.2">
      <c r="A1731" s="74" t="s">
        <v>20284</v>
      </c>
      <c r="B1731" s="74" t="s">
        <v>8157</v>
      </c>
      <c r="C1731" s="74" t="s">
        <v>20285</v>
      </c>
      <c r="D1731" s="74"/>
      <c r="E1731" s="74"/>
      <c r="F1731" s="74"/>
      <c r="G1731" s="74"/>
      <c r="H1731" s="14" t="s">
        <v>20286</v>
      </c>
    </row>
    <row r="1732" spans="1:8" ht="63.75" x14ac:dyDescent="0.2">
      <c r="A1732" s="74" t="s">
        <v>20287</v>
      </c>
      <c r="B1732" s="74" t="s">
        <v>8160</v>
      </c>
      <c r="C1732" s="74" t="s">
        <v>20288</v>
      </c>
      <c r="D1732" s="74"/>
      <c r="E1732" s="74"/>
      <c r="F1732" s="74"/>
      <c r="G1732" s="74"/>
      <c r="H1732" s="74" t="s">
        <v>20289</v>
      </c>
    </row>
    <row r="1733" spans="1:8" ht="51" x14ac:dyDescent="0.2">
      <c r="A1733" s="75" t="s">
        <v>20290</v>
      </c>
      <c r="B1733" s="75" t="s">
        <v>8163</v>
      </c>
      <c r="C1733" s="75" t="s">
        <v>20291</v>
      </c>
      <c r="D1733" s="75"/>
      <c r="E1733" s="75"/>
      <c r="F1733" s="75"/>
      <c r="G1733" s="75"/>
      <c r="H1733" s="75" t="s">
        <v>20292</v>
      </c>
    </row>
    <row r="1734" spans="1:8" ht="38.25" x14ac:dyDescent="0.2">
      <c r="A1734" s="74" t="s">
        <v>20293</v>
      </c>
      <c r="B1734" s="74" t="s">
        <v>8166</v>
      </c>
      <c r="C1734" s="74" t="s">
        <v>20294</v>
      </c>
      <c r="D1734" s="74"/>
      <c r="E1734" s="74"/>
      <c r="F1734" s="74"/>
      <c r="G1734" s="74"/>
      <c r="H1734" s="14" t="s">
        <v>20295</v>
      </c>
    </row>
    <row r="1735" spans="1:8" ht="38.25" x14ac:dyDescent="0.2">
      <c r="A1735" s="74" t="s">
        <v>20296</v>
      </c>
      <c r="B1735" s="74" t="s">
        <v>8169</v>
      </c>
      <c r="C1735" s="74" t="s">
        <v>20297</v>
      </c>
      <c r="D1735" s="74"/>
      <c r="E1735" s="74"/>
      <c r="F1735" s="74"/>
      <c r="G1735" s="74"/>
      <c r="H1735" s="14" t="s">
        <v>20298</v>
      </c>
    </row>
    <row r="1736" spans="1:8" ht="38.25" x14ac:dyDescent="0.2">
      <c r="A1736" s="75" t="s">
        <v>20299</v>
      </c>
      <c r="B1736" s="75" t="s">
        <v>8172</v>
      </c>
      <c r="C1736" s="75" t="s">
        <v>20300</v>
      </c>
      <c r="D1736" s="75"/>
      <c r="E1736" s="75"/>
      <c r="F1736" s="75"/>
      <c r="G1736" s="75"/>
      <c r="H1736" s="46" t="s">
        <v>20301</v>
      </c>
    </row>
    <row r="1737" spans="1:8" ht="25.5" x14ac:dyDescent="0.2">
      <c r="A1737" s="74" t="s">
        <v>20302</v>
      </c>
      <c r="B1737" s="74" t="s">
        <v>8175</v>
      </c>
      <c r="C1737" s="74" t="s">
        <v>20303</v>
      </c>
      <c r="D1737" s="74"/>
      <c r="E1737" s="74"/>
      <c r="F1737" s="74"/>
      <c r="G1737" s="74"/>
      <c r="H1737" s="14" t="s">
        <v>20304</v>
      </c>
    </row>
    <row r="1738" spans="1:8" ht="51" x14ac:dyDescent="0.2">
      <c r="A1738" s="74" t="s">
        <v>20305</v>
      </c>
      <c r="B1738" s="74" t="s">
        <v>8178</v>
      </c>
      <c r="C1738" s="74" t="s">
        <v>20306</v>
      </c>
      <c r="D1738" s="74"/>
      <c r="E1738" s="74"/>
      <c r="F1738" s="74"/>
      <c r="G1738" s="74"/>
      <c r="H1738" s="14" t="s">
        <v>20307</v>
      </c>
    </row>
    <row r="1739" spans="1:8" ht="38.25" x14ac:dyDescent="0.2">
      <c r="A1739" s="75" t="s">
        <v>20308</v>
      </c>
      <c r="B1739" s="75" t="s">
        <v>8181</v>
      </c>
      <c r="C1739" s="75" t="s">
        <v>20309</v>
      </c>
      <c r="D1739" s="75"/>
      <c r="E1739" s="75"/>
      <c r="F1739" s="75"/>
      <c r="G1739" s="75"/>
      <c r="H1739" s="46" t="s">
        <v>20310</v>
      </c>
    </row>
    <row r="1740" spans="1:8" ht="38.25" x14ac:dyDescent="0.2">
      <c r="A1740" s="74" t="s">
        <v>20311</v>
      </c>
      <c r="B1740" s="74" t="s">
        <v>8183</v>
      </c>
      <c r="C1740" s="74" t="s">
        <v>20312</v>
      </c>
      <c r="D1740" s="74"/>
      <c r="E1740" s="74"/>
      <c r="F1740" s="74"/>
      <c r="G1740" s="74"/>
      <c r="H1740" s="14" t="s">
        <v>20313</v>
      </c>
    </row>
    <row r="1741" spans="1:8" ht="51" x14ac:dyDescent="0.2">
      <c r="A1741" s="74" t="s">
        <v>20314</v>
      </c>
      <c r="B1741" s="74" t="s">
        <v>8185</v>
      </c>
      <c r="C1741" s="74" t="s">
        <v>20315</v>
      </c>
      <c r="D1741" s="74"/>
      <c r="E1741" s="74"/>
      <c r="F1741" s="74"/>
      <c r="G1741" s="74"/>
      <c r="H1741" s="14" t="s">
        <v>20316</v>
      </c>
    </row>
    <row r="1742" spans="1:8" ht="76.5" x14ac:dyDescent="0.2">
      <c r="A1742" s="75" t="s">
        <v>20317</v>
      </c>
      <c r="B1742" s="75" t="s">
        <v>8187</v>
      </c>
      <c r="C1742" s="75" t="s">
        <v>20318</v>
      </c>
      <c r="D1742" s="75"/>
      <c r="E1742" s="75"/>
      <c r="F1742" s="75"/>
      <c r="G1742" s="75"/>
      <c r="H1742" s="75" t="s">
        <v>20319</v>
      </c>
    </row>
    <row r="1743" spans="1:8" ht="38.25" x14ac:dyDescent="0.2">
      <c r="A1743" s="74" t="s">
        <v>20320</v>
      </c>
      <c r="B1743" s="74" t="s">
        <v>8190</v>
      </c>
      <c r="C1743" s="74" t="s">
        <v>20321</v>
      </c>
      <c r="D1743" s="74"/>
      <c r="E1743" s="74"/>
      <c r="F1743" s="74"/>
      <c r="G1743" s="74"/>
      <c r="H1743" s="73" t="s">
        <v>20322</v>
      </c>
    </row>
    <row r="1744" spans="1:8" ht="51" x14ac:dyDescent="0.2">
      <c r="A1744" s="74" t="s">
        <v>20323</v>
      </c>
      <c r="B1744" s="74" t="s">
        <v>8193</v>
      </c>
      <c r="C1744" s="74" t="s">
        <v>20324</v>
      </c>
      <c r="D1744" s="74"/>
      <c r="E1744" s="74"/>
      <c r="F1744" s="74"/>
      <c r="G1744" s="74"/>
      <c r="H1744" s="73" t="s">
        <v>20325</v>
      </c>
    </row>
    <row r="1745" spans="1:8" ht="51" x14ac:dyDescent="0.2">
      <c r="A1745" s="75" t="s">
        <v>20326</v>
      </c>
      <c r="B1745" s="75" t="s">
        <v>8196</v>
      </c>
      <c r="C1745" s="75" t="s">
        <v>20327</v>
      </c>
      <c r="D1745" s="75"/>
      <c r="E1745" s="75"/>
      <c r="F1745" s="75"/>
      <c r="G1745" s="75"/>
      <c r="H1745" s="76" t="s">
        <v>20328</v>
      </c>
    </row>
    <row r="1746" spans="1:8" ht="38.25" x14ac:dyDescent="0.2">
      <c r="A1746" s="74" t="s">
        <v>20329</v>
      </c>
      <c r="B1746" s="74" t="s">
        <v>8199</v>
      </c>
      <c r="C1746" s="74" t="s">
        <v>20330</v>
      </c>
      <c r="D1746" s="74"/>
      <c r="E1746" s="74"/>
      <c r="F1746" s="74"/>
      <c r="G1746" s="74"/>
      <c r="H1746" s="73" t="s">
        <v>20331</v>
      </c>
    </row>
    <row r="1747" spans="1:8" ht="63.75" x14ac:dyDescent="0.2">
      <c r="A1747" s="74" t="s">
        <v>20332</v>
      </c>
      <c r="B1747" s="74" t="s">
        <v>8202</v>
      </c>
      <c r="C1747" s="74" t="s">
        <v>20333</v>
      </c>
      <c r="D1747" s="74"/>
      <c r="E1747" s="74"/>
      <c r="F1747" s="74"/>
      <c r="G1747" s="74"/>
      <c r="H1747" s="14" t="s">
        <v>20334</v>
      </c>
    </row>
    <row r="1748" spans="1:8" ht="38.25" x14ac:dyDescent="0.2">
      <c r="A1748" s="75" t="s">
        <v>20335</v>
      </c>
      <c r="B1748" s="75" t="s">
        <v>8205</v>
      </c>
      <c r="C1748" s="75" t="s">
        <v>20336</v>
      </c>
      <c r="D1748" s="75"/>
      <c r="E1748" s="75"/>
      <c r="F1748" s="75"/>
      <c r="G1748" s="75"/>
      <c r="H1748" s="76" t="s">
        <v>20337</v>
      </c>
    </row>
    <row r="1749" spans="1:8" ht="51" x14ac:dyDescent="0.2">
      <c r="A1749" s="74" t="s">
        <v>20338</v>
      </c>
      <c r="B1749" s="74" t="s">
        <v>8208</v>
      </c>
      <c r="C1749" s="74" t="s">
        <v>20339</v>
      </c>
      <c r="D1749" s="74"/>
      <c r="E1749" s="74"/>
      <c r="F1749" s="74"/>
      <c r="G1749" s="74"/>
      <c r="H1749" s="74" t="s">
        <v>20340</v>
      </c>
    </row>
    <row r="1750" spans="1:8" ht="38.25" x14ac:dyDescent="0.2">
      <c r="A1750" s="74" t="s">
        <v>20341</v>
      </c>
      <c r="B1750" s="74" t="s">
        <v>8211</v>
      </c>
      <c r="C1750" s="74" t="s">
        <v>20342</v>
      </c>
      <c r="D1750" s="74"/>
      <c r="E1750" s="74"/>
      <c r="F1750" s="74"/>
      <c r="G1750" s="74"/>
      <c r="H1750" s="14" t="s">
        <v>20343</v>
      </c>
    </row>
    <row r="1751" spans="1:8" ht="38.25" x14ac:dyDescent="0.2">
      <c r="A1751" s="75" t="s">
        <v>20344</v>
      </c>
      <c r="B1751" s="75" t="s">
        <v>8214</v>
      </c>
      <c r="C1751" s="75" t="s">
        <v>20345</v>
      </c>
      <c r="D1751" s="75"/>
      <c r="E1751" s="75"/>
      <c r="F1751" s="75"/>
      <c r="G1751" s="75"/>
      <c r="H1751" s="76" t="s">
        <v>20346</v>
      </c>
    </row>
    <row r="1752" spans="1:8" ht="38.25" x14ac:dyDescent="0.2">
      <c r="A1752" s="74" t="s">
        <v>20347</v>
      </c>
      <c r="B1752" s="74" t="s">
        <v>8217</v>
      </c>
      <c r="C1752" s="74" t="s">
        <v>20348</v>
      </c>
      <c r="D1752" s="74"/>
      <c r="E1752" s="74"/>
      <c r="F1752" s="74"/>
      <c r="G1752" s="74"/>
      <c r="H1752" s="14" t="s">
        <v>20349</v>
      </c>
    </row>
    <row r="1753" spans="1:8" ht="38.25" x14ac:dyDescent="0.2">
      <c r="A1753" s="74" t="s">
        <v>20350</v>
      </c>
      <c r="B1753" s="74" t="s">
        <v>8220</v>
      </c>
      <c r="C1753" s="74" t="s">
        <v>20351</v>
      </c>
      <c r="D1753" s="74"/>
      <c r="E1753" s="74"/>
      <c r="F1753" s="74"/>
      <c r="G1753" s="74"/>
      <c r="H1753" s="73" t="s">
        <v>20352</v>
      </c>
    </row>
    <row r="1754" spans="1:8" ht="38.25" x14ac:dyDescent="0.2">
      <c r="A1754" s="75" t="s">
        <v>20353</v>
      </c>
      <c r="B1754" s="75" t="s">
        <v>8223</v>
      </c>
      <c r="C1754" s="75" t="s">
        <v>20354</v>
      </c>
      <c r="D1754" s="75"/>
      <c r="E1754" s="75"/>
      <c r="F1754" s="75"/>
      <c r="G1754" s="75"/>
      <c r="H1754" s="46" t="s">
        <v>20355</v>
      </c>
    </row>
    <row r="1755" spans="1:8" ht="38.25" x14ac:dyDescent="0.2">
      <c r="A1755" s="74" t="s">
        <v>20356</v>
      </c>
      <c r="B1755" s="74" t="s">
        <v>8226</v>
      </c>
      <c r="C1755" s="74" t="s">
        <v>20357</v>
      </c>
      <c r="D1755" s="74"/>
      <c r="E1755" s="74"/>
      <c r="F1755" s="74"/>
      <c r="G1755" s="74"/>
      <c r="H1755" s="74" t="s">
        <v>20358</v>
      </c>
    </row>
    <row r="1756" spans="1:8" ht="38.25" x14ac:dyDescent="0.2">
      <c r="A1756" s="74" t="s">
        <v>20359</v>
      </c>
      <c r="B1756" s="74" t="s">
        <v>8229</v>
      </c>
      <c r="C1756" s="74" t="s">
        <v>20360</v>
      </c>
      <c r="D1756" s="74"/>
      <c r="E1756" s="74"/>
      <c r="F1756" s="74"/>
      <c r="G1756" s="74"/>
      <c r="H1756" s="14" t="s">
        <v>20361</v>
      </c>
    </row>
    <row r="1757" spans="1:8" ht="51" x14ac:dyDescent="0.2">
      <c r="A1757" s="75" t="s">
        <v>20362</v>
      </c>
      <c r="B1757" s="75" t="s">
        <v>8232</v>
      </c>
      <c r="C1757" s="75" t="s">
        <v>20363</v>
      </c>
      <c r="D1757" s="75"/>
      <c r="E1757" s="75"/>
      <c r="F1757" s="75"/>
      <c r="G1757" s="75"/>
      <c r="H1757" s="46" t="s">
        <v>20364</v>
      </c>
    </row>
    <row r="1758" spans="1:8" ht="38.25" x14ac:dyDescent="0.2">
      <c r="A1758" s="74" t="s">
        <v>20365</v>
      </c>
      <c r="B1758" s="74" t="s">
        <v>8235</v>
      </c>
      <c r="C1758" s="74" t="s">
        <v>20366</v>
      </c>
      <c r="D1758" s="74"/>
      <c r="E1758" s="74"/>
      <c r="F1758" s="74"/>
      <c r="G1758" s="74"/>
      <c r="H1758" s="14" t="s">
        <v>20367</v>
      </c>
    </row>
    <row r="1759" spans="1:8" ht="38.25" x14ac:dyDescent="0.2">
      <c r="A1759" s="74" t="s">
        <v>20368</v>
      </c>
      <c r="B1759" s="74" t="s">
        <v>8237</v>
      </c>
      <c r="C1759" s="74" t="s">
        <v>20369</v>
      </c>
      <c r="D1759" s="74"/>
      <c r="E1759" s="74"/>
      <c r="F1759" s="74"/>
      <c r="G1759" s="74"/>
      <c r="H1759" s="14" t="s">
        <v>20370</v>
      </c>
    </row>
    <row r="1760" spans="1:8" ht="51" x14ac:dyDescent="0.2">
      <c r="A1760" s="75" t="s">
        <v>20371</v>
      </c>
      <c r="B1760" s="75" t="s">
        <v>8240</v>
      </c>
      <c r="C1760" s="75" t="s">
        <v>20372</v>
      </c>
      <c r="D1760" s="75"/>
      <c r="E1760" s="75"/>
      <c r="F1760" s="75"/>
      <c r="G1760" s="75"/>
      <c r="H1760" s="76" t="s">
        <v>20373</v>
      </c>
    </row>
    <row r="1761" spans="1:8" ht="51" x14ac:dyDescent="0.2">
      <c r="A1761" s="74" t="s">
        <v>20374</v>
      </c>
      <c r="B1761" s="74" t="s">
        <v>8243</v>
      </c>
      <c r="C1761" s="74" t="s">
        <v>20375</v>
      </c>
      <c r="D1761" s="74"/>
      <c r="E1761" s="74"/>
      <c r="F1761" s="74"/>
      <c r="G1761" s="74"/>
      <c r="H1761" s="73" t="s">
        <v>20376</v>
      </c>
    </row>
    <row r="1762" spans="1:8" ht="25.5" x14ac:dyDescent="0.2">
      <c r="A1762" s="14" t="s">
        <v>20377</v>
      </c>
      <c r="B1762" s="14" t="s">
        <v>8248</v>
      </c>
      <c r="C1762" s="14" t="s">
        <v>8249</v>
      </c>
      <c r="D1762" s="14"/>
      <c r="E1762" s="14"/>
      <c r="F1762" s="14"/>
      <c r="G1762" s="14"/>
      <c r="H1762" s="73" t="s">
        <v>20378</v>
      </c>
    </row>
    <row r="1763" spans="1:8" ht="25.5" x14ac:dyDescent="0.2">
      <c r="A1763" s="46" t="s">
        <v>20379</v>
      </c>
      <c r="B1763" s="46" t="s">
        <v>8251</v>
      </c>
      <c r="C1763" s="46" t="s">
        <v>8252</v>
      </c>
      <c r="D1763" s="46"/>
      <c r="E1763" s="46"/>
      <c r="F1763" s="46"/>
      <c r="G1763" s="46"/>
      <c r="H1763" s="76" t="s">
        <v>20380</v>
      </c>
    </row>
    <row r="1764" spans="1:8" ht="25.5" x14ac:dyDescent="0.2">
      <c r="A1764" s="14" t="s">
        <v>20381</v>
      </c>
      <c r="B1764" s="14" t="s">
        <v>8253</v>
      </c>
      <c r="C1764" s="14" t="s">
        <v>8254</v>
      </c>
      <c r="D1764" s="14"/>
      <c r="E1764" s="14"/>
      <c r="F1764" s="14"/>
      <c r="G1764" s="14"/>
      <c r="H1764" s="73" t="s">
        <v>20382</v>
      </c>
    </row>
    <row r="1765" spans="1:8" ht="12.75" x14ac:dyDescent="0.2">
      <c r="A1765" s="14" t="s">
        <v>20383</v>
      </c>
      <c r="B1765" s="14" t="s">
        <v>8255</v>
      </c>
      <c r="C1765" s="14" t="s">
        <v>8256</v>
      </c>
      <c r="D1765" s="14"/>
      <c r="E1765" s="14"/>
      <c r="F1765" s="14"/>
      <c r="G1765" s="14"/>
      <c r="H1765" s="14" t="s">
        <v>20384</v>
      </c>
    </row>
    <row r="1766" spans="1:8" ht="25.5" x14ac:dyDescent="0.2">
      <c r="A1766" s="75" t="s">
        <v>20385</v>
      </c>
      <c r="B1766" s="75" t="s">
        <v>8258</v>
      </c>
      <c r="C1766" s="75" t="s">
        <v>20386</v>
      </c>
      <c r="D1766" s="75"/>
      <c r="E1766" s="75"/>
      <c r="F1766" s="75"/>
      <c r="G1766" s="75"/>
      <c r="H1766" s="46" t="s">
        <v>20387</v>
      </c>
    </row>
    <row r="1767" spans="1:8" ht="25.5" x14ac:dyDescent="0.2">
      <c r="A1767" s="74" t="s">
        <v>20388</v>
      </c>
      <c r="B1767" s="74" t="s">
        <v>8261</v>
      </c>
      <c r="C1767" s="74" t="s">
        <v>20389</v>
      </c>
      <c r="D1767" s="74"/>
      <c r="E1767" s="74"/>
      <c r="F1767" s="74"/>
      <c r="G1767" s="74"/>
      <c r="H1767" s="14" t="s">
        <v>20390</v>
      </c>
    </row>
    <row r="1768" spans="1:8" ht="38.25" x14ac:dyDescent="0.2">
      <c r="A1768" s="74" t="s">
        <v>20391</v>
      </c>
      <c r="B1768" s="74" t="s">
        <v>8266</v>
      </c>
      <c r="C1768" s="74" t="s">
        <v>20392</v>
      </c>
      <c r="D1768" s="74"/>
      <c r="E1768" s="74"/>
      <c r="F1768" s="74"/>
      <c r="G1768" s="74"/>
      <c r="H1768" s="14" t="s">
        <v>20393</v>
      </c>
    </row>
    <row r="1769" spans="1:8" ht="38.25" x14ac:dyDescent="0.2">
      <c r="A1769" s="75" t="s">
        <v>20394</v>
      </c>
      <c r="B1769" s="75" t="s">
        <v>8269</v>
      </c>
      <c r="C1769" s="75" t="s">
        <v>20395</v>
      </c>
      <c r="D1769" s="75"/>
      <c r="E1769" s="75"/>
      <c r="F1769" s="75"/>
      <c r="G1769" s="75"/>
      <c r="H1769" s="46" t="s">
        <v>20396</v>
      </c>
    </row>
    <row r="1770" spans="1:8" ht="140.25" x14ac:dyDescent="0.2">
      <c r="A1770" s="74" t="s">
        <v>20397</v>
      </c>
      <c r="B1770" s="74" t="s">
        <v>8271</v>
      </c>
      <c r="C1770" s="74" t="s">
        <v>20398</v>
      </c>
      <c r="D1770" s="74"/>
      <c r="E1770" s="74"/>
      <c r="F1770" s="74"/>
      <c r="G1770" s="74"/>
      <c r="H1770" s="74" t="s">
        <v>20399</v>
      </c>
    </row>
    <row r="1771" spans="1:8" ht="38.25" x14ac:dyDescent="0.2">
      <c r="A1771" s="74" t="s">
        <v>20400</v>
      </c>
      <c r="B1771" s="74" t="s">
        <v>8274</v>
      </c>
      <c r="C1771" s="74" t="s">
        <v>20401</v>
      </c>
      <c r="D1771" s="74"/>
      <c r="E1771" s="74"/>
      <c r="F1771" s="74"/>
      <c r="G1771" s="74"/>
      <c r="H1771" s="73" t="s">
        <v>20402</v>
      </c>
    </row>
    <row r="1772" spans="1:8" ht="38.25" x14ac:dyDescent="0.2">
      <c r="A1772" s="75" t="s">
        <v>20403</v>
      </c>
      <c r="B1772" s="75" t="s">
        <v>8277</v>
      </c>
      <c r="C1772" s="75" t="s">
        <v>20404</v>
      </c>
      <c r="D1772" s="75"/>
      <c r="E1772" s="75"/>
      <c r="F1772" s="75"/>
      <c r="G1772" s="75"/>
      <c r="H1772" s="46" t="s">
        <v>20405</v>
      </c>
    </row>
    <row r="1773" spans="1:8" ht="51" x14ac:dyDescent="0.2">
      <c r="A1773" s="74" t="s">
        <v>20406</v>
      </c>
      <c r="B1773" s="74" t="s">
        <v>8279</v>
      </c>
      <c r="C1773" s="74" t="s">
        <v>20407</v>
      </c>
      <c r="D1773" s="74"/>
      <c r="E1773" s="74"/>
      <c r="F1773" s="74"/>
      <c r="G1773" s="74"/>
      <c r="H1773" s="14" t="s">
        <v>20408</v>
      </c>
    </row>
    <row r="1774" spans="1:8" ht="89.25" x14ac:dyDescent="0.2">
      <c r="A1774" s="74" t="s">
        <v>20409</v>
      </c>
      <c r="B1774" s="74" t="s">
        <v>8282</v>
      </c>
      <c r="C1774" s="74" t="s">
        <v>20410</v>
      </c>
      <c r="D1774" s="74"/>
      <c r="E1774" s="74"/>
      <c r="F1774" s="74"/>
      <c r="G1774" s="74"/>
      <c r="H1774" s="73" t="s">
        <v>20411</v>
      </c>
    </row>
    <row r="1775" spans="1:8" ht="51" x14ac:dyDescent="0.2">
      <c r="A1775" s="75" t="s">
        <v>20412</v>
      </c>
      <c r="B1775" s="75" t="s">
        <v>8285</v>
      </c>
      <c r="C1775" s="75" t="s">
        <v>20413</v>
      </c>
      <c r="D1775" s="75"/>
      <c r="E1775" s="75"/>
      <c r="F1775" s="75"/>
      <c r="G1775" s="75"/>
      <c r="H1775" s="76" t="s">
        <v>20414</v>
      </c>
    </row>
    <row r="1776" spans="1:8" ht="51" x14ac:dyDescent="0.2">
      <c r="A1776" s="74" t="s">
        <v>20415</v>
      </c>
      <c r="B1776" s="74" t="s">
        <v>8288</v>
      </c>
      <c r="C1776" s="74" t="s">
        <v>20416</v>
      </c>
      <c r="D1776" s="74"/>
      <c r="E1776" s="74"/>
      <c r="F1776" s="74"/>
      <c r="G1776" s="74"/>
      <c r="H1776" s="73" t="s">
        <v>20417</v>
      </c>
    </row>
    <row r="1777" spans="1:8" ht="38.25" x14ac:dyDescent="0.2">
      <c r="A1777" s="74" t="s">
        <v>20418</v>
      </c>
      <c r="B1777" s="74" t="s">
        <v>8291</v>
      </c>
      <c r="C1777" s="74" t="s">
        <v>20419</v>
      </c>
      <c r="D1777" s="74"/>
      <c r="E1777" s="74"/>
      <c r="F1777" s="74"/>
      <c r="G1777" s="74"/>
      <c r="H1777" s="14" t="s">
        <v>20420</v>
      </c>
    </row>
    <row r="1778" spans="1:8" ht="114.75" x14ac:dyDescent="0.2">
      <c r="A1778" s="75" t="s">
        <v>20421</v>
      </c>
      <c r="B1778" s="75" t="s">
        <v>8294</v>
      </c>
      <c r="C1778" s="75" t="s">
        <v>20422</v>
      </c>
      <c r="D1778" s="75"/>
      <c r="E1778" s="75"/>
      <c r="F1778" s="75"/>
      <c r="G1778" s="75"/>
      <c r="H1778" s="75" t="s">
        <v>20423</v>
      </c>
    </row>
    <row r="1779" spans="1:8" ht="89.25" x14ac:dyDescent="0.2">
      <c r="A1779" s="74" t="s">
        <v>20424</v>
      </c>
      <c r="B1779" s="74" t="s">
        <v>8297</v>
      </c>
      <c r="C1779" s="74" t="s">
        <v>20425</v>
      </c>
      <c r="D1779" s="74"/>
      <c r="E1779" s="74"/>
      <c r="F1779" s="74"/>
      <c r="G1779" s="74"/>
      <c r="H1779" s="74" t="s">
        <v>20426</v>
      </c>
    </row>
    <row r="1780" spans="1:8" ht="102" x14ac:dyDescent="0.2">
      <c r="A1780" s="74" t="s">
        <v>20427</v>
      </c>
      <c r="B1780" s="74" t="s">
        <v>8300</v>
      </c>
      <c r="C1780" s="74" t="s">
        <v>20428</v>
      </c>
      <c r="D1780" s="74"/>
      <c r="E1780" s="74"/>
      <c r="F1780" s="74"/>
      <c r="G1780" s="74"/>
      <c r="H1780" s="74" t="s">
        <v>20429</v>
      </c>
    </row>
    <row r="1781" spans="1:8" ht="51" x14ac:dyDescent="0.2">
      <c r="A1781" s="75" t="s">
        <v>20430</v>
      </c>
      <c r="B1781" s="75" t="s">
        <v>8303</v>
      </c>
      <c r="C1781" s="75" t="s">
        <v>20431</v>
      </c>
      <c r="D1781" s="75"/>
      <c r="E1781" s="75"/>
      <c r="F1781" s="75"/>
      <c r="G1781" s="75"/>
      <c r="H1781" s="76" t="s">
        <v>20432</v>
      </c>
    </row>
    <row r="1782" spans="1:8" ht="38.25" x14ac:dyDescent="0.2">
      <c r="A1782" s="74" t="s">
        <v>20433</v>
      </c>
      <c r="B1782" s="74" t="s">
        <v>8306</v>
      </c>
      <c r="C1782" s="74" t="s">
        <v>20434</v>
      </c>
      <c r="D1782" s="74"/>
      <c r="E1782" s="74"/>
      <c r="F1782" s="74"/>
      <c r="G1782" s="74"/>
      <c r="H1782" s="73" t="s">
        <v>20435</v>
      </c>
    </row>
    <row r="1783" spans="1:8" ht="76.5" x14ac:dyDescent="0.2">
      <c r="A1783" s="74" t="s">
        <v>20436</v>
      </c>
      <c r="B1783" s="74" t="s">
        <v>8309</v>
      </c>
      <c r="C1783" s="74" t="s">
        <v>20437</v>
      </c>
      <c r="D1783" s="74"/>
      <c r="E1783" s="74"/>
      <c r="F1783" s="74"/>
      <c r="G1783" s="74"/>
      <c r="H1783" s="74" t="s">
        <v>20438</v>
      </c>
    </row>
    <row r="1784" spans="1:8" ht="63.75" x14ac:dyDescent="0.2">
      <c r="A1784" s="75" t="s">
        <v>20439</v>
      </c>
      <c r="B1784" s="75" t="s">
        <v>8312</v>
      </c>
      <c r="C1784" s="75" t="s">
        <v>20440</v>
      </c>
      <c r="D1784" s="75"/>
      <c r="E1784" s="75"/>
      <c r="F1784" s="75"/>
      <c r="G1784" s="75"/>
      <c r="H1784" s="76" t="s">
        <v>20441</v>
      </c>
    </row>
    <row r="1785" spans="1:8" ht="63.75" x14ac:dyDescent="0.2">
      <c r="A1785" s="74" t="s">
        <v>20442</v>
      </c>
      <c r="B1785" s="74" t="s">
        <v>8315</v>
      </c>
      <c r="C1785" s="74" t="s">
        <v>20443</v>
      </c>
      <c r="D1785" s="74"/>
      <c r="E1785" s="74"/>
      <c r="F1785" s="74"/>
      <c r="G1785" s="74"/>
      <c r="H1785" s="73" t="s">
        <v>20444</v>
      </c>
    </row>
    <row r="1786" spans="1:8" ht="38.25" x14ac:dyDescent="0.2">
      <c r="A1786" s="74" t="s">
        <v>20445</v>
      </c>
      <c r="B1786" s="74" t="s">
        <v>8318</v>
      </c>
      <c r="C1786" s="74" t="s">
        <v>20446</v>
      </c>
      <c r="D1786" s="74"/>
      <c r="E1786" s="74"/>
      <c r="F1786" s="74"/>
      <c r="G1786" s="74"/>
      <c r="H1786" s="73" t="s">
        <v>20447</v>
      </c>
    </row>
    <row r="1787" spans="1:8" ht="114.75" x14ac:dyDescent="0.2">
      <c r="A1787" s="49" t="s">
        <v>20448</v>
      </c>
      <c r="B1787" s="49" t="s">
        <v>8321</v>
      </c>
      <c r="C1787" s="49" t="s">
        <v>20449</v>
      </c>
      <c r="D1787" s="49"/>
      <c r="E1787" s="49"/>
      <c r="F1787" s="49"/>
      <c r="G1787" s="49"/>
      <c r="H1787" s="75" t="s">
        <v>20450</v>
      </c>
    </row>
    <row r="1788" spans="1:8" ht="140.25" x14ac:dyDescent="0.2">
      <c r="A1788" s="74" t="s">
        <v>20451</v>
      </c>
      <c r="B1788" s="74" t="s">
        <v>8324</v>
      </c>
      <c r="C1788" s="74" t="s">
        <v>20452</v>
      </c>
      <c r="D1788" s="74"/>
      <c r="E1788" s="74"/>
      <c r="F1788" s="74"/>
      <c r="G1788" s="74"/>
      <c r="H1788" s="74" t="s">
        <v>20453</v>
      </c>
    </row>
    <row r="1789" spans="1:8" ht="38.25" x14ac:dyDescent="0.2">
      <c r="A1789" s="74" t="s">
        <v>20454</v>
      </c>
      <c r="B1789" s="74" t="s">
        <v>8329</v>
      </c>
      <c r="C1789" s="74" t="s">
        <v>20455</v>
      </c>
      <c r="D1789" s="74"/>
      <c r="E1789" s="74"/>
      <c r="F1789" s="74"/>
      <c r="G1789" s="74"/>
      <c r="H1789" s="73" t="s">
        <v>20456</v>
      </c>
    </row>
    <row r="1790" spans="1:8" ht="51" x14ac:dyDescent="0.2">
      <c r="A1790" s="75" t="s">
        <v>20457</v>
      </c>
      <c r="B1790" s="75" t="s">
        <v>8440</v>
      </c>
      <c r="C1790" s="75" t="s">
        <v>20458</v>
      </c>
      <c r="D1790" s="75"/>
      <c r="E1790" s="75"/>
      <c r="F1790" s="75"/>
      <c r="G1790" s="75"/>
      <c r="H1790" s="46" t="s">
        <v>20459</v>
      </c>
    </row>
    <row r="1791" spans="1:8" ht="63.75" x14ac:dyDescent="0.2">
      <c r="A1791" s="74" t="s">
        <v>20460</v>
      </c>
      <c r="B1791" s="74" t="s">
        <v>8443</v>
      </c>
      <c r="C1791" s="74" t="s">
        <v>20461</v>
      </c>
      <c r="D1791" s="74"/>
      <c r="E1791" s="74"/>
      <c r="F1791" s="74"/>
      <c r="G1791" s="74"/>
      <c r="H1791" s="73" t="s">
        <v>20462</v>
      </c>
    </row>
    <row r="1792" spans="1:8" ht="63.75" x14ac:dyDescent="0.2">
      <c r="A1792" s="74" t="s">
        <v>20463</v>
      </c>
      <c r="B1792" s="74" t="s">
        <v>8446</v>
      </c>
      <c r="C1792" s="74" t="s">
        <v>20464</v>
      </c>
      <c r="D1792" s="74"/>
      <c r="E1792" s="74"/>
      <c r="F1792" s="74"/>
      <c r="G1792" s="74"/>
      <c r="H1792" s="74" t="s">
        <v>20465</v>
      </c>
    </row>
    <row r="1793" spans="1:8" ht="76.5" x14ac:dyDescent="0.2">
      <c r="A1793" s="76" t="s">
        <v>20466</v>
      </c>
      <c r="B1793" s="76" t="s">
        <v>8449</v>
      </c>
      <c r="C1793" s="76" t="s">
        <v>20467</v>
      </c>
      <c r="D1793" s="76"/>
      <c r="E1793" s="76"/>
      <c r="F1793" s="76"/>
      <c r="G1793" s="76"/>
      <c r="H1793" s="76" t="s">
        <v>20468</v>
      </c>
    </row>
    <row r="1794" spans="1:8" ht="51" x14ac:dyDescent="0.2">
      <c r="A1794" s="74" t="s">
        <v>20469</v>
      </c>
      <c r="B1794" s="74" t="s">
        <v>8452</v>
      </c>
      <c r="C1794" s="74" t="s">
        <v>20470</v>
      </c>
      <c r="D1794" s="74"/>
      <c r="E1794" s="74"/>
      <c r="F1794" s="74"/>
      <c r="G1794" s="74"/>
      <c r="H1794" s="73" t="s">
        <v>20471</v>
      </c>
    </row>
    <row r="1795" spans="1:8" ht="51" x14ac:dyDescent="0.2">
      <c r="A1795" s="74" t="s">
        <v>20472</v>
      </c>
      <c r="B1795" s="74" t="s">
        <v>8455</v>
      </c>
      <c r="C1795" s="74" t="s">
        <v>20473</v>
      </c>
      <c r="D1795" s="74"/>
      <c r="E1795" s="74"/>
      <c r="F1795" s="74"/>
      <c r="G1795" s="74"/>
      <c r="H1795" s="73" t="s">
        <v>20474</v>
      </c>
    </row>
    <row r="1796" spans="1:8" ht="51" x14ac:dyDescent="0.2">
      <c r="A1796" s="75" t="s">
        <v>20475</v>
      </c>
      <c r="B1796" s="75" t="s">
        <v>8458</v>
      </c>
      <c r="C1796" s="75" t="s">
        <v>20476</v>
      </c>
      <c r="D1796" s="75"/>
      <c r="E1796" s="75"/>
      <c r="F1796" s="75"/>
      <c r="G1796" s="75"/>
      <c r="H1796" s="46" t="s">
        <v>20477</v>
      </c>
    </row>
    <row r="1797" spans="1:8" ht="51" x14ac:dyDescent="0.2">
      <c r="A1797" s="74" t="s">
        <v>20478</v>
      </c>
      <c r="B1797" s="74" t="s">
        <v>8461</v>
      </c>
      <c r="C1797" s="74" t="s">
        <v>20479</v>
      </c>
      <c r="D1797" s="74"/>
      <c r="E1797" s="74"/>
      <c r="F1797" s="74"/>
      <c r="G1797" s="74"/>
      <c r="H1797" s="74" t="s">
        <v>20480</v>
      </c>
    </row>
    <row r="1798" spans="1:8" ht="25.5" x14ac:dyDescent="0.2">
      <c r="A1798" s="74" t="s">
        <v>20481</v>
      </c>
      <c r="B1798" s="74" t="s">
        <v>8466</v>
      </c>
      <c r="C1798" s="74" t="s">
        <v>20482</v>
      </c>
      <c r="D1798" s="74"/>
      <c r="E1798" s="74"/>
      <c r="F1798" s="74"/>
      <c r="G1798" s="74"/>
      <c r="H1798" s="14" t="s">
        <v>20483</v>
      </c>
    </row>
    <row r="1799" spans="1:8" ht="25.5" x14ac:dyDescent="0.2">
      <c r="A1799" s="75" t="s">
        <v>20484</v>
      </c>
      <c r="B1799" s="75" t="s">
        <v>8469</v>
      </c>
      <c r="C1799" s="75" t="s">
        <v>20485</v>
      </c>
      <c r="D1799" s="75"/>
      <c r="E1799" s="75"/>
      <c r="F1799" s="75"/>
      <c r="G1799" s="75"/>
      <c r="H1799" s="46" t="s">
        <v>20486</v>
      </c>
    </row>
    <row r="1800" spans="1:8" ht="25.5" x14ac:dyDescent="0.2">
      <c r="A1800" s="74" t="s">
        <v>20487</v>
      </c>
      <c r="B1800" s="74" t="s">
        <v>8472</v>
      </c>
      <c r="C1800" s="74" t="s">
        <v>20488</v>
      </c>
      <c r="D1800" s="74"/>
      <c r="E1800" s="74"/>
      <c r="F1800" s="74"/>
      <c r="G1800" s="74"/>
      <c r="H1800" s="14" t="s">
        <v>20489</v>
      </c>
    </row>
    <row r="1801" spans="1:8" ht="25.5" x14ac:dyDescent="0.2">
      <c r="A1801" s="74" t="s">
        <v>20490</v>
      </c>
      <c r="B1801" s="74" t="s">
        <v>8475</v>
      </c>
      <c r="C1801" s="74" t="s">
        <v>20491</v>
      </c>
      <c r="D1801" s="74"/>
      <c r="E1801" s="74"/>
      <c r="F1801" s="74"/>
      <c r="G1801" s="74"/>
      <c r="H1801" s="74" t="s">
        <v>20492</v>
      </c>
    </row>
    <row r="1802" spans="1:8" ht="51" x14ac:dyDescent="0.2">
      <c r="A1802" s="75" t="s">
        <v>20493</v>
      </c>
      <c r="B1802" s="75" t="s">
        <v>8478</v>
      </c>
      <c r="C1802" s="75" t="s">
        <v>20494</v>
      </c>
      <c r="D1802" s="75" t="s">
        <v>20495</v>
      </c>
      <c r="E1802" s="75"/>
      <c r="F1802" s="75"/>
      <c r="G1802" s="75"/>
      <c r="H1802" s="75" t="s">
        <v>20496</v>
      </c>
    </row>
    <row r="1803" spans="1:8" ht="140.25" x14ac:dyDescent="0.2">
      <c r="A1803" s="74" t="s">
        <v>20497</v>
      </c>
      <c r="B1803" s="74" t="s">
        <v>8481</v>
      </c>
      <c r="C1803" s="74" t="s">
        <v>20498</v>
      </c>
      <c r="D1803" s="74"/>
      <c r="E1803" s="74"/>
      <c r="F1803" s="74"/>
      <c r="G1803" s="74"/>
      <c r="H1803" s="74" t="s">
        <v>20499</v>
      </c>
    </row>
    <row r="1804" spans="1:8" ht="127.5" x14ac:dyDescent="0.2">
      <c r="A1804" s="75" t="s">
        <v>20500</v>
      </c>
      <c r="B1804" s="75" t="s">
        <v>8484</v>
      </c>
      <c r="C1804" s="75" t="s">
        <v>20501</v>
      </c>
      <c r="D1804" s="75"/>
      <c r="E1804" s="75"/>
      <c r="F1804" s="75"/>
      <c r="G1804" s="75"/>
      <c r="H1804" s="75" t="s">
        <v>20502</v>
      </c>
    </row>
    <row r="1805" spans="1:8" ht="89.25" x14ac:dyDescent="0.2">
      <c r="A1805" s="74" t="s">
        <v>20503</v>
      </c>
      <c r="B1805" s="74" t="s">
        <v>8487</v>
      </c>
      <c r="C1805" s="74" t="s">
        <v>20504</v>
      </c>
      <c r="D1805" s="74"/>
      <c r="E1805" s="74"/>
      <c r="F1805" s="74"/>
      <c r="G1805" s="74"/>
      <c r="H1805" s="74" t="s">
        <v>20505</v>
      </c>
    </row>
    <row r="1806" spans="1:8" ht="89.25" x14ac:dyDescent="0.2">
      <c r="A1806" s="74" t="s">
        <v>20506</v>
      </c>
      <c r="B1806" s="74" t="s">
        <v>8490</v>
      </c>
      <c r="C1806" s="74" t="s">
        <v>20507</v>
      </c>
      <c r="D1806" s="74"/>
      <c r="E1806" s="74"/>
      <c r="F1806" s="74"/>
      <c r="G1806" s="74"/>
      <c r="H1806" s="74" t="s">
        <v>20508</v>
      </c>
    </row>
    <row r="1807" spans="1:8" ht="38.25" x14ac:dyDescent="0.2">
      <c r="A1807" s="75" t="s">
        <v>20509</v>
      </c>
      <c r="B1807" s="75" t="s">
        <v>8495</v>
      </c>
      <c r="C1807" s="75" t="s">
        <v>20510</v>
      </c>
      <c r="D1807" s="75"/>
      <c r="E1807" s="75"/>
      <c r="F1807" s="75"/>
      <c r="G1807" s="75"/>
      <c r="H1807" s="75" t="s">
        <v>20511</v>
      </c>
    </row>
    <row r="1808" spans="1:8" ht="25.5" x14ac:dyDescent="0.2">
      <c r="A1808" s="74" t="s">
        <v>20512</v>
      </c>
      <c r="B1808" s="74" t="s">
        <v>8498</v>
      </c>
      <c r="C1808" s="74" t="s">
        <v>20513</v>
      </c>
      <c r="D1808" s="74"/>
      <c r="E1808" s="74"/>
      <c r="F1808" s="74"/>
      <c r="G1808" s="74"/>
      <c r="H1808" s="73" t="s">
        <v>20514</v>
      </c>
    </row>
    <row r="1809" spans="1:8" ht="25.5" x14ac:dyDescent="0.2">
      <c r="A1809" s="74" t="s">
        <v>20515</v>
      </c>
      <c r="B1809" s="74" t="s">
        <v>8501</v>
      </c>
      <c r="C1809" s="74" t="s">
        <v>20516</v>
      </c>
      <c r="D1809" s="74"/>
      <c r="E1809" s="74"/>
      <c r="F1809" s="74"/>
      <c r="G1809" s="74"/>
      <c r="H1809" s="14" t="s">
        <v>20517</v>
      </c>
    </row>
    <row r="1810" spans="1:8" ht="51" x14ac:dyDescent="0.2">
      <c r="A1810" s="75" t="s">
        <v>20518</v>
      </c>
      <c r="B1810" s="75" t="s">
        <v>8504</v>
      </c>
      <c r="C1810" s="75" t="s">
        <v>20519</v>
      </c>
      <c r="D1810" s="75"/>
      <c r="E1810" s="75"/>
      <c r="F1810" s="75"/>
      <c r="G1810" s="75"/>
      <c r="H1810" s="46" t="s">
        <v>20520</v>
      </c>
    </row>
    <row r="1811" spans="1:8" ht="25.5" x14ac:dyDescent="0.2">
      <c r="A1811" s="74" t="s">
        <v>20521</v>
      </c>
      <c r="B1811" s="74" t="s">
        <v>8507</v>
      </c>
      <c r="C1811" s="74" t="s">
        <v>20522</v>
      </c>
      <c r="D1811" s="74"/>
      <c r="E1811" s="74"/>
      <c r="F1811" s="74"/>
      <c r="G1811" s="74"/>
      <c r="H1811" s="14" t="s">
        <v>20523</v>
      </c>
    </row>
    <row r="1812" spans="1:8" ht="25.5" x14ac:dyDescent="0.2">
      <c r="A1812" s="74" t="s">
        <v>20524</v>
      </c>
      <c r="B1812" s="74" t="s">
        <v>8510</v>
      </c>
      <c r="C1812" s="74" t="s">
        <v>20525</v>
      </c>
      <c r="D1812" s="74"/>
      <c r="E1812" s="74"/>
      <c r="F1812" s="74"/>
      <c r="G1812" s="74"/>
      <c r="H1812" s="73" t="s">
        <v>20526</v>
      </c>
    </row>
    <row r="1813" spans="1:8" ht="25.5" x14ac:dyDescent="0.2">
      <c r="A1813" s="75" t="s">
        <v>20527</v>
      </c>
      <c r="B1813" s="75" t="s">
        <v>8513</v>
      </c>
      <c r="C1813" s="75" t="s">
        <v>20528</v>
      </c>
      <c r="D1813" s="75"/>
      <c r="E1813" s="75"/>
      <c r="F1813" s="75"/>
      <c r="G1813" s="75"/>
      <c r="H1813" s="46" t="s">
        <v>20529</v>
      </c>
    </row>
    <row r="1814" spans="1:8" ht="63.75" x14ac:dyDescent="0.2">
      <c r="A1814" s="74" t="s">
        <v>20530</v>
      </c>
      <c r="B1814" s="74" t="s">
        <v>8516</v>
      </c>
      <c r="C1814" s="74" t="s">
        <v>20531</v>
      </c>
      <c r="D1814" s="74"/>
      <c r="E1814" s="74"/>
      <c r="F1814" s="74"/>
      <c r="G1814" s="74"/>
      <c r="H1814" s="73" t="s">
        <v>20532</v>
      </c>
    </row>
    <row r="1815" spans="1:8" ht="51" x14ac:dyDescent="0.2">
      <c r="A1815" s="74" t="s">
        <v>20533</v>
      </c>
      <c r="B1815" s="74" t="s">
        <v>8519</v>
      </c>
      <c r="C1815" s="74" t="s">
        <v>20534</v>
      </c>
      <c r="D1815" s="74"/>
      <c r="E1815" s="74"/>
      <c r="F1815" s="74"/>
      <c r="G1815" s="74"/>
      <c r="H1815" s="73" t="s">
        <v>20535</v>
      </c>
    </row>
    <row r="1816" spans="1:8" ht="63.75" x14ac:dyDescent="0.2">
      <c r="A1816" s="75" t="s">
        <v>20536</v>
      </c>
      <c r="B1816" s="75" t="s">
        <v>8522</v>
      </c>
      <c r="C1816" s="75" t="s">
        <v>20537</v>
      </c>
      <c r="D1816" s="75"/>
      <c r="E1816" s="75"/>
      <c r="F1816" s="75"/>
      <c r="G1816" s="75"/>
      <c r="H1816" s="75" t="s">
        <v>20538</v>
      </c>
    </row>
    <row r="1817" spans="1:8" ht="51" x14ac:dyDescent="0.2">
      <c r="A1817" s="74" t="s">
        <v>20539</v>
      </c>
      <c r="B1817" s="74" t="s">
        <v>8525</v>
      </c>
      <c r="C1817" s="74" t="s">
        <v>20540</v>
      </c>
      <c r="D1817" s="74"/>
      <c r="E1817" s="74"/>
      <c r="F1817" s="74"/>
      <c r="G1817" s="74"/>
      <c r="H1817" s="14" t="s">
        <v>20541</v>
      </c>
    </row>
    <row r="1818" spans="1:8" ht="63.75" x14ac:dyDescent="0.2">
      <c r="A1818" s="74" t="s">
        <v>20542</v>
      </c>
      <c r="B1818" s="74" t="s">
        <v>8528</v>
      </c>
      <c r="C1818" s="74" t="s">
        <v>20543</v>
      </c>
      <c r="D1818" s="74"/>
      <c r="E1818" s="74"/>
      <c r="F1818" s="74"/>
      <c r="G1818" s="74"/>
      <c r="H1818" s="73" t="s">
        <v>20544</v>
      </c>
    </row>
    <row r="1819" spans="1:8" ht="76.5" x14ac:dyDescent="0.2">
      <c r="A1819" s="75" t="s">
        <v>20545</v>
      </c>
      <c r="B1819" s="75" t="s">
        <v>8531</v>
      </c>
      <c r="C1819" s="75" t="s">
        <v>20546</v>
      </c>
      <c r="D1819" s="75"/>
      <c r="E1819" s="75"/>
      <c r="F1819" s="75"/>
      <c r="G1819" s="75"/>
      <c r="H1819" s="75" t="s">
        <v>20547</v>
      </c>
    </row>
    <row r="1820" spans="1:8" ht="51" x14ac:dyDescent="0.2">
      <c r="A1820" s="74" t="s">
        <v>20548</v>
      </c>
      <c r="B1820" s="74" t="s">
        <v>8534</v>
      </c>
      <c r="C1820" s="74" t="s">
        <v>20549</v>
      </c>
      <c r="D1820" s="74"/>
      <c r="E1820" s="74"/>
      <c r="F1820" s="74"/>
      <c r="G1820" s="74"/>
      <c r="H1820" s="74" t="s">
        <v>20550</v>
      </c>
    </row>
    <row r="1821" spans="1:8" ht="38.25" x14ac:dyDescent="0.2">
      <c r="A1821" s="74" t="s">
        <v>20551</v>
      </c>
      <c r="B1821" s="74" t="s">
        <v>8537</v>
      </c>
      <c r="C1821" s="74" t="s">
        <v>20552</v>
      </c>
      <c r="D1821" s="74"/>
      <c r="E1821" s="74"/>
      <c r="F1821" s="74"/>
      <c r="G1821" s="74"/>
      <c r="H1821" s="73" t="s">
        <v>20553</v>
      </c>
    </row>
    <row r="1822" spans="1:8" ht="76.5" x14ac:dyDescent="0.2">
      <c r="A1822" s="75" t="s">
        <v>20554</v>
      </c>
      <c r="B1822" s="75" t="s">
        <v>8540</v>
      </c>
      <c r="C1822" s="75" t="s">
        <v>20555</v>
      </c>
      <c r="D1822" s="75"/>
      <c r="E1822" s="75"/>
      <c r="F1822" s="75"/>
      <c r="G1822" s="75"/>
      <c r="H1822" s="46" t="s">
        <v>20556</v>
      </c>
    </row>
    <row r="1823" spans="1:8" ht="76.5" x14ac:dyDescent="0.2">
      <c r="A1823" s="74" t="s">
        <v>20557</v>
      </c>
      <c r="B1823" s="74" t="s">
        <v>8543</v>
      </c>
      <c r="C1823" s="74" t="s">
        <v>20558</v>
      </c>
      <c r="D1823" s="74"/>
      <c r="E1823" s="74"/>
      <c r="F1823" s="74"/>
      <c r="G1823" s="74"/>
      <c r="H1823" s="14" t="s">
        <v>20559</v>
      </c>
    </row>
    <row r="1824" spans="1:8" ht="63.75" x14ac:dyDescent="0.2">
      <c r="A1824" s="74" t="s">
        <v>20560</v>
      </c>
      <c r="B1824" s="74" t="s">
        <v>8545</v>
      </c>
      <c r="C1824" s="74" t="s">
        <v>20561</v>
      </c>
      <c r="D1824" s="74"/>
      <c r="E1824" s="74"/>
      <c r="F1824" s="74"/>
      <c r="G1824" s="74"/>
      <c r="H1824" s="14" t="s">
        <v>20562</v>
      </c>
    </row>
    <row r="1825" spans="1:8" ht="51" x14ac:dyDescent="0.2">
      <c r="A1825" s="75" t="s">
        <v>20563</v>
      </c>
      <c r="B1825" s="75" t="s">
        <v>8548</v>
      </c>
      <c r="C1825" s="75" t="s">
        <v>20564</v>
      </c>
      <c r="D1825" s="75"/>
      <c r="E1825" s="75"/>
      <c r="F1825" s="75"/>
      <c r="G1825" s="75"/>
      <c r="H1825" s="76" t="s">
        <v>20565</v>
      </c>
    </row>
    <row r="1826" spans="1:8" ht="63.75" x14ac:dyDescent="0.2">
      <c r="A1826" s="74" t="s">
        <v>20566</v>
      </c>
      <c r="B1826" s="74" t="s">
        <v>8551</v>
      </c>
      <c r="C1826" s="74" t="s">
        <v>20567</v>
      </c>
      <c r="D1826" s="74"/>
      <c r="E1826" s="74"/>
      <c r="F1826" s="74"/>
      <c r="G1826" s="74"/>
      <c r="H1826" s="14" t="s">
        <v>20568</v>
      </c>
    </row>
    <row r="1827" spans="1:8" ht="89.25" x14ac:dyDescent="0.2">
      <c r="A1827" s="74" t="s">
        <v>20569</v>
      </c>
      <c r="B1827" s="74" t="s">
        <v>8554</v>
      </c>
      <c r="C1827" s="74" t="s">
        <v>20570</v>
      </c>
      <c r="D1827" s="74"/>
      <c r="E1827" s="74"/>
      <c r="F1827" s="74"/>
      <c r="G1827" s="74"/>
      <c r="H1827" s="74" t="s">
        <v>20571</v>
      </c>
    </row>
    <row r="1828" spans="1:8" ht="63.75" x14ac:dyDescent="0.2">
      <c r="A1828" s="75" t="s">
        <v>20572</v>
      </c>
      <c r="B1828" s="75" t="s">
        <v>8557</v>
      </c>
      <c r="C1828" s="75" t="s">
        <v>20573</v>
      </c>
      <c r="D1828" s="75"/>
      <c r="E1828" s="75"/>
      <c r="F1828" s="75"/>
      <c r="G1828" s="75"/>
      <c r="H1828" s="75" t="s">
        <v>20574</v>
      </c>
    </row>
    <row r="1829" spans="1:8" ht="63.75" x14ac:dyDescent="0.2">
      <c r="A1829" s="74" t="s">
        <v>20575</v>
      </c>
      <c r="B1829" s="74" t="s">
        <v>8560</v>
      </c>
      <c r="C1829" s="74" t="s">
        <v>20576</v>
      </c>
      <c r="D1829" s="74"/>
      <c r="E1829" s="74"/>
      <c r="F1829" s="74"/>
      <c r="G1829" s="74"/>
      <c r="H1829" s="73" t="s">
        <v>20577</v>
      </c>
    </row>
    <row r="1830" spans="1:8" ht="38.25" x14ac:dyDescent="0.2">
      <c r="A1830" s="74" t="s">
        <v>20578</v>
      </c>
      <c r="B1830" s="74" t="s">
        <v>8563</v>
      </c>
      <c r="C1830" s="74" t="s">
        <v>20579</v>
      </c>
      <c r="D1830" s="74"/>
      <c r="E1830" s="74"/>
      <c r="F1830" s="74"/>
      <c r="G1830" s="74"/>
      <c r="H1830" s="14" t="s">
        <v>20580</v>
      </c>
    </row>
    <row r="1831" spans="1:8" ht="38.25" x14ac:dyDescent="0.2">
      <c r="A1831" s="75" t="s">
        <v>20581</v>
      </c>
      <c r="B1831" s="75" t="s">
        <v>8566</v>
      </c>
      <c r="C1831" s="75" t="s">
        <v>20582</v>
      </c>
      <c r="D1831" s="75"/>
      <c r="E1831" s="75"/>
      <c r="F1831" s="75"/>
      <c r="G1831" s="75"/>
      <c r="H1831" s="46" t="s">
        <v>20583</v>
      </c>
    </row>
    <row r="1832" spans="1:8" ht="51" x14ac:dyDescent="0.2">
      <c r="A1832" s="74" t="s">
        <v>20584</v>
      </c>
      <c r="B1832" s="74" t="s">
        <v>8569</v>
      </c>
      <c r="C1832" s="74" t="s">
        <v>20585</v>
      </c>
      <c r="D1832" s="74" t="s">
        <v>20586</v>
      </c>
      <c r="E1832" s="74" t="s">
        <v>20587</v>
      </c>
      <c r="F1832" s="74"/>
      <c r="G1832" s="74"/>
      <c r="H1832" s="14" t="s">
        <v>20588</v>
      </c>
    </row>
    <row r="1833" spans="1:8" ht="25.5" x14ac:dyDescent="0.2">
      <c r="A1833" s="74" t="s">
        <v>20589</v>
      </c>
      <c r="B1833" s="74" t="s">
        <v>8576</v>
      </c>
      <c r="C1833" s="74" t="s">
        <v>20590</v>
      </c>
      <c r="D1833" s="74"/>
      <c r="E1833" s="74"/>
      <c r="F1833" s="74"/>
      <c r="G1833" s="74"/>
      <c r="H1833" s="14" t="s">
        <v>20591</v>
      </c>
    </row>
    <row r="1834" spans="1:8" ht="25.5" x14ac:dyDescent="0.2">
      <c r="A1834" s="75" t="s">
        <v>20592</v>
      </c>
      <c r="B1834" s="75" t="s">
        <v>8581</v>
      </c>
      <c r="C1834" s="75" t="s">
        <v>20593</v>
      </c>
      <c r="D1834" s="75"/>
      <c r="E1834" s="75"/>
      <c r="F1834" s="75"/>
      <c r="G1834" s="75"/>
      <c r="H1834" s="46" t="s">
        <v>20594</v>
      </c>
    </row>
    <row r="1835" spans="1:8" ht="25.5" x14ac:dyDescent="0.2">
      <c r="A1835" s="74" t="s">
        <v>20595</v>
      </c>
      <c r="B1835" s="74" t="s">
        <v>8584</v>
      </c>
      <c r="C1835" s="74" t="s">
        <v>20596</v>
      </c>
      <c r="D1835" s="74"/>
      <c r="E1835" s="74"/>
      <c r="F1835" s="74"/>
      <c r="G1835" s="74"/>
      <c r="H1835" s="14" t="s">
        <v>20597</v>
      </c>
    </row>
    <row r="1836" spans="1:8" ht="25.5" x14ac:dyDescent="0.2">
      <c r="A1836" s="74" t="s">
        <v>20598</v>
      </c>
      <c r="B1836" s="74" t="s">
        <v>8587</v>
      </c>
      <c r="C1836" s="74" t="s">
        <v>20599</v>
      </c>
      <c r="D1836" s="74"/>
      <c r="E1836" s="74"/>
      <c r="F1836" s="74"/>
      <c r="G1836" s="74"/>
      <c r="H1836" s="14" t="s">
        <v>20600</v>
      </c>
    </row>
    <row r="1837" spans="1:8" ht="51" x14ac:dyDescent="0.2">
      <c r="A1837" s="75" t="s">
        <v>20601</v>
      </c>
      <c r="B1837" s="75" t="s">
        <v>8590</v>
      </c>
      <c r="C1837" s="75" t="s">
        <v>20602</v>
      </c>
      <c r="D1837" s="75"/>
      <c r="E1837" s="75"/>
      <c r="F1837" s="75"/>
      <c r="G1837" s="75"/>
      <c r="H1837" s="75" t="s">
        <v>20603</v>
      </c>
    </row>
    <row r="1838" spans="1:8" ht="51" x14ac:dyDescent="0.2">
      <c r="A1838" s="74" t="s">
        <v>20604</v>
      </c>
      <c r="B1838" s="74" t="s">
        <v>8593</v>
      </c>
      <c r="C1838" s="74" t="s">
        <v>20605</v>
      </c>
      <c r="D1838" s="74"/>
      <c r="E1838" s="74"/>
      <c r="F1838" s="74"/>
      <c r="G1838" s="74"/>
      <c r="H1838" s="74" t="s">
        <v>20606</v>
      </c>
    </row>
    <row r="1839" spans="1:8" ht="25.5" x14ac:dyDescent="0.2">
      <c r="A1839" s="74" t="s">
        <v>20607</v>
      </c>
      <c r="B1839" s="74" t="s">
        <v>8596</v>
      </c>
      <c r="C1839" s="74" t="s">
        <v>20608</v>
      </c>
      <c r="D1839" s="74"/>
      <c r="E1839" s="74"/>
      <c r="F1839" s="74"/>
      <c r="G1839" s="74"/>
      <c r="H1839" s="14" t="s">
        <v>20609</v>
      </c>
    </row>
    <row r="1840" spans="1:8" ht="38.25" x14ac:dyDescent="0.2">
      <c r="A1840" s="75" t="s">
        <v>20610</v>
      </c>
      <c r="B1840" s="75" t="s">
        <v>8599</v>
      </c>
      <c r="C1840" s="75" t="s">
        <v>20611</v>
      </c>
      <c r="D1840" s="75"/>
      <c r="E1840" s="75"/>
      <c r="F1840" s="75"/>
      <c r="G1840" s="75"/>
      <c r="H1840" s="75" t="s">
        <v>20612</v>
      </c>
    </row>
    <row r="1841" spans="1:8" ht="38.25" x14ac:dyDescent="0.2">
      <c r="A1841" s="74" t="s">
        <v>20613</v>
      </c>
      <c r="B1841" s="74" t="s">
        <v>8602</v>
      </c>
      <c r="C1841" s="74" t="s">
        <v>20614</v>
      </c>
      <c r="D1841" s="74"/>
      <c r="E1841" s="74"/>
      <c r="F1841" s="74"/>
      <c r="G1841" s="74"/>
      <c r="H1841" s="73" t="s">
        <v>20615</v>
      </c>
    </row>
    <row r="1842" spans="1:8" ht="51" x14ac:dyDescent="0.2">
      <c r="A1842" s="74" t="s">
        <v>20616</v>
      </c>
      <c r="B1842" s="74" t="s">
        <v>8605</v>
      </c>
      <c r="C1842" s="74" t="s">
        <v>20617</v>
      </c>
      <c r="D1842" s="74"/>
      <c r="E1842" s="74"/>
      <c r="F1842" s="74"/>
      <c r="G1842" s="74"/>
      <c r="H1842" s="74" t="s">
        <v>20618</v>
      </c>
    </row>
    <row r="1843" spans="1:8" ht="63.75" x14ac:dyDescent="0.2">
      <c r="A1843" s="49" t="s">
        <v>20619</v>
      </c>
      <c r="B1843" s="49" t="s">
        <v>8608</v>
      </c>
      <c r="C1843" s="49" t="s">
        <v>20620</v>
      </c>
      <c r="D1843" s="49"/>
      <c r="E1843" s="49"/>
      <c r="F1843" s="49"/>
      <c r="G1843" s="49"/>
      <c r="H1843" s="76" t="s">
        <v>20621</v>
      </c>
    </row>
    <row r="1844" spans="1:8" ht="38.25" x14ac:dyDescent="0.2">
      <c r="A1844" s="74" t="s">
        <v>20622</v>
      </c>
      <c r="B1844" s="74" t="s">
        <v>8611</v>
      </c>
      <c r="C1844" s="74" t="s">
        <v>20623</v>
      </c>
      <c r="D1844" s="74"/>
      <c r="E1844" s="74"/>
      <c r="F1844" s="74"/>
      <c r="G1844" s="74"/>
      <c r="H1844" s="73" t="s">
        <v>20624</v>
      </c>
    </row>
    <row r="1845" spans="1:8" ht="63.75" x14ac:dyDescent="0.2">
      <c r="A1845" s="74" t="s">
        <v>20625</v>
      </c>
      <c r="B1845" s="74" t="s">
        <v>8614</v>
      </c>
      <c r="C1845" s="74" t="s">
        <v>20626</v>
      </c>
      <c r="D1845" s="74"/>
      <c r="E1845" s="74"/>
      <c r="F1845" s="74"/>
      <c r="G1845" s="74"/>
      <c r="H1845" s="74" t="s">
        <v>20627</v>
      </c>
    </row>
    <row r="1846" spans="1:8" ht="63.75" x14ac:dyDescent="0.2">
      <c r="A1846" s="75" t="s">
        <v>20628</v>
      </c>
      <c r="B1846" s="75" t="s">
        <v>8617</v>
      </c>
      <c r="C1846" s="75" t="s">
        <v>20629</v>
      </c>
      <c r="D1846" s="75"/>
      <c r="E1846" s="75"/>
      <c r="F1846" s="75"/>
      <c r="G1846" s="75"/>
      <c r="H1846" s="76" t="s">
        <v>20630</v>
      </c>
    </row>
    <row r="1847" spans="1:8" ht="63.75" x14ac:dyDescent="0.2">
      <c r="A1847" s="74" t="s">
        <v>20631</v>
      </c>
      <c r="B1847" s="74" t="s">
        <v>8620</v>
      </c>
      <c r="C1847" s="74" t="s">
        <v>20632</v>
      </c>
      <c r="D1847" s="74"/>
      <c r="E1847" s="74"/>
      <c r="F1847" s="74"/>
      <c r="G1847" s="74"/>
      <c r="H1847" s="73" t="s">
        <v>20633</v>
      </c>
    </row>
    <row r="1848" spans="1:8" ht="63.75" x14ac:dyDescent="0.2">
      <c r="A1848" s="74" t="s">
        <v>20634</v>
      </c>
      <c r="B1848" s="74" t="s">
        <v>8623</v>
      </c>
      <c r="C1848" s="74" t="s">
        <v>20635</v>
      </c>
      <c r="D1848" s="74"/>
      <c r="E1848" s="74"/>
      <c r="F1848" s="74"/>
      <c r="G1848" s="74"/>
      <c r="H1848" s="73" t="s">
        <v>20636</v>
      </c>
    </row>
    <row r="1849" spans="1:8" ht="25.5" x14ac:dyDescent="0.2">
      <c r="A1849" s="75" t="s">
        <v>20637</v>
      </c>
      <c r="B1849" s="75" t="s">
        <v>8626</v>
      </c>
      <c r="C1849" s="75" t="s">
        <v>20638</v>
      </c>
      <c r="D1849" s="75"/>
      <c r="E1849" s="75"/>
      <c r="F1849" s="75"/>
      <c r="G1849" s="75"/>
      <c r="H1849" s="76" t="s">
        <v>20639</v>
      </c>
    </row>
    <row r="1850" spans="1:8" ht="25.5" x14ac:dyDescent="0.2">
      <c r="A1850" s="74" t="s">
        <v>20640</v>
      </c>
      <c r="B1850" s="74" t="s">
        <v>8629</v>
      </c>
      <c r="C1850" s="74" t="s">
        <v>20641</v>
      </c>
      <c r="D1850" s="74"/>
      <c r="E1850" s="74"/>
      <c r="F1850" s="74"/>
      <c r="G1850" s="74"/>
      <c r="H1850" s="73" t="s">
        <v>20642</v>
      </c>
    </row>
    <row r="1851" spans="1:8" ht="51" x14ac:dyDescent="0.2">
      <c r="A1851" s="74" t="s">
        <v>20643</v>
      </c>
      <c r="B1851" s="74" t="s">
        <v>8632</v>
      </c>
      <c r="C1851" s="74" t="s">
        <v>20644</v>
      </c>
      <c r="D1851" s="74"/>
      <c r="E1851" s="74"/>
      <c r="F1851" s="74"/>
      <c r="G1851" s="74"/>
      <c r="H1851" s="74" t="s">
        <v>20645</v>
      </c>
    </row>
    <row r="1852" spans="1:8" ht="51" x14ac:dyDescent="0.2">
      <c r="A1852" s="75" t="s">
        <v>20646</v>
      </c>
      <c r="B1852" s="75" t="s">
        <v>8635</v>
      </c>
      <c r="C1852" s="75" t="s">
        <v>20647</v>
      </c>
      <c r="D1852" s="75"/>
      <c r="E1852" s="75"/>
      <c r="F1852" s="75"/>
      <c r="G1852" s="75"/>
      <c r="H1852" s="75" t="s">
        <v>20648</v>
      </c>
    </row>
    <row r="1853" spans="1:8" ht="38.25" x14ac:dyDescent="0.2">
      <c r="A1853" s="74" t="s">
        <v>20649</v>
      </c>
      <c r="B1853" s="74" t="s">
        <v>8638</v>
      </c>
      <c r="C1853" s="74" t="s">
        <v>20650</v>
      </c>
      <c r="D1853" s="74"/>
      <c r="E1853" s="74"/>
      <c r="F1853" s="74"/>
      <c r="G1853" s="74"/>
      <c r="H1853" s="73" t="s">
        <v>20651</v>
      </c>
    </row>
    <row r="1854" spans="1:8" ht="76.5" x14ac:dyDescent="0.2">
      <c r="A1854" s="74" t="s">
        <v>20652</v>
      </c>
      <c r="B1854" s="74" t="s">
        <v>8641</v>
      </c>
      <c r="C1854" s="74" t="s">
        <v>20653</v>
      </c>
      <c r="D1854" s="74"/>
      <c r="E1854" s="74"/>
      <c r="F1854" s="74"/>
      <c r="G1854" s="74"/>
      <c r="H1854" s="74" t="s">
        <v>20654</v>
      </c>
    </row>
    <row r="1855" spans="1:8" ht="63.75" x14ac:dyDescent="0.2">
      <c r="A1855" s="75" t="s">
        <v>20655</v>
      </c>
      <c r="B1855" s="75" t="s">
        <v>8644</v>
      </c>
      <c r="C1855" s="75" t="s">
        <v>20656</v>
      </c>
      <c r="D1855" s="75"/>
      <c r="E1855" s="75"/>
      <c r="F1855" s="75"/>
      <c r="G1855" s="75"/>
      <c r="H1855" s="76" t="s">
        <v>20657</v>
      </c>
    </row>
    <row r="1856" spans="1:8" ht="76.5" x14ac:dyDescent="0.2">
      <c r="A1856" s="74" t="s">
        <v>20658</v>
      </c>
      <c r="B1856" s="74" t="s">
        <v>8647</v>
      </c>
      <c r="C1856" s="74" t="s">
        <v>20659</v>
      </c>
      <c r="D1856" s="74"/>
      <c r="E1856" s="74"/>
      <c r="F1856" s="74"/>
      <c r="G1856" s="74"/>
      <c r="H1856" s="73" t="s">
        <v>20660</v>
      </c>
    </row>
    <row r="1857" spans="1:8" ht="63.75" x14ac:dyDescent="0.2">
      <c r="A1857" s="74" t="s">
        <v>20661</v>
      </c>
      <c r="B1857" s="74" t="s">
        <v>8650</v>
      </c>
      <c r="C1857" s="74" t="s">
        <v>20662</v>
      </c>
      <c r="D1857" s="74"/>
      <c r="E1857" s="74"/>
      <c r="F1857" s="74"/>
      <c r="G1857" s="74"/>
      <c r="H1857" s="74" t="s">
        <v>20663</v>
      </c>
    </row>
    <row r="1858" spans="1:8" ht="38.25" x14ac:dyDescent="0.2">
      <c r="A1858" s="75" t="s">
        <v>20664</v>
      </c>
      <c r="B1858" s="75" t="s">
        <v>8653</v>
      </c>
      <c r="C1858" s="75" t="s">
        <v>20665</v>
      </c>
      <c r="D1858" s="75"/>
      <c r="E1858" s="75"/>
      <c r="F1858" s="75"/>
      <c r="G1858" s="75"/>
      <c r="H1858" s="76" t="s">
        <v>20666</v>
      </c>
    </row>
    <row r="1859" spans="1:8" ht="38.25" x14ac:dyDescent="0.2">
      <c r="A1859" s="74" t="s">
        <v>20667</v>
      </c>
      <c r="B1859" s="74" t="s">
        <v>8656</v>
      </c>
      <c r="C1859" s="74" t="s">
        <v>20668</v>
      </c>
      <c r="D1859" s="74"/>
      <c r="E1859" s="74"/>
      <c r="F1859" s="74"/>
      <c r="G1859" s="74"/>
      <c r="H1859" s="73" t="s">
        <v>20669</v>
      </c>
    </row>
    <row r="1860" spans="1:8" ht="38.25" x14ac:dyDescent="0.2">
      <c r="A1860" s="74" t="s">
        <v>20670</v>
      </c>
      <c r="B1860" s="74" t="s">
        <v>8658</v>
      </c>
      <c r="C1860" s="74" t="s">
        <v>20671</v>
      </c>
      <c r="D1860" s="74"/>
      <c r="E1860" s="74"/>
      <c r="F1860" s="74"/>
      <c r="G1860" s="74"/>
      <c r="H1860" s="73" t="s">
        <v>20672</v>
      </c>
    </row>
    <row r="1861" spans="1:8" ht="38.25" x14ac:dyDescent="0.2">
      <c r="A1861" s="75" t="s">
        <v>20673</v>
      </c>
      <c r="B1861" s="75" t="s">
        <v>8661</v>
      </c>
      <c r="C1861" s="75" t="s">
        <v>20674</v>
      </c>
      <c r="D1861" s="75"/>
      <c r="E1861" s="75"/>
      <c r="F1861" s="75"/>
      <c r="G1861" s="75"/>
      <c r="H1861" s="76" t="s">
        <v>20675</v>
      </c>
    </row>
    <row r="1862" spans="1:8" ht="38.25" x14ac:dyDescent="0.2">
      <c r="A1862" s="74" t="s">
        <v>20676</v>
      </c>
      <c r="B1862" s="74" t="s">
        <v>8663</v>
      </c>
      <c r="C1862" s="74" t="s">
        <v>20677</v>
      </c>
      <c r="D1862" s="74"/>
      <c r="E1862" s="74"/>
      <c r="F1862" s="74"/>
      <c r="G1862" s="74"/>
      <c r="H1862" s="14" t="s">
        <v>20678</v>
      </c>
    </row>
    <row r="1863" spans="1:8" ht="25.5" x14ac:dyDescent="0.2">
      <c r="A1863" s="74" t="s">
        <v>20679</v>
      </c>
      <c r="B1863" s="74" t="s">
        <v>8674</v>
      </c>
      <c r="C1863" s="74" t="s">
        <v>20680</v>
      </c>
      <c r="D1863" s="74"/>
      <c r="E1863" s="74"/>
      <c r="F1863" s="74"/>
      <c r="G1863" s="74"/>
      <c r="H1863" s="14" t="s">
        <v>20681</v>
      </c>
    </row>
    <row r="1864" spans="1:8" ht="38.25" x14ac:dyDescent="0.2">
      <c r="A1864" s="75" t="s">
        <v>20682</v>
      </c>
      <c r="B1864" s="75" t="s">
        <v>8677</v>
      </c>
      <c r="C1864" s="75" t="s">
        <v>20683</v>
      </c>
      <c r="D1864" s="75"/>
      <c r="E1864" s="75"/>
      <c r="F1864" s="75"/>
      <c r="G1864" s="75"/>
      <c r="H1864" s="76" t="s">
        <v>20684</v>
      </c>
    </row>
    <row r="1865" spans="1:8" ht="89.25" x14ac:dyDescent="0.2">
      <c r="A1865" s="74" t="s">
        <v>20685</v>
      </c>
      <c r="B1865" s="74" t="s">
        <v>8680</v>
      </c>
      <c r="C1865" s="74" t="s">
        <v>20686</v>
      </c>
      <c r="D1865" s="74"/>
      <c r="E1865" s="74"/>
      <c r="F1865" s="74"/>
      <c r="G1865" s="74"/>
      <c r="H1865" s="74" t="s">
        <v>20687</v>
      </c>
    </row>
    <row r="1866" spans="1:8" ht="25.5" x14ac:dyDescent="0.2">
      <c r="A1866" s="74" t="s">
        <v>20688</v>
      </c>
      <c r="B1866" s="74" t="s">
        <v>8683</v>
      </c>
      <c r="C1866" s="74" t="s">
        <v>20689</v>
      </c>
      <c r="D1866" s="74"/>
      <c r="E1866" s="74"/>
      <c r="F1866" s="74"/>
      <c r="G1866" s="74"/>
      <c r="H1866" s="73" t="s">
        <v>20690</v>
      </c>
    </row>
    <row r="1867" spans="1:8" ht="25.5" x14ac:dyDescent="0.2">
      <c r="A1867" s="75" t="s">
        <v>20691</v>
      </c>
      <c r="B1867" s="75" t="s">
        <v>8686</v>
      </c>
      <c r="C1867" s="75" t="s">
        <v>20692</v>
      </c>
      <c r="D1867" s="75"/>
      <c r="E1867" s="75"/>
      <c r="F1867" s="75"/>
      <c r="G1867" s="75"/>
      <c r="H1867" s="76" t="s">
        <v>20693</v>
      </c>
    </row>
    <row r="1868" spans="1:8" ht="38.25" x14ac:dyDescent="0.2">
      <c r="A1868" s="74" t="s">
        <v>20694</v>
      </c>
      <c r="B1868" s="74" t="s">
        <v>8689</v>
      </c>
      <c r="C1868" s="74" t="s">
        <v>20695</v>
      </c>
      <c r="D1868" s="74"/>
      <c r="E1868" s="74"/>
      <c r="F1868" s="74"/>
      <c r="G1868" s="74"/>
      <c r="H1868" s="73" t="s">
        <v>20696</v>
      </c>
    </row>
    <row r="1869" spans="1:8" ht="38.25" x14ac:dyDescent="0.2">
      <c r="A1869" s="74" t="s">
        <v>20697</v>
      </c>
      <c r="B1869" s="74" t="s">
        <v>8692</v>
      </c>
      <c r="C1869" s="74" t="s">
        <v>20698</v>
      </c>
      <c r="D1869" s="74"/>
      <c r="E1869" s="74"/>
      <c r="F1869" s="74"/>
      <c r="G1869" s="74"/>
      <c r="H1869" s="73" t="s">
        <v>20699</v>
      </c>
    </row>
    <row r="1870" spans="1:8" ht="38.25" x14ac:dyDescent="0.2">
      <c r="A1870" s="75" t="s">
        <v>20700</v>
      </c>
      <c r="B1870" s="75" t="s">
        <v>8695</v>
      </c>
      <c r="C1870" s="75" t="s">
        <v>20701</v>
      </c>
      <c r="D1870" s="75"/>
      <c r="E1870" s="75"/>
      <c r="F1870" s="75"/>
      <c r="G1870" s="75"/>
      <c r="H1870" s="76" t="s">
        <v>20702</v>
      </c>
    </row>
    <row r="1871" spans="1:8" ht="38.25" x14ac:dyDescent="0.2">
      <c r="A1871" s="74" t="s">
        <v>20703</v>
      </c>
      <c r="B1871" s="74" t="s">
        <v>8698</v>
      </c>
      <c r="C1871" s="74" t="s">
        <v>20704</v>
      </c>
      <c r="D1871" s="74"/>
      <c r="E1871" s="74"/>
      <c r="F1871" s="74"/>
      <c r="G1871" s="74"/>
      <c r="H1871" s="73" t="s">
        <v>20705</v>
      </c>
    </row>
    <row r="1872" spans="1:8" ht="38.25" x14ac:dyDescent="0.2">
      <c r="A1872" s="74" t="s">
        <v>20706</v>
      </c>
      <c r="B1872" s="74" t="s">
        <v>8701</v>
      </c>
      <c r="C1872" s="74" t="s">
        <v>20707</v>
      </c>
      <c r="D1872" s="74"/>
      <c r="E1872" s="74"/>
      <c r="F1872" s="74"/>
      <c r="G1872" s="74"/>
      <c r="H1872" s="73" t="s">
        <v>20708</v>
      </c>
    </row>
    <row r="1873" spans="1:8" ht="38.25" x14ac:dyDescent="0.2">
      <c r="A1873" s="75" t="s">
        <v>20709</v>
      </c>
      <c r="B1873" s="75" t="s">
        <v>8704</v>
      </c>
      <c r="C1873" s="75" t="s">
        <v>20710</v>
      </c>
      <c r="D1873" s="75"/>
      <c r="E1873" s="75"/>
      <c r="F1873" s="75"/>
      <c r="G1873" s="75"/>
      <c r="H1873" s="76" t="s">
        <v>20711</v>
      </c>
    </row>
    <row r="1874" spans="1:8" ht="38.25" x14ac:dyDescent="0.2">
      <c r="A1874" s="74" t="s">
        <v>20712</v>
      </c>
      <c r="B1874" s="74" t="s">
        <v>8706</v>
      </c>
      <c r="C1874" s="74" t="s">
        <v>20713</v>
      </c>
      <c r="D1874" s="74"/>
      <c r="E1874" s="74"/>
      <c r="F1874" s="74"/>
      <c r="G1874" s="74"/>
      <c r="H1874" s="73" t="s">
        <v>20714</v>
      </c>
    </row>
    <row r="1875" spans="1:8" ht="51" x14ac:dyDescent="0.2">
      <c r="A1875" s="74" t="s">
        <v>20715</v>
      </c>
      <c r="B1875" s="74" t="s">
        <v>8709</v>
      </c>
      <c r="C1875" s="74" t="s">
        <v>20716</v>
      </c>
      <c r="D1875" s="74"/>
      <c r="E1875" s="74"/>
      <c r="F1875" s="74"/>
      <c r="G1875" s="74"/>
      <c r="H1875" s="73" t="s">
        <v>20717</v>
      </c>
    </row>
    <row r="1876" spans="1:8" ht="38.25" x14ac:dyDescent="0.2">
      <c r="A1876" s="75" t="s">
        <v>20718</v>
      </c>
      <c r="B1876" s="75" t="s">
        <v>8712</v>
      </c>
      <c r="C1876" s="75" t="s">
        <v>20719</v>
      </c>
      <c r="D1876" s="75"/>
      <c r="E1876" s="75"/>
      <c r="F1876" s="75"/>
      <c r="G1876" s="75"/>
      <c r="H1876" s="76" t="s">
        <v>20720</v>
      </c>
    </row>
    <row r="1877" spans="1:8" ht="38.25" x14ac:dyDescent="0.2">
      <c r="A1877" s="74" t="s">
        <v>20721</v>
      </c>
      <c r="B1877" s="74" t="s">
        <v>8714</v>
      </c>
      <c r="C1877" s="74" t="s">
        <v>20722</v>
      </c>
      <c r="D1877" s="74"/>
      <c r="E1877" s="74"/>
      <c r="F1877" s="74"/>
      <c r="G1877" s="74"/>
      <c r="H1877" s="73" t="s">
        <v>20723</v>
      </c>
    </row>
    <row r="1878" spans="1:8" ht="38.25" x14ac:dyDescent="0.2">
      <c r="A1878" s="74" t="s">
        <v>20724</v>
      </c>
      <c r="B1878" s="74" t="s">
        <v>8717</v>
      </c>
      <c r="C1878" s="74" t="s">
        <v>20725</v>
      </c>
      <c r="D1878" s="74"/>
      <c r="E1878" s="74"/>
      <c r="F1878" s="74"/>
      <c r="G1878" s="74"/>
      <c r="H1878" s="73" t="s">
        <v>20726</v>
      </c>
    </row>
    <row r="1879" spans="1:8" ht="38.25" x14ac:dyDescent="0.2">
      <c r="A1879" s="75" t="s">
        <v>20727</v>
      </c>
      <c r="B1879" s="75" t="s">
        <v>8720</v>
      </c>
      <c r="C1879" s="75" t="s">
        <v>20728</v>
      </c>
      <c r="D1879" s="75"/>
      <c r="E1879" s="75"/>
      <c r="F1879" s="75"/>
      <c r="G1879" s="75"/>
      <c r="H1879" s="76" t="s">
        <v>20729</v>
      </c>
    </row>
    <row r="1880" spans="1:8" ht="38.25" x14ac:dyDescent="0.2">
      <c r="A1880" s="74" t="s">
        <v>20730</v>
      </c>
      <c r="B1880" s="74" t="s">
        <v>8723</v>
      </c>
      <c r="C1880" s="74" t="s">
        <v>20731</v>
      </c>
      <c r="D1880" s="74"/>
      <c r="E1880" s="74"/>
      <c r="F1880" s="74"/>
      <c r="G1880" s="74"/>
      <c r="H1880" s="73" t="s">
        <v>20732</v>
      </c>
    </row>
    <row r="1881" spans="1:8" ht="38.25" x14ac:dyDescent="0.2">
      <c r="A1881" s="74" t="s">
        <v>20733</v>
      </c>
      <c r="B1881" s="74" t="s">
        <v>8726</v>
      </c>
      <c r="C1881" s="74" t="s">
        <v>20734</v>
      </c>
      <c r="D1881" s="74"/>
      <c r="E1881" s="74"/>
      <c r="F1881" s="74"/>
      <c r="G1881" s="74"/>
      <c r="H1881" s="73" t="s">
        <v>20735</v>
      </c>
    </row>
    <row r="1882" spans="1:8" ht="38.25" x14ac:dyDescent="0.2">
      <c r="A1882" s="75" t="s">
        <v>20736</v>
      </c>
      <c r="B1882" s="75" t="s">
        <v>8728</v>
      </c>
      <c r="C1882" s="75" t="s">
        <v>20737</v>
      </c>
      <c r="D1882" s="75"/>
      <c r="E1882" s="75"/>
      <c r="F1882" s="75"/>
      <c r="G1882" s="75"/>
      <c r="H1882" s="76" t="s">
        <v>20738</v>
      </c>
    </row>
    <row r="1883" spans="1:8" ht="38.25" x14ac:dyDescent="0.2">
      <c r="A1883" s="74" t="s">
        <v>20739</v>
      </c>
      <c r="B1883" s="74" t="s">
        <v>8731</v>
      </c>
      <c r="C1883" s="74" t="s">
        <v>20740</v>
      </c>
      <c r="D1883" s="74"/>
      <c r="E1883" s="74"/>
      <c r="F1883" s="74"/>
      <c r="G1883" s="74"/>
      <c r="H1883" s="73" t="s">
        <v>20741</v>
      </c>
    </row>
    <row r="1884" spans="1:8" ht="38.25" x14ac:dyDescent="0.2">
      <c r="A1884" s="74" t="s">
        <v>20742</v>
      </c>
      <c r="B1884" s="74" t="s">
        <v>8734</v>
      </c>
      <c r="C1884" s="74" t="s">
        <v>20743</v>
      </c>
      <c r="D1884" s="74"/>
      <c r="E1884" s="74"/>
      <c r="F1884" s="74"/>
      <c r="G1884" s="74"/>
      <c r="H1884" s="73" t="s">
        <v>20744</v>
      </c>
    </row>
    <row r="1885" spans="1:8" ht="38.25" x14ac:dyDescent="0.2">
      <c r="A1885" s="75" t="s">
        <v>20745</v>
      </c>
      <c r="B1885" s="75" t="s">
        <v>8737</v>
      </c>
      <c r="C1885" s="75" t="s">
        <v>20746</v>
      </c>
      <c r="D1885" s="75"/>
      <c r="E1885" s="75"/>
      <c r="F1885" s="75"/>
      <c r="G1885" s="75"/>
      <c r="H1885" s="76" t="s">
        <v>20747</v>
      </c>
    </row>
    <row r="1886" spans="1:8" ht="38.25" x14ac:dyDescent="0.2">
      <c r="A1886" s="74" t="s">
        <v>20748</v>
      </c>
      <c r="B1886" s="74" t="s">
        <v>8740</v>
      </c>
      <c r="C1886" s="74" t="s">
        <v>20749</v>
      </c>
      <c r="D1886" s="74"/>
      <c r="E1886" s="74"/>
      <c r="F1886" s="74"/>
      <c r="G1886" s="74"/>
      <c r="H1886" s="73" t="s">
        <v>20750</v>
      </c>
    </row>
    <row r="1887" spans="1:8" ht="25.5" x14ac:dyDescent="0.2">
      <c r="A1887" s="74" t="s">
        <v>20751</v>
      </c>
      <c r="B1887" s="74" t="s">
        <v>8742</v>
      </c>
      <c r="C1887" s="74" t="s">
        <v>20752</v>
      </c>
      <c r="D1887" s="74"/>
      <c r="E1887" s="74"/>
      <c r="F1887" s="74"/>
      <c r="G1887" s="74"/>
      <c r="H1887" s="74" t="s">
        <v>20753</v>
      </c>
    </row>
    <row r="1888" spans="1:8" ht="51" x14ac:dyDescent="0.2">
      <c r="A1888" s="75" t="s">
        <v>20754</v>
      </c>
      <c r="B1888" s="75" t="s">
        <v>8745</v>
      </c>
      <c r="C1888" s="75" t="s">
        <v>20755</v>
      </c>
      <c r="D1888" s="75"/>
      <c r="E1888" s="75"/>
      <c r="F1888" s="75"/>
      <c r="G1888" s="75"/>
      <c r="H1888" s="76" t="s">
        <v>20756</v>
      </c>
    </row>
    <row r="1889" spans="1:8" ht="89.25" x14ac:dyDescent="0.2">
      <c r="A1889" s="74" t="s">
        <v>20757</v>
      </c>
      <c r="B1889" s="74" t="s">
        <v>8748</v>
      </c>
      <c r="C1889" s="74" t="s">
        <v>20758</v>
      </c>
      <c r="D1889" s="74"/>
      <c r="E1889" s="74"/>
      <c r="F1889" s="74"/>
      <c r="G1889" s="74"/>
      <c r="H1889" s="74" t="s">
        <v>20759</v>
      </c>
    </row>
    <row r="1890" spans="1:8" ht="63.75" x14ac:dyDescent="0.2">
      <c r="A1890" s="75" t="s">
        <v>20760</v>
      </c>
      <c r="B1890" s="75" t="s">
        <v>8751</v>
      </c>
      <c r="C1890" s="75" t="s">
        <v>20761</v>
      </c>
      <c r="D1890" s="75"/>
      <c r="E1890" s="75"/>
      <c r="F1890" s="75"/>
      <c r="G1890" s="75"/>
      <c r="H1890" s="76" t="s">
        <v>20762</v>
      </c>
    </row>
    <row r="1891" spans="1:8" ht="178.5" x14ac:dyDescent="0.2">
      <c r="A1891" s="22" t="s">
        <v>20763</v>
      </c>
      <c r="B1891" s="22" t="s">
        <v>8754</v>
      </c>
      <c r="C1891" s="22" t="s">
        <v>20764</v>
      </c>
      <c r="D1891" s="22"/>
      <c r="E1891" s="22"/>
      <c r="F1891" s="22"/>
      <c r="G1891" s="22"/>
      <c r="H1891" s="74" t="s">
        <v>20765</v>
      </c>
    </row>
    <row r="1892" spans="1:8" ht="25.5" x14ac:dyDescent="0.2">
      <c r="A1892" s="75" t="s">
        <v>20766</v>
      </c>
      <c r="B1892" s="75" t="s">
        <v>8759</v>
      </c>
      <c r="C1892" s="75" t="s">
        <v>20767</v>
      </c>
      <c r="D1892" s="75"/>
      <c r="E1892" s="75"/>
      <c r="F1892" s="75"/>
      <c r="G1892" s="75"/>
      <c r="H1892" s="46" t="s">
        <v>20768</v>
      </c>
    </row>
    <row r="1893" spans="1:8" ht="25.5" x14ac:dyDescent="0.2">
      <c r="A1893" s="74" t="s">
        <v>20769</v>
      </c>
      <c r="B1893" s="74" t="s">
        <v>8762</v>
      </c>
      <c r="C1893" s="74" t="s">
        <v>20770</v>
      </c>
      <c r="D1893" s="74"/>
      <c r="E1893" s="74"/>
      <c r="F1893" s="74"/>
      <c r="G1893" s="74"/>
      <c r="H1893" s="14" t="s">
        <v>20771</v>
      </c>
    </row>
    <row r="1894" spans="1:8" ht="38.25" x14ac:dyDescent="0.2">
      <c r="A1894" s="74" t="s">
        <v>20772</v>
      </c>
      <c r="B1894" s="74" t="s">
        <v>8765</v>
      </c>
      <c r="C1894" s="74" t="s">
        <v>20773</v>
      </c>
      <c r="D1894" s="74"/>
      <c r="E1894" s="74"/>
      <c r="F1894" s="74"/>
      <c r="G1894" s="74"/>
      <c r="H1894" s="74" t="s">
        <v>20774</v>
      </c>
    </row>
    <row r="1895" spans="1:8" ht="38.25" x14ac:dyDescent="0.2">
      <c r="A1895" s="75" t="s">
        <v>20775</v>
      </c>
      <c r="B1895" s="75" t="s">
        <v>8768</v>
      </c>
      <c r="C1895" s="75" t="s">
        <v>20776</v>
      </c>
      <c r="D1895" s="75"/>
      <c r="E1895" s="75"/>
      <c r="F1895" s="75"/>
      <c r="G1895" s="75"/>
      <c r="H1895" s="75" t="s">
        <v>20777</v>
      </c>
    </row>
    <row r="1896" spans="1:8" ht="51" x14ac:dyDescent="0.2">
      <c r="A1896" s="74" t="s">
        <v>20778</v>
      </c>
      <c r="B1896" s="74" t="s">
        <v>8771</v>
      </c>
      <c r="C1896" s="74" t="s">
        <v>20779</v>
      </c>
      <c r="D1896" s="74"/>
      <c r="E1896" s="74"/>
      <c r="F1896" s="74"/>
      <c r="G1896" s="74"/>
      <c r="H1896" s="73" t="s">
        <v>20780</v>
      </c>
    </row>
    <row r="1897" spans="1:8" ht="76.5" x14ac:dyDescent="0.2">
      <c r="A1897" s="74" t="s">
        <v>20781</v>
      </c>
      <c r="B1897" s="74" t="s">
        <v>8774</v>
      </c>
      <c r="C1897" s="74" t="s">
        <v>20782</v>
      </c>
      <c r="D1897" s="74"/>
      <c r="E1897" s="74"/>
      <c r="F1897" s="74"/>
      <c r="G1897" s="74"/>
      <c r="H1897" s="73" t="s">
        <v>20783</v>
      </c>
    </row>
    <row r="1898" spans="1:8" ht="63.75" x14ac:dyDescent="0.2">
      <c r="A1898" s="75" t="s">
        <v>20784</v>
      </c>
      <c r="B1898" s="75" t="s">
        <v>8777</v>
      </c>
      <c r="C1898" s="75" t="s">
        <v>20785</v>
      </c>
      <c r="D1898" s="75"/>
      <c r="E1898" s="75"/>
      <c r="F1898" s="75"/>
      <c r="G1898" s="75"/>
      <c r="H1898" s="76" t="s">
        <v>20786</v>
      </c>
    </row>
    <row r="1899" spans="1:8" ht="51" x14ac:dyDescent="0.2">
      <c r="A1899" s="74" t="s">
        <v>20787</v>
      </c>
      <c r="B1899" s="74" t="s">
        <v>8782</v>
      </c>
      <c r="C1899" s="74" t="s">
        <v>20788</v>
      </c>
      <c r="D1899" s="74"/>
      <c r="E1899" s="74"/>
      <c r="F1899" s="74"/>
      <c r="G1899" s="74"/>
      <c r="H1899" s="74" t="s">
        <v>20789</v>
      </c>
    </row>
    <row r="1900" spans="1:8" ht="38.25" x14ac:dyDescent="0.2">
      <c r="A1900" s="73" t="s">
        <v>20790</v>
      </c>
      <c r="B1900" s="73" t="s">
        <v>8785</v>
      </c>
      <c r="C1900" s="73" t="s">
        <v>8786</v>
      </c>
      <c r="D1900" s="73"/>
      <c r="E1900" s="73"/>
      <c r="F1900" s="73"/>
      <c r="G1900" s="73"/>
      <c r="H1900" s="14" t="s">
        <v>20791</v>
      </c>
    </row>
    <row r="1901" spans="1:8" ht="38.25" x14ac:dyDescent="0.2">
      <c r="A1901" s="75" t="s">
        <v>20792</v>
      </c>
      <c r="B1901" s="75" t="s">
        <v>8787</v>
      </c>
      <c r="C1901" s="75" t="s">
        <v>20793</v>
      </c>
      <c r="D1901" s="75"/>
      <c r="E1901" s="75"/>
      <c r="F1901" s="75"/>
      <c r="G1901" s="75"/>
      <c r="H1901" s="46" t="s">
        <v>20794</v>
      </c>
    </row>
    <row r="1902" spans="1:8" ht="51" x14ac:dyDescent="0.2">
      <c r="A1902" s="74" t="s">
        <v>20795</v>
      </c>
      <c r="B1902" s="74" t="s">
        <v>8790</v>
      </c>
      <c r="C1902" s="74" t="s">
        <v>20796</v>
      </c>
      <c r="D1902" s="74"/>
      <c r="E1902" s="74"/>
      <c r="F1902" s="74"/>
      <c r="G1902" s="74"/>
      <c r="H1902" s="14" t="s">
        <v>20797</v>
      </c>
    </row>
    <row r="1903" spans="1:8" ht="38.25" x14ac:dyDescent="0.2">
      <c r="A1903" s="73" t="s">
        <v>20798</v>
      </c>
      <c r="B1903" s="73" t="s">
        <v>8793</v>
      </c>
      <c r="C1903" s="73" t="s">
        <v>8794</v>
      </c>
      <c r="D1903" s="73"/>
      <c r="E1903" s="73"/>
      <c r="F1903" s="73"/>
      <c r="G1903" s="73"/>
      <c r="H1903" s="14" t="s">
        <v>20799</v>
      </c>
    </row>
    <row r="1904" spans="1:8" ht="38.25" x14ac:dyDescent="0.2">
      <c r="A1904" s="75" t="s">
        <v>20800</v>
      </c>
      <c r="B1904" s="75" t="s">
        <v>8795</v>
      </c>
      <c r="C1904" s="75" t="s">
        <v>20801</v>
      </c>
      <c r="D1904" s="75"/>
      <c r="E1904" s="75"/>
      <c r="F1904" s="75"/>
      <c r="G1904" s="75"/>
      <c r="H1904" s="46" t="s">
        <v>20802</v>
      </c>
    </row>
    <row r="1905" spans="1:8" ht="38.25" x14ac:dyDescent="0.2">
      <c r="A1905" s="74" t="s">
        <v>20803</v>
      </c>
      <c r="B1905" s="74" t="s">
        <v>8798</v>
      </c>
      <c r="C1905" s="74" t="s">
        <v>20804</v>
      </c>
      <c r="D1905" s="74"/>
      <c r="E1905" s="74"/>
      <c r="F1905" s="74"/>
      <c r="G1905" s="74"/>
      <c r="H1905" s="73" t="s">
        <v>20805</v>
      </c>
    </row>
    <row r="1906" spans="1:8" ht="38.25" x14ac:dyDescent="0.2">
      <c r="A1906" s="74" t="s">
        <v>20806</v>
      </c>
      <c r="B1906" s="74" t="s">
        <v>8801</v>
      </c>
      <c r="C1906" s="74" t="s">
        <v>20807</v>
      </c>
      <c r="D1906" s="74"/>
      <c r="E1906" s="74"/>
      <c r="F1906" s="74"/>
      <c r="G1906" s="74"/>
      <c r="H1906" s="73" t="s">
        <v>20808</v>
      </c>
    </row>
    <row r="1907" spans="1:8" ht="38.25" x14ac:dyDescent="0.2">
      <c r="A1907" s="75" t="s">
        <v>20809</v>
      </c>
      <c r="B1907" s="75" t="s">
        <v>8804</v>
      </c>
      <c r="C1907" s="75" t="s">
        <v>20810</v>
      </c>
      <c r="D1907" s="75"/>
      <c r="E1907" s="75"/>
      <c r="F1907" s="75"/>
      <c r="G1907" s="75"/>
      <c r="H1907" s="76" t="s">
        <v>20811</v>
      </c>
    </row>
    <row r="1908" spans="1:8" ht="76.5" x14ac:dyDescent="0.2">
      <c r="A1908" s="74" t="s">
        <v>20812</v>
      </c>
      <c r="B1908" s="74" t="s">
        <v>8807</v>
      </c>
      <c r="C1908" s="74" t="s">
        <v>20813</v>
      </c>
      <c r="D1908" s="74"/>
      <c r="E1908" s="74"/>
      <c r="F1908" s="74"/>
      <c r="G1908" s="74"/>
      <c r="H1908" s="74" t="s">
        <v>20814</v>
      </c>
    </row>
    <row r="1909" spans="1:8" ht="38.25" x14ac:dyDescent="0.2">
      <c r="A1909" s="74" t="s">
        <v>20815</v>
      </c>
      <c r="B1909" s="74" t="s">
        <v>8810</v>
      </c>
      <c r="C1909" s="74" t="s">
        <v>20816</v>
      </c>
      <c r="D1909" s="74"/>
      <c r="E1909" s="74"/>
      <c r="F1909" s="74"/>
      <c r="G1909" s="74"/>
      <c r="H1909" s="73" t="s">
        <v>20817</v>
      </c>
    </row>
    <row r="1910" spans="1:8" ht="38.25" x14ac:dyDescent="0.2">
      <c r="A1910" s="75" t="s">
        <v>20818</v>
      </c>
      <c r="B1910" s="75" t="s">
        <v>8813</v>
      </c>
      <c r="C1910" s="75" t="s">
        <v>20819</v>
      </c>
      <c r="D1910" s="75"/>
      <c r="E1910" s="75"/>
      <c r="F1910" s="75"/>
      <c r="G1910" s="75"/>
      <c r="H1910" s="76" t="s">
        <v>20820</v>
      </c>
    </row>
    <row r="1911" spans="1:8" ht="38.25" x14ac:dyDescent="0.2">
      <c r="A1911" s="74" t="s">
        <v>20821</v>
      </c>
      <c r="B1911" s="74" t="s">
        <v>8816</v>
      </c>
      <c r="C1911" s="74" t="s">
        <v>20822</v>
      </c>
      <c r="D1911" s="74"/>
      <c r="E1911" s="74"/>
      <c r="F1911" s="74"/>
      <c r="G1911" s="74"/>
      <c r="H1911" s="73" t="s">
        <v>20823</v>
      </c>
    </row>
    <row r="1912" spans="1:8" ht="51" x14ac:dyDescent="0.2">
      <c r="A1912" s="74" t="s">
        <v>20824</v>
      </c>
      <c r="B1912" s="74" t="s">
        <v>8819</v>
      </c>
      <c r="C1912" s="74" t="s">
        <v>20825</v>
      </c>
      <c r="D1912" s="74"/>
      <c r="E1912" s="74"/>
      <c r="F1912" s="74"/>
      <c r="G1912" s="74"/>
      <c r="H1912" s="73" t="s">
        <v>20826</v>
      </c>
    </row>
    <row r="1913" spans="1:8" ht="38.25" x14ac:dyDescent="0.2">
      <c r="A1913" s="75" t="s">
        <v>20827</v>
      </c>
      <c r="B1913" s="75" t="s">
        <v>8822</v>
      </c>
      <c r="C1913" s="75" t="s">
        <v>20828</v>
      </c>
      <c r="D1913" s="75"/>
      <c r="E1913" s="75"/>
      <c r="F1913" s="75"/>
      <c r="G1913" s="75"/>
      <c r="H1913" s="76" t="s">
        <v>20829</v>
      </c>
    </row>
    <row r="1914" spans="1:8" ht="38.25" x14ac:dyDescent="0.2">
      <c r="A1914" s="74" t="s">
        <v>20830</v>
      </c>
      <c r="B1914" s="74" t="s">
        <v>8825</v>
      </c>
      <c r="C1914" s="74" t="s">
        <v>20831</v>
      </c>
      <c r="D1914" s="74"/>
      <c r="E1914" s="74"/>
      <c r="F1914" s="74"/>
      <c r="G1914" s="74"/>
      <c r="H1914" s="73" t="s">
        <v>20832</v>
      </c>
    </row>
    <row r="1915" spans="1:8" ht="51" x14ac:dyDescent="0.2">
      <c r="A1915" s="74" t="s">
        <v>20833</v>
      </c>
      <c r="B1915" s="74" t="s">
        <v>8828</v>
      </c>
      <c r="C1915" s="74" t="s">
        <v>20834</v>
      </c>
      <c r="D1915" s="74"/>
      <c r="E1915" s="74"/>
      <c r="F1915" s="74"/>
      <c r="G1915" s="74"/>
      <c r="H1915" s="73" t="s">
        <v>20835</v>
      </c>
    </row>
    <row r="1916" spans="1:8" ht="51" x14ac:dyDescent="0.2">
      <c r="A1916" s="75" t="s">
        <v>20836</v>
      </c>
      <c r="B1916" s="75" t="s">
        <v>8831</v>
      </c>
      <c r="C1916" s="75" t="s">
        <v>20837</v>
      </c>
      <c r="D1916" s="75"/>
      <c r="E1916" s="75"/>
      <c r="F1916" s="75"/>
      <c r="G1916" s="75"/>
      <c r="H1916" s="76" t="s">
        <v>20838</v>
      </c>
    </row>
    <row r="1917" spans="1:8" ht="51" x14ac:dyDescent="0.2">
      <c r="A1917" s="74" t="s">
        <v>20839</v>
      </c>
      <c r="B1917" s="74" t="s">
        <v>8834</v>
      </c>
      <c r="C1917" s="74" t="s">
        <v>20840</v>
      </c>
      <c r="D1917" s="74"/>
      <c r="E1917" s="74"/>
      <c r="F1917" s="74"/>
      <c r="G1917" s="74"/>
      <c r="H1917" s="73" t="s">
        <v>20841</v>
      </c>
    </row>
    <row r="1918" spans="1:8" ht="38.25" x14ac:dyDescent="0.2">
      <c r="A1918" s="74" t="s">
        <v>20842</v>
      </c>
      <c r="B1918" s="74" t="s">
        <v>8837</v>
      </c>
      <c r="C1918" s="74" t="s">
        <v>20843</v>
      </c>
      <c r="D1918" s="74"/>
      <c r="E1918" s="74"/>
      <c r="F1918" s="74"/>
      <c r="G1918" s="74"/>
      <c r="H1918" s="73" t="s">
        <v>20844</v>
      </c>
    </row>
    <row r="1919" spans="1:8" ht="51" x14ac:dyDescent="0.2">
      <c r="A1919" s="75" t="s">
        <v>20845</v>
      </c>
      <c r="B1919" s="75" t="s">
        <v>8840</v>
      </c>
      <c r="C1919" s="75" t="s">
        <v>20846</v>
      </c>
      <c r="D1919" s="75"/>
      <c r="E1919" s="75"/>
      <c r="F1919" s="75"/>
      <c r="G1919" s="75"/>
      <c r="H1919" s="76" t="s">
        <v>20847</v>
      </c>
    </row>
    <row r="1920" spans="1:8" ht="51" x14ac:dyDescent="0.2">
      <c r="A1920" s="74" t="s">
        <v>20848</v>
      </c>
      <c r="B1920" s="74" t="s">
        <v>8843</v>
      </c>
      <c r="C1920" s="74" t="s">
        <v>20849</v>
      </c>
      <c r="D1920" s="74"/>
      <c r="E1920" s="74"/>
      <c r="F1920" s="74"/>
      <c r="G1920" s="74"/>
      <c r="H1920" s="73" t="s">
        <v>20850</v>
      </c>
    </row>
    <row r="1921" spans="1:8" ht="38.25" x14ac:dyDescent="0.2">
      <c r="A1921" s="74" t="s">
        <v>20851</v>
      </c>
      <c r="B1921" s="74" t="s">
        <v>8846</v>
      </c>
      <c r="C1921" s="74" t="s">
        <v>20852</v>
      </c>
      <c r="D1921" s="74"/>
      <c r="E1921" s="74"/>
      <c r="F1921" s="74"/>
      <c r="G1921" s="74"/>
      <c r="H1921" s="73" t="s">
        <v>20853</v>
      </c>
    </row>
    <row r="1922" spans="1:8" ht="51" x14ac:dyDescent="0.2">
      <c r="A1922" s="75" t="s">
        <v>20854</v>
      </c>
      <c r="B1922" s="75" t="s">
        <v>8849</v>
      </c>
      <c r="C1922" s="75" t="s">
        <v>20855</v>
      </c>
      <c r="D1922" s="75"/>
      <c r="E1922" s="75"/>
      <c r="F1922" s="75"/>
      <c r="G1922" s="75"/>
      <c r="H1922" s="76" t="s">
        <v>20856</v>
      </c>
    </row>
    <row r="1923" spans="1:8" ht="51" x14ac:dyDescent="0.2">
      <c r="A1923" s="74" t="s">
        <v>20857</v>
      </c>
      <c r="B1923" s="74" t="s">
        <v>8852</v>
      </c>
      <c r="C1923" s="74" t="s">
        <v>20858</v>
      </c>
      <c r="D1923" s="74"/>
      <c r="E1923" s="74"/>
      <c r="F1923" s="74"/>
      <c r="G1923" s="74"/>
      <c r="H1923" s="73" t="s">
        <v>20859</v>
      </c>
    </row>
    <row r="1924" spans="1:8" ht="38.25" x14ac:dyDescent="0.2">
      <c r="A1924" s="74" t="s">
        <v>20860</v>
      </c>
      <c r="B1924" s="74" t="s">
        <v>8855</v>
      </c>
      <c r="C1924" s="74" t="s">
        <v>20861</v>
      </c>
      <c r="D1924" s="74"/>
      <c r="E1924" s="74"/>
      <c r="F1924" s="74"/>
      <c r="G1924" s="74"/>
      <c r="H1924" s="74" t="s">
        <v>20862</v>
      </c>
    </row>
    <row r="1925" spans="1:8" ht="51" x14ac:dyDescent="0.2">
      <c r="A1925" s="75" t="s">
        <v>20863</v>
      </c>
      <c r="B1925" s="75" t="s">
        <v>8858</v>
      </c>
      <c r="C1925" s="75" t="s">
        <v>20864</v>
      </c>
      <c r="D1925" s="75"/>
      <c r="E1925" s="75"/>
      <c r="F1925" s="75"/>
      <c r="G1925" s="75"/>
      <c r="H1925" s="76" t="s">
        <v>20865</v>
      </c>
    </row>
    <row r="1926" spans="1:8" ht="51" x14ac:dyDescent="0.2">
      <c r="A1926" s="74" t="s">
        <v>20866</v>
      </c>
      <c r="B1926" s="74" t="s">
        <v>8861</v>
      </c>
      <c r="C1926" s="74" t="s">
        <v>20867</v>
      </c>
      <c r="D1926" s="74"/>
      <c r="E1926" s="74"/>
      <c r="F1926" s="74"/>
      <c r="G1926" s="74"/>
      <c r="H1926" s="73" t="s">
        <v>20868</v>
      </c>
    </row>
    <row r="1927" spans="1:8" ht="38.25" x14ac:dyDescent="0.2">
      <c r="A1927" s="74" t="s">
        <v>20869</v>
      </c>
      <c r="B1927" s="74" t="s">
        <v>8864</v>
      </c>
      <c r="C1927" s="74" t="s">
        <v>20870</v>
      </c>
      <c r="D1927" s="74"/>
      <c r="E1927" s="74"/>
      <c r="F1927" s="74"/>
      <c r="G1927" s="74"/>
      <c r="H1927" s="73" t="s">
        <v>20871</v>
      </c>
    </row>
    <row r="1928" spans="1:8" ht="38.25" x14ac:dyDescent="0.2">
      <c r="A1928" s="75" t="s">
        <v>20872</v>
      </c>
      <c r="B1928" s="75" t="s">
        <v>8867</v>
      </c>
      <c r="C1928" s="75" t="s">
        <v>20873</v>
      </c>
      <c r="D1928" s="75"/>
      <c r="E1928" s="75"/>
      <c r="F1928" s="75"/>
      <c r="G1928" s="75"/>
      <c r="H1928" s="75" t="s">
        <v>20874</v>
      </c>
    </row>
    <row r="1929" spans="1:8" ht="51" x14ac:dyDescent="0.2">
      <c r="A1929" s="74" t="s">
        <v>20875</v>
      </c>
      <c r="B1929" s="74" t="s">
        <v>8870</v>
      </c>
      <c r="C1929" s="74" t="s">
        <v>20876</v>
      </c>
      <c r="D1929" s="74"/>
      <c r="E1929" s="74"/>
      <c r="F1929" s="74"/>
      <c r="G1929" s="74"/>
      <c r="H1929" s="73" t="s">
        <v>20877</v>
      </c>
    </row>
    <row r="1930" spans="1:8" ht="51" x14ac:dyDescent="0.2">
      <c r="A1930" s="74" t="s">
        <v>20878</v>
      </c>
      <c r="B1930" s="74" t="s">
        <v>8873</v>
      </c>
      <c r="C1930" s="74" t="s">
        <v>20879</v>
      </c>
      <c r="D1930" s="74"/>
      <c r="E1930" s="74"/>
      <c r="F1930" s="74"/>
      <c r="G1930" s="74"/>
      <c r="H1930" s="73" t="s">
        <v>20880</v>
      </c>
    </row>
    <row r="1931" spans="1:8" ht="38.25" x14ac:dyDescent="0.2">
      <c r="A1931" s="75" t="s">
        <v>20881</v>
      </c>
      <c r="B1931" s="75" t="s">
        <v>8876</v>
      </c>
      <c r="C1931" s="75" t="s">
        <v>20882</v>
      </c>
      <c r="D1931" s="75"/>
      <c r="E1931" s="75"/>
      <c r="F1931" s="75"/>
      <c r="G1931" s="75"/>
      <c r="H1931" s="76" t="s">
        <v>20883</v>
      </c>
    </row>
    <row r="1932" spans="1:8" ht="38.25" x14ac:dyDescent="0.2">
      <c r="A1932" s="74" t="s">
        <v>20884</v>
      </c>
      <c r="B1932" s="74" t="s">
        <v>8878</v>
      </c>
      <c r="C1932" s="74" t="s">
        <v>20885</v>
      </c>
      <c r="D1932" s="74"/>
      <c r="E1932" s="74"/>
      <c r="F1932" s="74"/>
      <c r="G1932" s="74"/>
      <c r="H1932" s="73" t="s">
        <v>20886</v>
      </c>
    </row>
    <row r="1933" spans="1:8" ht="38.25" x14ac:dyDescent="0.2">
      <c r="A1933" s="74" t="s">
        <v>20887</v>
      </c>
      <c r="B1933" s="74" t="s">
        <v>8881</v>
      </c>
      <c r="C1933" s="74" t="s">
        <v>20888</v>
      </c>
      <c r="D1933" s="74"/>
      <c r="E1933" s="74"/>
      <c r="F1933" s="74"/>
      <c r="G1933" s="74"/>
      <c r="H1933" s="73" t="s">
        <v>20889</v>
      </c>
    </row>
    <row r="1934" spans="1:8" ht="38.25" x14ac:dyDescent="0.2">
      <c r="A1934" s="75" t="s">
        <v>20890</v>
      </c>
      <c r="B1934" s="75" t="s">
        <v>8884</v>
      </c>
      <c r="C1934" s="75" t="s">
        <v>20891</v>
      </c>
      <c r="D1934" s="75"/>
      <c r="E1934" s="75"/>
      <c r="F1934" s="75"/>
      <c r="G1934" s="75"/>
      <c r="H1934" s="76" t="s">
        <v>20892</v>
      </c>
    </row>
    <row r="1935" spans="1:8" ht="51" x14ac:dyDescent="0.2">
      <c r="A1935" s="74" t="s">
        <v>20893</v>
      </c>
      <c r="B1935" s="74" t="s">
        <v>8887</v>
      </c>
      <c r="C1935" s="74" t="s">
        <v>20894</v>
      </c>
      <c r="D1935" s="74"/>
      <c r="E1935" s="74"/>
      <c r="F1935" s="74"/>
      <c r="G1935" s="74"/>
      <c r="H1935" s="73" t="s">
        <v>20895</v>
      </c>
    </row>
    <row r="1936" spans="1:8" ht="63.75" x14ac:dyDescent="0.2">
      <c r="A1936" s="74" t="s">
        <v>20896</v>
      </c>
      <c r="B1936" s="74" t="s">
        <v>8890</v>
      </c>
      <c r="C1936" s="74" t="s">
        <v>20897</v>
      </c>
      <c r="D1936" s="74"/>
      <c r="E1936" s="74"/>
      <c r="F1936" s="74"/>
      <c r="G1936" s="74"/>
      <c r="H1936" s="74" t="s">
        <v>20898</v>
      </c>
    </row>
    <row r="1937" spans="1:8" ht="76.5" x14ac:dyDescent="0.2">
      <c r="A1937" s="75" t="s">
        <v>20899</v>
      </c>
      <c r="B1937" s="75" t="s">
        <v>8893</v>
      </c>
      <c r="C1937" s="75" t="s">
        <v>20900</v>
      </c>
      <c r="D1937" s="75"/>
      <c r="E1937" s="75"/>
      <c r="F1937" s="75"/>
      <c r="G1937" s="75"/>
      <c r="H1937" s="75" t="s">
        <v>20901</v>
      </c>
    </row>
    <row r="1938" spans="1:8" ht="89.25" x14ac:dyDescent="0.2">
      <c r="A1938" s="74" t="s">
        <v>20902</v>
      </c>
      <c r="B1938" s="74" t="s">
        <v>8896</v>
      </c>
      <c r="C1938" s="74" t="s">
        <v>20903</v>
      </c>
      <c r="D1938" s="74"/>
      <c r="E1938" s="74"/>
      <c r="F1938" s="74"/>
      <c r="G1938" s="74"/>
      <c r="H1938" s="74" t="s">
        <v>20904</v>
      </c>
    </row>
    <row r="1939" spans="1:8" ht="63.75" x14ac:dyDescent="0.2">
      <c r="A1939" s="74" t="s">
        <v>20905</v>
      </c>
      <c r="B1939" s="74" t="s">
        <v>8899</v>
      </c>
      <c r="C1939" s="74" t="s">
        <v>20906</v>
      </c>
      <c r="D1939" s="74"/>
      <c r="E1939" s="74"/>
      <c r="F1939" s="74"/>
      <c r="G1939" s="74"/>
      <c r="H1939" s="74" t="s">
        <v>20907</v>
      </c>
    </row>
    <row r="1940" spans="1:8" ht="102" x14ac:dyDescent="0.2">
      <c r="A1940" s="75" t="s">
        <v>20908</v>
      </c>
      <c r="B1940" s="75" t="s">
        <v>8902</v>
      </c>
      <c r="C1940" s="75" t="s">
        <v>20909</v>
      </c>
      <c r="D1940" s="75"/>
      <c r="E1940" s="75"/>
      <c r="F1940" s="75"/>
      <c r="G1940" s="75"/>
      <c r="H1940" s="76" t="s">
        <v>20910</v>
      </c>
    </row>
    <row r="1941" spans="1:8" ht="76.5" x14ac:dyDescent="0.2">
      <c r="A1941" s="74" t="s">
        <v>20911</v>
      </c>
      <c r="B1941" s="74" t="s">
        <v>8905</v>
      </c>
      <c r="C1941" s="74" t="s">
        <v>20912</v>
      </c>
      <c r="D1941" s="74"/>
      <c r="E1941" s="74"/>
      <c r="F1941" s="74"/>
      <c r="G1941" s="74"/>
      <c r="H1941" s="73" t="s">
        <v>20913</v>
      </c>
    </row>
    <row r="1942" spans="1:8" ht="76.5" x14ac:dyDescent="0.2">
      <c r="A1942" s="74" t="s">
        <v>20914</v>
      </c>
      <c r="B1942" s="74" t="s">
        <v>8908</v>
      </c>
      <c r="C1942" s="74" t="s">
        <v>20915</v>
      </c>
      <c r="D1942" s="74"/>
      <c r="E1942" s="74"/>
      <c r="F1942" s="74"/>
      <c r="G1942" s="74"/>
      <c r="H1942" s="74" t="s">
        <v>20916</v>
      </c>
    </row>
    <row r="1943" spans="1:8" ht="76.5" x14ac:dyDescent="0.2">
      <c r="A1943" s="75" t="s">
        <v>20917</v>
      </c>
      <c r="B1943" s="75" t="s">
        <v>8911</v>
      </c>
      <c r="C1943" s="75" t="s">
        <v>20918</v>
      </c>
      <c r="D1943" s="75"/>
      <c r="E1943" s="75"/>
      <c r="F1943" s="75"/>
      <c r="G1943" s="75"/>
      <c r="H1943" s="75" t="s">
        <v>20919</v>
      </c>
    </row>
    <row r="1944" spans="1:8" ht="102" x14ac:dyDescent="0.2">
      <c r="A1944" s="74" t="s">
        <v>20920</v>
      </c>
      <c r="B1944" s="74" t="s">
        <v>8914</v>
      </c>
      <c r="C1944" s="74" t="s">
        <v>20921</v>
      </c>
      <c r="D1944" s="74"/>
      <c r="E1944" s="74"/>
      <c r="F1944" s="74"/>
      <c r="G1944" s="74"/>
      <c r="H1944" s="73" t="s">
        <v>20922</v>
      </c>
    </row>
    <row r="1945" spans="1:8" ht="63.75" x14ac:dyDescent="0.2">
      <c r="A1945" s="75" t="s">
        <v>20923</v>
      </c>
      <c r="B1945" s="75" t="s">
        <v>8917</v>
      </c>
      <c r="C1945" s="75" t="s">
        <v>20924</v>
      </c>
      <c r="D1945" s="75"/>
      <c r="E1945" s="75"/>
      <c r="F1945" s="75"/>
      <c r="G1945" s="75"/>
      <c r="H1945" s="76" t="s">
        <v>20925</v>
      </c>
    </row>
    <row r="1946" spans="1:8" ht="140.25" x14ac:dyDescent="0.2">
      <c r="A1946" s="22" t="s">
        <v>20926</v>
      </c>
      <c r="B1946" s="22" t="s">
        <v>8920</v>
      </c>
      <c r="C1946" s="22" t="s">
        <v>20927</v>
      </c>
      <c r="D1946" s="22"/>
      <c r="E1946" s="22"/>
      <c r="F1946" s="22"/>
      <c r="G1946" s="22"/>
      <c r="H1946" s="74" t="s">
        <v>20928</v>
      </c>
    </row>
    <row r="1947" spans="1:8" ht="76.5" x14ac:dyDescent="0.2">
      <c r="A1947" s="75" t="s">
        <v>20929</v>
      </c>
      <c r="B1947" s="75" t="s">
        <v>8923</v>
      </c>
      <c r="C1947" s="75" t="s">
        <v>20930</v>
      </c>
      <c r="D1947" s="75"/>
      <c r="E1947" s="75"/>
      <c r="F1947" s="75"/>
      <c r="G1947" s="75"/>
      <c r="H1947" s="75" t="s">
        <v>20931</v>
      </c>
    </row>
    <row r="1948" spans="1:8" ht="89.25" x14ac:dyDescent="0.2">
      <c r="A1948" s="74" t="s">
        <v>20932</v>
      </c>
      <c r="B1948" s="74" t="s">
        <v>8926</v>
      </c>
      <c r="C1948" s="74" t="s">
        <v>20933</v>
      </c>
      <c r="D1948" s="74"/>
      <c r="E1948" s="74"/>
      <c r="F1948" s="74"/>
      <c r="G1948" s="74"/>
      <c r="H1948" s="73" t="s">
        <v>20934</v>
      </c>
    </row>
    <row r="1949" spans="1:8" ht="114.75" x14ac:dyDescent="0.2">
      <c r="A1949" s="49" t="s">
        <v>20935</v>
      </c>
      <c r="B1949" s="49" t="s">
        <v>8929</v>
      </c>
      <c r="C1949" s="49" t="s">
        <v>20936</v>
      </c>
      <c r="D1949" s="49"/>
      <c r="E1949" s="49"/>
      <c r="F1949" s="49"/>
      <c r="G1949" s="49"/>
      <c r="H1949" s="76" t="s">
        <v>20937</v>
      </c>
    </row>
    <row r="1950" spans="1:8" ht="25.5" x14ac:dyDescent="0.2">
      <c r="A1950" s="74" t="s">
        <v>20938</v>
      </c>
      <c r="B1950" s="74" t="s">
        <v>8934</v>
      </c>
      <c r="C1950" s="74" t="s">
        <v>20939</v>
      </c>
      <c r="D1950" s="74"/>
      <c r="E1950" s="74"/>
      <c r="F1950" s="74"/>
      <c r="G1950" s="74"/>
      <c r="H1950" s="14" t="s">
        <v>20940</v>
      </c>
    </row>
    <row r="1951" spans="1:8" ht="25.5" x14ac:dyDescent="0.2">
      <c r="A1951" s="73" t="s">
        <v>20941</v>
      </c>
      <c r="B1951" s="73" t="s">
        <v>8937</v>
      </c>
      <c r="C1951" s="73" t="s">
        <v>20942</v>
      </c>
      <c r="D1951" s="73"/>
      <c r="E1951" s="73"/>
      <c r="F1951" s="73"/>
      <c r="G1951" s="73"/>
      <c r="H1951" s="14" t="s">
        <v>20943</v>
      </c>
    </row>
    <row r="1952" spans="1:8" ht="63.75" x14ac:dyDescent="0.2">
      <c r="A1952" s="75" t="s">
        <v>20944</v>
      </c>
      <c r="B1952" s="75" t="s">
        <v>8940</v>
      </c>
      <c r="C1952" s="75" t="s">
        <v>20945</v>
      </c>
      <c r="D1952" s="75"/>
      <c r="E1952" s="75"/>
      <c r="F1952" s="75"/>
      <c r="G1952" s="75"/>
      <c r="H1952" s="75" t="s">
        <v>20946</v>
      </c>
    </row>
    <row r="1953" spans="1:8" ht="25.5" x14ac:dyDescent="0.2">
      <c r="A1953" s="73" t="s">
        <v>20947</v>
      </c>
      <c r="B1953" s="73" t="s">
        <v>8943</v>
      </c>
      <c r="C1953" s="73" t="s">
        <v>8944</v>
      </c>
      <c r="D1953" s="73"/>
      <c r="E1953" s="73"/>
      <c r="F1953" s="73"/>
      <c r="G1953" s="73"/>
      <c r="H1953" s="73" t="s">
        <v>20948</v>
      </c>
    </row>
    <row r="1954" spans="1:8" ht="25.5" x14ac:dyDescent="0.2">
      <c r="A1954" s="73" t="s">
        <v>20949</v>
      </c>
      <c r="B1954" s="73" t="s">
        <v>8946</v>
      </c>
      <c r="C1954" s="73" t="s">
        <v>8947</v>
      </c>
      <c r="D1954" s="73"/>
      <c r="E1954" s="73"/>
      <c r="F1954" s="73"/>
      <c r="G1954" s="73"/>
      <c r="H1954" s="73" t="s">
        <v>20950</v>
      </c>
    </row>
    <row r="1955" spans="1:8" ht="25.5" x14ac:dyDescent="0.2">
      <c r="A1955" s="76" t="s">
        <v>20951</v>
      </c>
      <c r="B1955" s="76" t="s">
        <v>8949</v>
      </c>
      <c r="C1955" s="76" t="s">
        <v>8950</v>
      </c>
      <c r="D1955" s="76"/>
      <c r="E1955" s="76"/>
      <c r="F1955" s="76"/>
      <c r="G1955" s="76"/>
      <c r="H1955" s="76" t="s">
        <v>20952</v>
      </c>
    </row>
    <row r="1956" spans="1:8" ht="25.5" x14ac:dyDescent="0.2">
      <c r="A1956" s="73" t="s">
        <v>20953</v>
      </c>
      <c r="B1956" s="73" t="s">
        <v>8951</v>
      </c>
      <c r="C1956" s="73" t="s">
        <v>8952</v>
      </c>
      <c r="D1956" s="73"/>
      <c r="E1956" s="73"/>
      <c r="F1956" s="73"/>
      <c r="G1956" s="73"/>
      <c r="H1956" s="73" t="s">
        <v>20954</v>
      </c>
    </row>
    <row r="1957" spans="1:8" ht="25.5" x14ac:dyDescent="0.2">
      <c r="A1957" s="73" t="s">
        <v>20955</v>
      </c>
      <c r="B1957" s="73" t="s">
        <v>8954</v>
      </c>
      <c r="C1957" s="73" t="s">
        <v>8955</v>
      </c>
      <c r="D1957" s="73"/>
      <c r="E1957" s="73"/>
      <c r="F1957" s="73"/>
      <c r="G1957" s="73"/>
      <c r="H1957" s="73" t="s">
        <v>20956</v>
      </c>
    </row>
    <row r="1958" spans="1:8" ht="25.5" x14ac:dyDescent="0.2">
      <c r="A1958" s="76" t="s">
        <v>20957</v>
      </c>
      <c r="B1958" s="76" t="s">
        <v>8956</v>
      </c>
      <c r="C1958" s="76" t="s">
        <v>8957</v>
      </c>
      <c r="D1958" s="76"/>
      <c r="E1958" s="76"/>
      <c r="F1958" s="76"/>
      <c r="G1958" s="76"/>
      <c r="H1958" s="76" t="s">
        <v>20958</v>
      </c>
    </row>
    <row r="1959" spans="1:8" ht="25.5" x14ac:dyDescent="0.2">
      <c r="A1959" s="73" t="s">
        <v>20959</v>
      </c>
      <c r="B1959" s="73" t="s">
        <v>8958</v>
      </c>
      <c r="C1959" s="73" t="s">
        <v>8959</v>
      </c>
      <c r="D1959" s="73"/>
      <c r="E1959" s="73"/>
      <c r="F1959" s="73"/>
      <c r="G1959" s="73"/>
      <c r="H1959" s="73" t="s">
        <v>20960</v>
      </c>
    </row>
    <row r="1960" spans="1:8" ht="25.5" x14ac:dyDescent="0.2">
      <c r="A1960" s="73" t="s">
        <v>20961</v>
      </c>
      <c r="B1960" s="73" t="s">
        <v>8960</v>
      </c>
      <c r="C1960" s="73" t="s">
        <v>8961</v>
      </c>
      <c r="D1960" s="73"/>
      <c r="E1960" s="73"/>
      <c r="F1960" s="73"/>
      <c r="G1960" s="73"/>
      <c r="H1960" s="73" t="s">
        <v>20962</v>
      </c>
    </row>
    <row r="1961" spans="1:8" ht="38.25" x14ac:dyDescent="0.2">
      <c r="A1961" s="76" t="s">
        <v>20963</v>
      </c>
      <c r="B1961" s="76" t="s">
        <v>8962</v>
      </c>
      <c r="C1961" s="76" t="s">
        <v>8963</v>
      </c>
      <c r="D1961" s="76"/>
      <c r="E1961" s="76"/>
      <c r="F1961" s="76"/>
      <c r="G1961" s="76"/>
      <c r="H1961" s="76" t="s">
        <v>20964</v>
      </c>
    </row>
    <row r="1962" spans="1:8" ht="25.5" x14ac:dyDescent="0.2">
      <c r="A1962" s="73" t="s">
        <v>20965</v>
      </c>
      <c r="B1962" s="73" t="s">
        <v>8964</v>
      </c>
      <c r="C1962" s="73" t="s">
        <v>8965</v>
      </c>
      <c r="D1962" s="73"/>
      <c r="E1962" s="73"/>
      <c r="F1962" s="73"/>
      <c r="G1962" s="73"/>
      <c r="H1962" s="73" t="s">
        <v>20966</v>
      </c>
    </row>
    <row r="1963" spans="1:8" ht="25.5" x14ac:dyDescent="0.2">
      <c r="A1963" s="73" t="s">
        <v>20967</v>
      </c>
      <c r="B1963" s="73" t="s">
        <v>8966</v>
      </c>
      <c r="C1963" s="73" t="s">
        <v>8967</v>
      </c>
      <c r="D1963" s="73"/>
      <c r="E1963" s="73"/>
      <c r="F1963" s="73"/>
      <c r="G1963" s="73"/>
      <c r="H1963" s="73" t="s">
        <v>20968</v>
      </c>
    </row>
    <row r="1964" spans="1:8" ht="38.25" x14ac:dyDescent="0.2">
      <c r="A1964" s="76" t="s">
        <v>20969</v>
      </c>
      <c r="B1964" s="76" t="s">
        <v>8969</v>
      </c>
      <c r="C1964" s="76" t="s">
        <v>8970</v>
      </c>
      <c r="D1964" s="76"/>
      <c r="E1964" s="76"/>
      <c r="F1964" s="76"/>
      <c r="G1964" s="76"/>
      <c r="H1964" s="76" t="s">
        <v>20970</v>
      </c>
    </row>
    <row r="1965" spans="1:8" ht="63.75" x14ac:dyDescent="0.2">
      <c r="A1965" s="73" t="s">
        <v>20971</v>
      </c>
      <c r="B1965" s="73" t="s">
        <v>8972</v>
      </c>
      <c r="C1965" s="73" t="s">
        <v>8973</v>
      </c>
      <c r="D1965" s="73"/>
      <c r="E1965" s="73"/>
      <c r="F1965" s="73"/>
      <c r="G1965" s="73"/>
      <c r="H1965" s="73" t="s">
        <v>20972</v>
      </c>
    </row>
    <row r="1966" spans="1:8" ht="51" x14ac:dyDescent="0.2">
      <c r="A1966" s="74" t="s">
        <v>20973</v>
      </c>
      <c r="B1966" s="74" t="s">
        <v>8975</v>
      </c>
      <c r="C1966" s="74" t="s">
        <v>20974</v>
      </c>
      <c r="D1966" s="74"/>
      <c r="E1966" s="74"/>
      <c r="F1966" s="74"/>
      <c r="G1966" s="74"/>
      <c r="H1966" s="73" t="s">
        <v>20975</v>
      </c>
    </row>
    <row r="1967" spans="1:8" ht="63.75" x14ac:dyDescent="0.2">
      <c r="A1967" s="76" t="s">
        <v>20976</v>
      </c>
      <c r="B1967" s="76" t="s">
        <v>8978</v>
      </c>
      <c r="C1967" s="76" t="s">
        <v>8979</v>
      </c>
      <c r="D1967" s="76"/>
      <c r="E1967" s="76"/>
      <c r="F1967" s="76"/>
      <c r="G1967" s="76"/>
      <c r="H1967" s="76" t="s">
        <v>20977</v>
      </c>
    </row>
    <row r="1968" spans="1:8" ht="63.75" x14ac:dyDescent="0.2">
      <c r="A1968" s="74" t="s">
        <v>20978</v>
      </c>
      <c r="B1968" s="74" t="s">
        <v>8981</v>
      </c>
      <c r="C1968" s="74" t="s">
        <v>20979</v>
      </c>
      <c r="D1968" s="74"/>
      <c r="E1968" s="74"/>
      <c r="F1968" s="74"/>
      <c r="G1968" s="74"/>
      <c r="H1968" s="73" t="s">
        <v>20980</v>
      </c>
    </row>
    <row r="1969" spans="1:8" ht="76.5" x14ac:dyDescent="0.2">
      <c r="A1969" s="74" t="s">
        <v>20981</v>
      </c>
      <c r="B1969" s="74" t="s">
        <v>8984</v>
      </c>
      <c r="C1969" s="74" t="s">
        <v>20982</v>
      </c>
      <c r="D1969" s="74"/>
      <c r="E1969" s="74"/>
      <c r="F1969" s="74"/>
      <c r="G1969" s="74"/>
      <c r="H1969" s="74" t="s">
        <v>20983</v>
      </c>
    </row>
    <row r="1970" spans="1:8" ht="51" x14ac:dyDescent="0.2">
      <c r="A1970" s="75" t="s">
        <v>20984</v>
      </c>
      <c r="B1970" s="75" t="s">
        <v>8987</v>
      </c>
      <c r="C1970" s="75" t="s">
        <v>20985</v>
      </c>
      <c r="D1970" s="75"/>
      <c r="E1970" s="75"/>
      <c r="F1970" s="75"/>
      <c r="G1970" s="75"/>
      <c r="H1970" s="76" t="s">
        <v>20986</v>
      </c>
    </row>
    <row r="1971" spans="1:8" ht="25.5" x14ac:dyDescent="0.2">
      <c r="A1971" s="74" t="s">
        <v>20987</v>
      </c>
      <c r="B1971" s="74" t="s">
        <v>8992</v>
      </c>
      <c r="C1971" s="74" t="s">
        <v>20988</v>
      </c>
      <c r="D1971" s="74"/>
      <c r="E1971" s="74"/>
      <c r="F1971" s="74"/>
      <c r="G1971" s="74"/>
      <c r="H1971" s="14" t="s">
        <v>20989</v>
      </c>
    </row>
    <row r="1972" spans="1:8" ht="25.5" x14ac:dyDescent="0.2">
      <c r="A1972" s="74" t="s">
        <v>20990</v>
      </c>
      <c r="B1972" s="74" t="s">
        <v>8995</v>
      </c>
      <c r="C1972" s="74" t="s">
        <v>20991</v>
      </c>
      <c r="D1972" s="74"/>
      <c r="E1972" s="74"/>
      <c r="F1972" s="74"/>
      <c r="G1972" s="74"/>
      <c r="H1972" s="14" t="s">
        <v>20992</v>
      </c>
    </row>
    <row r="1973" spans="1:8" ht="38.25" x14ac:dyDescent="0.2">
      <c r="A1973" s="75" t="s">
        <v>20993</v>
      </c>
      <c r="B1973" s="75" t="s">
        <v>8998</v>
      </c>
      <c r="C1973" s="75" t="s">
        <v>20994</v>
      </c>
      <c r="D1973" s="75"/>
      <c r="E1973" s="75"/>
      <c r="F1973" s="75"/>
      <c r="G1973" s="75"/>
      <c r="H1973" s="46" t="s">
        <v>20995</v>
      </c>
    </row>
    <row r="1974" spans="1:8" ht="38.25" x14ac:dyDescent="0.2">
      <c r="A1974" s="74" t="s">
        <v>20996</v>
      </c>
      <c r="B1974" s="74" t="s">
        <v>9000</v>
      </c>
      <c r="C1974" s="74" t="s">
        <v>20997</v>
      </c>
      <c r="D1974" s="74"/>
      <c r="E1974" s="74"/>
      <c r="F1974" s="74"/>
      <c r="G1974" s="74"/>
      <c r="H1974" s="73" t="s">
        <v>20998</v>
      </c>
    </row>
    <row r="1975" spans="1:8" ht="38.25" x14ac:dyDescent="0.2">
      <c r="A1975" s="74" t="s">
        <v>20999</v>
      </c>
      <c r="B1975" s="74" t="s">
        <v>9003</v>
      </c>
      <c r="C1975" s="74" t="s">
        <v>21000</v>
      </c>
      <c r="D1975" s="74"/>
      <c r="E1975" s="74"/>
      <c r="F1975" s="74"/>
      <c r="G1975" s="74"/>
      <c r="H1975" s="73" t="s">
        <v>21001</v>
      </c>
    </row>
    <row r="1976" spans="1:8" ht="38.25" x14ac:dyDescent="0.2">
      <c r="A1976" s="75" t="s">
        <v>21002</v>
      </c>
      <c r="B1976" s="75" t="s">
        <v>9006</v>
      </c>
      <c r="C1976" s="75" t="s">
        <v>21003</v>
      </c>
      <c r="D1976" s="75"/>
      <c r="E1976" s="75"/>
      <c r="F1976" s="75"/>
      <c r="G1976" s="75"/>
      <c r="H1976" s="76" t="s">
        <v>21004</v>
      </c>
    </row>
    <row r="1977" spans="1:8" ht="51" x14ac:dyDescent="0.2">
      <c r="A1977" s="74" t="s">
        <v>21005</v>
      </c>
      <c r="B1977" s="74" t="s">
        <v>9009</v>
      </c>
      <c r="C1977" s="74" t="s">
        <v>21006</v>
      </c>
      <c r="D1977" s="74"/>
      <c r="E1977" s="74"/>
      <c r="F1977" s="74"/>
      <c r="G1977" s="74"/>
      <c r="H1977" s="74" t="s">
        <v>21007</v>
      </c>
    </row>
    <row r="1978" spans="1:8" ht="38.25" x14ac:dyDescent="0.2">
      <c r="A1978" s="74" t="s">
        <v>21008</v>
      </c>
      <c r="B1978" s="74" t="s">
        <v>9012</v>
      </c>
      <c r="C1978" s="74" t="s">
        <v>21009</v>
      </c>
      <c r="D1978" s="74"/>
      <c r="E1978" s="74"/>
      <c r="F1978" s="74"/>
      <c r="G1978" s="74"/>
      <c r="H1978" s="73" t="s">
        <v>21010</v>
      </c>
    </row>
    <row r="1979" spans="1:8" ht="38.25" x14ac:dyDescent="0.2">
      <c r="A1979" s="75" t="s">
        <v>21011</v>
      </c>
      <c r="B1979" s="75" t="s">
        <v>9015</v>
      </c>
      <c r="C1979" s="75" t="s">
        <v>21012</v>
      </c>
      <c r="D1979" s="75"/>
      <c r="E1979" s="75"/>
      <c r="F1979" s="75"/>
      <c r="G1979" s="75"/>
      <c r="H1979" s="76" t="s">
        <v>21013</v>
      </c>
    </row>
    <row r="1980" spans="1:8" ht="63.75" x14ac:dyDescent="0.2">
      <c r="A1980" s="74" t="s">
        <v>21014</v>
      </c>
      <c r="B1980" s="74" t="s">
        <v>9018</v>
      </c>
      <c r="C1980" s="74" t="s">
        <v>21015</v>
      </c>
      <c r="D1980" s="74"/>
      <c r="E1980" s="74"/>
      <c r="F1980" s="74"/>
      <c r="G1980" s="74"/>
      <c r="H1980" s="74" t="s">
        <v>21016</v>
      </c>
    </row>
    <row r="1981" spans="1:8" ht="51" x14ac:dyDescent="0.2">
      <c r="A1981" s="74" t="s">
        <v>21017</v>
      </c>
      <c r="B1981" s="74" t="s">
        <v>9031</v>
      </c>
      <c r="C1981" s="74" t="s">
        <v>21018</v>
      </c>
      <c r="D1981" s="74"/>
      <c r="E1981" s="74"/>
      <c r="F1981" s="74"/>
      <c r="G1981" s="74"/>
      <c r="H1981" s="73" t="s">
        <v>21019</v>
      </c>
    </row>
    <row r="1982" spans="1:8" ht="89.25" x14ac:dyDescent="0.2">
      <c r="A1982" s="75" t="s">
        <v>21020</v>
      </c>
      <c r="B1982" s="75" t="s">
        <v>9034</v>
      </c>
      <c r="C1982" s="75" t="s">
        <v>21021</v>
      </c>
      <c r="D1982" s="75"/>
      <c r="E1982" s="75"/>
      <c r="F1982" s="75"/>
      <c r="G1982" s="75"/>
      <c r="H1982" s="75" t="s">
        <v>21022</v>
      </c>
    </row>
    <row r="1983" spans="1:8" ht="38.25" x14ac:dyDescent="0.2">
      <c r="A1983" s="74" t="s">
        <v>21023</v>
      </c>
      <c r="B1983" s="74" t="s">
        <v>9037</v>
      </c>
      <c r="C1983" s="74" t="s">
        <v>21024</v>
      </c>
      <c r="D1983" s="74"/>
      <c r="E1983" s="74"/>
      <c r="F1983" s="74"/>
      <c r="G1983" s="74"/>
      <c r="H1983" s="73" t="s">
        <v>21025</v>
      </c>
    </row>
    <row r="1984" spans="1:8" ht="165.75" x14ac:dyDescent="0.2">
      <c r="A1984" s="49" t="s">
        <v>21026</v>
      </c>
      <c r="B1984" s="49" t="s">
        <v>9040</v>
      </c>
      <c r="C1984" s="49" t="s">
        <v>21027</v>
      </c>
      <c r="D1984" s="49"/>
      <c r="E1984" s="49"/>
      <c r="F1984" s="49"/>
      <c r="G1984" s="49"/>
      <c r="H1984" s="75" t="s">
        <v>21028</v>
      </c>
    </row>
    <row r="1985" spans="1:8" ht="51" x14ac:dyDescent="0.2">
      <c r="A1985" s="74" t="s">
        <v>21029</v>
      </c>
      <c r="B1985" s="74" t="s">
        <v>9043</v>
      </c>
      <c r="C1985" s="74" t="s">
        <v>21030</v>
      </c>
      <c r="D1985" s="74"/>
      <c r="E1985" s="74"/>
      <c r="F1985" s="74"/>
      <c r="G1985" s="74"/>
      <c r="H1985" s="73" t="s">
        <v>21031</v>
      </c>
    </row>
    <row r="1986" spans="1:8" ht="51" x14ac:dyDescent="0.2">
      <c r="A1986" s="74" t="s">
        <v>21032</v>
      </c>
      <c r="B1986" s="74" t="s">
        <v>9046</v>
      </c>
      <c r="C1986" s="74" t="s">
        <v>21033</v>
      </c>
      <c r="D1986" s="74"/>
      <c r="E1986" s="74"/>
      <c r="F1986" s="74"/>
      <c r="G1986" s="74"/>
      <c r="H1986" s="73" t="s">
        <v>21034</v>
      </c>
    </row>
    <row r="1987" spans="1:8" ht="89.25" x14ac:dyDescent="0.2">
      <c r="A1987" s="75" t="s">
        <v>21035</v>
      </c>
      <c r="B1987" s="75" t="s">
        <v>9049</v>
      </c>
      <c r="C1987" s="75" t="s">
        <v>21036</v>
      </c>
      <c r="D1987" s="75"/>
      <c r="E1987" s="75"/>
      <c r="F1987" s="75"/>
      <c r="G1987" s="75"/>
      <c r="H1987" s="76" t="s">
        <v>21037</v>
      </c>
    </row>
    <row r="1988" spans="1:8" ht="63.75" x14ac:dyDescent="0.2">
      <c r="A1988" s="74" t="s">
        <v>21038</v>
      </c>
      <c r="B1988" s="74" t="s">
        <v>9052</v>
      </c>
      <c r="C1988" s="74" t="s">
        <v>21039</v>
      </c>
      <c r="D1988" s="74"/>
      <c r="E1988" s="74"/>
      <c r="F1988" s="74"/>
      <c r="G1988" s="74"/>
      <c r="H1988" s="73" t="s">
        <v>21040</v>
      </c>
    </row>
    <row r="1989" spans="1:8" ht="102" x14ac:dyDescent="0.2">
      <c r="A1989" s="49" t="s">
        <v>21041</v>
      </c>
      <c r="B1989" s="49" t="s">
        <v>9055</v>
      </c>
      <c r="C1989" s="49" t="s">
        <v>21042</v>
      </c>
      <c r="D1989" s="49"/>
      <c r="E1989" s="49"/>
      <c r="F1989" s="49"/>
      <c r="G1989" s="49"/>
      <c r="H1989" s="75" t="s">
        <v>21043</v>
      </c>
    </row>
    <row r="1990" spans="1:8" ht="102" x14ac:dyDescent="0.2">
      <c r="A1990" s="22" t="s">
        <v>21044</v>
      </c>
      <c r="B1990" s="22" t="s">
        <v>9058</v>
      </c>
      <c r="C1990" s="22" t="s">
        <v>21045</v>
      </c>
      <c r="D1990" s="22"/>
      <c r="E1990" s="22"/>
      <c r="F1990" s="22"/>
      <c r="G1990" s="22"/>
      <c r="H1990" s="73" t="s">
        <v>21046</v>
      </c>
    </row>
    <row r="1991" spans="1:8" ht="38.25" x14ac:dyDescent="0.2">
      <c r="A1991" s="14" t="s">
        <v>21047</v>
      </c>
      <c r="B1991" s="14" t="s">
        <v>9063</v>
      </c>
      <c r="C1991" s="14" t="s">
        <v>9064</v>
      </c>
      <c r="D1991" s="14"/>
      <c r="E1991" s="14"/>
      <c r="F1991" s="14"/>
      <c r="G1991" s="14"/>
      <c r="H1991" s="74" t="s">
        <v>21048</v>
      </c>
    </row>
    <row r="1992" spans="1:8" ht="38.25" x14ac:dyDescent="0.2">
      <c r="A1992" s="76" t="s">
        <v>21049</v>
      </c>
      <c r="B1992" s="76" t="s">
        <v>9066</v>
      </c>
      <c r="C1992" s="76" t="s">
        <v>9067</v>
      </c>
      <c r="D1992" s="76"/>
      <c r="E1992" s="76"/>
      <c r="F1992" s="76"/>
      <c r="G1992" s="76"/>
      <c r="H1992" s="76" t="s">
        <v>21050</v>
      </c>
    </row>
    <row r="1993" spans="1:8" ht="38.25" x14ac:dyDescent="0.2">
      <c r="A1993" s="73" t="s">
        <v>21051</v>
      </c>
      <c r="B1993" s="73" t="s">
        <v>9069</v>
      </c>
      <c r="C1993" s="73" t="s">
        <v>9070</v>
      </c>
      <c r="D1993" s="73"/>
      <c r="E1993" s="73"/>
      <c r="F1993" s="73"/>
      <c r="G1993" s="73"/>
      <c r="H1993" s="73" t="s">
        <v>21052</v>
      </c>
    </row>
    <row r="1994" spans="1:8" ht="102" x14ac:dyDescent="0.2">
      <c r="A1994" s="49" t="s">
        <v>21053</v>
      </c>
      <c r="B1994" s="49" t="s">
        <v>9072</v>
      </c>
      <c r="C1994" s="49" t="s">
        <v>21054</v>
      </c>
      <c r="D1994" s="49"/>
      <c r="E1994" s="49"/>
      <c r="F1994" s="49"/>
      <c r="G1994" s="49"/>
      <c r="H1994" s="75" t="s">
        <v>21055</v>
      </c>
    </row>
    <row r="1995" spans="1:8" ht="114.75" x14ac:dyDescent="0.2">
      <c r="A1995" s="22" t="s">
        <v>21056</v>
      </c>
      <c r="B1995" s="22" t="s">
        <v>9075</v>
      </c>
      <c r="C1995" s="22" t="s">
        <v>21057</v>
      </c>
      <c r="D1995" s="22"/>
      <c r="E1995" s="22"/>
      <c r="F1995" s="22"/>
      <c r="G1995" s="22"/>
      <c r="H1995" s="74" t="s">
        <v>21058</v>
      </c>
    </row>
    <row r="1996" spans="1:8" ht="25.5" x14ac:dyDescent="0.2">
      <c r="A1996" s="74" t="s">
        <v>21059</v>
      </c>
      <c r="B1996" s="74" t="s">
        <v>9080</v>
      </c>
      <c r="C1996" s="74" t="s">
        <v>21060</v>
      </c>
      <c r="D1996" s="74"/>
      <c r="E1996" s="74"/>
      <c r="F1996" s="74"/>
      <c r="G1996" s="74"/>
      <c r="H1996" s="74" t="s">
        <v>21061</v>
      </c>
    </row>
    <row r="1997" spans="1:8" ht="25.5" x14ac:dyDescent="0.2">
      <c r="A1997" s="76" t="s">
        <v>21062</v>
      </c>
      <c r="B1997" s="76" t="s">
        <v>9083</v>
      </c>
      <c r="C1997" s="76" t="s">
        <v>9084</v>
      </c>
      <c r="D1997" s="76"/>
      <c r="E1997" s="76"/>
      <c r="F1997" s="76"/>
      <c r="G1997" s="76"/>
      <c r="H1997" s="46" t="s">
        <v>21063</v>
      </c>
    </row>
    <row r="1998" spans="1:8" ht="76.5" x14ac:dyDescent="0.2">
      <c r="A1998" s="74" t="s">
        <v>21064</v>
      </c>
      <c r="B1998" s="74" t="s">
        <v>9086</v>
      </c>
      <c r="C1998" s="74" t="s">
        <v>21065</v>
      </c>
      <c r="D1998" s="74"/>
      <c r="E1998" s="74"/>
      <c r="F1998" s="74"/>
      <c r="G1998" s="74"/>
      <c r="H1998" s="73" t="s">
        <v>21066</v>
      </c>
    </row>
    <row r="1999" spans="1:8" ht="38.25" x14ac:dyDescent="0.2">
      <c r="A1999" s="74" t="s">
        <v>21067</v>
      </c>
      <c r="B1999" s="74" t="s">
        <v>21068</v>
      </c>
      <c r="C1999" s="74"/>
      <c r="D1999" s="74"/>
      <c r="E1999" s="74"/>
      <c r="F1999" s="74"/>
      <c r="G1999" s="74"/>
      <c r="H1999" s="14" t="s">
        <v>21069</v>
      </c>
    </row>
    <row r="2000" spans="1:8" ht="89.25" x14ac:dyDescent="0.2">
      <c r="A2000" s="75" t="s">
        <v>21070</v>
      </c>
      <c r="B2000" s="75" t="s">
        <v>21071</v>
      </c>
      <c r="C2000" s="75"/>
      <c r="D2000" s="75"/>
      <c r="E2000" s="75"/>
      <c r="F2000" s="75"/>
      <c r="G2000" s="75"/>
      <c r="H2000" s="75" t="s">
        <v>21072</v>
      </c>
    </row>
    <row r="2001" spans="1:8" ht="51" x14ac:dyDescent="0.2">
      <c r="A2001" s="74" t="s">
        <v>21073</v>
      </c>
      <c r="B2001" s="74" t="s">
        <v>9097</v>
      </c>
      <c r="C2001" s="74" t="s">
        <v>21074</v>
      </c>
      <c r="D2001" s="74"/>
      <c r="E2001" s="74"/>
      <c r="F2001" s="74"/>
      <c r="G2001" s="74"/>
      <c r="H2001" s="14" t="s">
        <v>21075</v>
      </c>
    </row>
    <row r="2002" spans="1:8" ht="25.5" x14ac:dyDescent="0.2">
      <c r="A2002" s="74" t="s">
        <v>21076</v>
      </c>
      <c r="B2002" s="74" t="s">
        <v>9099</v>
      </c>
      <c r="C2002" s="74" t="s">
        <v>21077</v>
      </c>
      <c r="D2002" s="74"/>
      <c r="E2002" s="74"/>
      <c r="F2002" s="74"/>
      <c r="G2002" s="74"/>
      <c r="H2002" s="73" t="s">
        <v>21078</v>
      </c>
    </row>
    <row r="2003" spans="1:8" ht="38.25" x14ac:dyDescent="0.2">
      <c r="A2003" s="75" t="s">
        <v>21079</v>
      </c>
      <c r="B2003" s="75" t="s">
        <v>9102</v>
      </c>
      <c r="C2003" s="75" t="s">
        <v>21080</v>
      </c>
      <c r="D2003" s="75"/>
      <c r="E2003" s="75"/>
      <c r="F2003" s="75"/>
      <c r="G2003" s="75"/>
      <c r="H2003" s="46" t="s">
        <v>21081</v>
      </c>
    </row>
    <row r="2004" spans="1:8" ht="51" x14ac:dyDescent="0.2">
      <c r="A2004" s="74" t="s">
        <v>21082</v>
      </c>
      <c r="B2004" s="74" t="s">
        <v>9104</v>
      </c>
      <c r="C2004" s="74" t="s">
        <v>21083</v>
      </c>
      <c r="D2004" s="74"/>
      <c r="E2004" s="74"/>
      <c r="F2004" s="74"/>
      <c r="G2004" s="74"/>
      <c r="H2004" s="14" t="s">
        <v>21084</v>
      </c>
    </row>
    <row r="2005" spans="1:8" ht="51" x14ac:dyDescent="0.2">
      <c r="A2005" s="74" t="s">
        <v>21085</v>
      </c>
      <c r="B2005" s="74" t="s">
        <v>9106</v>
      </c>
      <c r="C2005" s="74" t="s">
        <v>21086</v>
      </c>
      <c r="D2005" s="74"/>
      <c r="E2005" s="74"/>
      <c r="F2005" s="74"/>
      <c r="G2005" s="74"/>
      <c r="H2005" s="14" t="s">
        <v>21087</v>
      </c>
    </row>
    <row r="2006" spans="1:8" ht="38.25" x14ac:dyDescent="0.2">
      <c r="A2006" s="75" t="s">
        <v>21088</v>
      </c>
      <c r="B2006" s="75" t="s">
        <v>9109</v>
      </c>
      <c r="C2006" s="75" t="s">
        <v>21089</v>
      </c>
      <c r="D2006" s="75"/>
      <c r="E2006" s="75"/>
      <c r="F2006" s="75"/>
      <c r="G2006" s="75"/>
      <c r="H2006" s="76" t="s">
        <v>21090</v>
      </c>
    </row>
    <row r="2007" spans="1:8" ht="51" x14ac:dyDescent="0.2">
      <c r="A2007" s="74" t="s">
        <v>21091</v>
      </c>
      <c r="B2007" s="74" t="s">
        <v>9112</v>
      </c>
      <c r="C2007" s="74" t="s">
        <v>21092</v>
      </c>
      <c r="D2007" s="74"/>
      <c r="E2007" s="74"/>
      <c r="F2007" s="74"/>
      <c r="G2007" s="74"/>
      <c r="H2007" s="74" t="s">
        <v>21093</v>
      </c>
    </row>
    <row r="2008" spans="1:8" ht="89.25" x14ac:dyDescent="0.2">
      <c r="A2008" s="22" t="s">
        <v>21094</v>
      </c>
      <c r="B2008" s="22" t="s">
        <v>9115</v>
      </c>
      <c r="C2008" s="22" t="s">
        <v>21095</v>
      </c>
      <c r="D2008" s="22"/>
      <c r="E2008" s="22"/>
      <c r="F2008" s="22"/>
      <c r="G2008" s="22"/>
      <c r="H2008" s="73" t="s">
        <v>21096</v>
      </c>
    </row>
    <row r="2009" spans="1:8" ht="38.25" x14ac:dyDescent="0.2">
      <c r="A2009" s="75" t="s">
        <v>21097</v>
      </c>
      <c r="B2009" s="75" t="s">
        <v>9118</v>
      </c>
      <c r="C2009" s="75" t="s">
        <v>21098</v>
      </c>
      <c r="D2009" s="75"/>
      <c r="E2009" s="75"/>
      <c r="F2009" s="75"/>
      <c r="G2009" s="75"/>
      <c r="H2009" s="76" t="s">
        <v>21099</v>
      </c>
    </row>
    <row r="2010" spans="1:8" ht="38.25" x14ac:dyDescent="0.2">
      <c r="A2010" s="74" t="s">
        <v>21100</v>
      </c>
      <c r="B2010" s="74" t="s">
        <v>9121</v>
      </c>
      <c r="C2010" s="74" t="s">
        <v>21101</v>
      </c>
      <c r="D2010" s="74"/>
      <c r="E2010" s="74"/>
      <c r="F2010" s="74"/>
      <c r="G2010" s="74"/>
      <c r="H2010" s="73" t="s">
        <v>21102</v>
      </c>
    </row>
    <row r="2011" spans="1:8" ht="51" x14ac:dyDescent="0.2">
      <c r="A2011" s="74" t="s">
        <v>21103</v>
      </c>
      <c r="B2011" s="74" t="s">
        <v>9123</v>
      </c>
      <c r="C2011" s="74" t="s">
        <v>21104</v>
      </c>
      <c r="D2011" s="74"/>
      <c r="E2011" s="74"/>
      <c r="F2011" s="74"/>
      <c r="G2011" s="74"/>
      <c r="H2011" s="74" t="s">
        <v>21105</v>
      </c>
    </row>
    <row r="2012" spans="1:8" ht="51" x14ac:dyDescent="0.2">
      <c r="A2012" s="75" t="s">
        <v>21106</v>
      </c>
      <c r="B2012" s="75" t="s">
        <v>9126</v>
      </c>
      <c r="C2012" s="75" t="s">
        <v>21107</v>
      </c>
      <c r="D2012" s="75"/>
      <c r="E2012" s="75"/>
      <c r="F2012" s="75"/>
      <c r="G2012" s="75"/>
      <c r="H2012" s="75" t="s">
        <v>21108</v>
      </c>
    </row>
    <row r="2013" spans="1:8" ht="63.75" x14ac:dyDescent="0.2">
      <c r="A2013" s="74" t="s">
        <v>21109</v>
      </c>
      <c r="B2013" s="74" t="s">
        <v>9129</v>
      </c>
      <c r="C2013" s="74" t="s">
        <v>21110</v>
      </c>
      <c r="D2013" s="74"/>
      <c r="E2013" s="74"/>
      <c r="F2013" s="74"/>
      <c r="G2013" s="74"/>
      <c r="H2013" s="73" t="s">
        <v>21111</v>
      </c>
    </row>
    <row r="2014" spans="1:8" ht="51" x14ac:dyDescent="0.2">
      <c r="A2014" s="74" t="s">
        <v>21112</v>
      </c>
      <c r="B2014" s="74" t="s">
        <v>9132</v>
      </c>
      <c r="C2014" s="74" t="s">
        <v>21113</v>
      </c>
      <c r="D2014" s="74"/>
      <c r="E2014" s="74"/>
      <c r="F2014" s="74"/>
      <c r="G2014" s="74"/>
      <c r="H2014" s="73" t="s">
        <v>21114</v>
      </c>
    </row>
    <row r="2015" spans="1:8" ht="51" x14ac:dyDescent="0.2">
      <c r="A2015" s="75" t="s">
        <v>21115</v>
      </c>
      <c r="B2015" s="75" t="s">
        <v>9135</v>
      </c>
      <c r="C2015" s="75" t="s">
        <v>21116</v>
      </c>
      <c r="D2015" s="75"/>
      <c r="E2015" s="75"/>
      <c r="F2015" s="75"/>
      <c r="G2015" s="75"/>
      <c r="H2015" s="76" t="s">
        <v>21117</v>
      </c>
    </row>
    <row r="2016" spans="1:8" ht="51" x14ac:dyDescent="0.2">
      <c r="A2016" s="74" t="s">
        <v>21118</v>
      </c>
      <c r="B2016" s="74" t="s">
        <v>9138</v>
      </c>
      <c r="C2016" s="74" t="s">
        <v>21119</v>
      </c>
      <c r="D2016" s="74"/>
      <c r="E2016" s="74"/>
      <c r="F2016" s="74"/>
      <c r="G2016" s="74"/>
      <c r="H2016" s="73" t="s">
        <v>21120</v>
      </c>
    </row>
    <row r="2017" spans="1:8" ht="51" x14ac:dyDescent="0.2">
      <c r="A2017" s="74" t="s">
        <v>21121</v>
      </c>
      <c r="B2017" s="74" t="s">
        <v>9141</v>
      </c>
      <c r="C2017" s="74" t="s">
        <v>21122</v>
      </c>
      <c r="D2017" s="74"/>
      <c r="E2017" s="74"/>
      <c r="F2017" s="74"/>
      <c r="G2017" s="74"/>
      <c r="H2017" s="73" t="s">
        <v>21123</v>
      </c>
    </row>
    <row r="2018" spans="1:8" ht="38.25" x14ac:dyDescent="0.2">
      <c r="A2018" s="75" t="s">
        <v>21124</v>
      </c>
      <c r="B2018" s="75" t="s">
        <v>9144</v>
      </c>
      <c r="C2018" s="75" t="s">
        <v>21125</v>
      </c>
      <c r="D2018" s="75"/>
      <c r="E2018" s="75"/>
      <c r="F2018" s="75"/>
      <c r="G2018" s="75"/>
      <c r="H2018" s="76" t="s">
        <v>21126</v>
      </c>
    </row>
    <row r="2019" spans="1:8" ht="76.5" x14ac:dyDescent="0.2">
      <c r="A2019" s="74" t="s">
        <v>21127</v>
      </c>
      <c r="B2019" s="74" t="s">
        <v>9147</v>
      </c>
      <c r="C2019" s="74" t="s">
        <v>21128</v>
      </c>
      <c r="D2019" s="74"/>
      <c r="E2019" s="74"/>
      <c r="F2019" s="74"/>
      <c r="G2019" s="74"/>
      <c r="H2019" s="73" t="s">
        <v>21129</v>
      </c>
    </row>
    <row r="2020" spans="1:8" ht="76.5" x14ac:dyDescent="0.2">
      <c r="A2020" s="49" t="s">
        <v>21130</v>
      </c>
      <c r="B2020" s="49" t="s">
        <v>9150</v>
      </c>
      <c r="C2020" s="49" t="s">
        <v>21131</v>
      </c>
      <c r="D2020" s="49"/>
      <c r="E2020" s="49"/>
      <c r="F2020" s="49"/>
      <c r="G2020" s="49"/>
      <c r="H2020" s="76" t="s">
        <v>21132</v>
      </c>
    </row>
    <row r="2021" spans="1:8" ht="76.5" x14ac:dyDescent="0.2">
      <c r="A2021" s="74" t="s">
        <v>21133</v>
      </c>
      <c r="B2021" s="74" t="s">
        <v>9153</v>
      </c>
      <c r="C2021" s="74" t="s">
        <v>21134</v>
      </c>
      <c r="D2021" s="74"/>
      <c r="E2021" s="74"/>
      <c r="F2021" s="74"/>
      <c r="G2021" s="74"/>
      <c r="H2021" s="73" t="s">
        <v>21135</v>
      </c>
    </row>
    <row r="2022" spans="1:8" ht="76.5" x14ac:dyDescent="0.2">
      <c r="A2022" s="74" t="s">
        <v>21136</v>
      </c>
      <c r="B2022" s="74" t="s">
        <v>9156</v>
      </c>
      <c r="C2022" s="74" t="s">
        <v>21137</v>
      </c>
      <c r="D2022" s="74"/>
      <c r="E2022" s="74"/>
      <c r="F2022" s="74"/>
      <c r="G2022" s="74"/>
      <c r="H2022" s="74" t="s">
        <v>21138</v>
      </c>
    </row>
    <row r="2023" spans="1:8" ht="76.5" x14ac:dyDescent="0.2">
      <c r="A2023" s="75" t="s">
        <v>21139</v>
      </c>
      <c r="B2023" s="75" t="s">
        <v>9159</v>
      </c>
      <c r="C2023" s="75" t="s">
        <v>21140</v>
      </c>
      <c r="D2023" s="75"/>
      <c r="E2023" s="75"/>
      <c r="F2023" s="75"/>
      <c r="G2023" s="75"/>
      <c r="H2023" s="75" t="s">
        <v>21141</v>
      </c>
    </row>
    <row r="2024" spans="1:8" ht="51" x14ac:dyDescent="0.2">
      <c r="A2024" s="74" t="s">
        <v>21142</v>
      </c>
      <c r="B2024" s="74" t="s">
        <v>9162</v>
      </c>
      <c r="C2024" s="74" t="s">
        <v>21143</v>
      </c>
      <c r="D2024" s="74"/>
      <c r="E2024" s="74"/>
      <c r="F2024" s="74"/>
      <c r="G2024" s="74"/>
      <c r="H2024" s="74" t="s">
        <v>21144</v>
      </c>
    </row>
    <row r="2025" spans="1:8" ht="127.5" x14ac:dyDescent="0.2">
      <c r="A2025" s="49" t="s">
        <v>21145</v>
      </c>
      <c r="B2025" s="49" t="s">
        <v>9165</v>
      </c>
      <c r="C2025" s="49" t="s">
        <v>21146</v>
      </c>
      <c r="D2025" s="49"/>
      <c r="E2025" s="49"/>
      <c r="F2025" s="49"/>
      <c r="G2025" s="49"/>
      <c r="H2025" s="76" t="s">
        <v>21147</v>
      </c>
    </row>
    <row r="2026" spans="1:8" ht="76.5" x14ac:dyDescent="0.2">
      <c r="A2026" s="74" t="s">
        <v>21148</v>
      </c>
      <c r="B2026" s="74" t="s">
        <v>9168</v>
      </c>
      <c r="C2026" s="74" t="s">
        <v>21149</v>
      </c>
      <c r="D2026" s="74"/>
      <c r="E2026" s="74"/>
      <c r="F2026" s="74"/>
      <c r="G2026" s="74"/>
      <c r="H2026" s="74" t="s">
        <v>21150</v>
      </c>
    </row>
    <row r="2027" spans="1:8" ht="63.75" x14ac:dyDescent="0.2">
      <c r="A2027" s="74" t="s">
        <v>21151</v>
      </c>
      <c r="B2027" s="74" t="s">
        <v>9171</v>
      </c>
      <c r="C2027" s="74" t="s">
        <v>21152</v>
      </c>
      <c r="D2027" s="74"/>
      <c r="E2027" s="74"/>
      <c r="F2027" s="74"/>
      <c r="G2027" s="74"/>
      <c r="H2027" s="73" t="s">
        <v>21153</v>
      </c>
    </row>
    <row r="2028" spans="1:8" ht="51" x14ac:dyDescent="0.2">
      <c r="A2028" s="76" t="s">
        <v>21154</v>
      </c>
      <c r="B2028" s="76" t="s">
        <v>9174</v>
      </c>
      <c r="C2028" s="76" t="s">
        <v>9175</v>
      </c>
      <c r="D2028" s="76"/>
      <c r="E2028" s="76"/>
      <c r="F2028" s="76"/>
      <c r="G2028" s="76"/>
      <c r="H2028" s="76" t="s">
        <v>21155</v>
      </c>
    </row>
    <row r="2029" spans="1:8" ht="76.5" x14ac:dyDescent="0.2">
      <c r="A2029" s="73" t="s">
        <v>21156</v>
      </c>
      <c r="B2029" s="73" t="s">
        <v>9177</v>
      </c>
      <c r="C2029" s="73" t="s">
        <v>9178</v>
      </c>
      <c r="D2029" s="73"/>
      <c r="E2029" s="73"/>
      <c r="F2029" s="73"/>
      <c r="G2029" s="73"/>
      <c r="H2029" s="74" t="s">
        <v>21157</v>
      </c>
    </row>
    <row r="2030" spans="1:8" ht="51" x14ac:dyDescent="0.2">
      <c r="A2030" s="74" t="s">
        <v>21158</v>
      </c>
      <c r="B2030" s="74" t="s">
        <v>9180</v>
      </c>
      <c r="C2030" s="74" t="s">
        <v>21159</v>
      </c>
      <c r="D2030" s="74"/>
      <c r="E2030" s="74"/>
      <c r="F2030" s="74"/>
      <c r="G2030" s="74"/>
      <c r="H2030" s="73" t="s">
        <v>21160</v>
      </c>
    </row>
    <row r="2031" spans="1:8" ht="51" x14ac:dyDescent="0.2">
      <c r="A2031" s="75" t="s">
        <v>21161</v>
      </c>
      <c r="B2031" s="75" t="s">
        <v>9183</v>
      </c>
      <c r="C2031" s="75" t="s">
        <v>21162</v>
      </c>
      <c r="D2031" s="75"/>
      <c r="E2031" s="75"/>
      <c r="F2031" s="75"/>
      <c r="G2031" s="75"/>
      <c r="H2031" s="76" t="s">
        <v>21163</v>
      </c>
    </row>
    <row r="2032" spans="1:8" ht="51" x14ac:dyDescent="0.2">
      <c r="A2032" s="74" t="s">
        <v>21164</v>
      </c>
      <c r="B2032" s="74" t="s">
        <v>9186</v>
      </c>
      <c r="C2032" s="74" t="s">
        <v>21165</v>
      </c>
      <c r="D2032" s="74"/>
      <c r="E2032" s="74"/>
      <c r="F2032" s="74"/>
      <c r="G2032" s="74"/>
      <c r="H2032" s="73" t="s">
        <v>21166</v>
      </c>
    </row>
    <row r="2033" spans="1:8" ht="25.5" x14ac:dyDescent="0.2">
      <c r="A2033" s="74" t="s">
        <v>21167</v>
      </c>
      <c r="B2033" s="74" t="s">
        <v>9191</v>
      </c>
      <c r="C2033" s="74" t="s">
        <v>21168</v>
      </c>
      <c r="D2033" s="74"/>
      <c r="E2033" s="74"/>
      <c r="F2033" s="74"/>
      <c r="G2033" s="74"/>
      <c r="H2033" s="73" t="s">
        <v>21169</v>
      </c>
    </row>
    <row r="2034" spans="1:8" ht="25.5" x14ac:dyDescent="0.2">
      <c r="A2034" s="75" t="s">
        <v>21170</v>
      </c>
      <c r="B2034" s="75" t="s">
        <v>9194</v>
      </c>
      <c r="C2034" s="75" t="s">
        <v>21171</v>
      </c>
      <c r="D2034" s="75"/>
      <c r="E2034" s="75"/>
      <c r="F2034" s="75"/>
      <c r="G2034" s="75"/>
      <c r="H2034" s="46" t="s">
        <v>21172</v>
      </c>
    </row>
    <row r="2035" spans="1:8" ht="25.5" x14ac:dyDescent="0.2">
      <c r="A2035" s="14" t="s">
        <v>21173</v>
      </c>
      <c r="B2035" s="14" t="s">
        <v>9196</v>
      </c>
      <c r="C2035" s="14" t="s">
        <v>9197</v>
      </c>
      <c r="D2035" s="14"/>
      <c r="E2035" s="14"/>
      <c r="F2035" s="14"/>
      <c r="G2035" s="14"/>
      <c r="H2035" s="73" t="s">
        <v>21174</v>
      </c>
    </row>
    <row r="2036" spans="1:8" ht="51" x14ac:dyDescent="0.2">
      <c r="A2036" s="74" t="s">
        <v>21175</v>
      </c>
      <c r="B2036" s="74" t="s">
        <v>9199</v>
      </c>
      <c r="C2036" s="74" t="s">
        <v>21176</v>
      </c>
      <c r="D2036" s="74"/>
      <c r="E2036" s="74"/>
      <c r="F2036" s="74"/>
      <c r="G2036" s="74"/>
      <c r="H2036" s="74" t="s">
        <v>21177</v>
      </c>
    </row>
    <row r="2037" spans="1:8" ht="12.75" x14ac:dyDescent="0.2">
      <c r="A2037" s="46" t="s">
        <v>21178</v>
      </c>
      <c r="B2037" s="46" t="s">
        <v>9202</v>
      </c>
      <c r="C2037" s="46" t="s">
        <v>9203</v>
      </c>
      <c r="D2037" s="46"/>
      <c r="E2037" s="46"/>
      <c r="F2037" s="46"/>
      <c r="G2037" s="46"/>
      <c r="H2037" s="46" t="s">
        <v>21179</v>
      </c>
    </row>
    <row r="2038" spans="1:8" ht="25.5" x14ac:dyDescent="0.2">
      <c r="A2038" s="74" t="s">
        <v>21180</v>
      </c>
      <c r="B2038" s="74" t="s">
        <v>9207</v>
      </c>
      <c r="C2038" s="74" t="s">
        <v>21181</v>
      </c>
      <c r="D2038" s="74"/>
      <c r="E2038" s="74"/>
      <c r="F2038" s="74"/>
      <c r="G2038" s="74"/>
      <c r="H2038" s="14" t="s">
        <v>21182</v>
      </c>
    </row>
    <row r="2039" spans="1:8" ht="25.5" x14ac:dyDescent="0.2">
      <c r="A2039" s="74" t="s">
        <v>21183</v>
      </c>
      <c r="B2039" s="74" t="s">
        <v>9209</v>
      </c>
      <c r="C2039" s="74" t="s">
        <v>21184</v>
      </c>
      <c r="D2039" s="74"/>
      <c r="E2039" s="74"/>
      <c r="F2039" s="74"/>
      <c r="G2039" s="74"/>
      <c r="H2039" s="14" t="s">
        <v>21185</v>
      </c>
    </row>
    <row r="2040" spans="1:8" ht="51" x14ac:dyDescent="0.2">
      <c r="A2040" s="75" t="s">
        <v>21186</v>
      </c>
      <c r="B2040" s="75" t="s">
        <v>9211</v>
      </c>
      <c r="C2040" s="75" t="s">
        <v>21187</v>
      </c>
      <c r="D2040" s="75"/>
      <c r="E2040" s="75"/>
      <c r="F2040" s="75"/>
      <c r="G2040" s="75"/>
      <c r="H2040" s="76" t="s">
        <v>21188</v>
      </c>
    </row>
    <row r="2041" spans="1:8" ht="38.25" x14ac:dyDescent="0.2">
      <c r="A2041" s="74" t="s">
        <v>21189</v>
      </c>
      <c r="B2041" s="74" t="s">
        <v>9222</v>
      </c>
      <c r="C2041" s="74" t="s">
        <v>21190</v>
      </c>
      <c r="D2041" s="74"/>
      <c r="E2041" s="74"/>
      <c r="F2041" s="74"/>
      <c r="G2041" s="74"/>
      <c r="H2041" s="14" t="s">
        <v>21191</v>
      </c>
    </row>
    <row r="2042" spans="1:8" ht="38.25" x14ac:dyDescent="0.2">
      <c r="A2042" s="74" t="s">
        <v>21192</v>
      </c>
      <c r="B2042" s="74" t="s">
        <v>9225</v>
      </c>
      <c r="C2042" s="74" t="s">
        <v>21193</v>
      </c>
      <c r="D2042" s="74"/>
      <c r="E2042" s="74"/>
      <c r="F2042" s="74"/>
      <c r="G2042" s="74"/>
      <c r="H2042" s="14" t="s">
        <v>21194</v>
      </c>
    </row>
    <row r="2043" spans="1:8" ht="25.5" x14ac:dyDescent="0.2">
      <c r="A2043" s="75" t="s">
        <v>21195</v>
      </c>
      <c r="B2043" s="75" t="s">
        <v>9230</v>
      </c>
      <c r="C2043" s="75" t="s">
        <v>21196</v>
      </c>
      <c r="D2043" s="75"/>
      <c r="E2043" s="75"/>
      <c r="F2043" s="75"/>
      <c r="G2043" s="75"/>
      <c r="H2043" s="76" t="s">
        <v>21197</v>
      </c>
    </row>
    <row r="2044" spans="1:8" ht="38.25" x14ac:dyDescent="0.2">
      <c r="A2044" s="74" t="s">
        <v>21198</v>
      </c>
      <c r="B2044" s="74" t="s">
        <v>9233</v>
      </c>
      <c r="C2044" s="74" t="s">
        <v>21199</v>
      </c>
      <c r="D2044" s="74"/>
      <c r="E2044" s="74"/>
      <c r="F2044" s="74"/>
      <c r="G2044" s="74"/>
      <c r="H2044" s="14" t="s">
        <v>21200</v>
      </c>
    </row>
    <row r="2045" spans="1:8" ht="63.75" x14ac:dyDescent="0.2">
      <c r="A2045" s="74" t="s">
        <v>21201</v>
      </c>
      <c r="B2045" s="74" t="s">
        <v>9236</v>
      </c>
      <c r="C2045" s="74" t="s">
        <v>21202</v>
      </c>
      <c r="D2045" s="74"/>
      <c r="E2045" s="74"/>
      <c r="F2045" s="74"/>
      <c r="G2045" s="74"/>
      <c r="H2045" s="73" t="s">
        <v>21203</v>
      </c>
    </row>
    <row r="2046" spans="1:8" ht="25.5" x14ac:dyDescent="0.2">
      <c r="A2046" s="75" t="s">
        <v>21204</v>
      </c>
      <c r="B2046" s="75" t="s">
        <v>9241</v>
      </c>
      <c r="C2046" s="75" t="s">
        <v>21205</v>
      </c>
      <c r="D2046" s="75"/>
      <c r="E2046" s="75"/>
      <c r="F2046" s="75"/>
      <c r="G2046" s="75"/>
      <c r="H2046" s="46" t="s">
        <v>21206</v>
      </c>
    </row>
    <row r="2047" spans="1:8" ht="25.5" x14ac:dyDescent="0.2">
      <c r="A2047" s="74" t="s">
        <v>21207</v>
      </c>
      <c r="B2047" s="74" t="s">
        <v>9244</v>
      </c>
      <c r="C2047" s="74" t="s">
        <v>21208</v>
      </c>
      <c r="D2047" s="74"/>
      <c r="E2047" s="74"/>
      <c r="F2047" s="74"/>
      <c r="G2047" s="74"/>
      <c r="H2047" s="14" t="s">
        <v>21209</v>
      </c>
    </row>
    <row r="2048" spans="1:8" ht="25.5" x14ac:dyDescent="0.2">
      <c r="A2048" s="74" t="s">
        <v>21210</v>
      </c>
      <c r="B2048" s="74" t="s">
        <v>9247</v>
      </c>
      <c r="C2048" s="74" t="s">
        <v>21211</v>
      </c>
      <c r="D2048" s="74"/>
      <c r="E2048" s="74"/>
      <c r="F2048" s="74"/>
      <c r="G2048" s="74"/>
      <c r="H2048" s="14" t="s">
        <v>21212</v>
      </c>
    </row>
    <row r="2049" spans="1:8" ht="25.5" x14ac:dyDescent="0.2">
      <c r="A2049" s="75" t="s">
        <v>21213</v>
      </c>
      <c r="B2049" s="75" t="s">
        <v>9250</v>
      </c>
      <c r="C2049" s="75" t="s">
        <v>21214</v>
      </c>
      <c r="D2049" s="75"/>
      <c r="E2049" s="75"/>
      <c r="F2049" s="75"/>
      <c r="G2049" s="75"/>
      <c r="H2049" s="46" t="s">
        <v>21215</v>
      </c>
    </row>
    <row r="2050" spans="1:8" ht="51" x14ac:dyDescent="0.2">
      <c r="A2050" s="74" t="s">
        <v>21216</v>
      </c>
      <c r="B2050" s="74" t="s">
        <v>9255</v>
      </c>
      <c r="C2050" s="74" t="s">
        <v>21217</v>
      </c>
      <c r="D2050" s="74"/>
      <c r="E2050" s="74"/>
      <c r="F2050" s="74"/>
      <c r="G2050" s="74"/>
      <c r="H2050" s="73" t="s">
        <v>21218</v>
      </c>
    </row>
    <row r="2051" spans="1:8" ht="76.5" x14ac:dyDescent="0.2">
      <c r="A2051" s="74" t="s">
        <v>21219</v>
      </c>
      <c r="B2051" s="74" t="s">
        <v>9258</v>
      </c>
      <c r="C2051" s="74" t="s">
        <v>21220</v>
      </c>
      <c r="D2051" s="74"/>
      <c r="E2051" s="74"/>
      <c r="F2051" s="74"/>
      <c r="G2051" s="74"/>
      <c r="H2051" s="74" t="s">
        <v>21221</v>
      </c>
    </row>
    <row r="2052" spans="1:8" ht="51" x14ac:dyDescent="0.2">
      <c r="A2052" s="75" t="s">
        <v>21222</v>
      </c>
      <c r="B2052" s="75" t="s">
        <v>9261</v>
      </c>
      <c r="C2052" s="75" t="s">
        <v>21223</v>
      </c>
      <c r="D2052" s="75"/>
      <c r="E2052" s="75"/>
      <c r="F2052" s="75"/>
      <c r="G2052" s="75"/>
      <c r="H2052" s="46" t="s">
        <v>21224</v>
      </c>
    </row>
    <row r="2053" spans="1:8" ht="38.25" x14ac:dyDescent="0.2">
      <c r="A2053" s="74" t="s">
        <v>21225</v>
      </c>
      <c r="B2053" s="74" t="s">
        <v>9265</v>
      </c>
      <c r="C2053" s="74" t="s">
        <v>21226</v>
      </c>
      <c r="D2053" s="74"/>
      <c r="E2053" s="74"/>
      <c r="F2053" s="74"/>
      <c r="G2053" s="74"/>
      <c r="H2053" s="74" t="s">
        <v>21227</v>
      </c>
    </row>
    <row r="2054" spans="1:8" ht="25.5" x14ac:dyDescent="0.2">
      <c r="A2054" s="74" t="s">
        <v>21228</v>
      </c>
      <c r="B2054" s="74" t="s">
        <v>9269</v>
      </c>
      <c r="C2054" s="74" t="s">
        <v>21229</v>
      </c>
      <c r="D2054" s="74"/>
      <c r="E2054" s="74"/>
      <c r="F2054" s="74"/>
      <c r="G2054" s="74"/>
      <c r="H2054" s="14" t="s">
        <v>21230</v>
      </c>
    </row>
    <row r="2055" spans="1:8" ht="51" x14ac:dyDescent="0.2">
      <c r="A2055" s="75" t="s">
        <v>21231</v>
      </c>
      <c r="B2055" s="75" t="s">
        <v>9273</v>
      </c>
      <c r="C2055" s="75" t="s">
        <v>21232</v>
      </c>
      <c r="D2055" s="75"/>
      <c r="E2055" s="75"/>
      <c r="F2055" s="75"/>
      <c r="G2055" s="75"/>
      <c r="H2055" s="75" t="s">
        <v>21233</v>
      </c>
    </row>
    <row r="2056" spans="1:8" ht="25.5" x14ac:dyDescent="0.2">
      <c r="A2056" s="74" t="s">
        <v>21234</v>
      </c>
      <c r="B2056" s="74" t="s">
        <v>9282</v>
      </c>
      <c r="C2056" s="74" t="s">
        <v>21235</v>
      </c>
      <c r="D2056" s="74"/>
      <c r="E2056" s="74"/>
      <c r="F2056" s="74"/>
      <c r="G2056" s="74"/>
      <c r="H2056" s="74" t="s">
        <v>21236</v>
      </c>
    </row>
    <row r="2057" spans="1:8" ht="25.5" x14ac:dyDescent="0.2">
      <c r="A2057" s="74" t="s">
        <v>21237</v>
      </c>
      <c r="B2057" s="74" t="s">
        <v>9285</v>
      </c>
      <c r="C2057" s="74" t="s">
        <v>21238</v>
      </c>
      <c r="D2057" s="74"/>
      <c r="E2057" s="74"/>
      <c r="F2057" s="74"/>
      <c r="G2057" s="74"/>
      <c r="H2057" s="14" t="s">
        <v>21239</v>
      </c>
    </row>
    <row r="2058" spans="1:8" ht="25.5" x14ac:dyDescent="0.2">
      <c r="A2058" s="75" t="s">
        <v>21240</v>
      </c>
      <c r="B2058" s="75" t="s">
        <v>9288</v>
      </c>
      <c r="C2058" s="75" t="s">
        <v>21241</v>
      </c>
      <c r="D2058" s="75"/>
      <c r="E2058" s="75"/>
      <c r="F2058" s="75"/>
      <c r="G2058" s="75"/>
      <c r="H2058" s="75" t="s">
        <v>21242</v>
      </c>
    </row>
    <row r="2059" spans="1:8" ht="25.5" x14ac:dyDescent="0.2">
      <c r="A2059" s="74" t="s">
        <v>21243</v>
      </c>
      <c r="B2059" s="74" t="s">
        <v>9291</v>
      </c>
      <c r="C2059" s="74" t="s">
        <v>21244</v>
      </c>
      <c r="D2059" s="74"/>
      <c r="E2059" s="74"/>
      <c r="F2059" s="74"/>
      <c r="G2059" s="74"/>
      <c r="H2059" s="74" t="s">
        <v>21245</v>
      </c>
    </row>
    <row r="2060" spans="1:8" ht="25.5" x14ac:dyDescent="0.2">
      <c r="A2060" s="74" t="s">
        <v>21246</v>
      </c>
      <c r="B2060" s="74" t="s">
        <v>9294</v>
      </c>
      <c r="C2060" s="74" t="s">
        <v>21247</v>
      </c>
      <c r="D2060" s="74"/>
      <c r="E2060" s="74"/>
      <c r="F2060" s="74"/>
      <c r="G2060" s="74"/>
      <c r="H2060" s="14" t="s">
        <v>21248</v>
      </c>
    </row>
    <row r="2061" spans="1:8" ht="25.5" x14ac:dyDescent="0.2">
      <c r="A2061" s="76" t="s">
        <v>21249</v>
      </c>
      <c r="B2061" s="76" t="s">
        <v>9298</v>
      </c>
      <c r="C2061" s="76" t="s">
        <v>9299</v>
      </c>
      <c r="D2061" s="76"/>
      <c r="E2061" s="76"/>
      <c r="F2061" s="76"/>
      <c r="G2061" s="76"/>
      <c r="H2061" s="76" t="s">
        <v>21250</v>
      </c>
    </row>
    <row r="2062" spans="1:8" ht="25.5" x14ac:dyDescent="0.2">
      <c r="A2062" s="73" t="s">
        <v>21251</v>
      </c>
      <c r="B2062" s="73" t="s">
        <v>9301</v>
      </c>
      <c r="C2062" s="73" t="s">
        <v>9302</v>
      </c>
      <c r="D2062" s="73"/>
      <c r="E2062" s="73"/>
      <c r="F2062" s="73"/>
      <c r="G2062" s="73"/>
      <c r="H2062" s="14" t="s">
        <v>21252</v>
      </c>
    </row>
    <row r="2063" spans="1:8" ht="25.5" x14ac:dyDescent="0.2">
      <c r="A2063" s="73" t="s">
        <v>21253</v>
      </c>
      <c r="B2063" s="73" t="s">
        <v>9304</v>
      </c>
      <c r="C2063" s="73" t="s">
        <v>9305</v>
      </c>
      <c r="D2063" s="73"/>
      <c r="E2063" s="73"/>
      <c r="F2063" s="73"/>
      <c r="G2063" s="73"/>
      <c r="H2063" s="14" t="s">
        <v>21254</v>
      </c>
    </row>
    <row r="2064" spans="1:8" ht="25.5" x14ac:dyDescent="0.2">
      <c r="A2064" s="75" t="s">
        <v>21255</v>
      </c>
      <c r="B2064" s="75" t="s">
        <v>9309</v>
      </c>
      <c r="C2064" s="75" t="s">
        <v>21256</v>
      </c>
      <c r="D2064" s="75"/>
      <c r="E2064" s="75"/>
      <c r="F2064" s="75"/>
      <c r="G2064" s="75"/>
      <c r="H2064" s="46" t="s">
        <v>21257</v>
      </c>
    </row>
    <row r="2065" spans="1:8" ht="25.5" x14ac:dyDescent="0.2">
      <c r="A2065" s="74" t="s">
        <v>21258</v>
      </c>
      <c r="B2065" s="74" t="s">
        <v>9312</v>
      </c>
      <c r="C2065" s="74" t="s">
        <v>21259</v>
      </c>
      <c r="D2065" s="74"/>
      <c r="E2065" s="74"/>
      <c r="F2065" s="74"/>
      <c r="G2065" s="74"/>
      <c r="H2065" s="14" t="s">
        <v>21260</v>
      </c>
    </row>
    <row r="2066" spans="1:8" ht="38.25" x14ac:dyDescent="0.2">
      <c r="A2066" s="74" t="s">
        <v>21261</v>
      </c>
      <c r="B2066" s="74" t="s">
        <v>9315</v>
      </c>
      <c r="C2066" s="74" t="s">
        <v>21262</v>
      </c>
      <c r="D2066" s="74"/>
      <c r="E2066" s="74"/>
      <c r="F2066" s="74"/>
      <c r="G2066" s="74"/>
      <c r="H2066" s="73" t="s">
        <v>21263</v>
      </c>
    </row>
    <row r="2067" spans="1:8" ht="25.5" x14ac:dyDescent="0.2">
      <c r="A2067" s="75" t="s">
        <v>21264</v>
      </c>
      <c r="B2067" s="75" t="s">
        <v>9318</v>
      </c>
      <c r="C2067" s="75" t="s">
        <v>21265</v>
      </c>
      <c r="D2067" s="75"/>
      <c r="E2067" s="75"/>
      <c r="F2067" s="75"/>
      <c r="G2067" s="75"/>
      <c r="H2067" s="46" t="s">
        <v>21266</v>
      </c>
    </row>
    <row r="2068" spans="1:8" ht="25.5" x14ac:dyDescent="0.2">
      <c r="A2068" s="74" t="s">
        <v>21267</v>
      </c>
      <c r="B2068" s="74" t="s">
        <v>9321</v>
      </c>
      <c r="C2068" s="74" t="s">
        <v>21268</v>
      </c>
      <c r="D2068" s="74"/>
      <c r="E2068" s="74"/>
      <c r="F2068" s="74"/>
      <c r="G2068" s="74"/>
      <c r="H2068" s="14" t="s">
        <v>21269</v>
      </c>
    </row>
    <row r="2069" spans="1:8" ht="25.5" x14ac:dyDescent="0.2">
      <c r="A2069" s="74" t="s">
        <v>21270</v>
      </c>
      <c r="B2069" s="74" t="s">
        <v>9324</v>
      </c>
      <c r="C2069" s="74" t="s">
        <v>21271</v>
      </c>
      <c r="D2069" s="74"/>
      <c r="E2069" s="74"/>
      <c r="F2069" s="74"/>
      <c r="G2069" s="74"/>
      <c r="H2069" s="14" t="s">
        <v>21272</v>
      </c>
    </row>
    <row r="2070" spans="1:8" ht="25.5" x14ac:dyDescent="0.2">
      <c r="A2070" s="75" t="s">
        <v>21273</v>
      </c>
      <c r="B2070" s="75" t="s">
        <v>9327</v>
      </c>
      <c r="C2070" s="75" t="s">
        <v>21274</v>
      </c>
      <c r="D2070" s="75"/>
      <c r="E2070" s="75"/>
      <c r="F2070" s="75"/>
      <c r="G2070" s="75"/>
      <c r="H2070" s="46" t="s">
        <v>21275</v>
      </c>
    </row>
    <row r="2071" spans="1:8" ht="38.25" x14ac:dyDescent="0.2">
      <c r="A2071" s="74" t="s">
        <v>21276</v>
      </c>
      <c r="B2071" s="74" t="s">
        <v>9330</v>
      </c>
      <c r="C2071" s="74" t="s">
        <v>21277</v>
      </c>
      <c r="D2071" s="74"/>
      <c r="E2071" s="74"/>
      <c r="F2071" s="74"/>
      <c r="G2071" s="74"/>
      <c r="H2071" s="73" t="s">
        <v>21278</v>
      </c>
    </row>
    <row r="2072" spans="1:8" ht="51" x14ac:dyDescent="0.2">
      <c r="A2072" s="74" t="s">
        <v>21279</v>
      </c>
      <c r="B2072" s="74" t="s">
        <v>9333</v>
      </c>
      <c r="C2072" s="74" t="s">
        <v>21280</v>
      </c>
      <c r="D2072" s="74"/>
      <c r="E2072" s="74"/>
      <c r="F2072" s="74"/>
      <c r="G2072" s="74"/>
      <c r="H2072" s="74" t="s">
        <v>21281</v>
      </c>
    </row>
    <row r="2073" spans="1:8" ht="25.5" x14ac:dyDescent="0.2">
      <c r="A2073" s="75" t="s">
        <v>21282</v>
      </c>
      <c r="B2073" s="75" t="s">
        <v>9338</v>
      </c>
      <c r="C2073" s="75" t="s">
        <v>21283</v>
      </c>
      <c r="D2073" s="75"/>
      <c r="E2073" s="75"/>
      <c r="F2073" s="75"/>
      <c r="G2073" s="75"/>
      <c r="H2073" s="46" t="s">
        <v>21284</v>
      </c>
    </row>
    <row r="2074" spans="1:8" ht="25.5" x14ac:dyDescent="0.2">
      <c r="A2074" s="74" t="s">
        <v>21285</v>
      </c>
      <c r="B2074" s="74" t="s">
        <v>9341</v>
      </c>
      <c r="C2074" s="74" t="s">
        <v>21286</v>
      </c>
      <c r="D2074" s="74"/>
      <c r="E2074" s="74"/>
      <c r="F2074" s="74"/>
      <c r="G2074" s="74"/>
      <c r="H2074" s="14" t="s">
        <v>21287</v>
      </c>
    </row>
    <row r="2075" spans="1:8" ht="25.5" x14ac:dyDescent="0.2">
      <c r="A2075" s="74" t="s">
        <v>21288</v>
      </c>
      <c r="B2075" s="74" t="s">
        <v>9344</v>
      </c>
      <c r="C2075" s="74" t="s">
        <v>21289</v>
      </c>
      <c r="D2075" s="74"/>
      <c r="E2075" s="74"/>
      <c r="F2075" s="74"/>
      <c r="G2075" s="74"/>
      <c r="H2075" s="14" t="s">
        <v>21290</v>
      </c>
    </row>
    <row r="2076" spans="1:8" ht="25.5" x14ac:dyDescent="0.2">
      <c r="A2076" s="75" t="s">
        <v>21291</v>
      </c>
      <c r="B2076" s="75" t="s">
        <v>9347</v>
      </c>
      <c r="C2076" s="75" t="s">
        <v>21292</v>
      </c>
      <c r="D2076" s="75"/>
      <c r="E2076" s="75"/>
      <c r="F2076" s="75"/>
      <c r="G2076" s="75"/>
      <c r="H2076" s="46" t="s">
        <v>21293</v>
      </c>
    </row>
    <row r="2077" spans="1:8" ht="25.5" x14ac:dyDescent="0.2">
      <c r="A2077" s="74" t="s">
        <v>21294</v>
      </c>
      <c r="B2077" s="74" t="s">
        <v>9350</v>
      </c>
      <c r="C2077" s="74" t="s">
        <v>21295</v>
      </c>
      <c r="D2077" s="74"/>
      <c r="E2077" s="74"/>
      <c r="F2077" s="74"/>
      <c r="G2077" s="74"/>
      <c r="H2077" s="14" t="s">
        <v>21296</v>
      </c>
    </row>
    <row r="2078" spans="1:8" ht="25.5" x14ac:dyDescent="0.2">
      <c r="A2078" s="74" t="s">
        <v>21297</v>
      </c>
      <c r="B2078" s="74" t="s">
        <v>9353</v>
      </c>
      <c r="C2078" s="74" t="s">
        <v>21298</v>
      </c>
      <c r="D2078" s="74"/>
      <c r="E2078" s="74"/>
      <c r="F2078" s="74"/>
      <c r="G2078" s="74"/>
      <c r="H2078" s="14" t="s">
        <v>21299</v>
      </c>
    </row>
    <row r="2079" spans="1:8" ht="25.5" x14ac:dyDescent="0.2">
      <c r="A2079" s="75" t="s">
        <v>21300</v>
      </c>
      <c r="B2079" s="75" t="s">
        <v>9356</v>
      </c>
      <c r="C2079" s="75" t="s">
        <v>21301</v>
      </c>
      <c r="D2079" s="75"/>
      <c r="E2079" s="75"/>
      <c r="F2079" s="75"/>
      <c r="G2079" s="75"/>
      <c r="H2079" s="76" t="s">
        <v>21302</v>
      </c>
    </row>
    <row r="2080" spans="1:8" ht="25.5" x14ac:dyDescent="0.2">
      <c r="A2080" s="74" t="s">
        <v>21303</v>
      </c>
      <c r="B2080" s="74" t="s">
        <v>9359</v>
      </c>
      <c r="C2080" s="74" t="s">
        <v>21304</v>
      </c>
      <c r="D2080" s="74"/>
      <c r="E2080" s="74"/>
      <c r="F2080" s="74"/>
      <c r="G2080" s="74"/>
      <c r="H2080" s="14" t="s">
        <v>21305</v>
      </c>
    </row>
    <row r="2081" spans="1:8" ht="25.5" x14ac:dyDescent="0.2">
      <c r="A2081" s="74" t="s">
        <v>21306</v>
      </c>
      <c r="B2081" s="74" t="s">
        <v>9362</v>
      </c>
      <c r="C2081" s="74" t="s">
        <v>21307</v>
      </c>
      <c r="D2081" s="74"/>
      <c r="E2081" s="74"/>
      <c r="F2081" s="74"/>
      <c r="G2081" s="74"/>
      <c r="H2081" s="14" t="s">
        <v>21308</v>
      </c>
    </row>
    <row r="2082" spans="1:8" ht="25.5" x14ac:dyDescent="0.2">
      <c r="A2082" s="75" t="s">
        <v>21309</v>
      </c>
      <c r="B2082" s="75" t="s">
        <v>9365</v>
      </c>
      <c r="C2082" s="75" t="s">
        <v>21310</v>
      </c>
      <c r="D2082" s="75"/>
      <c r="E2082" s="75"/>
      <c r="F2082" s="75"/>
      <c r="G2082" s="75"/>
      <c r="H2082" s="46" t="s">
        <v>21311</v>
      </c>
    </row>
    <row r="2083" spans="1:8" ht="38.25" x14ac:dyDescent="0.2">
      <c r="A2083" s="74" t="s">
        <v>21312</v>
      </c>
      <c r="B2083" s="74" t="s">
        <v>9368</v>
      </c>
      <c r="C2083" s="74" t="s">
        <v>21313</v>
      </c>
      <c r="D2083" s="74"/>
      <c r="E2083" s="74"/>
      <c r="F2083" s="74"/>
      <c r="G2083" s="74"/>
      <c r="H2083" s="73" t="s">
        <v>21314</v>
      </c>
    </row>
    <row r="2084" spans="1:8" ht="38.25" x14ac:dyDescent="0.2">
      <c r="A2084" s="74" t="s">
        <v>21315</v>
      </c>
      <c r="B2084" s="74" t="s">
        <v>9371</v>
      </c>
      <c r="C2084" s="74" t="s">
        <v>21316</v>
      </c>
      <c r="D2084" s="74"/>
      <c r="E2084" s="74"/>
      <c r="F2084" s="74"/>
      <c r="G2084" s="74"/>
      <c r="H2084" s="14" t="s">
        <v>21317</v>
      </c>
    </row>
    <row r="2085" spans="1:8" ht="38.25" x14ac:dyDescent="0.2">
      <c r="A2085" s="75" t="s">
        <v>21318</v>
      </c>
      <c r="B2085" s="75" t="s">
        <v>9374</v>
      </c>
      <c r="C2085" s="75" t="s">
        <v>21319</v>
      </c>
      <c r="D2085" s="75"/>
      <c r="E2085" s="75"/>
      <c r="F2085" s="75"/>
      <c r="G2085" s="75"/>
      <c r="H2085" s="46" t="s">
        <v>21320</v>
      </c>
    </row>
    <row r="2086" spans="1:8" ht="38.25" x14ac:dyDescent="0.2">
      <c r="A2086" s="74" t="s">
        <v>21321</v>
      </c>
      <c r="B2086" s="74" t="s">
        <v>9377</v>
      </c>
      <c r="C2086" s="74" t="s">
        <v>21322</v>
      </c>
      <c r="D2086" s="74"/>
      <c r="E2086" s="74"/>
      <c r="F2086" s="74"/>
      <c r="G2086" s="74"/>
      <c r="H2086" s="14" t="s">
        <v>21323</v>
      </c>
    </row>
    <row r="2087" spans="1:8" ht="25.5" x14ac:dyDescent="0.2">
      <c r="A2087" s="74" t="s">
        <v>21324</v>
      </c>
      <c r="B2087" s="74" t="s">
        <v>9382</v>
      </c>
      <c r="C2087" s="74" t="s">
        <v>21325</v>
      </c>
      <c r="D2087" s="74"/>
      <c r="E2087" s="74"/>
      <c r="F2087" s="74"/>
      <c r="G2087" s="74"/>
      <c r="H2087" s="14" t="s">
        <v>21326</v>
      </c>
    </row>
    <row r="2088" spans="1:8" ht="25.5" x14ac:dyDescent="0.2">
      <c r="A2088" s="75" t="s">
        <v>21327</v>
      </c>
      <c r="B2088" s="75" t="s">
        <v>9385</v>
      </c>
      <c r="C2088" s="75" t="s">
        <v>21328</v>
      </c>
      <c r="D2088" s="75"/>
      <c r="E2088" s="75"/>
      <c r="F2088" s="75"/>
      <c r="G2088" s="75"/>
      <c r="H2088" s="46" t="s">
        <v>21329</v>
      </c>
    </row>
    <row r="2089" spans="1:8" ht="25.5" x14ac:dyDescent="0.2">
      <c r="A2089" s="74" t="s">
        <v>21330</v>
      </c>
      <c r="B2089" s="74" t="s">
        <v>9388</v>
      </c>
      <c r="C2089" s="74" t="s">
        <v>21331</v>
      </c>
      <c r="D2089" s="74"/>
      <c r="E2089" s="74"/>
      <c r="F2089" s="74"/>
      <c r="G2089" s="74"/>
      <c r="H2089" s="73" t="s">
        <v>21332</v>
      </c>
    </row>
    <row r="2090" spans="1:8" ht="25.5" x14ac:dyDescent="0.2">
      <c r="A2090" s="73" t="s">
        <v>21333</v>
      </c>
      <c r="B2090" s="73" t="s">
        <v>9391</v>
      </c>
      <c r="C2090" s="73" t="s">
        <v>9392</v>
      </c>
      <c r="D2090" s="73"/>
      <c r="E2090" s="73"/>
      <c r="F2090" s="73"/>
      <c r="G2090" s="73"/>
      <c r="H2090" s="73" t="s">
        <v>21334</v>
      </c>
    </row>
    <row r="2091" spans="1:8" ht="25.5" x14ac:dyDescent="0.2">
      <c r="A2091" s="75" t="s">
        <v>21335</v>
      </c>
      <c r="B2091" s="75" t="s">
        <v>9394</v>
      </c>
      <c r="C2091" s="75" t="s">
        <v>21336</v>
      </c>
      <c r="D2091" s="75"/>
      <c r="E2091" s="75"/>
      <c r="F2091" s="75"/>
      <c r="G2091" s="75"/>
      <c r="H2091" s="46" t="s">
        <v>21337</v>
      </c>
    </row>
    <row r="2092" spans="1:8" ht="25.5" x14ac:dyDescent="0.2">
      <c r="A2092" s="74" t="s">
        <v>21338</v>
      </c>
      <c r="B2092" s="74" t="s">
        <v>9397</v>
      </c>
      <c r="C2092" s="74" t="s">
        <v>21339</v>
      </c>
      <c r="D2092" s="74"/>
      <c r="E2092" s="74"/>
      <c r="F2092" s="74"/>
      <c r="G2092" s="74"/>
      <c r="H2092" s="14" t="s">
        <v>21340</v>
      </c>
    </row>
    <row r="2093" spans="1:8" ht="25.5" x14ac:dyDescent="0.2">
      <c r="A2093" s="74" t="s">
        <v>21341</v>
      </c>
      <c r="B2093" s="74" t="s">
        <v>9400</v>
      </c>
      <c r="C2093" s="74" t="s">
        <v>21342</v>
      </c>
      <c r="D2093" s="74"/>
      <c r="E2093" s="74"/>
      <c r="F2093" s="74"/>
      <c r="G2093" s="74"/>
      <c r="H2093" s="14" t="s">
        <v>21343</v>
      </c>
    </row>
    <row r="2094" spans="1:8" ht="25.5" x14ac:dyDescent="0.2">
      <c r="A2094" s="76" t="s">
        <v>21344</v>
      </c>
      <c r="B2094" s="76" t="s">
        <v>9403</v>
      </c>
      <c r="C2094" s="76" t="s">
        <v>9404</v>
      </c>
      <c r="D2094" s="76"/>
      <c r="E2094" s="76"/>
      <c r="F2094" s="76"/>
      <c r="G2094" s="76"/>
      <c r="H2094" s="76" t="s">
        <v>21345</v>
      </c>
    </row>
    <row r="2095" spans="1:8" ht="25.5" x14ac:dyDescent="0.2">
      <c r="A2095" s="14" t="s">
        <v>21346</v>
      </c>
      <c r="B2095" s="14" t="s">
        <v>9406</v>
      </c>
      <c r="C2095" s="14" t="s">
        <v>9407</v>
      </c>
      <c r="D2095" s="14"/>
      <c r="E2095" s="14"/>
      <c r="F2095" s="14"/>
      <c r="G2095" s="14"/>
      <c r="H2095" s="14" t="s">
        <v>21347</v>
      </c>
    </row>
    <row r="2096" spans="1:8" ht="25.5" x14ac:dyDescent="0.2">
      <c r="A2096" s="14" t="s">
        <v>21348</v>
      </c>
      <c r="B2096" s="14" t="s">
        <v>9409</v>
      </c>
      <c r="C2096" s="14" t="s">
        <v>9410</v>
      </c>
      <c r="D2096" s="14"/>
      <c r="E2096" s="14"/>
      <c r="F2096" s="14"/>
      <c r="G2096" s="14"/>
      <c r="H2096" s="14" t="s">
        <v>21349</v>
      </c>
    </row>
    <row r="2097" spans="1:8" ht="25.5" x14ac:dyDescent="0.2">
      <c r="A2097" s="46" t="s">
        <v>21350</v>
      </c>
      <c r="B2097" s="46" t="s">
        <v>9412</v>
      </c>
      <c r="C2097" s="46" t="s">
        <v>9413</v>
      </c>
      <c r="D2097" s="46"/>
      <c r="E2097" s="46"/>
      <c r="F2097" s="46"/>
      <c r="G2097" s="46"/>
      <c r="H2097" s="46" t="s">
        <v>21351</v>
      </c>
    </row>
    <row r="2098" spans="1:8" ht="25.5" x14ac:dyDescent="0.2">
      <c r="A2098" s="14" t="s">
        <v>21352</v>
      </c>
      <c r="B2098" s="14" t="s">
        <v>9415</v>
      </c>
      <c r="C2098" s="14" t="s">
        <v>9416</v>
      </c>
      <c r="D2098" s="14"/>
      <c r="E2098" s="14"/>
      <c r="F2098" s="14"/>
      <c r="G2098" s="14"/>
      <c r="H2098" s="14" t="s">
        <v>21353</v>
      </c>
    </row>
    <row r="2099" spans="1:8" ht="25.5" x14ac:dyDescent="0.2">
      <c r="A2099" s="73" t="s">
        <v>21354</v>
      </c>
      <c r="B2099" s="73" t="s">
        <v>9418</v>
      </c>
      <c r="C2099" s="73" t="s">
        <v>9419</v>
      </c>
      <c r="D2099" s="73"/>
      <c r="E2099" s="73"/>
      <c r="F2099" s="73"/>
      <c r="G2099" s="73"/>
      <c r="H2099" s="73" t="s">
        <v>21355</v>
      </c>
    </row>
    <row r="2100" spans="1:8" ht="25.5" x14ac:dyDescent="0.2">
      <c r="A2100" s="76" t="s">
        <v>21356</v>
      </c>
      <c r="B2100" s="76" t="s">
        <v>9421</v>
      </c>
      <c r="C2100" s="76" t="s">
        <v>9422</v>
      </c>
      <c r="D2100" s="76"/>
      <c r="E2100" s="76"/>
      <c r="F2100" s="76"/>
      <c r="G2100" s="76"/>
      <c r="H2100" s="76" t="s">
        <v>21357</v>
      </c>
    </row>
    <row r="2101" spans="1:8" ht="25.5" x14ac:dyDescent="0.2">
      <c r="A2101" s="73" t="s">
        <v>21358</v>
      </c>
      <c r="B2101" s="73" t="s">
        <v>9424</v>
      </c>
      <c r="C2101" s="73" t="s">
        <v>9425</v>
      </c>
      <c r="D2101" s="73"/>
      <c r="E2101" s="73"/>
      <c r="F2101" s="73"/>
      <c r="G2101" s="73"/>
      <c r="H2101" s="73" t="s">
        <v>21359</v>
      </c>
    </row>
    <row r="2102" spans="1:8" ht="25.5" x14ac:dyDescent="0.2">
      <c r="A2102" s="73" t="s">
        <v>21360</v>
      </c>
      <c r="B2102" s="73" t="s">
        <v>9427</v>
      </c>
      <c r="C2102" s="73" t="s">
        <v>9428</v>
      </c>
      <c r="D2102" s="73"/>
      <c r="E2102" s="73"/>
      <c r="F2102" s="73"/>
      <c r="G2102" s="73"/>
      <c r="H2102" s="73" t="s">
        <v>21361</v>
      </c>
    </row>
    <row r="2103" spans="1:8" ht="25.5" x14ac:dyDescent="0.2">
      <c r="A2103" s="76" t="s">
        <v>21362</v>
      </c>
      <c r="B2103" s="76" t="s">
        <v>9430</v>
      </c>
      <c r="C2103" s="76" t="s">
        <v>9431</v>
      </c>
      <c r="D2103" s="76"/>
      <c r="E2103" s="76"/>
      <c r="F2103" s="76"/>
      <c r="G2103" s="76"/>
      <c r="H2103" s="76" t="s">
        <v>21363</v>
      </c>
    </row>
    <row r="2104" spans="1:8" ht="25.5" x14ac:dyDescent="0.2">
      <c r="A2104" s="74" t="s">
        <v>21364</v>
      </c>
      <c r="B2104" s="74" t="s">
        <v>9433</v>
      </c>
      <c r="C2104" s="74" t="s">
        <v>21365</v>
      </c>
      <c r="D2104" s="74"/>
      <c r="E2104" s="74"/>
      <c r="F2104" s="74"/>
      <c r="G2104" s="74"/>
      <c r="H2104" s="14" t="s">
        <v>21366</v>
      </c>
    </row>
    <row r="2105" spans="1:8" ht="51" x14ac:dyDescent="0.2">
      <c r="A2105" s="73" t="s">
        <v>21367</v>
      </c>
      <c r="B2105" s="73" t="s">
        <v>9438</v>
      </c>
      <c r="C2105" s="73" t="s">
        <v>9439</v>
      </c>
      <c r="D2105" s="73"/>
      <c r="E2105" s="73"/>
      <c r="F2105" s="73"/>
      <c r="G2105" s="73"/>
      <c r="H2105" s="73" t="s">
        <v>21368</v>
      </c>
    </row>
    <row r="2106" spans="1:8" ht="38.25" x14ac:dyDescent="0.2">
      <c r="A2106" s="76" t="s">
        <v>21369</v>
      </c>
      <c r="B2106" s="76" t="s">
        <v>9441</v>
      </c>
      <c r="C2106" s="76" t="s">
        <v>9442</v>
      </c>
      <c r="D2106" s="76"/>
      <c r="E2106" s="76"/>
      <c r="F2106" s="76"/>
      <c r="G2106" s="76"/>
      <c r="H2106" s="75" t="s">
        <v>21370</v>
      </c>
    </row>
    <row r="2107" spans="1:8" ht="38.25" x14ac:dyDescent="0.2">
      <c r="A2107" s="73" t="s">
        <v>21371</v>
      </c>
      <c r="B2107" s="73" t="s">
        <v>9444</v>
      </c>
      <c r="C2107" s="73" t="s">
        <v>9445</v>
      </c>
      <c r="D2107" s="73"/>
      <c r="E2107" s="73"/>
      <c r="F2107" s="73"/>
      <c r="G2107" s="73"/>
      <c r="H2107" s="14" t="s">
        <v>21372</v>
      </c>
    </row>
    <row r="2108" spans="1:8" ht="38.25" x14ac:dyDescent="0.2">
      <c r="A2108" s="73" t="s">
        <v>21373</v>
      </c>
      <c r="B2108" s="73" t="s">
        <v>9447</v>
      </c>
      <c r="C2108" s="73" t="s">
        <v>9448</v>
      </c>
      <c r="D2108" s="73"/>
      <c r="E2108" s="73"/>
      <c r="F2108" s="73"/>
      <c r="G2108" s="73"/>
      <c r="H2108" s="14" t="s">
        <v>21374</v>
      </c>
    </row>
    <row r="2109" spans="1:8" ht="76.5" x14ac:dyDescent="0.2">
      <c r="A2109" s="76" t="s">
        <v>21375</v>
      </c>
      <c r="B2109" s="76" t="s">
        <v>9450</v>
      </c>
      <c r="C2109" s="76" t="s">
        <v>9451</v>
      </c>
      <c r="D2109" s="76"/>
      <c r="E2109" s="76"/>
      <c r="F2109" s="76"/>
      <c r="G2109" s="76"/>
      <c r="H2109" s="46" t="s">
        <v>21376</v>
      </c>
    </row>
    <row r="2110" spans="1:8" ht="51" x14ac:dyDescent="0.2">
      <c r="A2110" s="73" t="s">
        <v>21377</v>
      </c>
      <c r="B2110" s="73" t="s">
        <v>9453</v>
      </c>
      <c r="C2110" s="73" t="s">
        <v>9454</v>
      </c>
      <c r="D2110" s="73"/>
      <c r="E2110" s="73"/>
      <c r="F2110" s="73"/>
      <c r="G2110" s="73"/>
      <c r="H2110" s="73" t="s">
        <v>21378</v>
      </c>
    </row>
    <row r="2111" spans="1:8" ht="38.25" x14ac:dyDescent="0.2">
      <c r="A2111" s="73" t="s">
        <v>21379</v>
      </c>
      <c r="B2111" s="73" t="s">
        <v>9456</v>
      </c>
      <c r="C2111" s="73" t="s">
        <v>9457</v>
      </c>
      <c r="D2111" s="73"/>
      <c r="E2111" s="73"/>
      <c r="F2111" s="73"/>
      <c r="G2111" s="73"/>
      <c r="H2111" s="14" t="s">
        <v>21380</v>
      </c>
    </row>
    <row r="2112" spans="1:8" ht="38.25" x14ac:dyDescent="0.2">
      <c r="A2112" s="76" t="s">
        <v>21381</v>
      </c>
      <c r="B2112" s="76" t="s">
        <v>9459</v>
      </c>
      <c r="C2112" s="76" t="s">
        <v>9460</v>
      </c>
      <c r="D2112" s="76"/>
      <c r="E2112" s="76"/>
      <c r="F2112" s="76"/>
      <c r="G2112" s="76"/>
      <c r="H2112" s="46" t="s">
        <v>21382</v>
      </c>
    </row>
    <row r="2113" spans="1:8" ht="38.25" x14ac:dyDescent="0.2">
      <c r="A2113" s="73" t="s">
        <v>21383</v>
      </c>
      <c r="B2113" s="73" t="s">
        <v>9461</v>
      </c>
      <c r="C2113" s="73" t="s">
        <v>9462</v>
      </c>
      <c r="D2113" s="73"/>
      <c r="E2113" s="73"/>
      <c r="F2113" s="73"/>
      <c r="G2113" s="73"/>
      <c r="H2113" s="14" t="s">
        <v>21384</v>
      </c>
    </row>
    <row r="2114" spans="1:8" ht="63.75" x14ac:dyDescent="0.2">
      <c r="A2114" s="74" t="s">
        <v>21385</v>
      </c>
      <c r="B2114" s="74" t="s">
        <v>9463</v>
      </c>
      <c r="C2114" s="74" t="s">
        <v>21386</v>
      </c>
      <c r="D2114" s="74"/>
      <c r="E2114" s="74"/>
      <c r="F2114" s="74"/>
      <c r="G2114" s="74"/>
      <c r="H2114" s="73" t="s">
        <v>21387</v>
      </c>
    </row>
    <row r="2115" spans="1:8" ht="63.75" x14ac:dyDescent="0.2">
      <c r="A2115" s="75" t="s">
        <v>21388</v>
      </c>
      <c r="B2115" s="75" t="s">
        <v>9466</v>
      </c>
      <c r="C2115" s="75" t="s">
        <v>21389</v>
      </c>
      <c r="D2115" s="75"/>
      <c r="E2115" s="75"/>
      <c r="F2115" s="75"/>
      <c r="G2115" s="75"/>
      <c r="H2115" s="75" t="s">
        <v>21390</v>
      </c>
    </row>
    <row r="2116" spans="1:8" ht="76.5" x14ac:dyDescent="0.2">
      <c r="A2116" s="74" t="s">
        <v>21391</v>
      </c>
      <c r="B2116" s="74" t="s">
        <v>9469</v>
      </c>
      <c r="C2116" s="74" t="s">
        <v>21392</v>
      </c>
      <c r="D2116" s="74" t="s">
        <v>21393</v>
      </c>
      <c r="E2116" s="74"/>
      <c r="F2116" s="74"/>
      <c r="G2116" s="74"/>
      <c r="H2116" s="74" t="s">
        <v>21394</v>
      </c>
    </row>
    <row r="2117" spans="1:8" ht="51" x14ac:dyDescent="0.2">
      <c r="A2117" s="74" t="s">
        <v>21395</v>
      </c>
      <c r="B2117" s="74" t="s">
        <v>9472</v>
      </c>
      <c r="C2117" s="74" t="s">
        <v>21396</v>
      </c>
      <c r="D2117" s="74"/>
      <c r="E2117" s="74"/>
      <c r="F2117" s="74"/>
      <c r="G2117" s="74"/>
      <c r="H2117" s="73" t="s">
        <v>21397</v>
      </c>
    </row>
    <row r="2118" spans="1:8" ht="38.25" x14ac:dyDescent="0.2">
      <c r="A2118" s="75" t="s">
        <v>21398</v>
      </c>
      <c r="B2118" s="75" t="s">
        <v>9475</v>
      </c>
      <c r="C2118" s="75" t="s">
        <v>21399</v>
      </c>
      <c r="D2118" s="75" t="s">
        <v>21400</v>
      </c>
      <c r="E2118" s="75"/>
      <c r="F2118" s="75"/>
      <c r="G2118" s="75"/>
      <c r="H2118" s="75" t="s">
        <v>21401</v>
      </c>
    </row>
    <row r="2119" spans="1:8" ht="38.25" x14ac:dyDescent="0.2">
      <c r="A2119" s="74" t="s">
        <v>21402</v>
      </c>
      <c r="B2119" s="74" t="s">
        <v>9478</v>
      </c>
      <c r="C2119" s="74" t="s">
        <v>21399</v>
      </c>
      <c r="D2119" s="74" t="s">
        <v>21403</v>
      </c>
      <c r="E2119" s="74"/>
      <c r="F2119" s="74"/>
      <c r="G2119" s="74"/>
      <c r="H2119" s="74" t="s">
        <v>21404</v>
      </c>
    </row>
    <row r="2120" spans="1:8" ht="89.25" x14ac:dyDescent="0.2">
      <c r="A2120" s="75" t="s">
        <v>21405</v>
      </c>
      <c r="B2120" s="75" t="s">
        <v>9481</v>
      </c>
      <c r="C2120" s="75" t="s">
        <v>21406</v>
      </c>
      <c r="D2120" s="75"/>
      <c r="E2120" s="75"/>
      <c r="F2120" s="75"/>
      <c r="G2120" s="75"/>
      <c r="H2120" s="76" t="s">
        <v>21407</v>
      </c>
    </row>
    <row r="2121" spans="1:8" ht="89.25" x14ac:dyDescent="0.2">
      <c r="A2121" s="74" t="s">
        <v>21408</v>
      </c>
      <c r="B2121" s="74" t="s">
        <v>9484</v>
      </c>
      <c r="C2121" s="74" t="s">
        <v>21409</v>
      </c>
      <c r="D2121" s="74"/>
      <c r="E2121" s="74"/>
      <c r="F2121" s="74"/>
      <c r="G2121" s="74"/>
      <c r="H2121" s="73" t="s">
        <v>21410</v>
      </c>
    </row>
    <row r="2122" spans="1:8" ht="127.5" x14ac:dyDescent="0.2">
      <c r="A2122" s="75" t="s">
        <v>21411</v>
      </c>
      <c r="B2122" s="75" t="s">
        <v>9487</v>
      </c>
      <c r="C2122" s="75" t="s">
        <v>21412</v>
      </c>
      <c r="D2122" s="75"/>
      <c r="E2122" s="75"/>
      <c r="F2122" s="75"/>
      <c r="G2122" s="75"/>
      <c r="H2122" s="75" t="s">
        <v>21413</v>
      </c>
    </row>
    <row r="2123" spans="1:8" ht="127.5" x14ac:dyDescent="0.2">
      <c r="A2123" s="74" t="s">
        <v>21414</v>
      </c>
      <c r="B2123" s="74" t="s">
        <v>9490</v>
      </c>
      <c r="C2123" s="74" t="s">
        <v>21415</v>
      </c>
      <c r="D2123" s="74"/>
      <c r="E2123" s="74"/>
      <c r="F2123" s="74"/>
      <c r="G2123" s="74"/>
      <c r="H2123" s="74" t="s">
        <v>21416</v>
      </c>
    </row>
    <row r="2124" spans="1:8" ht="127.5" x14ac:dyDescent="0.2">
      <c r="A2124" s="75" t="s">
        <v>21417</v>
      </c>
      <c r="B2124" s="75" t="s">
        <v>9493</v>
      </c>
      <c r="C2124" s="75" t="s">
        <v>21418</v>
      </c>
      <c r="D2124" s="75"/>
      <c r="E2124" s="75"/>
      <c r="F2124" s="75"/>
      <c r="G2124" s="75"/>
      <c r="H2124" s="75" t="s">
        <v>21419</v>
      </c>
    </row>
    <row r="2125" spans="1:8" ht="140.25" x14ac:dyDescent="0.2">
      <c r="A2125" s="74" t="s">
        <v>21420</v>
      </c>
      <c r="B2125" s="74" t="s">
        <v>9496</v>
      </c>
      <c r="C2125" s="74" t="s">
        <v>21421</v>
      </c>
      <c r="D2125" s="74"/>
      <c r="E2125" s="74"/>
      <c r="F2125" s="74"/>
      <c r="G2125" s="74"/>
      <c r="H2125" s="74" t="s">
        <v>21422</v>
      </c>
    </row>
    <row r="2126" spans="1:8" ht="114.75" x14ac:dyDescent="0.2">
      <c r="A2126" s="75" t="s">
        <v>21423</v>
      </c>
      <c r="B2126" s="75" t="s">
        <v>9499</v>
      </c>
      <c r="C2126" s="75" t="s">
        <v>21424</v>
      </c>
      <c r="D2126" s="75"/>
      <c r="E2126" s="75"/>
      <c r="F2126" s="75"/>
      <c r="G2126" s="75"/>
      <c r="H2126" s="75" t="s">
        <v>21425</v>
      </c>
    </row>
    <row r="2127" spans="1:8" ht="89.25" x14ac:dyDescent="0.2">
      <c r="A2127" s="74" t="s">
        <v>21426</v>
      </c>
      <c r="B2127" s="74" t="s">
        <v>9502</v>
      </c>
      <c r="C2127" s="74" t="s">
        <v>21427</v>
      </c>
      <c r="D2127" s="74"/>
      <c r="E2127" s="74"/>
      <c r="F2127" s="74"/>
      <c r="G2127" s="74"/>
      <c r="H2127" s="74" t="s">
        <v>21428</v>
      </c>
    </row>
    <row r="2128" spans="1:8" ht="76.5" x14ac:dyDescent="0.2">
      <c r="A2128" s="75" t="s">
        <v>21429</v>
      </c>
      <c r="B2128" s="75" t="s">
        <v>9505</v>
      </c>
      <c r="C2128" s="75" t="s">
        <v>21430</v>
      </c>
      <c r="D2128" s="75"/>
      <c r="E2128" s="75"/>
      <c r="F2128" s="75"/>
      <c r="G2128" s="75"/>
      <c r="H2128" s="76" t="s">
        <v>21431</v>
      </c>
    </row>
    <row r="2129" spans="1:8" ht="76.5" x14ac:dyDescent="0.2">
      <c r="A2129" s="74" t="s">
        <v>21432</v>
      </c>
      <c r="B2129" s="74" t="s">
        <v>9508</v>
      </c>
      <c r="C2129" s="74" t="s">
        <v>21433</v>
      </c>
      <c r="D2129" s="74"/>
      <c r="E2129" s="74"/>
      <c r="F2129" s="74"/>
      <c r="G2129" s="74"/>
      <c r="H2129" s="73" t="s">
        <v>21434</v>
      </c>
    </row>
    <row r="2130" spans="1:8" ht="89.25" x14ac:dyDescent="0.2">
      <c r="A2130" s="75" t="s">
        <v>21435</v>
      </c>
      <c r="B2130" s="75" t="s">
        <v>9511</v>
      </c>
      <c r="C2130" s="75" t="s">
        <v>21436</v>
      </c>
      <c r="D2130" s="75"/>
      <c r="E2130" s="75"/>
      <c r="F2130" s="75"/>
      <c r="G2130" s="75"/>
      <c r="H2130" s="75" t="s">
        <v>21437</v>
      </c>
    </row>
    <row r="2131" spans="1:8" ht="102" x14ac:dyDescent="0.2">
      <c r="A2131" s="74" t="s">
        <v>21438</v>
      </c>
      <c r="B2131" s="74" t="s">
        <v>9514</v>
      </c>
      <c r="C2131" s="74" t="s">
        <v>21439</v>
      </c>
      <c r="D2131" s="74"/>
      <c r="E2131" s="74"/>
      <c r="F2131" s="74"/>
      <c r="G2131" s="74"/>
      <c r="H2131" s="74" t="s">
        <v>21440</v>
      </c>
    </row>
    <row r="2132" spans="1:8" ht="114.75" x14ac:dyDescent="0.2">
      <c r="A2132" s="75" t="s">
        <v>21441</v>
      </c>
      <c r="B2132" s="75" t="s">
        <v>9517</v>
      </c>
      <c r="C2132" s="75" t="s">
        <v>21442</v>
      </c>
      <c r="D2132" s="75"/>
      <c r="E2132" s="75"/>
      <c r="F2132" s="75"/>
      <c r="G2132" s="75"/>
      <c r="H2132" s="75" t="s">
        <v>21443</v>
      </c>
    </row>
    <row r="2133" spans="1:8" ht="114.75" x14ac:dyDescent="0.2">
      <c r="A2133" s="22" t="s">
        <v>21444</v>
      </c>
      <c r="B2133" s="22" t="s">
        <v>9520</v>
      </c>
      <c r="C2133" s="22" t="s">
        <v>21445</v>
      </c>
      <c r="D2133" s="22"/>
      <c r="E2133" s="22"/>
      <c r="F2133" s="22"/>
      <c r="G2133" s="22"/>
      <c r="H2133" s="74" t="s">
        <v>21446</v>
      </c>
    </row>
    <row r="2134" spans="1:8" ht="127.5" x14ac:dyDescent="0.2">
      <c r="A2134" s="75" t="s">
        <v>21447</v>
      </c>
      <c r="B2134" s="75" t="s">
        <v>9523</v>
      </c>
      <c r="C2134" s="75" t="s">
        <v>21448</v>
      </c>
      <c r="D2134" s="75"/>
      <c r="E2134" s="75"/>
      <c r="F2134" s="75"/>
      <c r="G2134" s="75"/>
      <c r="H2134" s="75" t="s">
        <v>21449</v>
      </c>
    </row>
    <row r="2135" spans="1:8" ht="127.5" x14ac:dyDescent="0.2">
      <c r="A2135" s="75" t="s">
        <v>21450</v>
      </c>
      <c r="B2135" s="75" t="s">
        <v>9526</v>
      </c>
      <c r="C2135" s="75" t="s">
        <v>21451</v>
      </c>
      <c r="D2135" s="75"/>
      <c r="E2135" s="75"/>
      <c r="F2135" s="75"/>
      <c r="G2135" s="75"/>
      <c r="H2135" s="75" t="s">
        <v>21452</v>
      </c>
    </row>
    <row r="2136" spans="1:8" ht="165.75" x14ac:dyDescent="0.2">
      <c r="A2136" s="22" t="s">
        <v>21453</v>
      </c>
      <c r="B2136" s="22" t="s">
        <v>9529</v>
      </c>
      <c r="C2136" s="22" t="s">
        <v>21454</v>
      </c>
      <c r="D2136" s="22"/>
      <c r="E2136" s="22"/>
      <c r="F2136" s="22"/>
      <c r="G2136" s="22"/>
      <c r="H2136" s="74" t="s">
        <v>21455</v>
      </c>
    </row>
    <row r="2137" spans="1:8" ht="63.75" x14ac:dyDescent="0.2">
      <c r="A2137" s="76" t="s">
        <v>21456</v>
      </c>
      <c r="B2137" s="76" t="s">
        <v>9534</v>
      </c>
      <c r="C2137" s="76" t="s">
        <v>9535</v>
      </c>
      <c r="D2137" s="76"/>
      <c r="E2137" s="76"/>
      <c r="F2137" s="76"/>
      <c r="G2137" s="76"/>
      <c r="H2137" s="75" t="s">
        <v>21457</v>
      </c>
    </row>
    <row r="2138" spans="1:8" ht="25.5" x14ac:dyDescent="0.2">
      <c r="A2138" s="73" t="s">
        <v>21458</v>
      </c>
      <c r="B2138" s="73" t="s">
        <v>9537</v>
      </c>
      <c r="C2138" s="73" t="s">
        <v>9538</v>
      </c>
      <c r="D2138" s="73"/>
      <c r="E2138" s="73"/>
      <c r="F2138" s="73"/>
      <c r="G2138" s="73"/>
      <c r="H2138" s="73" t="s">
        <v>21459</v>
      </c>
    </row>
    <row r="2139" spans="1:8" ht="38.25" x14ac:dyDescent="0.2">
      <c r="A2139" s="73" t="s">
        <v>21460</v>
      </c>
      <c r="B2139" s="73" t="s">
        <v>9540</v>
      </c>
      <c r="C2139" s="73" t="s">
        <v>9541</v>
      </c>
      <c r="D2139" s="73"/>
      <c r="E2139" s="73"/>
      <c r="F2139" s="73"/>
      <c r="G2139" s="73"/>
      <c r="H2139" s="73" t="s">
        <v>21461</v>
      </c>
    </row>
    <row r="2140" spans="1:8" ht="38.25" x14ac:dyDescent="0.2">
      <c r="A2140" s="76" t="s">
        <v>21462</v>
      </c>
      <c r="B2140" s="76" t="s">
        <v>9542</v>
      </c>
      <c r="C2140" s="76" t="s">
        <v>9543</v>
      </c>
      <c r="D2140" s="76"/>
      <c r="E2140" s="76"/>
      <c r="F2140" s="76"/>
      <c r="G2140" s="76"/>
      <c r="H2140" s="76" t="s">
        <v>21463</v>
      </c>
    </row>
    <row r="2141" spans="1:8" ht="51" x14ac:dyDescent="0.2">
      <c r="A2141" s="73" t="s">
        <v>21464</v>
      </c>
      <c r="B2141" s="73" t="s">
        <v>9545</v>
      </c>
      <c r="C2141" s="73" t="s">
        <v>9546</v>
      </c>
      <c r="D2141" s="73"/>
      <c r="E2141" s="73"/>
      <c r="F2141" s="73"/>
      <c r="G2141" s="73"/>
      <c r="H2141" s="14" t="s">
        <v>21465</v>
      </c>
    </row>
    <row r="2142" spans="1:8" ht="140.25" x14ac:dyDescent="0.2">
      <c r="A2142" s="75" t="s">
        <v>21466</v>
      </c>
      <c r="B2142" s="75" t="s">
        <v>9548</v>
      </c>
      <c r="C2142" s="75" t="s">
        <v>21467</v>
      </c>
      <c r="D2142" s="75"/>
      <c r="E2142" s="75"/>
      <c r="F2142" s="75"/>
      <c r="G2142" s="75"/>
      <c r="H2142" s="75" t="s">
        <v>21468</v>
      </c>
    </row>
    <row r="2143" spans="1:8" ht="127.5" x14ac:dyDescent="0.2">
      <c r="A2143" s="74" t="s">
        <v>21469</v>
      </c>
      <c r="B2143" s="74" t="s">
        <v>9551</v>
      </c>
      <c r="C2143" s="74" t="s">
        <v>21470</v>
      </c>
      <c r="D2143" s="74"/>
      <c r="E2143" s="74"/>
      <c r="F2143" s="74"/>
      <c r="G2143" s="74"/>
      <c r="H2143" s="74" t="s">
        <v>21471</v>
      </c>
    </row>
    <row r="2144" spans="1:8" ht="89.25" x14ac:dyDescent="0.2">
      <c r="A2144" s="49" t="s">
        <v>21472</v>
      </c>
      <c r="B2144" s="49" t="s">
        <v>9554</v>
      </c>
      <c r="C2144" s="49" t="s">
        <v>21473</v>
      </c>
      <c r="D2144" s="49"/>
      <c r="E2144" s="49"/>
      <c r="F2144" s="49"/>
      <c r="G2144" s="49"/>
      <c r="H2144" s="75" t="s">
        <v>21474</v>
      </c>
    </row>
    <row r="2145" spans="1:8" ht="51" x14ac:dyDescent="0.2">
      <c r="A2145" s="74" t="s">
        <v>21475</v>
      </c>
      <c r="B2145" s="74" t="s">
        <v>9557</v>
      </c>
      <c r="C2145" s="74" t="s">
        <v>21476</v>
      </c>
      <c r="D2145" s="74" t="s">
        <v>21477</v>
      </c>
      <c r="E2145" s="74" t="s">
        <v>21478</v>
      </c>
      <c r="F2145" s="74" t="s">
        <v>21479</v>
      </c>
      <c r="G2145" s="74" t="s">
        <v>21480</v>
      </c>
      <c r="H2145" s="73" t="s">
        <v>21481</v>
      </c>
    </row>
    <row r="2146" spans="1:8" ht="51" x14ac:dyDescent="0.2">
      <c r="A2146" s="74" t="s">
        <v>21482</v>
      </c>
      <c r="B2146" s="74" t="s">
        <v>9560</v>
      </c>
      <c r="C2146" s="74" t="s">
        <v>21483</v>
      </c>
      <c r="D2146" s="74" t="s">
        <v>21484</v>
      </c>
      <c r="E2146" s="74" t="s">
        <v>21478</v>
      </c>
      <c r="F2146" s="74" t="s">
        <v>21479</v>
      </c>
      <c r="G2146" s="74" t="s">
        <v>21480</v>
      </c>
      <c r="H2146" s="73" t="s">
        <v>21485</v>
      </c>
    </row>
    <row r="2147" spans="1:8" ht="38.25" x14ac:dyDescent="0.2">
      <c r="A2147" s="76" t="s">
        <v>21486</v>
      </c>
      <c r="B2147" s="76" t="s">
        <v>9564</v>
      </c>
      <c r="C2147" s="76" t="s">
        <v>9565</v>
      </c>
      <c r="D2147" s="76"/>
      <c r="E2147" s="76"/>
      <c r="F2147" s="76"/>
      <c r="G2147" s="76"/>
      <c r="H2147" s="76" t="s">
        <v>21487</v>
      </c>
    </row>
    <row r="2148" spans="1:8" ht="38.25" x14ac:dyDescent="0.2">
      <c r="A2148" s="74" t="s">
        <v>21488</v>
      </c>
      <c r="B2148" s="74" t="s">
        <v>9567</v>
      </c>
      <c r="C2148" s="74" t="s">
        <v>21489</v>
      </c>
      <c r="D2148" s="74"/>
      <c r="E2148" s="74"/>
      <c r="F2148" s="74"/>
      <c r="G2148" s="74"/>
      <c r="H2148" s="73" t="s">
        <v>21490</v>
      </c>
    </row>
    <row r="2149" spans="1:8" ht="51" x14ac:dyDescent="0.2">
      <c r="A2149" s="74" t="s">
        <v>21491</v>
      </c>
      <c r="B2149" s="74" t="s">
        <v>9570</v>
      </c>
      <c r="C2149" s="74" t="s">
        <v>21492</v>
      </c>
      <c r="D2149" s="74"/>
      <c r="E2149" s="74"/>
      <c r="F2149" s="74"/>
      <c r="G2149" s="74"/>
      <c r="H2149" s="73" t="s">
        <v>21493</v>
      </c>
    </row>
    <row r="2150" spans="1:8" ht="38.25" x14ac:dyDescent="0.2">
      <c r="A2150" s="75" t="s">
        <v>21494</v>
      </c>
      <c r="B2150" s="75" t="s">
        <v>9575</v>
      </c>
      <c r="C2150" s="75" t="s">
        <v>21495</v>
      </c>
      <c r="D2150" s="75"/>
      <c r="E2150" s="75"/>
      <c r="F2150" s="75"/>
      <c r="G2150" s="75"/>
      <c r="H2150" s="76" t="s">
        <v>21496</v>
      </c>
    </row>
    <row r="2151" spans="1:8" ht="63.75" x14ac:dyDescent="0.2">
      <c r="A2151" s="74" t="s">
        <v>21497</v>
      </c>
      <c r="B2151" s="74" t="s">
        <v>9578</v>
      </c>
      <c r="C2151" s="74" t="s">
        <v>21498</v>
      </c>
      <c r="D2151" s="74"/>
      <c r="E2151" s="74"/>
      <c r="F2151" s="74"/>
      <c r="G2151" s="74"/>
      <c r="H2151" s="74" t="s">
        <v>21499</v>
      </c>
    </row>
    <row r="2152" spans="1:8" ht="63.75" x14ac:dyDescent="0.2">
      <c r="A2152" s="74" t="s">
        <v>21500</v>
      </c>
      <c r="B2152" s="74" t="s">
        <v>9581</v>
      </c>
      <c r="C2152" s="74" t="s">
        <v>21501</v>
      </c>
      <c r="D2152" s="74"/>
      <c r="E2152" s="74"/>
      <c r="F2152" s="74"/>
      <c r="G2152" s="74"/>
      <c r="H2152" s="73" t="s">
        <v>21502</v>
      </c>
    </row>
    <row r="2153" spans="1:8" ht="63.75" x14ac:dyDescent="0.2">
      <c r="A2153" s="75" t="s">
        <v>21503</v>
      </c>
      <c r="B2153" s="75" t="s">
        <v>9584</v>
      </c>
      <c r="C2153" s="75" t="s">
        <v>21504</v>
      </c>
      <c r="D2153" s="75"/>
      <c r="E2153" s="75"/>
      <c r="F2153" s="75"/>
      <c r="G2153" s="75"/>
      <c r="H2153" s="76" t="s">
        <v>21505</v>
      </c>
    </row>
    <row r="2154" spans="1:8" ht="102" x14ac:dyDescent="0.2">
      <c r="A2154" s="74" t="s">
        <v>21506</v>
      </c>
      <c r="B2154" s="74" t="s">
        <v>9589</v>
      </c>
      <c r="C2154" s="74" t="s">
        <v>21507</v>
      </c>
      <c r="D2154" s="74"/>
      <c r="E2154" s="74"/>
      <c r="F2154" s="74"/>
      <c r="G2154" s="74"/>
      <c r="H2154" s="74" t="s">
        <v>21508</v>
      </c>
    </row>
    <row r="2155" spans="1:8" ht="102" x14ac:dyDescent="0.2">
      <c r="A2155" s="74" t="s">
        <v>21509</v>
      </c>
      <c r="B2155" s="74" t="s">
        <v>9592</v>
      </c>
      <c r="C2155" s="74" t="s">
        <v>21510</v>
      </c>
      <c r="D2155" s="74"/>
      <c r="E2155" s="74"/>
      <c r="F2155" s="74"/>
      <c r="G2155" s="74"/>
      <c r="H2155" s="74" t="s">
        <v>21511</v>
      </c>
    </row>
    <row r="2156" spans="1:8" ht="102" x14ac:dyDescent="0.2">
      <c r="A2156" s="75" t="s">
        <v>21512</v>
      </c>
      <c r="B2156" s="75" t="s">
        <v>9594</v>
      </c>
      <c r="C2156" s="75" t="s">
        <v>21513</v>
      </c>
      <c r="D2156" s="75"/>
      <c r="E2156" s="75"/>
      <c r="F2156" s="75"/>
      <c r="G2156" s="75"/>
      <c r="H2156" s="75" t="s">
        <v>21514</v>
      </c>
    </row>
    <row r="2157" spans="1:8" ht="102" x14ac:dyDescent="0.2">
      <c r="A2157" s="74" t="s">
        <v>21515</v>
      </c>
      <c r="B2157" s="74" t="s">
        <v>9596</v>
      </c>
      <c r="C2157" s="74" t="s">
        <v>21516</v>
      </c>
      <c r="D2157" s="74"/>
      <c r="E2157" s="74"/>
      <c r="F2157" s="74"/>
      <c r="G2157" s="74"/>
      <c r="H2157" s="74" t="s">
        <v>21517</v>
      </c>
    </row>
    <row r="2158" spans="1:8" ht="102" x14ac:dyDescent="0.2">
      <c r="A2158" s="74" t="s">
        <v>21518</v>
      </c>
      <c r="B2158" s="74" t="s">
        <v>9598</v>
      </c>
      <c r="C2158" s="74" t="s">
        <v>21519</v>
      </c>
      <c r="D2158" s="74"/>
      <c r="E2158" s="74"/>
      <c r="F2158" s="74"/>
      <c r="G2158" s="74"/>
      <c r="H2158" s="74" t="s">
        <v>21520</v>
      </c>
    </row>
    <row r="2159" spans="1:8" ht="102" x14ac:dyDescent="0.2">
      <c r="A2159" s="75" t="s">
        <v>21521</v>
      </c>
      <c r="B2159" s="75" t="s">
        <v>9600</v>
      </c>
      <c r="C2159" s="75" t="s">
        <v>21522</v>
      </c>
      <c r="D2159" s="75"/>
      <c r="E2159" s="75"/>
      <c r="F2159" s="75"/>
      <c r="G2159" s="75"/>
      <c r="H2159" s="75" t="s">
        <v>21523</v>
      </c>
    </row>
    <row r="2160" spans="1:8" ht="102" x14ac:dyDescent="0.2">
      <c r="A2160" s="74" t="s">
        <v>21524</v>
      </c>
      <c r="B2160" s="74" t="s">
        <v>9602</v>
      </c>
      <c r="C2160" s="74" t="s">
        <v>21525</v>
      </c>
      <c r="D2160" s="74"/>
      <c r="E2160" s="74"/>
      <c r="F2160" s="74"/>
      <c r="G2160" s="74"/>
      <c r="H2160" s="74" t="s">
        <v>21526</v>
      </c>
    </row>
    <row r="2161" spans="1:8" ht="102" x14ac:dyDescent="0.2">
      <c r="A2161" s="74" t="s">
        <v>21527</v>
      </c>
      <c r="B2161" s="74" t="s">
        <v>9604</v>
      </c>
      <c r="C2161" s="74" t="s">
        <v>21528</v>
      </c>
      <c r="D2161" s="74"/>
      <c r="E2161" s="74"/>
      <c r="F2161" s="74"/>
      <c r="G2161" s="74"/>
      <c r="H2161" s="74" t="s">
        <v>21529</v>
      </c>
    </row>
    <row r="2162" spans="1:8" ht="102" x14ac:dyDescent="0.2">
      <c r="A2162" s="75" t="s">
        <v>21530</v>
      </c>
      <c r="B2162" s="75" t="s">
        <v>9606</v>
      </c>
      <c r="C2162" s="75" t="s">
        <v>21531</v>
      </c>
      <c r="D2162" s="75"/>
      <c r="E2162" s="75"/>
      <c r="F2162" s="75"/>
      <c r="G2162" s="75"/>
      <c r="H2162" s="75" t="s">
        <v>21532</v>
      </c>
    </row>
    <row r="2163" spans="1:8" ht="102" x14ac:dyDescent="0.2">
      <c r="A2163" s="74" t="s">
        <v>21533</v>
      </c>
      <c r="B2163" s="74" t="s">
        <v>9609</v>
      </c>
      <c r="C2163" s="74" t="s">
        <v>21534</v>
      </c>
      <c r="D2163" s="74"/>
      <c r="E2163" s="74"/>
      <c r="F2163" s="74"/>
      <c r="G2163" s="74"/>
      <c r="H2163" s="74" t="s">
        <v>21535</v>
      </c>
    </row>
    <row r="2164" spans="1:8" ht="102" x14ac:dyDescent="0.2">
      <c r="A2164" s="74" t="s">
        <v>21536</v>
      </c>
      <c r="B2164" s="74" t="s">
        <v>9611</v>
      </c>
      <c r="C2164" s="74" t="s">
        <v>21537</v>
      </c>
      <c r="D2164" s="74"/>
      <c r="E2164" s="74"/>
      <c r="F2164" s="74"/>
      <c r="G2164" s="74"/>
      <c r="H2164" s="74" t="s">
        <v>21538</v>
      </c>
    </row>
    <row r="2165" spans="1:8" ht="102" x14ac:dyDescent="0.2">
      <c r="A2165" s="75" t="s">
        <v>21539</v>
      </c>
      <c r="B2165" s="75" t="s">
        <v>9613</v>
      </c>
      <c r="C2165" s="75" t="s">
        <v>21540</v>
      </c>
      <c r="D2165" s="75"/>
      <c r="E2165" s="75"/>
      <c r="F2165" s="75"/>
      <c r="G2165" s="75"/>
      <c r="H2165" s="75" t="s">
        <v>21541</v>
      </c>
    </row>
    <row r="2166" spans="1:8" ht="102" x14ac:dyDescent="0.2">
      <c r="A2166" s="74" t="s">
        <v>21542</v>
      </c>
      <c r="B2166" s="74" t="s">
        <v>9615</v>
      </c>
      <c r="C2166" s="74" t="s">
        <v>21543</v>
      </c>
      <c r="D2166" s="74"/>
      <c r="E2166" s="74"/>
      <c r="F2166" s="74"/>
      <c r="G2166" s="74"/>
      <c r="H2166" s="74" t="s">
        <v>21544</v>
      </c>
    </row>
    <row r="2167" spans="1:8" ht="102" x14ac:dyDescent="0.2">
      <c r="A2167" s="74" t="s">
        <v>21545</v>
      </c>
      <c r="B2167" s="74" t="s">
        <v>9617</v>
      </c>
      <c r="C2167" s="74" t="s">
        <v>21546</v>
      </c>
      <c r="D2167" s="74"/>
      <c r="E2167" s="74"/>
      <c r="F2167" s="74"/>
      <c r="G2167" s="74"/>
      <c r="H2167" s="74" t="s">
        <v>21547</v>
      </c>
    </row>
    <row r="2168" spans="1:8" ht="102" x14ac:dyDescent="0.2">
      <c r="A2168" s="75" t="s">
        <v>21548</v>
      </c>
      <c r="B2168" s="75" t="s">
        <v>9619</v>
      </c>
      <c r="C2168" s="75" t="s">
        <v>21549</v>
      </c>
      <c r="D2168" s="75"/>
      <c r="E2168" s="75"/>
      <c r="F2168" s="75"/>
      <c r="G2168" s="75"/>
      <c r="H2168" s="75" t="s">
        <v>21550</v>
      </c>
    </row>
    <row r="2169" spans="1:8" ht="102" x14ac:dyDescent="0.2">
      <c r="A2169" s="74" t="s">
        <v>21551</v>
      </c>
      <c r="B2169" s="74" t="s">
        <v>9621</v>
      </c>
      <c r="C2169" s="74" t="s">
        <v>21552</v>
      </c>
      <c r="D2169" s="74"/>
      <c r="E2169" s="74"/>
      <c r="F2169" s="74"/>
      <c r="G2169" s="74"/>
      <c r="H2169" s="74" t="s">
        <v>21553</v>
      </c>
    </row>
    <row r="2170" spans="1:8" ht="89.25" x14ac:dyDescent="0.2">
      <c r="A2170" s="74" t="s">
        <v>21554</v>
      </c>
      <c r="B2170" s="74" t="s">
        <v>9623</v>
      </c>
      <c r="C2170" s="74" t="s">
        <v>21555</v>
      </c>
      <c r="D2170" s="74"/>
      <c r="E2170" s="74"/>
      <c r="F2170" s="74"/>
      <c r="G2170" s="74"/>
      <c r="H2170" s="74" t="s">
        <v>21556</v>
      </c>
    </row>
    <row r="2171" spans="1:8" ht="89.25" x14ac:dyDescent="0.2">
      <c r="A2171" s="75" t="s">
        <v>21557</v>
      </c>
      <c r="B2171" s="75" t="s">
        <v>9626</v>
      </c>
      <c r="C2171" s="75" t="s">
        <v>21558</v>
      </c>
      <c r="D2171" s="75"/>
      <c r="E2171" s="75"/>
      <c r="F2171" s="75"/>
      <c r="G2171" s="75"/>
      <c r="H2171" s="75" t="s">
        <v>21559</v>
      </c>
    </row>
    <row r="2172" spans="1:8" ht="89.25" x14ac:dyDescent="0.2">
      <c r="A2172" s="74" t="s">
        <v>21560</v>
      </c>
      <c r="B2172" s="74" t="s">
        <v>9628</v>
      </c>
      <c r="C2172" s="74" t="s">
        <v>21561</v>
      </c>
      <c r="D2172" s="74"/>
      <c r="E2172" s="74"/>
      <c r="F2172" s="74"/>
      <c r="G2172" s="74"/>
      <c r="H2172" s="74" t="s">
        <v>21562</v>
      </c>
    </row>
    <row r="2173" spans="1:8" ht="89.25" x14ac:dyDescent="0.2">
      <c r="A2173" s="74" t="s">
        <v>21563</v>
      </c>
      <c r="B2173" s="74" t="s">
        <v>9630</v>
      </c>
      <c r="C2173" s="74" t="s">
        <v>21564</v>
      </c>
      <c r="D2173" s="74"/>
      <c r="E2173" s="74"/>
      <c r="F2173" s="74"/>
      <c r="G2173" s="74"/>
      <c r="H2173" s="74" t="s">
        <v>21565</v>
      </c>
    </row>
    <row r="2174" spans="1:8" ht="89.25" x14ac:dyDescent="0.2">
      <c r="A2174" s="75" t="s">
        <v>21566</v>
      </c>
      <c r="B2174" s="75" t="s">
        <v>9632</v>
      </c>
      <c r="C2174" s="75" t="s">
        <v>21567</v>
      </c>
      <c r="D2174" s="75"/>
      <c r="E2174" s="75"/>
      <c r="F2174" s="75"/>
      <c r="G2174" s="75"/>
      <c r="H2174" s="75" t="s">
        <v>21568</v>
      </c>
    </row>
    <row r="2175" spans="1:8" ht="89.25" x14ac:dyDescent="0.2">
      <c r="A2175" s="74" t="s">
        <v>21569</v>
      </c>
      <c r="B2175" s="74" t="s">
        <v>9634</v>
      </c>
      <c r="C2175" s="74" t="s">
        <v>21570</v>
      </c>
      <c r="D2175" s="74"/>
      <c r="E2175" s="74"/>
      <c r="F2175" s="74"/>
      <c r="G2175" s="74"/>
      <c r="H2175" s="74" t="s">
        <v>21571</v>
      </c>
    </row>
    <row r="2176" spans="1:8" ht="89.25" x14ac:dyDescent="0.2">
      <c r="A2176" s="74" t="s">
        <v>21572</v>
      </c>
      <c r="B2176" s="74" t="s">
        <v>9636</v>
      </c>
      <c r="C2176" s="74" t="s">
        <v>21573</v>
      </c>
      <c r="D2176" s="74"/>
      <c r="E2176" s="74"/>
      <c r="F2176" s="74"/>
      <c r="G2176" s="74"/>
      <c r="H2176" s="74" t="s">
        <v>21574</v>
      </c>
    </row>
    <row r="2177" spans="1:8" ht="89.25" x14ac:dyDescent="0.2">
      <c r="A2177" s="75" t="s">
        <v>21575</v>
      </c>
      <c r="B2177" s="75" t="s">
        <v>9638</v>
      </c>
      <c r="C2177" s="75" t="s">
        <v>21576</v>
      </c>
      <c r="D2177" s="75"/>
      <c r="E2177" s="75"/>
      <c r="F2177" s="75"/>
      <c r="G2177" s="75"/>
      <c r="H2177" s="75" t="s">
        <v>21577</v>
      </c>
    </row>
    <row r="2178" spans="1:8" ht="89.25" x14ac:dyDescent="0.2">
      <c r="A2178" s="74" t="s">
        <v>21578</v>
      </c>
      <c r="B2178" s="74" t="s">
        <v>9640</v>
      </c>
      <c r="C2178" s="74" t="s">
        <v>21579</v>
      </c>
      <c r="D2178" s="74"/>
      <c r="E2178" s="74"/>
      <c r="F2178" s="74"/>
      <c r="G2178" s="74"/>
      <c r="H2178" s="74" t="s">
        <v>21580</v>
      </c>
    </row>
    <row r="2179" spans="1:8" ht="89.25" x14ac:dyDescent="0.2">
      <c r="A2179" s="74" t="s">
        <v>21581</v>
      </c>
      <c r="B2179" s="74" t="s">
        <v>9643</v>
      </c>
      <c r="C2179" s="74" t="s">
        <v>21582</v>
      </c>
      <c r="D2179" s="74"/>
      <c r="E2179" s="74"/>
      <c r="F2179" s="74"/>
      <c r="G2179" s="74"/>
      <c r="H2179" s="74" t="s">
        <v>21583</v>
      </c>
    </row>
    <row r="2180" spans="1:8" ht="89.25" x14ac:dyDescent="0.2">
      <c r="A2180" s="75" t="s">
        <v>21584</v>
      </c>
      <c r="B2180" s="75" t="s">
        <v>9645</v>
      </c>
      <c r="C2180" s="75" t="s">
        <v>21585</v>
      </c>
      <c r="D2180" s="75"/>
      <c r="E2180" s="75"/>
      <c r="F2180" s="75"/>
      <c r="G2180" s="75"/>
      <c r="H2180" s="75" t="s">
        <v>21586</v>
      </c>
    </row>
    <row r="2181" spans="1:8" ht="76.5" x14ac:dyDescent="0.2">
      <c r="A2181" s="74" t="s">
        <v>21587</v>
      </c>
      <c r="B2181" s="74" t="s">
        <v>9647</v>
      </c>
      <c r="C2181" s="74" t="s">
        <v>21588</v>
      </c>
      <c r="D2181" s="74"/>
      <c r="E2181" s="74"/>
      <c r="F2181" s="74"/>
      <c r="G2181" s="74"/>
      <c r="H2181" s="74" t="s">
        <v>21589</v>
      </c>
    </row>
    <row r="2182" spans="1:8" ht="89.25" x14ac:dyDescent="0.2">
      <c r="A2182" s="74" t="s">
        <v>21590</v>
      </c>
      <c r="B2182" s="74" t="s">
        <v>9650</v>
      </c>
      <c r="C2182" s="74" t="s">
        <v>21591</v>
      </c>
      <c r="D2182" s="74"/>
      <c r="E2182" s="74"/>
      <c r="F2182" s="74"/>
      <c r="G2182" s="74"/>
      <c r="H2182" s="74" t="s">
        <v>21592</v>
      </c>
    </row>
    <row r="2183" spans="1:8" ht="89.25" x14ac:dyDescent="0.2">
      <c r="A2183" s="75" t="s">
        <v>21593</v>
      </c>
      <c r="B2183" s="75" t="s">
        <v>9653</v>
      </c>
      <c r="C2183" s="75" t="s">
        <v>21594</v>
      </c>
      <c r="D2183" s="75"/>
      <c r="E2183" s="75"/>
      <c r="F2183" s="75"/>
      <c r="G2183" s="75"/>
      <c r="H2183" s="75" t="s">
        <v>21595</v>
      </c>
    </row>
    <row r="2184" spans="1:8" ht="89.25" x14ac:dyDescent="0.2">
      <c r="A2184" s="74" t="s">
        <v>21596</v>
      </c>
      <c r="B2184" s="74" t="s">
        <v>9655</v>
      </c>
      <c r="C2184" s="74" t="s">
        <v>21597</v>
      </c>
      <c r="D2184" s="74"/>
      <c r="E2184" s="74"/>
      <c r="F2184" s="74"/>
      <c r="G2184" s="74"/>
      <c r="H2184" s="74" t="s">
        <v>21598</v>
      </c>
    </row>
    <row r="2185" spans="1:8" ht="89.25" x14ac:dyDescent="0.2">
      <c r="A2185" s="74" t="s">
        <v>21599</v>
      </c>
      <c r="B2185" s="74" t="s">
        <v>9658</v>
      </c>
      <c r="C2185" s="74" t="s">
        <v>21600</v>
      </c>
      <c r="D2185" s="74"/>
      <c r="E2185" s="74"/>
      <c r="F2185" s="74"/>
      <c r="G2185" s="74"/>
      <c r="H2185" s="74" t="s">
        <v>21601</v>
      </c>
    </row>
    <row r="2186" spans="1:8" ht="89.25" x14ac:dyDescent="0.2">
      <c r="A2186" s="75" t="s">
        <v>21602</v>
      </c>
      <c r="B2186" s="75" t="s">
        <v>9660</v>
      </c>
      <c r="C2186" s="75" t="s">
        <v>21603</v>
      </c>
      <c r="D2186" s="75"/>
      <c r="E2186" s="75"/>
      <c r="F2186" s="75"/>
      <c r="G2186" s="75"/>
      <c r="H2186" s="75" t="s">
        <v>21604</v>
      </c>
    </row>
    <row r="2187" spans="1:8" ht="51" x14ac:dyDescent="0.2">
      <c r="A2187" s="74" t="s">
        <v>21605</v>
      </c>
      <c r="B2187" s="74" t="s">
        <v>9662</v>
      </c>
      <c r="C2187" s="74" t="s">
        <v>21606</v>
      </c>
      <c r="D2187" s="74"/>
      <c r="E2187" s="74"/>
      <c r="F2187" s="74"/>
      <c r="G2187" s="74"/>
      <c r="H2187" s="74" t="s">
        <v>21607</v>
      </c>
    </row>
    <row r="2188" spans="1:8" ht="51" x14ac:dyDescent="0.2">
      <c r="A2188" s="74" t="s">
        <v>21608</v>
      </c>
      <c r="B2188" s="74" t="s">
        <v>9665</v>
      </c>
      <c r="C2188" s="74" t="s">
        <v>21609</v>
      </c>
      <c r="D2188" s="74"/>
      <c r="E2188" s="74"/>
      <c r="F2188" s="74"/>
      <c r="G2188" s="74"/>
      <c r="H2188" s="74" t="s">
        <v>21610</v>
      </c>
    </row>
    <row r="2189" spans="1:8" ht="51" x14ac:dyDescent="0.2">
      <c r="A2189" s="75" t="s">
        <v>21611</v>
      </c>
      <c r="B2189" s="75" t="s">
        <v>9667</v>
      </c>
      <c r="C2189" s="75" t="s">
        <v>21612</v>
      </c>
      <c r="D2189" s="75"/>
      <c r="E2189" s="75"/>
      <c r="F2189" s="75"/>
      <c r="G2189" s="75"/>
      <c r="H2189" s="75" t="s">
        <v>21613</v>
      </c>
    </row>
    <row r="2190" spans="1:8" ht="51" x14ac:dyDescent="0.2">
      <c r="A2190" s="74" t="s">
        <v>21614</v>
      </c>
      <c r="B2190" s="74" t="s">
        <v>9669</v>
      </c>
      <c r="C2190" s="74" t="s">
        <v>21615</v>
      </c>
      <c r="D2190" s="74"/>
      <c r="E2190" s="74"/>
      <c r="F2190" s="74"/>
      <c r="G2190" s="74"/>
      <c r="H2190" s="74" t="s">
        <v>21616</v>
      </c>
    </row>
    <row r="2191" spans="1:8" ht="51" x14ac:dyDescent="0.2">
      <c r="A2191" s="74" t="s">
        <v>21617</v>
      </c>
      <c r="B2191" s="74" t="s">
        <v>9672</v>
      </c>
      <c r="C2191" s="74" t="s">
        <v>21618</v>
      </c>
      <c r="D2191" s="74"/>
      <c r="E2191" s="74"/>
      <c r="F2191" s="74"/>
      <c r="G2191" s="74"/>
      <c r="H2191" s="74" t="s">
        <v>21619</v>
      </c>
    </row>
    <row r="2192" spans="1:8" ht="51" x14ac:dyDescent="0.2">
      <c r="A2192" s="75" t="s">
        <v>21620</v>
      </c>
      <c r="B2192" s="75" t="s">
        <v>9675</v>
      </c>
      <c r="C2192" s="75" t="s">
        <v>21621</v>
      </c>
      <c r="D2192" s="75"/>
      <c r="E2192" s="75"/>
      <c r="F2192" s="75"/>
      <c r="G2192" s="75"/>
      <c r="H2192" s="75" t="s">
        <v>21622</v>
      </c>
    </row>
    <row r="2193" spans="1:8" ht="51" x14ac:dyDescent="0.2">
      <c r="A2193" s="74" t="s">
        <v>21623</v>
      </c>
      <c r="B2193" s="74" t="s">
        <v>9677</v>
      </c>
      <c r="C2193" s="74" t="s">
        <v>21624</v>
      </c>
      <c r="D2193" s="74"/>
      <c r="E2193" s="74"/>
      <c r="F2193" s="74"/>
      <c r="G2193" s="74"/>
      <c r="H2193" s="74" t="s">
        <v>21625</v>
      </c>
    </row>
    <row r="2194" spans="1:8" ht="63.75" x14ac:dyDescent="0.2">
      <c r="A2194" s="74" t="s">
        <v>21626</v>
      </c>
      <c r="B2194" s="74" t="s">
        <v>9679</v>
      </c>
      <c r="C2194" s="74" t="s">
        <v>21627</v>
      </c>
      <c r="D2194" s="74"/>
      <c r="E2194" s="74"/>
      <c r="F2194" s="74"/>
      <c r="G2194" s="74"/>
      <c r="H2194" s="73" t="s">
        <v>21628</v>
      </c>
    </row>
    <row r="2195" spans="1:8" ht="63.75" x14ac:dyDescent="0.2">
      <c r="A2195" s="75" t="s">
        <v>21629</v>
      </c>
      <c r="B2195" s="75" t="s">
        <v>9682</v>
      </c>
      <c r="C2195" s="75" t="s">
        <v>21630</v>
      </c>
      <c r="D2195" s="75"/>
      <c r="E2195" s="75"/>
      <c r="F2195" s="75"/>
      <c r="G2195" s="75"/>
      <c r="H2195" s="76" t="s">
        <v>21631</v>
      </c>
    </row>
    <row r="2196" spans="1:8" ht="63.75" x14ac:dyDescent="0.2">
      <c r="A2196" s="74" t="s">
        <v>21632</v>
      </c>
      <c r="B2196" s="74" t="s">
        <v>9684</v>
      </c>
      <c r="C2196" s="74" t="s">
        <v>21633</v>
      </c>
      <c r="D2196" s="74"/>
      <c r="E2196" s="74"/>
      <c r="F2196" s="74"/>
      <c r="G2196" s="74"/>
      <c r="H2196" s="73" t="s">
        <v>21634</v>
      </c>
    </row>
    <row r="2197" spans="1:8" ht="63.75" x14ac:dyDescent="0.2">
      <c r="A2197" s="74" t="s">
        <v>21635</v>
      </c>
      <c r="B2197" s="74" t="s">
        <v>9688</v>
      </c>
      <c r="C2197" s="74" t="s">
        <v>21636</v>
      </c>
      <c r="D2197" s="74"/>
      <c r="E2197" s="74"/>
      <c r="F2197" s="74"/>
      <c r="G2197" s="74"/>
      <c r="H2197" s="73" t="s">
        <v>21637</v>
      </c>
    </row>
    <row r="2198" spans="1:8" ht="63.75" x14ac:dyDescent="0.2">
      <c r="A2198" s="75" t="s">
        <v>21638</v>
      </c>
      <c r="B2198" s="75" t="s">
        <v>9691</v>
      </c>
      <c r="C2198" s="75" t="s">
        <v>21639</v>
      </c>
      <c r="D2198" s="75"/>
      <c r="E2198" s="75"/>
      <c r="F2198" s="75"/>
      <c r="G2198" s="75"/>
      <c r="H2198" s="76" t="s">
        <v>21640</v>
      </c>
    </row>
    <row r="2199" spans="1:8" ht="63.75" x14ac:dyDescent="0.2">
      <c r="A2199" s="74" t="s">
        <v>21641</v>
      </c>
      <c r="B2199" s="74" t="s">
        <v>9693</v>
      </c>
      <c r="C2199" s="74" t="s">
        <v>21642</v>
      </c>
      <c r="D2199" s="74"/>
      <c r="E2199" s="74"/>
      <c r="F2199" s="74"/>
      <c r="G2199" s="74"/>
      <c r="H2199" s="73" t="s">
        <v>21643</v>
      </c>
    </row>
    <row r="2200" spans="1:8" ht="63.75" x14ac:dyDescent="0.2">
      <c r="A2200" s="74" t="s">
        <v>21644</v>
      </c>
      <c r="B2200" s="74" t="s">
        <v>9695</v>
      </c>
      <c r="C2200" s="74" t="s">
        <v>21645</v>
      </c>
      <c r="D2200" s="74"/>
      <c r="E2200" s="74"/>
      <c r="F2200" s="74"/>
      <c r="G2200" s="74"/>
      <c r="H2200" s="73" t="s">
        <v>21646</v>
      </c>
    </row>
    <row r="2201" spans="1:8" ht="63.75" x14ac:dyDescent="0.2">
      <c r="A2201" s="75" t="s">
        <v>21647</v>
      </c>
      <c r="B2201" s="75" t="s">
        <v>9697</v>
      </c>
      <c r="C2201" s="75" t="s">
        <v>21648</v>
      </c>
      <c r="D2201" s="75"/>
      <c r="E2201" s="75"/>
      <c r="F2201" s="75"/>
      <c r="G2201" s="75"/>
      <c r="H2201" s="76" t="s">
        <v>21649</v>
      </c>
    </row>
    <row r="2202" spans="1:8" ht="63.75" x14ac:dyDescent="0.2">
      <c r="A2202" s="74" t="s">
        <v>21650</v>
      </c>
      <c r="B2202" s="74" t="s">
        <v>9699</v>
      </c>
      <c r="C2202" s="74" t="s">
        <v>21651</v>
      </c>
      <c r="D2202" s="74"/>
      <c r="E2202" s="74"/>
      <c r="F2202" s="74"/>
      <c r="G2202" s="74"/>
      <c r="H2202" s="73" t="s">
        <v>21652</v>
      </c>
    </row>
    <row r="2203" spans="1:8" ht="63.75" x14ac:dyDescent="0.2">
      <c r="A2203" s="74" t="s">
        <v>21653</v>
      </c>
      <c r="B2203" s="74" t="s">
        <v>9701</v>
      </c>
      <c r="C2203" s="74" t="s">
        <v>21654</v>
      </c>
      <c r="D2203" s="74"/>
      <c r="E2203" s="74"/>
      <c r="F2203" s="74"/>
      <c r="G2203" s="74"/>
      <c r="H2203" s="73" t="s">
        <v>21655</v>
      </c>
    </row>
    <row r="2204" spans="1:8" ht="63.75" x14ac:dyDescent="0.2">
      <c r="A2204" s="75" t="s">
        <v>21656</v>
      </c>
      <c r="B2204" s="75" t="s">
        <v>9703</v>
      </c>
      <c r="C2204" s="75" t="s">
        <v>21657</v>
      </c>
      <c r="D2204" s="75"/>
      <c r="E2204" s="75"/>
      <c r="F2204" s="75"/>
      <c r="G2204" s="75"/>
      <c r="H2204" s="76" t="s">
        <v>21658</v>
      </c>
    </row>
    <row r="2205" spans="1:8" ht="63.75" x14ac:dyDescent="0.2">
      <c r="A2205" s="74" t="s">
        <v>21659</v>
      </c>
      <c r="B2205" s="74" t="s">
        <v>9705</v>
      </c>
      <c r="C2205" s="74" t="s">
        <v>21660</v>
      </c>
      <c r="D2205" s="74"/>
      <c r="E2205" s="74"/>
      <c r="F2205" s="74"/>
      <c r="G2205" s="74"/>
      <c r="H2205" s="73" t="s">
        <v>21661</v>
      </c>
    </row>
    <row r="2206" spans="1:8" ht="63.75" x14ac:dyDescent="0.2">
      <c r="A2206" s="74" t="s">
        <v>21662</v>
      </c>
      <c r="B2206" s="74" t="s">
        <v>9708</v>
      </c>
      <c r="C2206" s="74" t="s">
        <v>21663</v>
      </c>
      <c r="D2206" s="74"/>
      <c r="E2206" s="74"/>
      <c r="F2206" s="74"/>
      <c r="G2206" s="74"/>
      <c r="H2206" s="73" t="s">
        <v>21664</v>
      </c>
    </row>
    <row r="2207" spans="1:8" ht="63.75" x14ac:dyDescent="0.2">
      <c r="A2207" s="75" t="s">
        <v>21665</v>
      </c>
      <c r="B2207" s="75" t="s">
        <v>9710</v>
      </c>
      <c r="C2207" s="75" t="s">
        <v>21666</v>
      </c>
      <c r="D2207" s="75"/>
      <c r="E2207" s="75"/>
      <c r="F2207" s="75"/>
      <c r="G2207" s="75"/>
      <c r="H2207" s="76" t="s">
        <v>21667</v>
      </c>
    </row>
    <row r="2208" spans="1:8" ht="63.75" x14ac:dyDescent="0.2">
      <c r="A2208" s="74" t="s">
        <v>21668</v>
      </c>
      <c r="B2208" s="74" t="s">
        <v>9712</v>
      </c>
      <c r="C2208" s="74" t="s">
        <v>21669</v>
      </c>
      <c r="D2208" s="74"/>
      <c r="E2208" s="74"/>
      <c r="F2208" s="74"/>
      <c r="G2208" s="74"/>
      <c r="H2208" s="73" t="s">
        <v>21670</v>
      </c>
    </row>
    <row r="2209" spans="1:8" ht="63.75" x14ac:dyDescent="0.2">
      <c r="A2209" s="74" t="s">
        <v>21671</v>
      </c>
      <c r="B2209" s="74" t="s">
        <v>9714</v>
      </c>
      <c r="C2209" s="74" t="s">
        <v>21672</v>
      </c>
      <c r="D2209" s="74"/>
      <c r="E2209" s="74"/>
      <c r="F2209" s="74"/>
      <c r="G2209" s="74"/>
      <c r="H2209" s="73" t="s">
        <v>21673</v>
      </c>
    </row>
    <row r="2210" spans="1:8" ht="63.75" x14ac:dyDescent="0.2">
      <c r="A2210" s="75" t="s">
        <v>21674</v>
      </c>
      <c r="B2210" s="75" t="s">
        <v>9716</v>
      </c>
      <c r="C2210" s="75" t="s">
        <v>21675</v>
      </c>
      <c r="D2210" s="75"/>
      <c r="E2210" s="75"/>
      <c r="F2210" s="75"/>
      <c r="G2210" s="75"/>
      <c r="H2210" s="76" t="s">
        <v>21676</v>
      </c>
    </row>
    <row r="2211" spans="1:8" ht="63.75" x14ac:dyDescent="0.2">
      <c r="A2211" s="74" t="s">
        <v>21677</v>
      </c>
      <c r="B2211" s="74" t="s">
        <v>9718</v>
      </c>
      <c r="C2211" s="74" t="s">
        <v>21678</v>
      </c>
      <c r="D2211" s="74"/>
      <c r="E2211" s="74"/>
      <c r="F2211" s="74"/>
      <c r="G2211" s="74"/>
      <c r="H2211" s="73" t="s">
        <v>21679</v>
      </c>
    </row>
    <row r="2212" spans="1:8" ht="89.25" x14ac:dyDescent="0.2">
      <c r="A2212" s="74" t="s">
        <v>21680</v>
      </c>
      <c r="B2212" s="74" t="s">
        <v>9720</v>
      </c>
      <c r="C2212" s="74" t="s">
        <v>21681</v>
      </c>
      <c r="D2212" s="74"/>
      <c r="E2212" s="74"/>
      <c r="F2212" s="74"/>
      <c r="G2212" s="74"/>
      <c r="H2212" s="74" t="s">
        <v>21682</v>
      </c>
    </row>
    <row r="2213" spans="1:8" ht="89.25" x14ac:dyDescent="0.2">
      <c r="A2213" s="75" t="s">
        <v>21683</v>
      </c>
      <c r="B2213" s="75" t="s">
        <v>9723</v>
      </c>
      <c r="C2213" s="75" t="s">
        <v>21684</v>
      </c>
      <c r="D2213" s="75"/>
      <c r="E2213" s="75"/>
      <c r="F2213" s="75"/>
      <c r="G2213" s="75"/>
      <c r="H2213" s="75" t="s">
        <v>21685</v>
      </c>
    </row>
    <row r="2214" spans="1:8" ht="76.5" x14ac:dyDescent="0.2">
      <c r="A2214" s="74" t="s">
        <v>21686</v>
      </c>
      <c r="B2214" s="74" t="s">
        <v>9726</v>
      </c>
      <c r="C2214" s="74" t="s">
        <v>21687</v>
      </c>
      <c r="D2214" s="74"/>
      <c r="E2214" s="74"/>
      <c r="F2214" s="74"/>
      <c r="G2214" s="74"/>
      <c r="H2214" s="74" t="s">
        <v>21688</v>
      </c>
    </row>
    <row r="2215" spans="1:8" ht="89.25" x14ac:dyDescent="0.2">
      <c r="A2215" s="74" t="s">
        <v>21689</v>
      </c>
      <c r="B2215" s="74" t="s">
        <v>9729</v>
      </c>
      <c r="C2215" s="74" t="s">
        <v>21690</v>
      </c>
      <c r="D2215" s="74"/>
      <c r="E2215" s="74"/>
      <c r="F2215" s="74"/>
      <c r="G2215" s="74"/>
      <c r="H2215" s="74" t="s">
        <v>21691</v>
      </c>
    </row>
    <row r="2216" spans="1:8" ht="89.25" x14ac:dyDescent="0.2">
      <c r="A2216" s="75" t="s">
        <v>21692</v>
      </c>
      <c r="B2216" s="75" t="s">
        <v>9731</v>
      </c>
      <c r="C2216" s="75" t="s">
        <v>21693</v>
      </c>
      <c r="D2216" s="75"/>
      <c r="E2216" s="75"/>
      <c r="F2216" s="75"/>
      <c r="G2216" s="75"/>
      <c r="H2216" s="75" t="s">
        <v>21694</v>
      </c>
    </row>
    <row r="2217" spans="1:8" ht="76.5" x14ac:dyDescent="0.2">
      <c r="A2217" s="74" t="s">
        <v>21695</v>
      </c>
      <c r="B2217" s="74" t="s">
        <v>9733</v>
      </c>
      <c r="C2217" s="74" t="s">
        <v>21696</v>
      </c>
      <c r="D2217" s="74"/>
      <c r="E2217" s="74"/>
      <c r="F2217" s="74"/>
      <c r="G2217" s="74"/>
      <c r="H2217" s="74" t="s">
        <v>21697</v>
      </c>
    </row>
    <row r="2218" spans="1:8" ht="89.25" x14ac:dyDescent="0.2">
      <c r="A2218" s="74" t="s">
        <v>21698</v>
      </c>
      <c r="B2218" s="74" t="s">
        <v>9735</v>
      </c>
      <c r="C2218" s="74" t="s">
        <v>21699</v>
      </c>
      <c r="D2218" s="74"/>
      <c r="E2218" s="74"/>
      <c r="F2218" s="74"/>
      <c r="G2218" s="74"/>
      <c r="H2218" s="74" t="s">
        <v>21700</v>
      </c>
    </row>
    <row r="2219" spans="1:8" ht="89.25" x14ac:dyDescent="0.2">
      <c r="A2219" s="75" t="s">
        <v>21701</v>
      </c>
      <c r="B2219" s="75" t="s">
        <v>9737</v>
      </c>
      <c r="C2219" s="75" t="s">
        <v>21702</v>
      </c>
      <c r="D2219" s="75"/>
      <c r="E2219" s="75"/>
      <c r="F2219" s="75"/>
      <c r="G2219" s="75"/>
      <c r="H2219" s="75" t="s">
        <v>21703</v>
      </c>
    </row>
    <row r="2220" spans="1:8" ht="89.25" x14ac:dyDescent="0.2">
      <c r="A2220" s="74" t="s">
        <v>21704</v>
      </c>
      <c r="B2220" s="74" t="s">
        <v>9739</v>
      </c>
      <c r="C2220" s="74" t="s">
        <v>21705</v>
      </c>
      <c r="D2220" s="74"/>
      <c r="E2220" s="74"/>
      <c r="F2220" s="74"/>
      <c r="G2220" s="74"/>
      <c r="H2220" s="74" t="s">
        <v>21706</v>
      </c>
    </row>
    <row r="2221" spans="1:8" ht="89.25" x14ac:dyDescent="0.2">
      <c r="A2221" s="74" t="s">
        <v>21707</v>
      </c>
      <c r="B2221" s="74" t="s">
        <v>9742</v>
      </c>
      <c r="C2221" s="74" t="s">
        <v>21708</v>
      </c>
      <c r="D2221" s="74"/>
      <c r="E2221" s="74"/>
      <c r="F2221" s="74"/>
      <c r="G2221" s="74"/>
      <c r="H2221" s="74" t="s">
        <v>21709</v>
      </c>
    </row>
    <row r="2222" spans="1:8" ht="76.5" x14ac:dyDescent="0.2">
      <c r="A2222" s="75" t="s">
        <v>21710</v>
      </c>
      <c r="B2222" s="75" t="s">
        <v>9744</v>
      </c>
      <c r="C2222" s="75" t="s">
        <v>21711</v>
      </c>
      <c r="D2222" s="75"/>
      <c r="E2222" s="75"/>
      <c r="F2222" s="75"/>
      <c r="G2222" s="75"/>
      <c r="H2222" s="75" t="s">
        <v>21712</v>
      </c>
    </row>
    <row r="2223" spans="1:8" ht="89.25" x14ac:dyDescent="0.2">
      <c r="A2223" s="74" t="s">
        <v>21713</v>
      </c>
      <c r="B2223" s="74" t="s">
        <v>9747</v>
      </c>
      <c r="C2223" s="74" t="s">
        <v>21714</v>
      </c>
      <c r="D2223" s="74"/>
      <c r="E2223" s="74"/>
      <c r="F2223" s="74"/>
      <c r="G2223" s="74"/>
      <c r="H2223" s="74" t="s">
        <v>21715</v>
      </c>
    </row>
    <row r="2224" spans="1:8" ht="89.25" x14ac:dyDescent="0.2">
      <c r="A2224" s="74" t="s">
        <v>21716</v>
      </c>
      <c r="B2224" s="74" t="s">
        <v>9749</v>
      </c>
      <c r="C2224" s="74" t="s">
        <v>21717</v>
      </c>
      <c r="D2224" s="74"/>
      <c r="E2224" s="74"/>
      <c r="F2224" s="74"/>
      <c r="G2224" s="74"/>
      <c r="H2224" s="74" t="s">
        <v>21718</v>
      </c>
    </row>
    <row r="2225" spans="1:8" ht="76.5" x14ac:dyDescent="0.2">
      <c r="A2225" s="75" t="s">
        <v>21719</v>
      </c>
      <c r="B2225" s="75" t="s">
        <v>9751</v>
      </c>
      <c r="C2225" s="75" t="s">
        <v>21720</v>
      </c>
      <c r="D2225" s="75"/>
      <c r="E2225" s="75"/>
      <c r="F2225" s="75"/>
      <c r="G2225" s="75"/>
      <c r="H2225" s="75" t="s">
        <v>21721</v>
      </c>
    </row>
    <row r="2226" spans="1:8" ht="89.25" x14ac:dyDescent="0.2">
      <c r="A2226" s="74" t="s">
        <v>21722</v>
      </c>
      <c r="B2226" s="74" t="s">
        <v>9753</v>
      </c>
      <c r="C2226" s="74" t="s">
        <v>21723</v>
      </c>
      <c r="D2226" s="74"/>
      <c r="E2226" s="74"/>
      <c r="F2226" s="74"/>
      <c r="G2226" s="74"/>
      <c r="H2226" s="74" t="s">
        <v>21724</v>
      </c>
    </row>
    <row r="2227" spans="1:8" ht="89.25" x14ac:dyDescent="0.2">
      <c r="A2227" s="74" t="s">
        <v>21725</v>
      </c>
      <c r="B2227" s="74" t="s">
        <v>9755</v>
      </c>
      <c r="C2227" s="74" t="s">
        <v>21726</v>
      </c>
      <c r="D2227" s="74"/>
      <c r="E2227" s="74"/>
      <c r="F2227" s="74"/>
      <c r="G2227" s="74"/>
      <c r="H2227" s="74" t="s">
        <v>21727</v>
      </c>
    </row>
    <row r="2228" spans="1:8" ht="76.5" x14ac:dyDescent="0.2">
      <c r="A2228" s="75" t="s">
        <v>21728</v>
      </c>
      <c r="B2228" s="75" t="s">
        <v>9758</v>
      </c>
      <c r="C2228" s="75" t="s">
        <v>21729</v>
      </c>
      <c r="D2228" s="75"/>
      <c r="E2228" s="75"/>
      <c r="F2228" s="75"/>
      <c r="G2228" s="75"/>
      <c r="H2228" s="75" t="s">
        <v>21730</v>
      </c>
    </row>
    <row r="2229" spans="1:8" ht="89.25" x14ac:dyDescent="0.2">
      <c r="A2229" s="74" t="s">
        <v>21731</v>
      </c>
      <c r="B2229" s="74" t="s">
        <v>9761</v>
      </c>
      <c r="C2229" s="74" t="s">
        <v>21732</v>
      </c>
      <c r="D2229" s="74"/>
      <c r="E2229" s="74"/>
      <c r="F2229" s="74"/>
      <c r="G2229" s="74"/>
      <c r="H2229" s="74" t="s">
        <v>21733</v>
      </c>
    </row>
    <row r="2230" spans="1:8" ht="89.25" x14ac:dyDescent="0.2">
      <c r="A2230" s="74" t="s">
        <v>21734</v>
      </c>
      <c r="B2230" s="74" t="s">
        <v>9763</v>
      </c>
      <c r="C2230" s="74" t="s">
        <v>21735</v>
      </c>
      <c r="D2230" s="74"/>
      <c r="E2230" s="74"/>
      <c r="F2230" s="74"/>
      <c r="G2230" s="74"/>
      <c r="H2230" s="74" t="s">
        <v>21736</v>
      </c>
    </row>
    <row r="2231" spans="1:8" ht="76.5" x14ac:dyDescent="0.2">
      <c r="A2231" s="75" t="s">
        <v>21737</v>
      </c>
      <c r="B2231" s="75" t="s">
        <v>9765</v>
      </c>
      <c r="C2231" s="75" t="s">
        <v>21738</v>
      </c>
      <c r="D2231" s="75"/>
      <c r="E2231" s="75"/>
      <c r="F2231" s="75"/>
      <c r="G2231" s="75"/>
      <c r="H2231" s="75" t="s">
        <v>21739</v>
      </c>
    </row>
    <row r="2232" spans="1:8" ht="89.25" x14ac:dyDescent="0.2">
      <c r="A2232" s="74" t="s">
        <v>21740</v>
      </c>
      <c r="B2232" s="74" t="s">
        <v>9767</v>
      </c>
      <c r="C2232" s="74" t="s">
        <v>21741</v>
      </c>
      <c r="D2232" s="74"/>
      <c r="E2232" s="74"/>
      <c r="F2232" s="74"/>
      <c r="G2232" s="74"/>
      <c r="H2232" s="74" t="s">
        <v>21742</v>
      </c>
    </row>
    <row r="2233" spans="1:8" ht="89.25" x14ac:dyDescent="0.2">
      <c r="A2233" s="74" t="s">
        <v>21743</v>
      </c>
      <c r="B2233" s="74" t="s">
        <v>9769</v>
      </c>
      <c r="C2233" s="74" t="s">
        <v>21744</v>
      </c>
      <c r="D2233" s="74"/>
      <c r="E2233" s="74"/>
      <c r="F2233" s="74"/>
      <c r="G2233" s="74"/>
      <c r="H2233" s="74" t="s">
        <v>21745</v>
      </c>
    </row>
    <row r="2234" spans="1:8" ht="102" x14ac:dyDescent="0.2">
      <c r="A2234" s="75" t="s">
        <v>21746</v>
      </c>
      <c r="B2234" s="75" t="s">
        <v>9771</v>
      </c>
      <c r="C2234" s="75" t="s">
        <v>21747</v>
      </c>
      <c r="D2234" s="75"/>
      <c r="E2234" s="75"/>
      <c r="F2234" s="75"/>
      <c r="G2234" s="75"/>
      <c r="H2234" s="75" t="s">
        <v>21748</v>
      </c>
    </row>
    <row r="2235" spans="1:8" ht="89.25" x14ac:dyDescent="0.2">
      <c r="A2235" s="74" t="s">
        <v>21749</v>
      </c>
      <c r="B2235" s="74" t="s">
        <v>9774</v>
      </c>
      <c r="C2235" s="74" t="s">
        <v>21750</v>
      </c>
      <c r="D2235" s="74"/>
      <c r="E2235" s="74"/>
      <c r="F2235" s="74"/>
      <c r="G2235" s="74"/>
      <c r="H2235" s="74" t="s">
        <v>21751</v>
      </c>
    </row>
    <row r="2236" spans="1:8" ht="102" x14ac:dyDescent="0.2">
      <c r="A2236" s="74" t="s">
        <v>21752</v>
      </c>
      <c r="B2236" s="74" t="s">
        <v>9777</v>
      </c>
      <c r="C2236" s="74" t="s">
        <v>21753</v>
      </c>
      <c r="D2236" s="74"/>
      <c r="E2236" s="74"/>
      <c r="F2236" s="74"/>
      <c r="G2236" s="74"/>
      <c r="H2236" s="74" t="s">
        <v>21754</v>
      </c>
    </row>
    <row r="2237" spans="1:8" ht="102" x14ac:dyDescent="0.2">
      <c r="A2237" s="75" t="s">
        <v>21755</v>
      </c>
      <c r="B2237" s="75" t="s">
        <v>9779</v>
      </c>
      <c r="C2237" s="75" t="s">
        <v>21756</v>
      </c>
      <c r="D2237" s="75"/>
      <c r="E2237" s="75"/>
      <c r="F2237" s="75"/>
      <c r="G2237" s="75"/>
      <c r="H2237" s="75" t="s">
        <v>21757</v>
      </c>
    </row>
    <row r="2238" spans="1:8" ht="89.25" x14ac:dyDescent="0.2">
      <c r="A2238" s="74" t="s">
        <v>21758</v>
      </c>
      <c r="B2238" s="74" t="s">
        <v>9781</v>
      </c>
      <c r="C2238" s="74" t="s">
        <v>21759</v>
      </c>
      <c r="D2238" s="74"/>
      <c r="E2238" s="74"/>
      <c r="F2238" s="74"/>
      <c r="G2238" s="74"/>
      <c r="H2238" s="74" t="s">
        <v>21760</v>
      </c>
    </row>
    <row r="2239" spans="1:8" ht="102" x14ac:dyDescent="0.2">
      <c r="A2239" s="74" t="s">
        <v>21761</v>
      </c>
      <c r="B2239" s="74" t="s">
        <v>9783</v>
      </c>
      <c r="C2239" s="74" t="s">
        <v>21762</v>
      </c>
      <c r="D2239" s="74"/>
      <c r="E2239" s="74"/>
      <c r="F2239" s="74"/>
      <c r="G2239" s="74"/>
      <c r="H2239" s="74" t="s">
        <v>21763</v>
      </c>
    </row>
    <row r="2240" spans="1:8" ht="102" x14ac:dyDescent="0.2">
      <c r="A2240" s="75" t="s">
        <v>21764</v>
      </c>
      <c r="B2240" s="75" t="s">
        <v>9785</v>
      </c>
      <c r="C2240" s="75" t="s">
        <v>21765</v>
      </c>
      <c r="D2240" s="75"/>
      <c r="E2240" s="75"/>
      <c r="F2240" s="75"/>
      <c r="G2240" s="75"/>
      <c r="H2240" s="75" t="s">
        <v>21766</v>
      </c>
    </row>
    <row r="2241" spans="1:8" ht="89.25" x14ac:dyDescent="0.2">
      <c r="A2241" s="74" t="s">
        <v>21767</v>
      </c>
      <c r="B2241" s="74" t="s">
        <v>9787</v>
      </c>
      <c r="C2241" s="74" t="s">
        <v>21768</v>
      </c>
      <c r="D2241" s="74"/>
      <c r="E2241" s="74"/>
      <c r="F2241" s="74"/>
      <c r="G2241" s="74"/>
      <c r="H2241" s="74" t="s">
        <v>21769</v>
      </c>
    </row>
    <row r="2242" spans="1:8" ht="89.25" x14ac:dyDescent="0.2">
      <c r="A2242" s="74" t="s">
        <v>21770</v>
      </c>
      <c r="B2242" s="74" t="s">
        <v>9790</v>
      </c>
      <c r="C2242" s="74" t="s">
        <v>21771</v>
      </c>
      <c r="D2242" s="74"/>
      <c r="E2242" s="74"/>
      <c r="F2242" s="74"/>
      <c r="G2242" s="74"/>
      <c r="H2242" s="74" t="s">
        <v>21772</v>
      </c>
    </row>
    <row r="2243" spans="1:8" ht="76.5" x14ac:dyDescent="0.2">
      <c r="A2243" s="75" t="s">
        <v>21773</v>
      </c>
      <c r="B2243" s="75" t="s">
        <v>9792</v>
      </c>
      <c r="C2243" s="75" t="s">
        <v>21774</v>
      </c>
      <c r="D2243" s="75"/>
      <c r="E2243" s="75"/>
      <c r="F2243" s="75"/>
      <c r="G2243" s="75"/>
      <c r="H2243" s="75" t="s">
        <v>21775</v>
      </c>
    </row>
    <row r="2244" spans="1:8" ht="89.25" x14ac:dyDescent="0.2">
      <c r="A2244" s="74" t="s">
        <v>21776</v>
      </c>
      <c r="B2244" s="74" t="s">
        <v>9795</v>
      </c>
      <c r="C2244" s="74" t="s">
        <v>21777</v>
      </c>
      <c r="D2244" s="74"/>
      <c r="E2244" s="74"/>
      <c r="F2244" s="74"/>
      <c r="G2244" s="74"/>
      <c r="H2244" s="74" t="s">
        <v>21778</v>
      </c>
    </row>
    <row r="2245" spans="1:8" ht="89.25" x14ac:dyDescent="0.2">
      <c r="A2245" s="74" t="s">
        <v>21779</v>
      </c>
      <c r="B2245" s="74" t="s">
        <v>9798</v>
      </c>
      <c r="C2245" s="74" t="s">
        <v>21780</v>
      </c>
      <c r="D2245" s="74"/>
      <c r="E2245" s="74"/>
      <c r="F2245" s="74"/>
      <c r="G2245" s="74"/>
      <c r="H2245" s="74" t="s">
        <v>21781</v>
      </c>
    </row>
    <row r="2246" spans="1:8" ht="76.5" x14ac:dyDescent="0.2">
      <c r="A2246" s="75" t="s">
        <v>21782</v>
      </c>
      <c r="B2246" s="75" t="s">
        <v>9800</v>
      </c>
      <c r="C2246" s="75" t="s">
        <v>21783</v>
      </c>
      <c r="D2246" s="75"/>
      <c r="E2246" s="75"/>
      <c r="F2246" s="75"/>
      <c r="G2246" s="75"/>
      <c r="H2246" s="75" t="s">
        <v>21784</v>
      </c>
    </row>
    <row r="2247" spans="1:8" ht="102" x14ac:dyDescent="0.2">
      <c r="A2247" s="74" t="s">
        <v>21785</v>
      </c>
      <c r="B2247" s="74" t="s">
        <v>9803</v>
      </c>
      <c r="C2247" s="74" t="s">
        <v>21786</v>
      </c>
      <c r="D2247" s="74"/>
      <c r="E2247" s="74"/>
      <c r="F2247" s="74"/>
      <c r="G2247" s="74"/>
      <c r="H2247" s="74" t="s">
        <v>21787</v>
      </c>
    </row>
    <row r="2248" spans="1:8" ht="102" x14ac:dyDescent="0.2">
      <c r="A2248" s="74" t="s">
        <v>21788</v>
      </c>
      <c r="B2248" s="74" t="s">
        <v>9806</v>
      </c>
      <c r="C2248" s="74" t="s">
        <v>21789</v>
      </c>
      <c r="D2248" s="74"/>
      <c r="E2248" s="74"/>
      <c r="F2248" s="74"/>
      <c r="G2248" s="74"/>
      <c r="H2248" s="74" t="s">
        <v>21790</v>
      </c>
    </row>
    <row r="2249" spans="1:8" ht="102" x14ac:dyDescent="0.2">
      <c r="A2249" s="75" t="s">
        <v>21791</v>
      </c>
      <c r="B2249" s="75" t="s">
        <v>9808</v>
      </c>
      <c r="C2249" s="75" t="s">
        <v>21792</v>
      </c>
      <c r="D2249" s="75"/>
      <c r="E2249" s="75"/>
      <c r="F2249" s="75"/>
      <c r="G2249" s="75"/>
      <c r="H2249" s="75" t="s">
        <v>21793</v>
      </c>
    </row>
    <row r="2250" spans="1:8" ht="89.25" x14ac:dyDescent="0.2">
      <c r="A2250" s="74" t="s">
        <v>21794</v>
      </c>
      <c r="B2250" s="74" t="s">
        <v>9810</v>
      </c>
      <c r="C2250" s="74" t="s">
        <v>21795</v>
      </c>
      <c r="D2250" s="74"/>
      <c r="E2250" s="74"/>
      <c r="F2250" s="74"/>
      <c r="G2250" s="74"/>
      <c r="H2250" s="74" t="s">
        <v>21796</v>
      </c>
    </row>
    <row r="2251" spans="1:8" ht="89.25" x14ac:dyDescent="0.2">
      <c r="A2251" s="74" t="s">
        <v>21797</v>
      </c>
      <c r="B2251" s="74" t="s">
        <v>9813</v>
      </c>
      <c r="C2251" s="74" t="s">
        <v>21798</v>
      </c>
      <c r="D2251" s="74"/>
      <c r="E2251" s="74"/>
      <c r="F2251" s="74"/>
      <c r="G2251" s="74"/>
      <c r="H2251" s="74" t="s">
        <v>21799</v>
      </c>
    </row>
    <row r="2252" spans="1:8" ht="51" x14ac:dyDescent="0.2">
      <c r="A2252" s="75" t="s">
        <v>21800</v>
      </c>
      <c r="B2252" s="75" t="s">
        <v>9815</v>
      </c>
      <c r="C2252" s="75" t="s">
        <v>21801</v>
      </c>
      <c r="D2252" s="75"/>
      <c r="E2252" s="75"/>
      <c r="F2252" s="75"/>
      <c r="G2252" s="75"/>
      <c r="H2252" s="75" t="s">
        <v>21802</v>
      </c>
    </row>
    <row r="2253" spans="1:8" ht="51" x14ac:dyDescent="0.2">
      <c r="A2253" s="74" t="s">
        <v>21803</v>
      </c>
      <c r="B2253" s="74" t="s">
        <v>9818</v>
      </c>
      <c r="C2253" s="74" t="s">
        <v>21804</v>
      </c>
      <c r="D2253" s="74"/>
      <c r="E2253" s="74"/>
      <c r="F2253" s="74"/>
      <c r="G2253" s="74"/>
      <c r="H2253" s="74" t="s">
        <v>21805</v>
      </c>
    </row>
    <row r="2254" spans="1:8" ht="89.25" x14ac:dyDescent="0.2">
      <c r="A2254" s="74" t="s">
        <v>21806</v>
      </c>
      <c r="B2254" s="74" t="s">
        <v>9823</v>
      </c>
      <c r="C2254" s="74" t="s">
        <v>21807</v>
      </c>
      <c r="D2254" s="74"/>
      <c r="E2254" s="74"/>
      <c r="F2254" s="74"/>
      <c r="G2254" s="74"/>
      <c r="H2254" s="74" t="s">
        <v>21808</v>
      </c>
    </row>
    <row r="2255" spans="1:8" ht="89.25" x14ac:dyDescent="0.2">
      <c r="A2255" s="75" t="s">
        <v>21809</v>
      </c>
      <c r="B2255" s="75" t="s">
        <v>9826</v>
      </c>
      <c r="C2255" s="75" t="s">
        <v>21810</v>
      </c>
      <c r="D2255" s="75"/>
      <c r="E2255" s="75"/>
      <c r="F2255" s="75"/>
      <c r="G2255" s="75"/>
      <c r="H2255" s="75" t="s">
        <v>21811</v>
      </c>
    </row>
    <row r="2256" spans="1:8" ht="89.25" x14ac:dyDescent="0.2">
      <c r="A2256" s="74" t="s">
        <v>21812</v>
      </c>
      <c r="B2256" s="74" t="s">
        <v>9828</v>
      </c>
      <c r="C2256" s="74" t="s">
        <v>21813</v>
      </c>
      <c r="D2256" s="74"/>
      <c r="E2256" s="74"/>
      <c r="F2256" s="74"/>
      <c r="G2256" s="74"/>
      <c r="H2256" s="74" t="s">
        <v>21814</v>
      </c>
    </row>
    <row r="2257" spans="1:8" ht="89.25" x14ac:dyDescent="0.2">
      <c r="A2257" s="74" t="s">
        <v>21815</v>
      </c>
      <c r="B2257" s="74" t="s">
        <v>9830</v>
      </c>
      <c r="C2257" s="74" t="s">
        <v>21816</v>
      </c>
      <c r="D2257" s="74"/>
      <c r="E2257" s="74"/>
      <c r="F2257" s="74"/>
      <c r="G2257" s="74"/>
      <c r="H2257" s="74" t="s">
        <v>21817</v>
      </c>
    </row>
    <row r="2258" spans="1:8" ht="89.25" x14ac:dyDescent="0.2">
      <c r="A2258" s="75" t="s">
        <v>21818</v>
      </c>
      <c r="B2258" s="75" t="s">
        <v>9833</v>
      </c>
      <c r="C2258" s="75" t="s">
        <v>21819</v>
      </c>
      <c r="D2258" s="75"/>
      <c r="E2258" s="75"/>
      <c r="F2258" s="75"/>
      <c r="G2258" s="75"/>
      <c r="H2258" s="75" t="s">
        <v>21820</v>
      </c>
    </row>
    <row r="2259" spans="1:8" ht="89.25" x14ac:dyDescent="0.2">
      <c r="A2259" s="74" t="s">
        <v>21821</v>
      </c>
      <c r="B2259" s="74" t="s">
        <v>9835</v>
      </c>
      <c r="C2259" s="74" t="s">
        <v>21822</v>
      </c>
      <c r="D2259" s="74"/>
      <c r="E2259" s="74"/>
      <c r="F2259" s="74"/>
      <c r="G2259" s="74"/>
      <c r="H2259" s="74" t="s">
        <v>21823</v>
      </c>
    </row>
    <row r="2260" spans="1:8" ht="89.25" x14ac:dyDescent="0.2">
      <c r="A2260" s="74" t="s">
        <v>21824</v>
      </c>
      <c r="B2260" s="74" t="s">
        <v>9837</v>
      </c>
      <c r="C2260" s="74" t="s">
        <v>21825</v>
      </c>
      <c r="D2260" s="74"/>
      <c r="E2260" s="74"/>
      <c r="F2260" s="74"/>
      <c r="G2260" s="74"/>
      <c r="H2260" s="74" t="s">
        <v>21826</v>
      </c>
    </row>
    <row r="2261" spans="1:8" ht="89.25" x14ac:dyDescent="0.2">
      <c r="A2261" s="75" t="s">
        <v>21827</v>
      </c>
      <c r="B2261" s="75" t="s">
        <v>9840</v>
      </c>
      <c r="C2261" s="75" t="s">
        <v>21828</v>
      </c>
      <c r="D2261" s="75"/>
      <c r="E2261" s="75"/>
      <c r="F2261" s="75"/>
      <c r="G2261" s="75"/>
      <c r="H2261" s="75" t="s">
        <v>21829</v>
      </c>
    </row>
    <row r="2262" spans="1:8" ht="89.25" x14ac:dyDescent="0.2">
      <c r="A2262" s="74" t="s">
        <v>21830</v>
      </c>
      <c r="B2262" s="74" t="s">
        <v>9842</v>
      </c>
      <c r="C2262" s="74" t="s">
        <v>21831</v>
      </c>
      <c r="D2262" s="74"/>
      <c r="E2262" s="74"/>
      <c r="F2262" s="74"/>
      <c r="G2262" s="74"/>
      <c r="H2262" s="74" t="s">
        <v>21832</v>
      </c>
    </row>
    <row r="2263" spans="1:8" ht="89.25" x14ac:dyDescent="0.2">
      <c r="A2263" s="74" t="s">
        <v>21833</v>
      </c>
      <c r="B2263" s="74" t="s">
        <v>9844</v>
      </c>
      <c r="C2263" s="74" t="s">
        <v>21834</v>
      </c>
      <c r="D2263" s="74"/>
      <c r="E2263" s="74"/>
      <c r="F2263" s="74"/>
      <c r="G2263" s="74"/>
      <c r="H2263" s="74" t="s">
        <v>21835</v>
      </c>
    </row>
    <row r="2264" spans="1:8" ht="89.25" x14ac:dyDescent="0.2">
      <c r="A2264" s="75" t="s">
        <v>21836</v>
      </c>
      <c r="B2264" s="75" t="s">
        <v>9847</v>
      </c>
      <c r="C2264" s="75" t="s">
        <v>21837</v>
      </c>
      <c r="D2264" s="75"/>
      <c r="E2264" s="75"/>
      <c r="F2264" s="75"/>
      <c r="G2264" s="75"/>
      <c r="H2264" s="75" t="s">
        <v>21838</v>
      </c>
    </row>
    <row r="2265" spans="1:8" ht="76.5" x14ac:dyDescent="0.2">
      <c r="A2265" s="74" t="s">
        <v>21839</v>
      </c>
      <c r="B2265" s="74" t="s">
        <v>9850</v>
      </c>
      <c r="C2265" s="74" t="s">
        <v>21840</v>
      </c>
      <c r="D2265" s="74"/>
      <c r="E2265" s="74"/>
      <c r="F2265" s="74"/>
      <c r="G2265" s="74"/>
      <c r="H2265" s="74" t="s">
        <v>21841</v>
      </c>
    </row>
    <row r="2266" spans="1:8" ht="89.25" x14ac:dyDescent="0.2">
      <c r="A2266" s="74" t="s">
        <v>21842</v>
      </c>
      <c r="B2266" s="74" t="s">
        <v>9853</v>
      </c>
      <c r="C2266" s="74" t="s">
        <v>21843</v>
      </c>
      <c r="D2266" s="74"/>
      <c r="E2266" s="74"/>
      <c r="F2266" s="74"/>
      <c r="G2266" s="74"/>
      <c r="H2266" s="74" t="s">
        <v>21844</v>
      </c>
    </row>
    <row r="2267" spans="1:8" ht="51" x14ac:dyDescent="0.2">
      <c r="A2267" s="75" t="s">
        <v>21845</v>
      </c>
      <c r="B2267" s="75" t="s">
        <v>9856</v>
      </c>
      <c r="C2267" s="75" t="s">
        <v>21846</v>
      </c>
      <c r="D2267" s="75"/>
      <c r="E2267" s="75"/>
      <c r="F2267" s="75"/>
      <c r="G2267" s="75"/>
      <c r="H2267" s="75" t="s">
        <v>21847</v>
      </c>
    </row>
    <row r="2268" spans="1:8" ht="51" x14ac:dyDescent="0.2">
      <c r="A2268" s="74" t="s">
        <v>21848</v>
      </c>
      <c r="B2268" s="74" t="s">
        <v>9859</v>
      </c>
      <c r="C2268" s="74" t="s">
        <v>21849</v>
      </c>
      <c r="D2268" s="74"/>
      <c r="E2268" s="74"/>
      <c r="F2268" s="74"/>
      <c r="G2268" s="74"/>
      <c r="H2268" s="74" t="s">
        <v>21850</v>
      </c>
    </row>
    <row r="2269" spans="1:8" ht="89.25" x14ac:dyDescent="0.2">
      <c r="A2269" s="74" t="s">
        <v>21851</v>
      </c>
      <c r="B2269" s="74" t="s">
        <v>9864</v>
      </c>
      <c r="C2269" s="74" t="s">
        <v>21852</v>
      </c>
      <c r="D2269" s="74"/>
      <c r="E2269" s="74"/>
      <c r="F2269" s="74"/>
      <c r="G2269" s="74"/>
      <c r="H2269" s="74" t="s">
        <v>21853</v>
      </c>
    </row>
    <row r="2270" spans="1:8" ht="89.25" x14ac:dyDescent="0.2">
      <c r="A2270" s="75" t="s">
        <v>21854</v>
      </c>
      <c r="B2270" s="75" t="s">
        <v>9867</v>
      </c>
      <c r="C2270" s="75" t="s">
        <v>21855</v>
      </c>
      <c r="D2270" s="75"/>
      <c r="E2270" s="75"/>
      <c r="F2270" s="75"/>
      <c r="G2270" s="75"/>
      <c r="H2270" s="75" t="s">
        <v>21856</v>
      </c>
    </row>
    <row r="2271" spans="1:8" ht="89.25" x14ac:dyDescent="0.2">
      <c r="A2271" s="74" t="s">
        <v>21857</v>
      </c>
      <c r="B2271" s="74" t="s">
        <v>9869</v>
      </c>
      <c r="C2271" s="74" t="s">
        <v>21858</v>
      </c>
      <c r="D2271" s="74"/>
      <c r="E2271" s="74"/>
      <c r="F2271" s="74"/>
      <c r="G2271" s="74"/>
      <c r="H2271" s="74" t="s">
        <v>21859</v>
      </c>
    </row>
    <row r="2272" spans="1:8" ht="89.25" x14ac:dyDescent="0.2">
      <c r="A2272" s="74" t="s">
        <v>21860</v>
      </c>
      <c r="B2272" s="74" t="s">
        <v>9871</v>
      </c>
      <c r="C2272" s="74" t="s">
        <v>21861</v>
      </c>
      <c r="D2272" s="74"/>
      <c r="E2272" s="74"/>
      <c r="F2272" s="74"/>
      <c r="G2272" s="74"/>
      <c r="H2272" s="74" t="s">
        <v>21862</v>
      </c>
    </row>
    <row r="2273" spans="1:8" ht="89.25" x14ac:dyDescent="0.2">
      <c r="A2273" s="75" t="s">
        <v>21863</v>
      </c>
      <c r="B2273" s="75" t="s">
        <v>9873</v>
      </c>
      <c r="C2273" s="75" t="s">
        <v>21864</v>
      </c>
      <c r="D2273" s="75"/>
      <c r="E2273" s="75"/>
      <c r="F2273" s="75"/>
      <c r="G2273" s="75"/>
      <c r="H2273" s="75" t="s">
        <v>21865</v>
      </c>
    </row>
    <row r="2274" spans="1:8" ht="89.25" x14ac:dyDescent="0.2">
      <c r="A2274" s="74" t="s">
        <v>21866</v>
      </c>
      <c r="B2274" s="74" t="s">
        <v>9876</v>
      </c>
      <c r="C2274" s="74" t="s">
        <v>21867</v>
      </c>
      <c r="D2274" s="74"/>
      <c r="E2274" s="74"/>
      <c r="F2274" s="74"/>
      <c r="G2274" s="74"/>
      <c r="H2274" s="74" t="s">
        <v>21868</v>
      </c>
    </row>
    <row r="2275" spans="1:8" ht="89.25" x14ac:dyDescent="0.2">
      <c r="A2275" s="74" t="s">
        <v>21869</v>
      </c>
      <c r="B2275" s="74" t="s">
        <v>9878</v>
      </c>
      <c r="C2275" s="74" t="s">
        <v>21870</v>
      </c>
      <c r="D2275" s="74"/>
      <c r="E2275" s="74"/>
      <c r="F2275" s="74"/>
      <c r="G2275" s="74"/>
      <c r="H2275" s="74" t="s">
        <v>21871</v>
      </c>
    </row>
    <row r="2276" spans="1:8" ht="89.25" x14ac:dyDescent="0.2">
      <c r="A2276" s="75" t="s">
        <v>21872</v>
      </c>
      <c r="B2276" s="75" t="s">
        <v>9880</v>
      </c>
      <c r="C2276" s="75" t="s">
        <v>21873</v>
      </c>
      <c r="D2276" s="75"/>
      <c r="E2276" s="75"/>
      <c r="F2276" s="75"/>
      <c r="G2276" s="75"/>
      <c r="H2276" s="75" t="s">
        <v>21874</v>
      </c>
    </row>
    <row r="2277" spans="1:8" ht="76.5" x14ac:dyDescent="0.2">
      <c r="A2277" s="74" t="s">
        <v>21875</v>
      </c>
      <c r="B2277" s="74" t="s">
        <v>9882</v>
      </c>
      <c r="C2277" s="74" t="s">
        <v>21876</v>
      </c>
      <c r="D2277" s="74"/>
      <c r="E2277" s="74"/>
      <c r="F2277" s="74"/>
      <c r="G2277" s="74"/>
      <c r="H2277" s="74" t="s">
        <v>21877</v>
      </c>
    </row>
    <row r="2278" spans="1:8" ht="89.25" x14ac:dyDescent="0.2">
      <c r="A2278" s="74" t="s">
        <v>21878</v>
      </c>
      <c r="B2278" s="74" t="s">
        <v>9885</v>
      </c>
      <c r="C2278" s="74" t="s">
        <v>21879</v>
      </c>
      <c r="D2278" s="74"/>
      <c r="E2278" s="74"/>
      <c r="F2278" s="74"/>
      <c r="G2278" s="74"/>
      <c r="H2278" s="74" t="s">
        <v>21880</v>
      </c>
    </row>
    <row r="2279" spans="1:8" ht="89.25" x14ac:dyDescent="0.2">
      <c r="A2279" s="75" t="s">
        <v>21881</v>
      </c>
      <c r="B2279" s="75" t="s">
        <v>9888</v>
      </c>
      <c r="C2279" s="75" t="s">
        <v>21882</v>
      </c>
      <c r="D2279" s="75"/>
      <c r="E2279" s="75"/>
      <c r="F2279" s="75"/>
      <c r="G2279" s="75"/>
      <c r="H2279" s="75" t="s">
        <v>21883</v>
      </c>
    </row>
    <row r="2280" spans="1:8" ht="76.5" x14ac:dyDescent="0.2">
      <c r="A2280" s="74" t="s">
        <v>21884</v>
      </c>
      <c r="B2280" s="74" t="s">
        <v>9890</v>
      </c>
      <c r="C2280" s="74" t="s">
        <v>21885</v>
      </c>
      <c r="D2280" s="74"/>
      <c r="E2280" s="74"/>
      <c r="F2280" s="74"/>
      <c r="G2280" s="74"/>
      <c r="H2280" s="74" t="s">
        <v>21886</v>
      </c>
    </row>
    <row r="2281" spans="1:8" ht="51" x14ac:dyDescent="0.2">
      <c r="A2281" s="74" t="s">
        <v>21887</v>
      </c>
      <c r="B2281" s="74" t="s">
        <v>9894</v>
      </c>
      <c r="C2281" s="74" t="s">
        <v>21888</v>
      </c>
      <c r="D2281" s="74"/>
      <c r="E2281" s="74"/>
      <c r="F2281" s="74"/>
      <c r="G2281" s="74"/>
      <c r="H2281" s="74" t="s">
        <v>21889</v>
      </c>
    </row>
    <row r="2282" spans="1:8" ht="51" x14ac:dyDescent="0.2">
      <c r="A2282" s="75" t="s">
        <v>21890</v>
      </c>
      <c r="B2282" s="75" t="s">
        <v>9896</v>
      </c>
      <c r="C2282" s="75" t="s">
        <v>21891</v>
      </c>
      <c r="D2282" s="75"/>
      <c r="E2282" s="75"/>
      <c r="F2282" s="75"/>
      <c r="G2282" s="75"/>
      <c r="H2282" s="75" t="s">
        <v>21892</v>
      </c>
    </row>
    <row r="2283" spans="1:8" ht="38.25" x14ac:dyDescent="0.2">
      <c r="A2283" s="74" t="s">
        <v>21893</v>
      </c>
      <c r="B2283" s="74" t="s">
        <v>9899</v>
      </c>
      <c r="C2283" s="74" t="s">
        <v>21894</v>
      </c>
      <c r="D2283" s="74"/>
      <c r="E2283" s="74"/>
      <c r="F2283" s="74"/>
      <c r="G2283" s="74"/>
      <c r="H2283" s="73" t="s">
        <v>21895</v>
      </c>
    </row>
    <row r="2284" spans="1:8" ht="25.5" x14ac:dyDescent="0.2">
      <c r="A2284" s="14" t="s">
        <v>21896</v>
      </c>
      <c r="B2284" s="14" t="s">
        <v>9908</v>
      </c>
      <c r="C2284" s="14" t="s">
        <v>9909</v>
      </c>
      <c r="D2284" s="14"/>
      <c r="E2284" s="14"/>
      <c r="F2284" s="14"/>
      <c r="G2284" s="14"/>
      <c r="H2284" s="73" t="s">
        <v>21897</v>
      </c>
    </row>
    <row r="2285" spans="1:8" ht="12.75" x14ac:dyDescent="0.2">
      <c r="A2285" s="46" t="s">
        <v>21898</v>
      </c>
      <c r="B2285" s="46" t="s">
        <v>9935</v>
      </c>
      <c r="C2285" s="46" t="s">
        <v>9936</v>
      </c>
      <c r="D2285" s="46"/>
      <c r="E2285" s="46"/>
      <c r="F2285" s="46"/>
      <c r="G2285" s="46"/>
      <c r="H2285" s="46" t="s">
        <v>21899</v>
      </c>
    </row>
    <row r="2286" spans="1:8" ht="38.25" x14ac:dyDescent="0.2">
      <c r="A2286" s="74" t="s">
        <v>21900</v>
      </c>
      <c r="B2286" s="74" t="s">
        <v>9965</v>
      </c>
      <c r="C2286" s="74" t="s">
        <v>21901</v>
      </c>
      <c r="D2286" s="74"/>
      <c r="E2286" s="74"/>
      <c r="F2286" s="74"/>
      <c r="G2286" s="74"/>
      <c r="H2286" s="73" t="s">
        <v>21902</v>
      </c>
    </row>
    <row r="2287" spans="1:8" ht="25.5" x14ac:dyDescent="0.2">
      <c r="A2287" s="74" t="s">
        <v>21903</v>
      </c>
      <c r="B2287" s="74" t="s">
        <v>9968</v>
      </c>
      <c r="C2287" s="74" t="s">
        <v>21904</v>
      </c>
      <c r="D2287" s="74"/>
      <c r="E2287" s="74"/>
      <c r="F2287" s="74"/>
      <c r="G2287" s="74"/>
      <c r="H2287" s="74" t="s">
        <v>21905</v>
      </c>
    </row>
    <row r="2288" spans="1:8" ht="38.25" x14ac:dyDescent="0.2">
      <c r="A2288" s="75" t="s">
        <v>21906</v>
      </c>
      <c r="B2288" s="75" t="s">
        <v>9971</v>
      </c>
      <c r="C2288" s="75" t="s">
        <v>21907</v>
      </c>
      <c r="D2288" s="75"/>
      <c r="E2288" s="75"/>
      <c r="F2288" s="75"/>
      <c r="G2288" s="75"/>
      <c r="H2288" s="76" t="s">
        <v>21908</v>
      </c>
    </row>
    <row r="2289" spans="1:8" ht="38.25" x14ac:dyDescent="0.2">
      <c r="A2289" s="74" t="s">
        <v>21909</v>
      </c>
      <c r="B2289" s="74" t="s">
        <v>9974</v>
      </c>
      <c r="C2289" s="74" t="s">
        <v>21910</v>
      </c>
      <c r="D2289" s="74"/>
      <c r="E2289" s="74"/>
      <c r="F2289" s="74"/>
      <c r="G2289" s="74"/>
      <c r="H2289" s="73" t="s">
        <v>21911</v>
      </c>
    </row>
    <row r="2290" spans="1:8" ht="38.25" x14ac:dyDescent="0.2">
      <c r="A2290" s="74" t="s">
        <v>21912</v>
      </c>
      <c r="B2290" s="74" t="s">
        <v>9977</v>
      </c>
      <c r="C2290" s="74" t="s">
        <v>21913</v>
      </c>
      <c r="D2290" s="74"/>
      <c r="E2290" s="74"/>
      <c r="F2290" s="74"/>
      <c r="G2290" s="74"/>
      <c r="H2290" s="73" t="s">
        <v>21914</v>
      </c>
    </row>
    <row r="2291" spans="1:8" ht="51" x14ac:dyDescent="0.2">
      <c r="A2291" s="75" t="s">
        <v>21915</v>
      </c>
      <c r="B2291" s="75" t="s">
        <v>9980</v>
      </c>
      <c r="C2291" s="75" t="s">
        <v>21916</v>
      </c>
      <c r="D2291" s="75"/>
      <c r="E2291" s="75"/>
      <c r="F2291" s="75"/>
      <c r="G2291" s="75"/>
      <c r="H2291" s="75" t="s">
        <v>21917</v>
      </c>
    </row>
    <row r="2292" spans="1:8" ht="63.75" x14ac:dyDescent="0.2">
      <c r="A2292" s="74" t="s">
        <v>21918</v>
      </c>
      <c r="B2292" s="74" t="s">
        <v>9983</v>
      </c>
      <c r="C2292" s="74" t="s">
        <v>21919</v>
      </c>
      <c r="D2292" s="74"/>
      <c r="E2292" s="74"/>
      <c r="F2292" s="74"/>
      <c r="G2292" s="74"/>
      <c r="H2292" s="74" t="s">
        <v>21920</v>
      </c>
    </row>
    <row r="2293" spans="1:8" ht="63.75" x14ac:dyDescent="0.2">
      <c r="A2293" s="74" t="s">
        <v>21921</v>
      </c>
      <c r="B2293" s="74" t="s">
        <v>9986</v>
      </c>
      <c r="C2293" s="74" t="s">
        <v>21922</v>
      </c>
      <c r="D2293" s="74"/>
      <c r="E2293" s="74"/>
      <c r="F2293" s="74"/>
      <c r="G2293" s="74"/>
      <c r="H2293" s="74" t="s">
        <v>21923</v>
      </c>
    </row>
    <row r="2294" spans="1:8" ht="63.75" x14ac:dyDescent="0.2">
      <c r="A2294" s="75" t="s">
        <v>21924</v>
      </c>
      <c r="B2294" s="75" t="s">
        <v>9989</v>
      </c>
      <c r="C2294" s="75" t="s">
        <v>21925</v>
      </c>
      <c r="D2294" s="75"/>
      <c r="E2294" s="75"/>
      <c r="F2294" s="75"/>
      <c r="G2294" s="75"/>
      <c r="H2294" s="75" t="s">
        <v>21926</v>
      </c>
    </row>
    <row r="2295" spans="1:8" ht="38.25" x14ac:dyDescent="0.2">
      <c r="A2295" s="74" t="s">
        <v>21927</v>
      </c>
      <c r="B2295" s="74" t="s">
        <v>9992</v>
      </c>
      <c r="C2295" s="74" t="s">
        <v>21928</v>
      </c>
      <c r="D2295" s="74"/>
      <c r="E2295" s="74"/>
      <c r="F2295" s="74"/>
      <c r="G2295" s="74"/>
      <c r="H2295" s="73" t="s">
        <v>21929</v>
      </c>
    </row>
    <row r="2296" spans="1:8" ht="51" x14ac:dyDescent="0.2">
      <c r="A2296" s="74" t="s">
        <v>21930</v>
      </c>
      <c r="B2296" s="74" t="s">
        <v>9995</v>
      </c>
      <c r="C2296" s="74" t="s">
        <v>21931</v>
      </c>
      <c r="D2296" s="74"/>
      <c r="E2296" s="74"/>
      <c r="F2296" s="74"/>
      <c r="G2296" s="74"/>
      <c r="H2296" s="73" t="s">
        <v>21932</v>
      </c>
    </row>
    <row r="2297" spans="1:8" ht="51" x14ac:dyDescent="0.2">
      <c r="A2297" s="75" t="s">
        <v>21933</v>
      </c>
      <c r="B2297" s="75" t="s">
        <v>9998</v>
      </c>
      <c r="C2297" s="75" t="s">
        <v>21934</v>
      </c>
      <c r="D2297" s="75"/>
      <c r="E2297" s="75"/>
      <c r="F2297" s="75"/>
      <c r="G2297" s="75"/>
      <c r="H2297" s="75" t="s">
        <v>21935</v>
      </c>
    </row>
    <row r="2298" spans="1:8" ht="38.25" x14ac:dyDescent="0.2">
      <c r="A2298" s="74" t="s">
        <v>21936</v>
      </c>
      <c r="B2298" s="74" t="s">
        <v>10001</v>
      </c>
      <c r="C2298" s="74" t="s">
        <v>21937</v>
      </c>
      <c r="D2298" s="74"/>
      <c r="E2298" s="74"/>
      <c r="F2298" s="74"/>
      <c r="G2298" s="74"/>
      <c r="H2298" s="14" t="s">
        <v>21938</v>
      </c>
    </row>
    <row r="2299" spans="1:8" ht="38.25" x14ac:dyDescent="0.2">
      <c r="A2299" s="74" t="s">
        <v>21939</v>
      </c>
      <c r="B2299" s="74" t="s">
        <v>10004</v>
      </c>
      <c r="C2299" s="74" t="s">
        <v>21940</v>
      </c>
      <c r="D2299" s="74"/>
      <c r="E2299" s="74"/>
      <c r="F2299" s="74"/>
      <c r="G2299" s="74"/>
      <c r="H2299" s="14" t="s">
        <v>21941</v>
      </c>
    </row>
    <row r="2300" spans="1:8" ht="51" x14ac:dyDescent="0.2">
      <c r="A2300" s="75" t="s">
        <v>21942</v>
      </c>
      <c r="B2300" s="75" t="s">
        <v>10006</v>
      </c>
      <c r="C2300" s="75" t="s">
        <v>21943</v>
      </c>
      <c r="D2300" s="75"/>
      <c r="E2300" s="75"/>
      <c r="F2300" s="75"/>
      <c r="G2300" s="75"/>
      <c r="H2300" s="46" t="s">
        <v>21944</v>
      </c>
    </row>
    <row r="2301" spans="1:8" ht="38.25" x14ac:dyDescent="0.2">
      <c r="A2301" s="74" t="s">
        <v>21945</v>
      </c>
      <c r="B2301" s="74" t="s">
        <v>10009</v>
      </c>
      <c r="C2301" s="74" t="s">
        <v>21946</v>
      </c>
      <c r="D2301" s="74"/>
      <c r="E2301" s="74"/>
      <c r="F2301" s="74"/>
      <c r="G2301" s="74"/>
      <c r="H2301" s="14" t="s">
        <v>21947</v>
      </c>
    </row>
    <row r="2302" spans="1:8" ht="89.25" x14ac:dyDescent="0.2">
      <c r="A2302" s="74" t="s">
        <v>21948</v>
      </c>
      <c r="B2302" s="74" t="s">
        <v>10011</v>
      </c>
      <c r="C2302" s="74" t="s">
        <v>21949</v>
      </c>
      <c r="D2302" s="74"/>
      <c r="E2302" s="74"/>
      <c r="F2302" s="74"/>
      <c r="G2302" s="74"/>
      <c r="H2302" s="73" t="s">
        <v>21950</v>
      </c>
    </row>
    <row r="2303" spans="1:8" ht="63.75" x14ac:dyDescent="0.2">
      <c r="A2303" s="75" t="s">
        <v>21951</v>
      </c>
      <c r="B2303" s="75" t="s">
        <v>10014</v>
      </c>
      <c r="C2303" s="75" t="s">
        <v>21952</v>
      </c>
      <c r="D2303" s="75"/>
      <c r="E2303" s="75"/>
      <c r="F2303" s="75"/>
      <c r="G2303" s="75"/>
      <c r="H2303" s="76" t="s">
        <v>21953</v>
      </c>
    </row>
    <row r="2304" spans="1:8" ht="63.75" x14ac:dyDescent="0.2">
      <c r="A2304" s="74" t="s">
        <v>21954</v>
      </c>
      <c r="B2304" s="74" t="s">
        <v>10017</v>
      </c>
      <c r="C2304" s="74" t="s">
        <v>21955</v>
      </c>
      <c r="D2304" s="74"/>
      <c r="E2304" s="74"/>
      <c r="F2304" s="74"/>
      <c r="G2304" s="74"/>
      <c r="H2304" s="74" t="s">
        <v>21956</v>
      </c>
    </row>
    <row r="2305" spans="1:8" ht="51" x14ac:dyDescent="0.2">
      <c r="A2305" s="74" t="s">
        <v>21957</v>
      </c>
      <c r="B2305" s="74" t="s">
        <v>10020</v>
      </c>
      <c r="C2305" s="74" t="s">
        <v>21958</v>
      </c>
      <c r="D2305" s="74"/>
      <c r="E2305" s="74"/>
      <c r="F2305" s="74"/>
      <c r="G2305" s="74"/>
      <c r="H2305" s="14" t="s">
        <v>21959</v>
      </c>
    </row>
    <row r="2306" spans="1:8" ht="51" x14ac:dyDescent="0.2">
      <c r="A2306" s="75" t="s">
        <v>21960</v>
      </c>
      <c r="B2306" s="75" t="s">
        <v>10023</v>
      </c>
      <c r="C2306" s="75" t="s">
        <v>21961</v>
      </c>
      <c r="D2306" s="75"/>
      <c r="E2306" s="75"/>
      <c r="F2306" s="75"/>
      <c r="G2306" s="75"/>
      <c r="H2306" s="46" t="s">
        <v>21962</v>
      </c>
    </row>
    <row r="2307" spans="1:8" ht="51" x14ac:dyDescent="0.2">
      <c r="A2307" s="74" t="s">
        <v>21963</v>
      </c>
      <c r="B2307" s="74" t="s">
        <v>10026</v>
      </c>
      <c r="C2307" s="74" t="s">
        <v>21964</v>
      </c>
      <c r="D2307" s="74"/>
      <c r="E2307" s="74"/>
      <c r="F2307" s="74"/>
      <c r="G2307" s="74"/>
      <c r="H2307" s="14" t="s">
        <v>21965</v>
      </c>
    </row>
    <row r="2308" spans="1:8" ht="51" x14ac:dyDescent="0.2">
      <c r="A2308" s="74" t="s">
        <v>21966</v>
      </c>
      <c r="B2308" s="74" t="s">
        <v>10029</v>
      </c>
      <c r="C2308" s="74" t="s">
        <v>21967</v>
      </c>
      <c r="D2308" s="74"/>
      <c r="E2308" s="74"/>
      <c r="F2308" s="74"/>
      <c r="G2308" s="74"/>
      <c r="H2308" s="14" t="s">
        <v>21968</v>
      </c>
    </row>
    <row r="2309" spans="1:8" ht="63.75" x14ac:dyDescent="0.2">
      <c r="A2309" s="75" t="s">
        <v>21969</v>
      </c>
      <c r="B2309" s="75" t="s">
        <v>10031</v>
      </c>
      <c r="C2309" s="75" t="s">
        <v>21970</v>
      </c>
      <c r="D2309" s="75"/>
      <c r="E2309" s="75"/>
      <c r="F2309" s="75"/>
      <c r="G2309" s="75"/>
      <c r="H2309" s="76" t="s">
        <v>21971</v>
      </c>
    </row>
    <row r="2310" spans="1:8" ht="63.75" x14ac:dyDescent="0.2">
      <c r="A2310" s="74" t="s">
        <v>21972</v>
      </c>
      <c r="B2310" s="74" t="s">
        <v>10034</v>
      </c>
      <c r="C2310" s="74" t="s">
        <v>21973</v>
      </c>
      <c r="D2310" s="74"/>
      <c r="E2310" s="74"/>
      <c r="F2310" s="74"/>
      <c r="G2310" s="74"/>
      <c r="H2310" s="73" t="s">
        <v>21974</v>
      </c>
    </row>
    <row r="2311" spans="1:8" ht="51" x14ac:dyDescent="0.2">
      <c r="A2311" s="74" t="s">
        <v>21975</v>
      </c>
      <c r="B2311" s="74" t="s">
        <v>10039</v>
      </c>
      <c r="C2311" s="74" t="s">
        <v>21976</v>
      </c>
      <c r="D2311" s="74"/>
      <c r="E2311" s="74"/>
      <c r="F2311" s="74"/>
      <c r="G2311" s="74"/>
      <c r="H2311" s="73" t="s">
        <v>21977</v>
      </c>
    </row>
    <row r="2312" spans="1:8" ht="38.25" x14ac:dyDescent="0.2">
      <c r="A2312" s="75" t="s">
        <v>21978</v>
      </c>
      <c r="B2312" s="75" t="s">
        <v>10042</v>
      </c>
      <c r="C2312" s="75" t="s">
        <v>21979</v>
      </c>
      <c r="D2312" s="75"/>
      <c r="E2312" s="75"/>
      <c r="F2312" s="75"/>
      <c r="G2312" s="75"/>
      <c r="H2312" s="46" t="s">
        <v>21980</v>
      </c>
    </row>
    <row r="2313" spans="1:8" ht="25.5" x14ac:dyDescent="0.2">
      <c r="A2313" s="73" t="s">
        <v>21981</v>
      </c>
      <c r="B2313" s="73" t="s">
        <v>10045</v>
      </c>
      <c r="C2313" s="73" t="s">
        <v>10046</v>
      </c>
      <c r="D2313" s="73"/>
      <c r="E2313" s="73"/>
      <c r="F2313" s="73"/>
      <c r="G2313" s="73"/>
      <c r="H2313" s="14" t="s">
        <v>21982</v>
      </c>
    </row>
    <row r="2314" spans="1:8" ht="38.25" x14ac:dyDescent="0.2">
      <c r="A2314" s="74" t="s">
        <v>21983</v>
      </c>
      <c r="B2314" s="74" t="s">
        <v>10048</v>
      </c>
      <c r="C2314" s="74" t="s">
        <v>21984</v>
      </c>
      <c r="D2314" s="74"/>
      <c r="E2314" s="74"/>
      <c r="F2314" s="74"/>
      <c r="G2314" s="74"/>
      <c r="H2314" s="74" t="s">
        <v>21985</v>
      </c>
    </row>
    <row r="2315" spans="1:8" ht="38.25" x14ac:dyDescent="0.2">
      <c r="A2315" s="76" t="s">
        <v>21986</v>
      </c>
      <c r="B2315" s="76" t="s">
        <v>10056</v>
      </c>
      <c r="C2315" s="76" t="s">
        <v>21987</v>
      </c>
      <c r="D2315" s="76"/>
      <c r="E2315" s="76"/>
      <c r="F2315" s="76"/>
      <c r="G2315" s="76"/>
      <c r="H2315" s="76" t="s">
        <v>21988</v>
      </c>
    </row>
    <row r="2316" spans="1:8" ht="89.25" x14ac:dyDescent="0.2">
      <c r="A2316" s="74" t="s">
        <v>21989</v>
      </c>
      <c r="B2316" s="74" t="s">
        <v>10129</v>
      </c>
      <c r="C2316" s="74" t="s">
        <v>21990</v>
      </c>
      <c r="D2316" s="74" t="s">
        <v>21991</v>
      </c>
      <c r="E2316" s="74"/>
      <c r="F2316" s="74"/>
      <c r="G2316" s="74"/>
      <c r="H2316" s="73" t="s">
        <v>21992</v>
      </c>
    </row>
    <row r="2317" spans="1:8" ht="76.5" x14ac:dyDescent="0.2">
      <c r="A2317" s="74" t="s">
        <v>21993</v>
      </c>
      <c r="B2317" s="74" t="s">
        <v>10132</v>
      </c>
      <c r="C2317" s="74" t="s">
        <v>21994</v>
      </c>
      <c r="D2317" s="74" t="s">
        <v>21995</v>
      </c>
      <c r="E2317" s="74"/>
      <c r="F2317" s="74"/>
      <c r="G2317" s="74"/>
      <c r="H2317" s="73" t="s">
        <v>21996</v>
      </c>
    </row>
    <row r="2318" spans="1:8" ht="76.5" x14ac:dyDescent="0.2">
      <c r="A2318" s="75" t="s">
        <v>21997</v>
      </c>
      <c r="B2318" s="75" t="s">
        <v>10135</v>
      </c>
      <c r="C2318" s="75" t="s">
        <v>21998</v>
      </c>
      <c r="D2318" s="75" t="s">
        <v>21995</v>
      </c>
      <c r="E2318" s="75"/>
      <c r="F2318" s="75"/>
      <c r="G2318" s="75"/>
      <c r="H2318" s="76" t="s">
        <v>21999</v>
      </c>
    </row>
    <row r="2319" spans="1:8" ht="76.5" x14ac:dyDescent="0.2">
      <c r="A2319" s="74" t="s">
        <v>22000</v>
      </c>
      <c r="B2319" s="74" t="s">
        <v>10138</v>
      </c>
      <c r="C2319" s="74" t="s">
        <v>22001</v>
      </c>
      <c r="D2319" s="74" t="s">
        <v>22002</v>
      </c>
      <c r="E2319" s="74"/>
      <c r="F2319" s="74"/>
      <c r="G2319" s="74"/>
      <c r="H2319" s="74" t="s">
        <v>22003</v>
      </c>
    </row>
    <row r="2320" spans="1:8" ht="76.5" x14ac:dyDescent="0.2">
      <c r="A2320" s="74" t="s">
        <v>22004</v>
      </c>
      <c r="B2320" s="74" t="s">
        <v>10141</v>
      </c>
      <c r="C2320" s="74" t="s">
        <v>22005</v>
      </c>
      <c r="D2320" s="74" t="s">
        <v>21995</v>
      </c>
      <c r="E2320" s="74"/>
      <c r="F2320" s="74"/>
      <c r="G2320" s="74"/>
      <c r="H2320" s="74" t="s">
        <v>22006</v>
      </c>
    </row>
    <row r="2321" spans="1:8" ht="76.5" x14ac:dyDescent="0.2">
      <c r="A2321" s="75" t="s">
        <v>22007</v>
      </c>
      <c r="B2321" s="75" t="s">
        <v>10143</v>
      </c>
      <c r="C2321" s="75" t="s">
        <v>22008</v>
      </c>
      <c r="D2321" s="75" t="s">
        <v>21995</v>
      </c>
      <c r="E2321" s="75"/>
      <c r="F2321" s="75"/>
      <c r="G2321" s="75"/>
      <c r="H2321" s="75" t="s">
        <v>22009</v>
      </c>
    </row>
    <row r="2322" spans="1:8" ht="76.5" x14ac:dyDescent="0.2">
      <c r="A2322" s="74" t="s">
        <v>22010</v>
      </c>
      <c r="B2322" s="74" t="s">
        <v>10145</v>
      </c>
      <c r="C2322" s="74" t="s">
        <v>22011</v>
      </c>
      <c r="D2322" s="74" t="s">
        <v>22012</v>
      </c>
      <c r="E2322" s="74"/>
      <c r="F2322" s="74"/>
      <c r="G2322" s="74"/>
      <c r="H2322" s="74" t="s">
        <v>22013</v>
      </c>
    </row>
    <row r="2323" spans="1:8" ht="76.5" x14ac:dyDescent="0.2">
      <c r="A2323" s="74" t="s">
        <v>22014</v>
      </c>
      <c r="B2323" s="74" t="s">
        <v>10148</v>
      </c>
      <c r="C2323" s="74" t="s">
        <v>22015</v>
      </c>
      <c r="D2323" s="74" t="s">
        <v>22016</v>
      </c>
      <c r="E2323" s="74"/>
      <c r="F2323" s="74"/>
      <c r="G2323" s="74"/>
      <c r="H2323" s="74" t="s">
        <v>22017</v>
      </c>
    </row>
    <row r="2324" spans="1:8" ht="76.5" x14ac:dyDescent="0.2">
      <c r="A2324" s="75" t="s">
        <v>22018</v>
      </c>
      <c r="B2324" s="75" t="s">
        <v>10150</v>
      </c>
      <c r="C2324" s="75" t="s">
        <v>22019</v>
      </c>
      <c r="D2324" s="75" t="s">
        <v>22016</v>
      </c>
      <c r="E2324" s="75"/>
      <c r="F2324" s="75"/>
      <c r="G2324" s="75"/>
      <c r="H2324" s="75" t="s">
        <v>22020</v>
      </c>
    </row>
    <row r="2325" spans="1:8" ht="76.5" x14ac:dyDescent="0.2">
      <c r="A2325" s="74" t="s">
        <v>22021</v>
      </c>
      <c r="B2325" s="74" t="s">
        <v>10152</v>
      </c>
      <c r="C2325" s="74" t="s">
        <v>22022</v>
      </c>
      <c r="D2325" s="74" t="s">
        <v>22012</v>
      </c>
      <c r="E2325" s="74"/>
      <c r="F2325" s="74"/>
      <c r="G2325" s="74"/>
      <c r="H2325" s="74" t="s">
        <v>22023</v>
      </c>
    </row>
    <row r="2326" spans="1:8" ht="76.5" x14ac:dyDescent="0.2">
      <c r="A2326" s="74" t="s">
        <v>22024</v>
      </c>
      <c r="B2326" s="74" t="s">
        <v>10154</v>
      </c>
      <c r="C2326" s="74" t="s">
        <v>22025</v>
      </c>
      <c r="D2326" s="74" t="s">
        <v>22026</v>
      </c>
      <c r="E2326" s="74"/>
      <c r="F2326" s="74"/>
      <c r="G2326" s="74"/>
      <c r="H2326" s="74" t="s">
        <v>22027</v>
      </c>
    </row>
    <row r="2327" spans="1:8" ht="76.5" x14ac:dyDescent="0.2">
      <c r="A2327" s="75" t="s">
        <v>22028</v>
      </c>
      <c r="B2327" s="75" t="s">
        <v>10157</v>
      </c>
      <c r="C2327" s="75" t="s">
        <v>22029</v>
      </c>
      <c r="D2327" s="75" t="s">
        <v>22026</v>
      </c>
      <c r="E2327" s="75"/>
      <c r="F2327" s="75"/>
      <c r="G2327" s="75"/>
      <c r="H2327" s="75" t="s">
        <v>22030</v>
      </c>
    </row>
    <row r="2328" spans="1:8" ht="76.5" x14ac:dyDescent="0.2">
      <c r="A2328" s="74" t="s">
        <v>22031</v>
      </c>
      <c r="B2328" s="74" t="s">
        <v>10159</v>
      </c>
      <c r="C2328" s="74" t="s">
        <v>22032</v>
      </c>
      <c r="D2328" s="74" t="s">
        <v>22026</v>
      </c>
      <c r="E2328" s="74"/>
      <c r="F2328" s="74"/>
      <c r="G2328" s="74"/>
      <c r="H2328" s="74" t="s">
        <v>22033</v>
      </c>
    </row>
    <row r="2329" spans="1:8" ht="76.5" x14ac:dyDescent="0.2">
      <c r="A2329" s="74" t="s">
        <v>22034</v>
      </c>
      <c r="B2329" s="74" t="s">
        <v>10161</v>
      </c>
      <c r="C2329" s="74" t="s">
        <v>22035</v>
      </c>
      <c r="D2329" s="74" t="s">
        <v>22026</v>
      </c>
      <c r="E2329" s="74"/>
      <c r="F2329" s="74"/>
      <c r="G2329" s="74"/>
      <c r="H2329" s="74" t="s">
        <v>22036</v>
      </c>
    </row>
    <row r="2330" spans="1:8" ht="76.5" x14ac:dyDescent="0.2">
      <c r="A2330" s="75" t="s">
        <v>22037</v>
      </c>
      <c r="B2330" s="75" t="s">
        <v>10163</v>
      </c>
      <c r="C2330" s="75" t="s">
        <v>22038</v>
      </c>
      <c r="D2330" s="75" t="s">
        <v>22026</v>
      </c>
      <c r="E2330" s="75"/>
      <c r="F2330" s="75"/>
      <c r="G2330" s="75"/>
      <c r="H2330" s="75" t="s">
        <v>22039</v>
      </c>
    </row>
    <row r="2331" spans="1:8" ht="76.5" x14ac:dyDescent="0.2">
      <c r="A2331" s="74" t="s">
        <v>22040</v>
      </c>
      <c r="B2331" s="74" t="s">
        <v>10165</v>
      </c>
      <c r="C2331" s="74" t="s">
        <v>22041</v>
      </c>
      <c r="D2331" s="74" t="s">
        <v>22042</v>
      </c>
      <c r="E2331" s="74"/>
      <c r="F2331" s="74"/>
      <c r="G2331" s="74"/>
      <c r="H2331" s="74" t="s">
        <v>22043</v>
      </c>
    </row>
    <row r="2332" spans="1:8" ht="76.5" x14ac:dyDescent="0.2">
      <c r="A2332" s="74" t="s">
        <v>22044</v>
      </c>
      <c r="B2332" s="74" t="s">
        <v>10168</v>
      </c>
      <c r="C2332" s="74" t="s">
        <v>22045</v>
      </c>
      <c r="D2332" s="74"/>
      <c r="E2332" s="74"/>
      <c r="F2332" s="74"/>
      <c r="G2332" s="74"/>
      <c r="H2332" s="74" t="s">
        <v>22046</v>
      </c>
    </row>
    <row r="2333" spans="1:8" ht="63.75" x14ac:dyDescent="0.2">
      <c r="A2333" s="75" t="s">
        <v>22047</v>
      </c>
      <c r="B2333" s="75" t="s">
        <v>10171</v>
      </c>
      <c r="C2333" s="75" t="s">
        <v>22048</v>
      </c>
      <c r="D2333" s="75"/>
      <c r="E2333" s="75"/>
      <c r="F2333" s="75"/>
      <c r="G2333" s="75"/>
      <c r="H2333" s="75" t="s">
        <v>22049</v>
      </c>
    </row>
    <row r="2334" spans="1:8" ht="63.75" x14ac:dyDescent="0.2">
      <c r="A2334" s="74" t="s">
        <v>22050</v>
      </c>
      <c r="B2334" s="74" t="s">
        <v>10173</v>
      </c>
      <c r="C2334" s="74" t="s">
        <v>22051</v>
      </c>
      <c r="D2334" s="74"/>
      <c r="E2334" s="74"/>
      <c r="F2334" s="74"/>
      <c r="G2334" s="74"/>
      <c r="H2334" s="74" t="s">
        <v>22052</v>
      </c>
    </row>
    <row r="2335" spans="1:8" ht="63.75" x14ac:dyDescent="0.2">
      <c r="A2335" s="74" t="s">
        <v>22053</v>
      </c>
      <c r="B2335" s="74" t="s">
        <v>10175</v>
      </c>
      <c r="C2335" s="74" t="s">
        <v>22054</v>
      </c>
      <c r="D2335" s="74" t="s">
        <v>22055</v>
      </c>
      <c r="E2335" s="74" t="s">
        <v>22056</v>
      </c>
      <c r="F2335" s="74"/>
      <c r="G2335" s="74"/>
      <c r="H2335" s="74" t="s">
        <v>22057</v>
      </c>
    </row>
    <row r="2336" spans="1:8" ht="63.75" x14ac:dyDescent="0.2">
      <c r="A2336" s="75" t="s">
        <v>22058</v>
      </c>
      <c r="B2336" s="75" t="s">
        <v>10178</v>
      </c>
      <c r="C2336" s="75" t="s">
        <v>22059</v>
      </c>
      <c r="D2336" s="75" t="s">
        <v>22055</v>
      </c>
      <c r="E2336" s="75" t="s">
        <v>22056</v>
      </c>
      <c r="F2336" s="75"/>
      <c r="G2336" s="75"/>
      <c r="H2336" s="75" t="s">
        <v>22060</v>
      </c>
    </row>
    <row r="2337" spans="1:8" ht="63.75" x14ac:dyDescent="0.2">
      <c r="A2337" s="74" t="s">
        <v>22061</v>
      </c>
      <c r="B2337" s="74" t="s">
        <v>10181</v>
      </c>
      <c r="C2337" s="74" t="s">
        <v>22062</v>
      </c>
      <c r="D2337" s="74" t="s">
        <v>22055</v>
      </c>
      <c r="E2337" s="74" t="s">
        <v>22056</v>
      </c>
      <c r="F2337" s="74"/>
      <c r="G2337" s="74"/>
      <c r="H2337" s="74" t="s">
        <v>22063</v>
      </c>
    </row>
    <row r="2338" spans="1:8" ht="89.25" x14ac:dyDescent="0.2">
      <c r="A2338" s="74" t="s">
        <v>22064</v>
      </c>
      <c r="B2338" s="74" t="s">
        <v>10184</v>
      </c>
      <c r="C2338" s="74" t="s">
        <v>22065</v>
      </c>
      <c r="D2338" s="74" t="s">
        <v>22055</v>
      </c>
      <c r="E2338" s="74" t="s">
        <v>22066</v>
      </c>
      <c r="F2338" s="74"/>
      <c r="G2338" s="74"/>
      <c r="H2338" s="74" t="s">
        <v>22067</v>
      </c>
    </row>
    <row r="2339" spans="1:8" ht="25.5" x14ac:dyDescent="0.2">
      <c r="A2339" s="76" t="s">
        <v>22068</v>
      </c>
      <c r="B2339" s="76" t="s">
        <v>10193</v>
      </c>
      <c r="C2339" s="76" t="s">
        <v>22069</v>
      </c>
      <c r="D2339" s="76"/>
      <c r="E2339" s="76"/>
      <c r="F2339" s="76"/>
      <c r="G2339" s="76"/>
      <c r="H2339" s="76" t="s">
        <v>22070</v>
      </c>
    </row>
    <row r="2340" spans="1:8" ht="38.25" x14ac:dyDescent="0.2">
      <c r="A2340" s="74" t="s">
        <v>22071</v>
      </c>
      <c r="B2340" s="74" t="s">
        <v>10220</v>
      </c>
      <c r="C2340" s="74" t="s">
        <v>22072</v>
      </c>
      <c r="D2340" s="74"/>
      <c r="E2340" s="74"/>
      <c r="F2340" s="74"/>
      <c r="G2340" s="74"/>
      <c r="H2340" s="73" t="s">
        <v>22073</v>
      </c>
    </row>
    <row r="2341" spans="1:8" ht="38.25" x14ac:dyDescent="0.2">
      <c r="A2341" s="74" t="s">
        <v>22074</v>
      </c>
      <c r="B2341" s="74" t="s">
        <v>10225</v>
      </c>
      <c r="C2341" s="74" t="s">
        <v>22075</v>
      </c>
      <c r="D2341" s="74"/>
      <c r="E2341" s="74"/>
      <c r="F2341" s="74"/>
      <c r="G2341" s="74"/>
      <c r="H2341" s="73" t="s">
        <v>22076</v>
      </c>
    </row>
    <row r="2342" spans="1:8" ht="38.25" x14ac:dyDescent="0.2">
      <c r="A2342" s="76" t="s">
        <v>22077</v>
      </c>
      <c r="B2342" s="76" t="s">
        <v>10239</v>
      </c>
      <c r="C2342" s="76" t="s">
        <v>22078</v>
      </c>
      <c r="D2342" s="76"/>
      <c r="E2342" s="76"/>
      <c r="F2342" s="76"/>
      <c r="G2342" s="76"/>
      <c r="H2342" s="76" t="s">
        <v>22079</v>
      </c>
    </row>
    <row r="2343" spans="1:8" ht="38.25" x14ac:dyDescent="0.2">
      <c r="A2343" s="73" t="s">
        <v>22080</v>
      </c>
      <c r="B2343" s="73" t="s">
        <v>10242</v>
      </c>
      <c r="C2343" s="73" t="s">
        <v>10243</v>
      </c>
      <c r="D2343" s="73"/>
      <c r="E2343" s="73"/>
      <c r="F2343" s="73"/>
      <c r="G2343" s="73"/>
      <c r="H2343" s="73" t="s">
        <v>22081</v>
      </c>
    </row>
    <row r="2344" spans="1:8" ht="38.25" x14ac:dyDescent="0.2">
      <c r="A2344" s="73" t="s">
        <v>22082</v>
      </c>
      <c r="B2344" s="73" t="s">
        <v>10244</v>
      </c>
      <c r="C2344" s="73" t="s">
        <v>22083</v>
      </c>
      <c r="D2344" s="73"/>
      <c r="E2344" s="73"/>
      <c r="F2344" s="73"/>
      <c r="G2344" s="73"/>
      <c r="H2344" s="73" t="s">
        <v>22084</v>
      </c>
    </row>
    <row r="2345" spans="1:8" ht="38.25" x14ac:dyDescent="0.2">
      <c r="A2345" s="76" t="s">
        <v>22085</v>
      </c>
      <c r="B2345" s="76" t="s">
        <v>10246</v>
      </c>
      <c r="C2345" s="76" t="s">
        <v>10247</v>
      </c>
      <c r="D2345" s="76"/>
      <c r="E2345" s="76"/>
      <c r="F2345" s="76"/>
      <c r="G2345" s="76"/>
      <c r="H2345" s="76" t="s">
        <v>22086</v>
      </c>
    </row>
    <row r="2346" spans="1:8" ht="51" x14ac:dyDescent="0.2">
      <c r="A2346" s="73" t="s">
        <v>22087</v>
      </c>
      <c r="B2346" s="73" t="s">
        <v>10249</v>
      </c>
      <c r="C2346" s="73" t="s">
        <v>22088</v>
      </c>
      <c r="D2346" s="73"/>
      <c r="E2346" s="73"/>
      <c r="F2346" s="73"/>
      <c r="G2346" s="73"/>
      <c r="H2346" s="73" t="s">
        <v>22089</v>
      </c>
    </row>
    <row r="2347" spans="1:8" ht="25.5" x14ac:dyDescent="0.2">
      <c r="A2347" s="14" t="s">
        <v>22090</v>
      </c>
      <c r="B2347" s="14" t="s">
        <v>10252</v>
      </c>
      <c r="C2347" s="14" t="s">
        <v>10253</v>
      </c>
      <c r="D2347" s="14"/>
      <c r="E2347" s="14"/>
      <c r="F2347" s="14"/>
      <c r="G2347" s="14"/>
      <c r="H2347" s="73" t="s">
        <v>22091</v>
      </c>
    </row>
    <row r="2348" spans="1:8" ht="25.5" x14ac:dyDescent="0.2">
      <c r="A2348" s="76" t="s">
        <v>22092</v>
      </c>
      <c r="B2348" s="76" t="s">
        <v>10255</v>
      </c>
      <c r="C2348" s="76" t="s">
        <v>10256</v>
      </c>
      <c r="D2348" s="76"/>
      <c r="E2348" s="76"/>
      <c r="F2348" s="76"/>
      <c r="G2348" s="76"/>
      <c r="H2348" s="76" t="s">
        <v>22093</v>
      </c>
    </row>
    <row r="2349" spans="1:8" ht="25.5" x14ac:dyDescent="0.2">
      <c r="A2349" s="73" t="s">
        <v>22094</v>
      </c>
      <c r="B2349" s="73" t="s">
        <v>10268</v>
      </c>
      <c r="C2349" s="73" t="s">
        <v>10269</v>
      </c>
      <c r="D2349" s="73"/>
      <c r="E2349" s="73"/>
      <c r="F2349" s="73"/>
      <c r="G2349" s="73"/>
      <c r="H2349" s="14" t="s">
        <v>22095</v>
      </c>
    </row>
    <row r="2350" spans="1:8" ht="51" x14ac:dyDescent="0.2">
      <c r="A2350" s="74" t="s">
        <v>22096</v>
      </c>
      <c r="B2350" s="74" t="s">
        <v>10272</v>
      </c>
      <c r="C2350" s="74" t="s">
        <v>22097</v>
      </c>
      <c r="D2350" s="74"/>
      <c r="E2350" s="74"/>
      <c r="F2350" s="74"/>
      <c r="G2350" s="74"/>
      <c r="H2350" s="73" t="s">
        <v>22098</v>
      </c>
    </row>
    <row r="2351" spans="1:8" ht="51" x14ac:dyDescent="0.2">
      <c r="A2351" s="75" t="s">
        <v>22099</v>
      </c>
      <c r="B2351" s="75" t="s">
        <v>10275</v>
      </c>
      <c r="C2351" s="75" t="s">
        <v>22100</v>
      </c>
      <c r="D2351" s="75"/>
      <c r="E2351" s="75"/>
      <c r="F2351" s="75"/>
      <c r="G2351" s="75"/>
      <c r="H2351" s="76" t="s">
        <v>22101</v>
      </c>
    </row>
    <row r="2352" spans="1:8" ht="51" x14ac:dyDescent="0.2">
      <c r="A2352" s="74" t="s">
        <v>22102</v>
      </c>
      <c r="B2352" s="74" t="s">
        <v>10278</v>
      </c>
      <c r="C2352" s="74" t="s">
        <v>22103</v>
      </c>
      <c r="D2352" s="74"/>
      <c r="E2352" s="74"/>
      <c r="F2352" s="74"/>
      <c r="G2352" s="74"/>
      <c r="H2352" s="73" t="s">
        <v>22104</v>
      </c>
    </row>
    <row r="2353" spans="1:8" ht="25.5" x14ac:dyDescent="0.2">
      <c r="A2353" s="74" t="s">
        <v>22105</v>
      </c>
      <c r="B2353" s="74" t="s">
        <v>10281</v>
      </c>
      <c r="C2353" s="74" t="s">
        <v>22106</v>
      </c>
      <c r="D2353" s="74"/>
      <c r="E2353" s="74"/>
      <c r="F2353" s="74"/>
      <c r="G2353" s="74"/>
      <c r="H2353" s="73" t="s">
        <v>22107</v>
      </c>
    </row>
    <row r="2354" spans="1:8" ht="25.5" x14ac:dyDescent="0.2">
      <c r="A2354" s="75" t="s">
        <v>22108</v>
      </c>
      <c r="B2354" s="75" t="s">
        <v>10284</v>
      </c>
      <c r="C2354" s="75" t="s">
        <v>22109</v>
      </c>
      <c r="D2354" s="75"/>
      <c r="E2354" s="75"/>
      <c r="F2354" s="75"/>
      <c r="G2354" s="75"/>
      <c r="H2354" s="76" t="s">
        <v>22110</v>
      </c>
    </row>
    <row r="2355" spans="1:8" ht="25.5" x14ac:dyDescent="0.2">
      <c r="A2355" s="73" t="s">
        <v>22111</v>
      </c>
      <c r="B2355" s="73" t="s">
        <v>10286</v>
      </c>
      <c r="C2355" s="73" t="s">
        <v>10287</v>
      </c>
      <c r="D2355" s="73"/>
      <c r="E2355" s="73"/>
      <c r="F2355" s="73"/>
      <c r="G2355" s="73"/>
      <c r="H2355" s="73" t="s">
        <v>22112</v>
      </c>
    </row>
    <row r="2356" spans="1:8" ht="38.25" x14ac:dyDescent="0.2">
      <c r="A2356" s="74" t="s">
        <v>22113</v>
      </c>
      <c r="B2356" s="74" t="s">
        <v>10301</v>
      </c>
      <c r="C2356" s="74" t="s">
        <v>22114</v>
      </c>
      <c r="D2356" s="74"/>
      <c r="E2356" s="74"/>
      <c r="F2356" s="74"/>
      <c r="G2356" s="74"/>
      <c r="H2356" s="14" t="s">
        <v>22115</v>
      </c>
    </row>
    <row r="2357" spans="1:8" ht="25.5" x14ac:dyDescent="0.2">
      <c r="A2357" s="76" t="s">
        <v>22116</v>
      </c>
      <c r="B2357" s="76" t="s">
        <v>10320</v>
      </c>
      <c r="C2357" s="76" t="s">
        <v>10321</v>
      </c>
      <c r="D2357" s="76"/>
      <c r="E2357" s="76"/>
      <c r="F2357" s="76"/>
      <c r="G2357" s="76"/>
      <c r="H2357" s="76" t="s">
        <v>22117</v>
      </c>
    </row>
    <row r="2358" spans="1:8" ht="63.75" x14ac:dyDescent="0.2">
      <c r="A2358" s="74" t="s">
        <v>22118</v>
      </c>
      <c r="B2358" s="74" t="s">
        <v>10354</v>
      </c>
      <c r="C2358" s="74" t="s">
        <v>22119</v>
      </c>
      <c r="D2358" s="74"/>
      <c r="E2358" s="74"/>
      <c r="F2358" s="74"/>
      <c r="G2358" s="74"/>
      <c r="H2358" s="74" t="s">
        <v>22120</v>
      </c>
    </row>
    <row r="2359" spans="1:8" ht="63.75" x14ac:dyDescent="0.2">
      <c r="A2359" s="74" t="s">
        <v>22121</v>
      </c>
      <c r="B2359" s="74" t="s">
        <v>10359</v>
      </c>
      <c r="C2359" s="74" t="s">
        <v>22122</v>
      </c>
      <c r="D2359" s="74"/>
      <c r="E2359" s="74"/>
      <c r="F2359" s="74"/>
      <c r="G2359" s="74"/>
      <c r="H2359" s="73" t="s">
        <v>22123</v>
      </c>
    </row>
    <row r="2360" spans="1:8" ht="51" x14ac:dyDescent="0.2">
      <c r="A2360" s="76" t="s">
        <v>22124</v>
      </c>
      <c r="B2360" s="76" t="s">
        <v>10392</v>
      </c>
      <c r="C2360" s="76" t="s">
        <v>10393</v>
      </c>
      <c r="D2360" s="76"/>
      <c r="E2360" s="76"/>
      <c r="F2360" s="76"/>
      <c r="G2360" s="76"/>
      <c r="H2360" s="76" t="s">
        <v>22125</v>
      </c>
    </row>
    <row r="2361" spans="1:8" ht="51" x14ac:dyDescent="0.2">
      <c r="A2361" s="73" t="s">
        <v>22126</v>
      </c>
      <c r="B2361" s="73" t="s">
        <v>10395</v>
      </c>
      <c r="C2361" s="73" t="s">
        <v>22127</v>
      </c>
      <c r="D2361" s="73"/>
      <c r="E2361" s="73"/>
      <c r="F2361" s="73"/>
      <c r="G2361" s="73"/>
      <c r="H2361" s="73" t="s">
        <v>22128</v>
      </c>
    </row>
    <row r="2362" spans="1:8" ht="51" x14ac:dyDescent="0.2">
      <c r="A2362" s="73" t="s">
        <v>22129</v>
      </c>
      <c r="B2362" s="73" t="s">
        <v>10398</v>
      </c>
      <c r="C2362" s="73" t="s">
        <v>22130</v>
      </c>
      <c r="D2362" s="73"/>
      <c r="E2362" s="73"/>
      <c r="F2362" s="73"/>
      <c r="G2362" s="73"/>
      <c r="H2362" s="73" t="s">
        <v>22131</v>
      </c>
    </row>
    <row r="2363" spans="1:8" ht="51" x14ac:dyDescent="0.2">
      <c r="A2363" s="76" t="s">
        <v>22132</v>
      </c>
      <c r="B2363" s="76" t="s">
        <v>10401</v>
      </c>
      <c r="C2363" s="76" t="s">
        <v>22133</v>
      </c>
      <c r="D2363" s="76"/>
      <c r="E2363" s="76"/>
      <c r="F2363" s="76"/>
      <c r="G2363" s="76"/>
      <c r="H2363" s="76" t="s">
        <v>22134</v>
      </c>
    </row>
    <row r="2364" spans="1:8" ht="51" x14ac:dyDescent="0.2">
      <c r="A2364" s="73" t="s">
        <v>22135</v>
      </c>
      <c r="B2364" s="73" t="s">
        <v>10404</v>
      </c>
      <c r="C2364" s="73" t="s">
        <v>22136</v>
      </c>
      <c r="D2364" s="73"/>
      <c r="E2364" s="73"/>
      <c r="F2364" s="73"/>
      <c r="G2364" s="73"/>
      <c r="H2364" s="73" t="s">
        <v>22137</v>
      </c>
    </row>
    <row r="2365" spans="1:8" ht="51" x14ac:dyDescent="0.2">
      <c r="A2365" s="73" t="s">
        <v>22138</v>
      </c>
      <c r="B2365" s="73" t="s">
        <v>10407</v>
      </c>
      <c r="C2365" s="73" t="s">
        <v>22139</v>
      </c>
      <c r="D2365" s="73"/>
      <c r="E2365" s="73"/>
      <c r="F2365" s="73"/>
      <c r="G2365" s="73"/>
      <c r="H2365" s="73" t="s">
        <v>22140</v>
      </c>
    </row>
    <row r="2366" spans="1:8" ht="51" x14ac:dyDescent="0.2">
      <c r="A2366" s="76" t="s">
        <v>22141</v>
      </c>
      <c r="B2366" s="76" t="s">
        <v>10410</v>
      </c>
      <c r="C2366" s="76" t="s">
        <v>22142</v>
      </c>
      <c r="D2366" s="76"/>
      <c r="E2366" s="76"/>
      <c r="F2366" s="76"/>
      <c r="G2366" s="76"/>
      <c r="H2366" s="76" t="s">
        <v>22143</v>
      </c>
    </row>
    <row r="2367" spans="1:8" ht="51" x14ac:dyDescent="0.2">
      <c r="A2367" s="73" t="s">
        <v>22144</v>
      </c>
      <c r="B2367" s="73" t="s">
        <v>10413</v>
      </c>
      <c r="C2367" s="73" t="s">
        <v>22145</v>
      </c>
      <c r="D2367" s="73"/>
      <c r="E2367" s="73"/>
      <c r="F2367" s="73"/>
      <c r="G2367" s="73"/>
      <c r="H2367" s="73" t="s">
        <v>22146</v>
      </c>
    </row>
    <row r="2368" spans="1:8" ht="51" x14ac:dyDescent="0.2">
      <c r="A2368" s="73" t="s">
        <v>22147</v>
      </c>
      <c r="B2368" s="73" t="s">
        <v>10415</v>
      </c>
      <c r="C2368" s="73" t="s">
        <v>22148</v>
      </c>
      <c r="D2368" s="73"/>
      <c r="E2368" s="73"/>
      <c r="F2368" s="73"/>
      <c r="G2368" s="73"/>
      <c r="H2368" s="73" t="s">
        <v>22149</v>
      </c>
    </row>
    <row r="2369" spans="1:8" ht="51" x14ac:dyDescent="0.2">
      <c r="A2369" s="76" t="s">
        <v>22150</v>
      </c>
      <c r="B2369" s="76" t="s">
        <v>10418</v>
      </c>
      <c r="C2369" s="76" t="s">
        <v>22151</v>
      </c>
      <c r="D2369" s="76"/>
      <c r="E2369" s="76"/>
      <c r="F2369" s="76"/>
      <c r="G2369" s="76"/>
      <c r="H2369" s="76" t="s">
        <v>22152</v>
      </c>
    </row>
    <row r="2370" spans="1:8" ht="51" x14ac:dyDescent="0.2">
      <c r="A2370" s="73" t="s">
        <v>22153</v>
      </c>
      <c r="B2370" s="73" t="s">
        <v>10421</v>
      </c>
      <c r="C2370" s="73" t="s">
        <v>22154</v>
      </c>
      <c r="D2370" s="73"/>
      <c r="E2370" s="73"/>
      <c r="F2370" s="73"/>
      <c r="G2370" s="73"/>
      <c r="H2370" s="73" t="s">
        <v>22155</v>
      </c>
    </row>
    <row r="2371" spans="1:8" ht="51" x14ac:dyDescent="0.2">
      <c r="A2371" s="73" t="s">
        <v>22156</v>
      </c>
      <c r="B2371" s="73" t="s">
        <v>10423</v>
      </c>
      <c r="C2371" s="73" t="s">
        <v>22157</v>
      </c>
      <c r="D2371" s="73"/>
      <c r="E2371" s="73"/>
      <c r="F2371" s="73"/>
      <c r="G2371" s="73"/>
      <c r="H2371" s="73" t="s">
        <v>22158</v>
      </c>
    </row>
    <row r="2372" spans="1:8" ht="51" x14ac:dyDescent="0.2">
      <c r="A2372" s="76" t="s">
        <v>22159</v>
      </c>
      <c r="B2372" s="76" t="s">
        <v>10425</v>
      </c>
      <c r="C2372" s="76" t="s">
        <v>22160</v>
      </c>
      <c r="D2372" s="76"/>
      <c r="E2372" s="76"/>
      <c r="F2372" s="76"/>
      <c r="G2372" s="76"/>
      <c r="H2372" s="76" t="s">
        <v>22161</v>
      </c>
    </row>
    <row r="2373" spans="1:8" ht="51" x14ac:dyDescent="0.2">
      <c r="A2373" s="73" t="s">
        <v>22162</v>
      </c>
      <c r="B2373" s="73" t="s">
        <v>10427</v>
      </c>
      <c r="C2373" s="73" t="s">
        <v>22163</v>
      </c>
      <c r="D2373" s="73"/>
      <c r="E2373" s="73"/>
      <c r="F2373" s="73"/>
      <c r="G2373" s="73"/>
      <c r="H2373" s="73" t="s">
        <v>22164</v>
      </c>
    </row>
    <row r="2374" spans="1:8" ht="51" x14ac:dyDescent="0.2">
      <c r="A2374" s="73" t="s">
        <v>22165</v>
      </c>
      <c r="B2374" s="73" t="s">
        <v>10430</v>
      </c>
      <c r="C2374" s="73" t="s">
        <v>22166</v>
      </c>
      <c r="D2374" s="73"/>
      <c r="E2374" s="73"/>
      <c r="F2374" s="73"/>
      <c r="G2374" s="73"/>
      <c r="H2374" s="73" t="s">
        <v>22167</v>
      </c>
    </row>
    <row r="2375" spans="1:8" ht="51" x14ac:dyDescent="0.2">
      <c r="A2375" s="76" t="s">
        <v>22168</v>
      </c>
      <c r="B2375" s="76" t="s">
        <v>10432</v>
      </c>
      <c r="C2375" s="76" t="s">
        <v>22169</v>
      </c>
      <c r="D2375" s="76"/>
      <c r="E2375" s="76"/>
      <c r="F2375" s="76"/>
      <c r="G2375" s="76"/>
      <c r="H2375" s="76" t="s">
        <v>22170</v>
      </c>
    </row>
    <row r="2376" spans="1:8" ht="51" x14ac:dyDescent="0.2">
      <c r="A2376" s="73" t="s">
        <v>22171</v>
      </c>
      <c r="B2376" s="73" t="s">
        <v>10435</v>
      </c>
      <c r="C2376" s="73" t="s">
        <v>22172</v>
      </c>
      <c r="D2376" s="73"/>
      <c r="E2376" s="73"/>
      <c r="F2376" s="73"/>
      <c r="G2376" s="73"/>
      <c r="H2376" s="73" t="s">
        <v>22173</v>
      </c>
    </row>
    <row r="2377" spans="1:8" ht="51" x14ac:dyDescent="0.2">
      <c r="A2377" s="73" t="s">
        <v>22174</v>
      </c>
      <c r="B2377" s="73" t="s">
        <v>10437</v>
      </c>
      <c r="C2377" s="73" t="s">
        <v>22175</v>
      </c>
      <c r="D2377" s="73"/>
      <c r="E2377" s="73"/>
      <c r="F2377" s="73"/>
      <c r="G2377" s="73"/>
      <c r="H2377" s="73" t="s">
        <v>22176</v>
      </c>
    </row>
    <row r="2378" spans="1:8" ht="51" x14ac:dyDescent="0.2">
      <c r="A2378" s="76" t="s">
        <v>22177</v>
      </c>
      <c r="B2378" s="76" t="s">
        <v>10440</v>
      </c>
      <c r="C2378" s="76" t="s">
        <v>22178</v>
      </c>
      <c r="D2378" s="76"/>
      <c r="E2378" s="76"/>
      <c r="F2378" s="76"/>
      <c r="G2378" s="76"/>
      <c r="H2378" s="76" t="s">
        <v>22179</v>
      </c>
    </row>
    <row r="2379" spans="1:8" ht="51" x14ac:dyDescent="0.2">
      <c r="A2379" s="73" t="s">
        <v>22180</v>
      </c>
      <c r="B2379" s="73" t="s">
        <v>10443</v>
      </c>
      <c r="C2379" s="73" t="s">
        <v>22181</v>
      </c>
      <c r="D2379" s="73"/>
      <c r="E2379" s="73"/>
      <c r="F2379" s="73"/>
      <c r="G2379" s="73"/>
      <c r="H2379" s="73" t="s">
        <v>22182</v>
      </c>
    </row>
    <row r="2380" spans="1:8" ht="51" x14ac:dyDescent="0.2">
      <c r="A2380" s="73" t="s">
        <v>22183</v>
      </c>
      <c r="B2380" s="73" t="s">
        <v>10445</v>
      </c>
      <c r="C2380" s="73" t="s">
        <v>22184</v>
      </c>
      <c r="D2380" s="73"/>
      <c r="E2380" s="73"/>
      <c r="F2380" s="73"/>
      <c r="G2380" s="73"/>
      <c r="H2380" s="73" t="s">
        <v>22185</v>
      </c>
    </row>
    <row r="2381" spans="1:8" ht="51" x14ac:dyDescent="0.2">
      <c r="A2381" s="76" t="s">
        <v>22186</v>
      </c>
      <c r="B2381" s="76" t="s">
        <v>10447</v>
      </c>
      <c r="C2381" s="76" t="s">
        <v>22187</v>
      </c>
      <c r="D2381" s="76"/>
      <c r="E2381" s="76"/>
      <c r="F2381" s="76"/>
      <c r="G2381" s="76"/>
      <c r="H2381" s="76" t="s">
        <v>22188</v>
      </c>
    </row>
    <row r="2382" spans="1:8" ht="51" x14ac:dyDescent="0.2">
      <c r="A2382" s="73" t="s">
        <v>22189</v>
      </c>
      <c r="B2382" s="73" t="s">
        <v>10450</v>
      </c>
      <c r="C2382" s="73" t="s">
        <v>22190</v>
      </c>
      <c r="D2382" s="73"/>
      <c r="E2382" s="73"/>
      <c r="F2382" s="73"/>
      <c r="G2382" s="73"/>
      <c r="H2382" s="73" t="s">
        <v>22191</v>
      </c>
    </row>
    <row r="2383" spans="1:8" ht="51" x14ac:dyDescent="0.2">
      <c r="A2383" s="73" t="s">
        <v>22192</v>
      </c>
      <c r="B2383" s="73" t="s">
        <v>10453</v>
      </c>
      <c r="C2383" s="73" t="s">
        <v>22193</v>
      </c>
      <c r="D2383" s="73"/>
      <c r="E2383" s="73"/>
      <c r="F2383" s="73"/>
      <c r="G2383" s="73"/>
      <c r="H2383" s="73" t="s">
        <v>22194</v>
      </c>
    </row>
    <row r="2384" spans="1:8" ht="63.75" x14ac:dyDescent="0.2">
      <c r="A2384" s="75" t="s">
        <v>22195</v>
      </c>
      <c r="B2384" s="75" t="s">
        <v>10464</v>
      </c>
      <c r="C2384" s="75" t="s">
        <v>22196</v>
      </c>
      <c r="D2384" s="75"/>
      <c r="E2384" s="75"/>
      <c r="F2384" s="75"/>
      <c r="G2384" s="75"/>
      <c r="H2384" s="76" t="s">
        <v>22197</v>
      </c>
    </row>
    <row r="2385" spans="1:8" ht="25.5" x14ac:dyDescent="0.2">
      <c r="A2385" s="74" t="s">
        <v>22198</v>
      </c>
      <c r="B2385" s="74" t="s">
        <v>10498</v>
      </c>
      <c r="C2385" s="74" t="s">
        <v>22199</v>
      </c>
      <c r="D2385" s="74"/>
      <c r="E2385" s="74"/>
      <c r="F2385" s="74"/>
      <c r="G2385" s="74"/>
      <c r="H2385" s="14" t="s">
        <v>22200</v>
      </c>
    </row>
    <row r="2386" spans="1:8" ht="38.25" x14ac:dyDescent="0.2">
      <c r="A2386" s="74" t="s">
        <v>22201</v>
      </c>
      <c r="B2386" s="74" t="s">
        <v>10507</v>
      </c>
      <c r="C2386" s="74" t="s">
        <v>22202</v>
      </c>
      <c r="D2386" s="74"/>
      <c r="E2386" s="74"/>
      <c r="F2386" s="74"/>
      <c r="G2386" s="74"/>
      <c r="H2386" s="73" t="s">
        <v>22203</v>
      </c>
    </row>
    <row r="2387" spans="1:8" ht="38.25" x14ac:dyDescent="0.2">
      <c r="A2387" s="75" t="s">
        <v>22204</v>
      </c>
      <c r="B2387" s="75" t="s">
        <v>10510</v>
      </c>
      <c r="C2387" s="75" t="s">
        <v>22205</v>
      </c>
      <c r="D2387" s="75"/>
      <c r="E2387" s="75"/>
      <c r="F2387" s="75"/>
      <c r="G2387" s="75"/>
      <c r="H2387" s="76" t="s">
        <v>22206</v>
      </c>
    </row>
    <row r="2388" spans="1:8" ht="25.5" x14ac:dyDescent="0.2">
      <c r="A2388" s="14" t="s">
        <v>22207</v>
      </c>
      <c r="B2388" s="14" t="s">
        <v>10776</v>
      </c>
      <c r="C2388" s="14" t="s">
        <v>10777</v>
      </c>
      <c r="D2388" s="14"/>
      <c r="E2388" s="14"/>
      <c r="F2388" s="14"/>
      <c r="G2388" s="14"/>
      <c r="H2388" s="14" t="s">
        <v>22208</v>
      </c>
    </row>
    <row r="2389" spans="1:8" ht="63.75" x14ac:dyDescent="0.2">
      <c r="A2389" s="73" t="s">
        <v>22209</v>
      </c>
      <c r="B2389" s="73" t="s">
        <v>10781</v>
      </c>
      <c r="C2389" s="73" t="s">
        <v>10782</v>
      </c>
      <c r="D2389" s="73"/>
      <c r="E2389" s="73"/>
      <c r="F2389" s="73"/>
      <c r="G2389" s="73"/>
      <c r="H2389" s="74" t="s">
        <v>22210</v>
      </c>
    </row>
    <row r="2390" spans="1:8" ht="25.5" x14ac:dyDescent="0.2">
      <c r="A2390" s="76" t="s">
        <v>22211</v>
      </c>
      <c r="B2390" s="76" t="s">
        <v>10784</v>
      </c>
      <c r="C2390" s="76" t="s">
        <v>10785</v>
      </c>
      <c r="D2390" s="76"/>
      <c r="E2390" s="76"/>
      <c r="F2390" s="76"/>
      <c r="G2390" s="76"/>
      <c r="H2390" s="46" t="s">
        <v>22212</v>
      </c>
    </row>
    <row r="2391" spans="1:8" ht="25.5" x14ac:dyDescent="0.2">
      <c r="A2391" s="73" t="s">
        <v>22213</v>
      </c>
      <c r="B2391" s="73" t="s">
        <v>10787</v>
      </c>
      <c r="C2391" s="73" t="s">
        <v>10788</v>
      </c>
      <c r="D2391" s="73"/>
      <c r="E2391" s="73"/>
      <c r="F2391" s="73"/>
      <c r="G2391" s="73"/>
      <c r="H2391" s="14" t="s">
        <v>22214</v>
      </c>
    </row>
    <row r="2392" spans="1:8" ht="25.5" x14ac:dyDescent="0.2">
      <c r="A2392" s="73" t="s">
        <v>22215</v>
      </c>
      <c r="B2392" s="73" t="s">
        <v>10789</v>
      </c>
      <c r="C2392" s="73" t="s">
        <v>10790</v>
      </c>
      <c r="D2392" s="73"/>
      <c r="E2392" s="73"/>
      <c r="F2392" s="73"/>
      <c r="G2392" s="73"/>
      <c r="H2392" s="73" t="s">
        <v>22216</v>
      </c>
    </row>
    <row r="2393" spans="1:8" ht="51" x14ac:dyDescent="0.2">
      <c r="A2393" s="75" t="s">
        <v>22217</v>
      </c>
      <c r="B2393" s="75" t="s">
        <v>10906</v>
      </c>
      <c r="C2393" s="75" t="s">
        <v>22218</v>
      </c>
      <c r="D2393" s="75"/>
      <c r="E2393" s="75"/>
      <c r="F2393" s="75"/>
      <c r="G2393" s="75"/>
      <c r="H2393" s="75" t="s">
        <v>22219</v>
      </c>
    </row>
    <row r="2394" spans="1:8" ht="51" x14ac:dyDescent="0.2">
      <c r="A2394" s="74" t="s">
        <v>22220</v>
      </c>
      <c r="B2394" s="74" t="s">
        <v>10911</v>
      </c>
      <c r="C2394" s="74" t="s">
        <v>22221</v>
      </c>
      <c r="D2394" s="74"/>
      <c r="E2394" s="74"/>
      <c r="F2394" s="74"/>
      <c r="G2394" s="74"/>
      <c r="H2394" s="73" t="s">
        <v>22222</v>
      </c>
    </row>
    <row r="2395" spans="1:8" ht="51" x14ac:dyDescent="0.2">
      <c r="A2395" s="74" t="s">
        <v>22223</v>
      </c>
      <c r="B2395" s="74" t="s">
        <v>10914</v>
      </c>
      <c r="C2395" s="74" t="s">
        <v>22224</v>
      </c>
      <c r="D2395" s="74"/>
      <c r="E2395" s="74"/>
      <c r="F2395" s="74"/>
      <c r="G2395" s="74"/>
      <c r="H2395" s="73" t="s">
        <v>22225</v>
      </c>
    </row>
    <row r="2396" spans="1:8" ht="51" x14ac:dyDescent="0.2">
      <c r="A2396" s="75" t="s">
        <v>22226</v>
      </c>
      <c r="B2396" s="75" t="s">
        <v>10919</v>
      </c>
      <c r="C2396" s="75" t="s">
        <v>22227</v>
      </c>
      <c r="D2396" s="75"/>
      <c r="E2396" s="75"/>
      <c r="F2396" s="75"/>
      <c r="G2396" s="75"/>
      <c r="H2396" s="76" t="s">
        <v>22228</v>
      </c>
    </row>
    <row r="2397" spans="1:8" ht="51" x14ac:dyDescent="0.2">
      <c r="A2397" s="74" t="s">
        <v>22229</v>
      </c>
      <c r="B2397" s="74" t="s">
        <v>10922</v>
      </c>
      <c r="C2397" s="74" t="s">
        <v>22230</v>
      </c>
      <c r="D2397" s="74"/>
      <c r="E2397" s="74"/>
      <c r="F2397" s="74"/>
      <c r="G2397" s="74"/>
      <c r="H2397" s="73" t="s">
        <v>22231</v>
      </c>
    </row>
    <row r="2398" spans="1:8" ht="51" x14ac:dyDescent="0.2">
      <c r="A2398" s="74" t="s">
        <v>22232</v>
      </c>
      <c r="B2398" s="74" t="s">
        <v>10925</v>
      </c>
      <c r="C2398" s="74" t="s">
        <v>22233</v>
      </c>
      <c r="D2398" s="74"/>
      <c r="E2398" s="74"/>
      <c r="F2398" s="74"/>
      <c r="G2398" s="74"/>
      <c r="H2398" s="73" t="s">
        <v>22234</v>
      </c>
    </row>
    <row r="2399" spans="1:8" ht="51" x14ac:dyDescent="0.2">
      <c r="A2399" s="75" t="s">
        <v>22235</v>
      </c>
      <c r="B2399" s="75" t="s">
        <v>10927</v>
      </c>
      <c r="C2399" s="75" t="s">
        <v>22236</v>
      </c>
      <c r="D2399" s="75"/>
      <c r="E2399" s="75"/>
      <c r="F2399" s="75"/>
      <c r="G2399" s="75"/>
      <c r="H2399" s="76" t="s">
        <v>22237</v>
      </c>
    </row>
    <row r="2400" spans="1:8" ht="51" x14ac:dyDescent="0.2">
      <c r="A2400" s="74" t="s">
        <v>22238</v>
      </c>
      <c r="B2400" s="74" t="s">
        <v>10929</v>
      </c>
      <c r="C2400" s="74" t="s">
        <v>22239</v>
      </c>
      <c r="D2400" s="74"/>
      <c r="E2400" s="74"/>
      <c r="F2400" s="74"/>
      <c r="G2400" s="74"/>
      <c r="H2400" s="73" t="s">
        <v>22240</v>
      </c>
    </row>
    <row r="2401" spans="1:8" ht="51" x14ac:dyDescent="0.2">
      <c r="A2401" s="74" t="s">
        <v>22241</v>
      </c>
      <c r="B2401" s="74" t="s">
        <v>10931</v>
      </c>
      <c r="C2401" s="74" t="s">
        <v>22242</v>
      </c>
      <c r="D2401" s="74"/>
      <c r="E2401" s="74"/>
      <c r="F2401" s="74"/>
      <c r="G2401" s="74"/>
      <c r="H2401" s="73" t="s">
        <v>22243</v>
      </c>
    </row>
    <row r="2402" spans="1:8" ht="51" x14ac:dyDescent="0.2">
      <c r="A2402" s="75" t="s">
        <v>22244</v>
      </c>
      <c r="B2402" s="75" t="s">
        <v>10933</v>
      </c>
      <c r="C2402" s="75" t="s">
        <v>22245</v>
      </c>
      <c r="D2402" s="75"/>
      <c r="E2402" s="75"/>
      <c r="F2402" s="75"/>
      <c r="G2402" s="75"/>
      <c r="H2402" s="76" t="s">
        <v>22246</v>
      </c>
    </row>
    <row r="2403" spans="1:8" ht="51" x14ac:dyDescent="0.2">
      <c r="A2403" s="74" t="s">
        <v>22247</v>
      </c>
      <c r="B2403" s="74" t="s">
        <v>10935</v>
      </c>
      <c r="C2403" s="74" t="s">
        <v>22248</v>
      </c>
      <c r="D2403" s="74"/>
      <c r="E2403" s="74"/>
      <c r="F2403" s="74"/>
      <c r="G2403" s="74"/>
      <c r="H2403" s="73" t="s">
        <v>22249</v>
      </c>
    </row>
    <row r="2404" spans="1:8" ht="51" x14ac:dyDescent="0.2">
      <c r="A2404" s="74" t="s">
        <v>22250</v>
      </c>
      <c r="B2404" s="74" t="s">
        <v>10937</v>
      </c>
      <c r="C2404" s="74" t="s">
        <v>22251</v>
      </c>
      <c r="D2404" s="74"/>
      <c r="E2404" s="74"/>
      <c r="F2404" s="74"/>
      <c r="G2404" s="74"/>
      <c r="H2404" s="73" t="s">
        <v>22252</v>
      </c>
    </row>
    <row r="2405" spans="1:8" ht="51" x14ac:dyDescent="0.2">
      <c r="A2405" s="75" t="s">
        <v>22253</v>
      </c>
      <c r="B2405" s="75" t="s">
        <v>10940</v>
      </c>
      <c r="C2405" s="75" t="s">
        <v>22254</v>
      </c>
      <c r="D2405" s="75"/>
      <c r="E2405" s="75"/>
      <c r="F2405" s="75"/>
      <c r="G2405" s="75"/>
      <c r="H2405" s="76" t="s">
        <v>22255</v>
      </c>
    </row>
    <row r="2406" spans="1:8" ht="51" x14ac:dyDescent="0.2">
      <c r="A2406" s="74" t="s">
        <v>22256</v>
      </c>
      <c r="B2406" s="74" t="s">
        <v>10942</v>
      </c>
      <c r="C2406" s="74" t="s">
        <v>22257</v>
      </c>
      <c r="D2406" s="74"/>
      <c r="E2406" s="74"/>
      <c r="F2406" s="74"/>
      <c r="G2406" s="74"/>
      <c r="H2406" s="73" t="s">
        <v>22258</v>
      </c>
    </row>
    <row r="2407" spans="1:8" ht="51" x14ac:dyDescent="0.2">
      <c r="A2407" s="74" t="s">
        <v>22259</v>
      </c>
      <c r="B2407" s="74" t="s">
        <v>10944</v>
      </c>
      <c r="C2407" s="74" t="s">
        <v>22260</v>
      </c>
      <c r="D2407" s="74"/>
      <c r="E2407" s="74"/>
      <c r="F2407" s="74"/>
      <c r="G2407" s="74"/>
      <c r="H2407" s="73" t="s">
        <v>22261</v>
      </c>
    </row>
    <row r="2408" spans="1:8" ht="51" x14ac:dyDescent="0.2">
      <c r="A2408" s="75" t="s">
        <v>22262</v>
      </c>
      <c r="B2408" s="75" t="s">
        <v>10946</v>
      </c>
      <c r="C2408" s="75" t="s">
        <v>22263</v>
      </c>
      <c r="D2408" s="75"/>
      <c r="E2408" s="75"/>
      <c r="F2408" s="75"/>
      <c r="G2408" s="75"/>
      <c r="H2408" s="76" t="s">
        <v>22264</v>
      </c>
    </row>
    <row r="2409" spans="1:8" ht="51" x14ac:dyDescent="0.2">
      <c r="A2409" s="74" t="s">
        <v>22265</v>
      </c>
      <c r="B2409" s="74" t="s">
        <v>10948</v>
      </c>
      <c r="C2409" s="74" t="s">
        <v>22266</v>
      </c>
      <c r="D2409" s="74"/>
      <c r="E2409" s="74"/>
      <c r="F2409" s="74"/>
      <c r="G2409" s="74"/>
      <c r="H2409" s="73" t="s">
        <v>22267</v>
      </c>
    </row>
    <row r="2410" spans="1:8" ht="51" x14ac:dyDescent="0.2">
      <c r="A2410" s="74" t="s">
        <v>22268</v>
      </c>
      <c r="B2410" s="74" t="s">
        <v>10950</v>
      </c>
      <c r="C2410" s="74" t="s">
        <v>22269</v>
      </c>
      <c r="D2410" s="74"/>
      <c r="E2410" s="74"/>
      <c r="F2410" s="74"/>
      <c r="G2410" s="74"/>
      <c r="H2410" s="73" t="s">
        <v>22270</v>
      </c>
    </row>
    <row r="2411" spans="1:8" ht="51" x14ac:dyDescent="0.2">
      <c r="A2411" s="75" t="s">
        <v>22271</v>
      </c>
      <c r="B2411" s="75" t="s">
        <v>10952</v>
      </c>
      <c r="C2411" s="75" t="s">
        <v>22272</v>
      </c>
      <c r="D2411" s="75"/>
      <c r="E2411" s="75"/>
      <c r="F2411" s="75"/>
      <c r="G2411" s="75"/>
      <c r="H2411" s="76" t="s">
        <v>22273</v>
      </c>
    </row>
    <row r="2412" spans="1:8" ht="51" x14ac:dyDescent="0.2">
      <c r="A2412" s="74" t="s">
        <v>22274</v>
      </c>
      <c r="B2412" s="74" t="s">
        <v>10954</v>
      </c>
      <c r="C2412" s="74" t="s">
        <v>22275</v>
      </c>
      <c r="D2412" s="74"/>
      <c r="E2412" s="74"/>
      <c r="F2412" s="74"/>
      <c r="G2412" s="74"/>
      <c r="H2412" s="73" t="s">
        <v>22276</v>
      </c>
    </row>
    <row r="2413" spans="1:8" ht="51" x14ac:dyDescent="0.2">
      <c r="A2413" s="74" t="s">
        <v>22277</v>
      </c>
      <c r="B2413" s="74" t="s">
        <v>10956</v>
      </c>
      <c r="C2413" s="74" t="s">
        <v>22278</v>
      </c>
      <c r="D2413" s="74"/>
      <c r="E2413" s="74"/>
      <c r="F2413" s="74"/>
      <c r="G2413" s="74"/>
      <c r="H2413" s="73" t="s">
        <v>22279</v>
      </c>
    </row>
    <row r="2414" spans="1:8" ht="51" x14ac:dyDescent="0.2">
      <c r="A2414" s="75" t="s">
        <v>22280</v>
      </c>
      <c r="B2414" s="75" t="s">
        <v>10958</v>
      </c>
      <c r="C2414" s="75" t="s">
        <v>22281</v>
      </c>
      <c r="D2414" s="75"/>
      <c r="E2414" s="75"/>
      <c r="F2414" s="75"/>
      <c r="G2414" s="75"/>
      <c r="H2414" s="76" t="s">
        <v>22282</v>
      </c>
    </row>
    <row r="2415" spans="1:8" ht="51" x14ac:dyDescent="0.2">
      <c r="A2415" s="74" t="s">
        <v>22283</v>
      </c>
      <c r="B2415" s="74" t="s">
        <v>10960</v>
      </c>
      <c r="C2415" s="74" t="s">
        <v>22284</v>
      </c>
      <c r="D2415" s="74"/>
      <c r="E2415" s="74"/>
      <c r="F2415" s="74"/>
      <c r="G2415" s="74"/>
      <c r="H2415" s="73" t="s">
        <v>22285</v>
      </c>
    </row>
    <row r="2416" spans="1:8" ht="51" x14ac:dyDescent="0.2">
      <c r="A2416" s="74" t="s">
        <v>22286</v>
      </c>
      <c r="B2416" s="74" t="s">
        <v>10962</v>
      </c>
      <c r="C2416" s="74" t="s">
        <v>22287</v>
      </c>
      <c r="D2416" s="74"/>
      <c r="E2416" s="74"/>
      <c r="F2416" s="74"/>
      <c r="G2416" s="74"/>
      <c r="H2416" s="73" t="s">
        <v>22288</v>
      </c>
    </row>
    <row r="2417" spans="1:8" ht="51" x14ac:dyDescent="0.2">
      <c r="A2417" s="75" t="s">
        <v>22289</v>
      </c>
      <c r="B2417" s="75" t="s">
        <v>10964</v>
      </c>
      <c r="C2417" s="75" t="s">
        <v>22290</v>
      </c>
      <c r="D2417" s="75"/>
      <c r="E2417" s="75"/>
      <c r="F2417" s="75"/>
      <c r="G2417" s="75"/>
      <c r="H2417" s="76" t="s">
        <v>22291</v>
      </c>
    </row>
    <row r="2418" spans="1:8" ht="51" x14ac:dyDescent="0.2">
      <c r="A2418" s="74" t="s">
        <v>22292</v>
      </c>
      <c r="B2418" s="74" t="s">
        <v>10966</v>
      </c>
      <c r="C2418" s="74" t="s">
        <v>22293</v>
      </c>
      <c r="D2418" s="74"/>
      <c r="E2418" s="74"/>
      <c r="F2418" s="74"/>
      <c r="G2418" s="74"/>
      <c r="H2418" s="73" t="s">
        <v>22294</v>
      </c>
    </row>
    <row r="2419" spans="1:8" ht="51" x14ac:dyDescent="0.2">
      <c r="A2419" s="74" t="s">
        <v>22295</v>
      </c>
      <c r="B2419" s="74" t="s">
        <v>10968</v>
      </c>
      <c r="C2419" s="74" t="s">
        <v>22296</v>
      </c>
      <c r="D2419" s="74"/>
      <c r="E2419" s="74"/>
      <c r="F2419" s="74"/>
      <c r="G2419" s="74"/>
      <c r="H2419" s="73" t="s">
        <v>22297</v>
      </c>
    </row>
    <row r="2420" spans="1:8" ht="51" x14ac:dyDescent="0.2">
      <c r="A2420" s="75" t="s">
        <v>22298</v>
      </c>
      <c r="B2420" s="75" t="s">
        <v>10970</v>
      </c>
      <c r="C2420" s="75" t="s">
        <v>22299</v>
      </c>
      <c r="D2420" s="75"/>
      <c r="E2420" s="75"/>
      <c r="F2420" s="75"/>
      <c r="G2420" s="75"/>
      <c r="H2420" s="76" t="s">
        <v>22300</v>
      </c>
    </row>
    <row r="2421" spans="1:8" ht="63.75" x14ac:dyDescent="0.2">
      <c r="A2421" s="74" t="s">
        <v>22301</v>
      </c>
      <c r="B2421" s="74" t="s">
        <v>10972</v>
      </c>
      <c r="C2421" s="74" t="s">
        <v>22302</v>
      </c>
      <c r="D2421" s="74" t="s">
        <v>22303</v>
      </c>
      <c r="E2421" s="74"/>
      <c r="F2421" s="74"/>
      <c r="G2421" s="74"/>
      <c r="H2421" s="73" t="s">
        <v>22304</v>
      </c>
    </row>
    <row r="2422" spans="1:8" ht="63.75" x14ac:dyDescent="0.2">
      <c r="A2422" s="74" t="s">
        <v>22305</v>
      </c>
      <c r="B2422" s="74" t="s">
        <v>10975</v>
      </c>
      <c r="C2422" s="74" t="s">
        <v>22306</v>
      </c>
      <c r="D2422" s="74" t="s">
        <v>22303</v>
      </c>
      <c r="E2422" s="74"/>
      <c r="F2422" s="74"/>
      <c r="G2422" s="74"/>
      <c r="H2422" s="73" t="s">
        <v>22307</v>
      </c>
    </row>
    <row r="2423" spans="1:8" ht="63.75" x14ac:dyDescent="0.2">
      <c r="A2423" s="75" t="s">
        <v>22308</v>
      </c>
      <c r="B2423" s="75" t="s">
        <v>10977</v>
      </c>
      <c r="C2423" s="75" t="s">
        <v>22309</v>
      </c>
      <c r="D2423" s="75" t="s">
        <v>22303</v>
      </c>
      <c r="E2423" s="75"/>
      <c r="F2423" s="75"/>
      <c r="G2423" s="75"/>
      <c r="H2423" s="76" t="s">
        <v>22310</v>
      </c>
    </row>
    <row r="2424" spans="1:8" ht="63.75" x14ac:dyDescent="0.2">
      <c r="A2424" s="74" t="s">
        <v>22311</v>
      </c>
      <c r="B2424" s="74" t="s">
        <v>10979</v>
      </c>
      <c r="C2424" s="74" t="s">
        <v>22312</v>
      </c>
      <c r="D2424" s="74" t="s">
        <v>22303</v>
      </c>
      <c r="E2424" s="74"/>
      <c r="F2424" s="74"/>
      <c r="G2424" s="74"/>
      <c r="H2424" s="73" t="s">
        <v>22313</v>
      </c>
    </row>
    <row r="2425" spans="1:8" ht="63.75" x14ac:dyDescent="0.2">
      <c r="A2425" s="74" t="s">
        <v>22314</v>
      </c>
      <c r="B2425" s="74" t="s">
        <v>10981</v>
      </c>
      <c r="C2425" s="74" t="s">
        <v>22315</v>
      </c>
      <c r="D2425" s="74" t="s">
        <v>22303</v>
      </c>
      <c r="E2425" s="74"/>
      <c r="F2425" s="74"/>
      <c r="G2425" s="74"/>
      <c r="H2425" s="73" t="s">
        <v>22316</v>
      </c>
    </row>
    <row r="2426" spans="1:8" ht="63.75" x14ac:dyDescent="0.2">
      <c r="A2426" s="75" t="s">
        <v>22317</v>
      </c>
      <c r="B2426" s="75" t="s">
        <v>10983</v>
      </c>
      <c r="C2426" s="75" t="s">
        <v>22318</v>
      </c>
      <c r="D2426" s="75" t="s">
        <v>22303</v>
      </c>
      <c r="E2426" s="75"/>
      <c r="F2426" s="75"/>
      <c r="G2426" s="75"/>
      <c r="H2426" s="76" t="s">
        <v>22319</v>
      </c>
    </row>
    <row r="2427" spans="1:8" ht="76.5" x14ac:dyDescent="0.2">
      <c r="A2427" s="74" t="s">
        <v>22320</v>
      </c>
      <c r="B2427" s="74" t="s">
        <v>10985</v>
      </c>
      <c r="C2427" s="74" t="s">
        <v>22321</v>
      </c>
      <c r="D2427" s="74" t="s">
        <v>22303</v>
      </c>
      <c r="E2427" s="74"/>
      <c r="F2427" s="74"/>
      <c r="G2427" s="74"/>
      <c r="H2427" s="73" t="s">
        <v>22322</v>
      </c>
    </row>
    <row r="2428" spans="1:8" ht="51" x14ac:dyDescent="0.2">
      <c r="A2428" s="74" t="s">
        <v>22323</v>
      </c>
      <c r="B2428" s="74" t="s">
        <v>10989</v>
      </c>
      <c r="C2428" s="74" t="s">
        <v>22324</v>
      </c>
      <c r="D2428" s="74"/>
      <c r="E2428" s="74"/>
      <c r="F2428" s="74"/>
      <c r="G2428" s="74"/>
      <c r="H2428" s="73" t="s">
        <v>22325</v>
      </c>
    </row>
    <row r="2429" spans="1:8" ht="51" x14ac:dyDescent="0.2">
      <c r="A2429" s="75" t="s">
        <v>22326</v>
      </c>
      <c r="B2429" s="75" t="s">
        <v>10992</v>
      </c>
      <c r="C2429" s="75" t="s">
        <v>22327</v>
      </c>
      <c r="D2429" s="75" t="s">
        <v>22303</v>
      </c>
      <c r="E2429" s="75"/>
      <c r="F2429" s="75"/>
      <c r="G2429" s="75"/>
      <c r="H2429" s="76" t="s">
        <v>22328</v>
      </c>
    </row>
    <row r="2430" spans="1:8" ht="51" x14ac:dyDescent="0.2">
      <c r="A2430" s="74" t="s">
        <v>22329</v>
      </c>
      <c r="B2430" s="74" t="s">
        <v>10995</v>
      </c>
      <c r="C2430" s="74" t="s">
        <v>22330</v>
      </c>
      <c r="D2430" s="74" t="s">
        <v>22331</v>
      </c>
      <c r="E2430" s="74"/>
      <c r="F2430" s="74"/>
      <c r="G2430" s="74"/>
      <c r="H2430" s="73" t="s">
        <v>22332</v>
      </c>
    </row>
    <row r="2431" spans="1:8" ht="51" x14ac:dyDescent="0.2">
      <c r="A2431" s="74" t="s">
        <v>22333</v>
      </c>
      <c r="B2431" s="74" t="s">
        <v>10998</v>
      </c>
      <c r="C2431" s="74" t="s">
        <v>22334</v>
      </c>
      <c r="D2431" s="74" t="s">
        <v>22331</v>
      </c>
      <c r="E2431" s="74"/>
      <c r="F2431" s="74"/>
      <c r="G2431" s="74"/>
      <c r="H2431" s="73" t="s">
        <v>22335</v>
      </c>
    </row>
    <row r="2432" spans="1:8" ht="51" x14ac:dyDescent="0.2">
      <c r="A2432" s="75" t="s">
        <v>22336</v>
      </c>
      <c r="B2432" s="75" t="s">
        <v>11000</v>
      </c>
      <c r="C2432" s="75" t="s">
        <v>22337</v>
      </c>
      <c r="D2432" s="75"/>
      <c r="E2432" s="75"/>
      <c r="F2432" s="75"/>
      <c r="G2432" s="75"/>
      <c r="H2432" s="76" t="s">
        <v>22338</v>
      </c>
    </row>
    <row r="2433" spans="1:8" ht="51" x14ac:dyDescent="0.2">
      <c r="A2433" s="74" t="s">
        <v>22339</v>
      </c>
      <c r="B2433" s="74" t="s">
        <v>11003</v>
      </c>
      <c r="C2433" s="74" t="s">
        <v>22340</v>
      </c>
      <c r="D2433" s="74"/>
      <c r="E2433" s="74"/>
      <c r="F2433" s="74"/>
      <c r="G2433" s="74"/>
      <c r="H2433" s="73" t="s">
        <v>22341</v>
      </c>
    </row>
    <row r="2434" spans="1:8" ht="51" x14ac:dyDescent="0.2">
      <c r="A2434" s="74" t="s">
        <v>22342</v>
      </c>
      <c r="B2434" s="74" t="s">
        <v>11006</v>
      </c>
      <c r="C2434" s="74" t="s">
        <v>22343</v>
      </c>
      <c r="D2434" s="74"/>
      <c r="E2434" s="74"/>
      <c r="F2434" s="74"/>
      <c r="G2434" s="74"/>
      <c r="H2434" s="73" t="s">
        <v>22344</v>
      </c>
    </row>
    <row r="2435" spans="1:8" ht="51" x14ac:dyDescent="0.2">
      <c r="A2435" s="75" t="s">
        <v>22345</v>
      </c>
      <c r="B2435" s="75" t="s">
        <v>11009</v>
      </c>
      <c r="C2435" s="75" t="s">
        <v>22346</v>
      </c>
      <c r="D2435" s="75"/>
      <c r="E2435" s="75"/>
      <c r="F2435" s="75"/>
      <c r="G2435" s="75"/>
      <c r="H2435" s="76" t="s">
        <v>22347</v>
      </c>
    </row>
    <row r="2436" spans="1:8" ht="51" x14ac:dyDescent="0.2">
      <c r="A2436" s="74" t="s">
        <v>22348</v>
      </c>
      <c r="B2436" s="74" t="s">
        <v>11011</v>
      </c>
      <c r="C2436" s="74" t="s">
        <v>22349</v>
      </c>
      <c r="D2436" s="74"/>
      <c r="E2436" s="74"/>
      <c r="F2436" s="74"/>
      <c r="G2436" s="74"/>
      <c r="H2436" s="73" t="s">
        <v>22350</v>
      </c>
    </row>
    <row r="2437" spans="1:8" ht="51" x14ac:dyDescent="0.2">
      <c r="A2437" s="74" t="s">
        <v>22351</v>
      </c>
      <c r="B2437" s="74" t="s">
        <v>11013</v>
      </c>
      <c r="C2437" s="74" t="s">
        <v>22352</v>
      </c>
      <c r="D2437" s="74"/>
      <c r="E2437" s="74"/>
      <c r="F2437" s="74"/>
      <c r="G2437" s="74"/>
      <c r="H2437" s="73" t="s">
        <v>22353</v>
      </c>
    </row>
    <row r="2438" spans="1:8" ht="51" x14ac:dyDescent="0.2">
      <c r="A2438" s="75" t="s">
        <v>22354</v>
      </c>
      <c r="B2438" s="75" t="s">
        <v>11016</v>
      </c>
      <c r="C2438" s="75" t="s">
        <v>22355</v>
      </c>
      <c r="D2438" s="75"/>
      <c r="E2438" s="75"/>
      <c r="F2438" s="75"/>
      <c r="G2438" s="75"/>
      <c r="H2438" s="76" t="s">
        <v>22356</v>
      </c>
    </row>
    <row r="2439" spans="1:8" ht="51" x14ac:dyDescent="0.2">
      <c r="A2439" s="14" t="s">
        <v>22357</v>
      </c>
      <c r="B2439" s="14" t="s">
        <v>11121</v>
      </c>
      <c r="C2439" s="14" t="s">
        <v>11122</v>
      </c>
      <c r="D2439" s="14"/>
      <c r="E2439" s="14"/>
      <c r="F2439" s="14"/>
      <c r="G2439" s="14"/>
      <c r="H2439" s="74" t="s">
        <v>22358</v>
      </c>
    </row>
    <row r="2440" spans="1:8" ht="51" x14ac:dyDescent="0.2">
      <c r="A2440" s="14" t="s">
        <v>22359</v>
      </c>
      <c r="B2440" s="14" t="s">
        <v>11124</v>
      </c>
      <c r="C2440" s="14" t="s">
        <v>11125</v>
      </c>
      <c r="D2440" s="14"/>
      <c r="E2440" s="14"/>
      <c r="F2440" s="14"/>
      <c r="G2440" s="14"/>
      <c r="H2440" s="73" t="s">
        <v>22360</v>
      </c>
    </row>
    <row r="2441" spans="1:8" ht="25.5" x14ac:dyDescent="0.2">
      <c r="A2441" s="75" t="s">
        <v>22361</v>
      </c>
      <c r="B2441" s="75" t="s">
        <v>11603</v>
      </c>
      <c r="C2441" s="75" t="s">
        <v>22362</v>
      </c>
      <c r="D2441" s="75"/>
      <c r="E2441" s="75"/>
      <c r="F2441" s="75"/>
      <c r="G2441" s="75"/>
      <c r="H2441" s="76" t="s">
        <v>22363</v>
      </c>
    </row>
    <row r="2442" spans="1:8" ht="25.5" x14ac:dyDescent="0.2">
      <c r="A2442" s="74" t="s">
        <v>22364</v>
      </c>
      <c r="B2442" s="74" t="s">
        <v>11606</v>
      </c>
      <c r="C2442" s="74" t="s">
        <v>22365</v>
      </c>
      <c r="D2442" s="74"/>
      <c r="E2442" s="74"/>
      <c r="F2442" s="74"/>
      <c r="G2442" s="74"/>
      <c r="H2442" s="73" t="s">
        <v>22366</v>
      </c>
    </row>
    <row r="2443" spans="1:8" ht="38.25" x14ac:dyDescent="0.2">
      <c r="A2443" s="74" t="s">
        <v>22367</v>
      </c>
      <c r="B2443" s="74" t="s">
        <v>11627</v>
      </c>
      <c r="C2443" s="74" t="s">
        <v>22368</v>
      </c>
      <c r="D2443" s="74"/>
      <c r="E2443" s="74"/>
      <c r="F2443" s="74"/>
      <c r="G2443" s="74"/>
      <c r="H2443" s="73" t="s">
        <v>22369</v>
      </c>
    </row>
    <row r="2444" spans="1:8" ht="51" x14ac:dyDescent="0.2">
      <c r="A2444" s="75" t="s">
        <v>22370</v>
      </c>
      <c r="B2444" s="75" t="s">
        <v>11630</v>
      </c>
      <c r="C2444" s="75" t="s">
        <v>22371</v>
      </c>
      <c r="D2444" s="75"/>
      <c r="E2444" s="75"/>
      <c r="F2444" s="75"/>
      <c r="G2444" s="75"/>
      <c r="H2444" s="76" t="s">
        <v>22372</v>
      </c>
    </row>
    <row r="2445" spans="1:8" ht="38.25" x14ac:dyDescent="0.2">
      <c r="A2445" s="74" t="s">
        <v>22373</v>
      </c>
      <c r="B2445" s="74" t="s">
        <v>11639</v>
      </c>
      <c r="C2445" s="74" t="s">
        <v>22374</v>
      </c>
      <c r="D2445" s="74"/>
      <c r="E2445" s="74"/>
      <c r="F2445" s="74"/>
      <c r="G2445" s="74"/>
      <c r="H2445" s="73" t="s">
        <v>22375</v>
      </c>
    </row>
    <row r="2446" spans="1:8" ht="38.25" x14ac:dyDescent="0.2">
      <c r="A2446" s="74" t="s">
        <v>22376</v>
      </c>
      <c r="B2446" s="74" t="s">
        <v>11642</v>
      </c>
      <c r="C2446" s="74" t="s">
        <v>22377</v>
      </c>
      <c r="D2446" s="74"/>
      <c r="E2446" s="74"/>
      <c r="F2446" s="74"/>
      <c r="G2446" s="74"/>
      <c r="H2446" s="73" t="s">
        <v>22378</v>
      </c>
    </row>
    <row r="2447" spans="1:8" ht="51" x14ac:dyDescent="0.2">
      <c r="A2447" s="75" t="s">
        <v>22379</v>
      </c>
      <c r="B2447" s="75" t="s">
        <v>11644</v>
      </c>
      <c r="C2447" s="75" t="s">
        <v>22380</v>
      </c>
      <c r="D2447" s="75"/>
      <c r="E2447" s="75"/>
      <c r="F2447" s="75"/>
      <c r="G2447" s="75"/>
      <c r="H2447" s="76" t="s">
        <v>22381</v>
      </c>
    </row>
    <row r="2448" spans="1:8" ht="51" x14ac:dyDescent="0.2">
      <c r="A2448" s="74" t="s">
        <v>22382</v>
      </c>
      <c r="B2448" s="74" t="s">
        <v>11646</v>
      </c>
      <c r="C2448" s="74" t="s">
        <v>22383</v>
      </c>
      <c r="D2448" s="74"/>
      <c r="E2448" s="74"/>
      <c r="F2448" s="74"/>
      <c r="G2448" s="74"/>
      <c r="H2448" s="73" t="s">
        <v>22384</v>
      </c>
    </row>
    <row r="2449" spans="1:8" ht="140.25" x14ac:dyDescent="0.2">
      <c r="A2449" s="75" t="s">
        <v>22385</v>
      </c>
      <c r="B2449" s="75" t="s">
        <v>11662</v>
      </c>
      <c r="C2449" s="75" t="s">
        <v>22386</v>
      </c>
      <c r="D2449" s="75"/>
      <c r="E2449" s="75"/>
      <c r="F2449" s="75"/>
      <c r="G2449" s="75"/>
      <c r="H2449" s="46" t="s">
        <v>22387</v>
      </c>
    </row>
    <row r="2450" spans="1:8" ht="114.75" x14ac:dyDescent="0.2">
      <c r="A2450" s="74" t="s">
        <v>22388</v>
      </c>
      <c r="B2450" s="74" t="s">
        <v>11665</v>
      </c>
      <c r="C2450" s="74" t="s">
        <v>22389</v>
      </c>
      <c r="D2450" s="74"/>
      <c r="E2450" s="74"/>
      <c r="F2450" s="74"/>
      <c r="G2450" s="74"/>
      <c r="H2450" s="73" t="s">
        <v>22390</v>
      </c>
    </row>
    <row r="2451" spans="1:8" ht="89.25" x14ac:dyDescent="0.2">
      <c r="A2451" s="75" t="s">
        <v>22391</v>
      </c>
      <c r="B2451" s="75" t="s">
        <v>11668</v>
      </c>
      <c r="C2451" s="75" t="s">
        <v>22392</v>
      </c>
      <c r="D2451" s="75"/>
      <c r="E2451" s="75"/>
      <c r="F2451" s="75"/>
      <c r="G2451" s="75"/>
      <c r="H2451" s="76" t="s">
        <v>22393</v>
      </c>
    </row>
    <row r="2452" spans="1:8" ht="140.25" x14ac:dyDescent="0.2">
      <c r="A2452" s="75" t="s">
        <v>22394</v>
      </c>
      <c r="B2452" s="75" t="s">
        <v>11671</v>
      </c>
      <c r="C2452" s="75" t="s">
        <v>22395</v>
      </c>
      <c r="D2452" s="75"/>
      <c r="E2452" s="75"/>
      <c r="F2452" s="75"/>
      <c r="G2452" s="75"/>
      <c r="H2452" s="46" t="s">
        <v>22396</v>
      </c>
    </row>
    <row r="2453" spans="1:8" ht="140.25" x14ac:dyDescent="0.2">
      <c r="A2453" s="75" t="s">
        <v>22397</v>
      </c>
      <c r="B2453" s="75" t="s">
        <v>11673</v>
      </c>
      <c r="C2453" s="75" t="s">
        <v>22398</v>
      </c>
      <c r="D2453" s="75"/>
      <c r="E2453" s="75"/>
      <c r="F2453" s="75"/>
      <c r="G2453" s="75"/>
      <c r="H2453" s="46" t="s">
        <v>22399</v>
      </c>
    </row>
    <row r="2454" spans="1:8" ht="178.5" x14ac:dyDescent="0.2">
      <c r="A2454" s="46" t="s">
        <v>22400</v>
      </c>
      <c r="B2454" s="46" t="s">
        <v>11694</v>
      </c>
      <c r="C2454" s="46" t="s">
        <v>11695</v>
      </c>
      <c r="D2454" s="46"/>
      <c r="E2454" s="46"/>
      <c r="F2454" s="46"/>
      <c r="G2454" s="46"/>
      <c r="H2454" s="75" t="s">
        <v>22401</v>
      </c>
    </row>
    <row r="2455" spans="1:8" ht="127.5" x14ac:dyDescent="0.2">
      <c r="A2455" s="14" t="s">
        <v>22402</v>
      </c>
      <c r="B2455" s="14" t="s">
        <v>11697</v>
      </c>
      <c r="C2455" s="14" t="s">
        <v>11698</v>
      </c>
      <c r="D2455" s="14"/>
      <c r="E2455" s="14"/>
      <c r="F2455" s="14"/>
      <c r="G2455" s="14"/>
      <c r="H2455" s="74" t="s">
        <v>22403</v>
      </c>
    </row>
    <row r="2456" spans="1:8" ht="127.5" x14ac:dyDescent="0.2">
      <c r="A2456" s="46" t="s">
        <v>22404</v>
      </c>
      <c r="B2456" s="46" t="s">
        <v>11700</v>
      </c>
      <c r="C2456" s="46" t="s">
        <v>11701</v>
      </c>
      <c r="D2456" s="46"/>
      <c r="E2456" s="46"/>
      <c r="F2456" s="46"/>
      <c r="G2456" s="46"/>
      <c r="H2456" s="75" t="s">
        <v>22405</v>
      </c>
    </row>
    <row r="2457" spans="1:8" ht="191.25" x14ac:dyDescent="0.2">
      <c r="A2457" s="14" t="s">
        <v>22406</v>
      </c>
      <c r="B2457" s="14" t="s">
        <v>11703</v>
      </c>
      <c r="C2457" s="14" t="s">
        <v>11704</v>
      </c>
      <c r="D2457" s="14"/>
      <c r="E2457" s="14"/>
      <c r="F2457" s="14"/>
      <c r="G2457" s="14"/>
      <c r="H2457" s="74" t="s">
        <v>22407</v>
      </c>
    </row>
    <row r="2458" spans="1:8" ht="76.5" x14ac:dyDescent="0.2">
      <c r="A2458" s="75" t="s">
        <v>22408</v>
      </c>
      <c r="B2458" s="75" t="s">
        <v>11708</v>
      </c>
      <c r="C2458" s="75" t="s">
        <v>22409</v>
      </c>
      <c r="D2458" s="75"/>
      <c r="E2458" s="75"/>
      <c r="F2458" s="75"/>
      <c r="G2458" s="75"/>
      <c r="H2458" s="46" t="s">
        <v>22410</v>
      </c>
    </row>
    <row r="2459" spans="1:8" ht="25.5" x14ac:dyDescent="0.2">
      <c r="A2459" s="74" t="s">
        <v>22411</v>
      </c>
      <c r="B2459" s="74" t="s">
        <v>11764</v>
      </c>
      <c r="C2459" s="74" t="s">
        <v>22412</v>
      </c>
      <c r="D2459" s="74"/>
      <c r="E2459" s="74"/>
      <c r="F2459" s="74"/>
      <c r="G2459" s="74"/>
      <c r="H2459" s="14" t="s">
        <v>22413</v>
      </c>
    </row>
    <row r="2460" spans="1:8" ht="38.25" x14ac:dyDescent="0.2">
      <c r="A2460" s="74" t="s">
        <v>22414</v>
      </c>
      <c r="B2460" s="74" t="s">
        <v>11777</v>
      </c>
      <c r="C2460" s="74" t="s">
        <v>22415</v>
      </c>
      <c r="D2460" s="74"/>
      <c r="E2460" s="74"/>
      <c r="F2460" s="74"/>
      <c r="G2460" s="74"/>
      <c r="H2460" s="14" t="s">
        <v>22416</v>
      </c>
    </row>
    <row r="2461" spans="1:8" ht="25.5" x14ac:dyDescent="0.2">
      <c r="A2461" s="76" t="s">
        <v>22417</v>
      </c>
      <c r="B2461" s="76" t="s">
        <v>11802</v>
      </c>
      <c r="C2461" s="76" t="s">
        <v>11803</v>
      </c>
      <c r="D2461" s="76"/>
      <c r="E2461" s="76"/>
      <c r="F2461" s="76"/>
      <c r="G2461" s="76"/>
      <c r="H2461" s="46" t="s">
        <v>22418</v>
      </c>
    </row>
    <row r="2462" spans="1:8" ht="38.25" x14ac:dyDescent="0.2">
      <c r="A2462" s="74" t="s">
        <v>22419</v>
      </c>
      <c r="B2462" s="74" t="s">
        <v>11810</v>
      </c>
      <c r="C2462" s="74" t="s">
        <v>22420</v>
      </c>
      <c r="D2462" s="74"/>
      <c r="E2462" s="74"/>
      <c r="F2462" s="74"/>
      <c r="G2462" s="74"/>
      <c r="H2462" s="14" t="s">
        <v>22421</v>
      </c>
    </row>
    <row r="2463" spans="1:8" ht="25.5" x14ac:dyDescent="0.2">
      <c r="A2463" s="73" t="s">
        <v>22422</v>
      </c>
      <c r="B2463" s="73" t="s">
        <v>11854</v>
      </c>
      <c r="C2463" s="73" t="s">
        <v>11855</v>
      </c>
      <c r="D2463" s="73"/>
      <c r="E2463" s="73"/>
      <c r="F2463" s="73"/>
      <c r="G2463" s="73"/>
      <c r="H2463" s="14" t="s">
        <v>22423</v>
      </c>
    </row>
    <row r="2464" spans="1:8" ht="25.5" x14ac:dyDescent="0.2">
      <c r="A2464" s="76" t="s">
        <v>22424</v>
      </c>
      <c r="B2464" s="76" t="s">
        <v>11857</v>
      </c>
      <c r="C2464" s="76" t="s">
        <v>11858</v>
      </c>
      <c r="D2464" s="76"/>
      <c r="E2464" s="76"/>
      <c r="F2464" s="76"/>
      <c r="G2464" s="76"/>
      <c r="H2464" s="46" t="s">
        <v>22425</v>
      </c>
    </row>
    <row r="2465" spans="1:8" ht="25.5" x14ac:dyDescent="0.2">
      <c r="A2465" s="73" t="s">
        <v>22426</v>
      </c>
      <c r="B2465" s="73" t="s">
        <v>11860</v>
      </c>
      <c r="C2465" s="73" t="s">
        <v>11861</v>
      </c>
      <c r="D2465" s="73"/>
      <c r="E2465" s="73"/>
      <c r="F2465" s="73"/>
      <c r="G2465" s="73"/>
      <c r="H2465" s="14" t="s">
        <v>22427</v>
      </c>
    </row>
    <row r="2466" spans="1:8" ht="25.5" x14ac:dyDescent="0.2">
      <c r="A2466" s="14" t="s">
        <v>22428</v>
      </c>
      <c r="B2466" s="14" t="s">
        <v>11879</v>
      </c>
      <c r="C2466" s="14" t="s">
        <v>11880</v>
      </c>
      <c r="D2466" s="14"/>
      <c r="E2466" s="14"/>
      <c r="F2466" s="14"/>
      <c r="G2466" s="14"/>
      <c r="H2466" s="73" t="s">
        <v>22429</v>
      </c>
    </row>
    <row r="2467" spans="1:8" ht="25.5" x14ac:dyDescent="0.2">
      <c r="A2467" s="76" t="s">
        <v>22430</v>
      </c>
      <c r="B2467" s="76" t="s">
        <v>11882</v>
      </c>
      <c r="C2467" s="76" t="s">
        <v>11883</v>
      </c>
      <c r="D2467" s="76"/>
      <c r="E2467" s="76"/>
      <c r="F2467" s="76"/>
      <c r="G2467" s="76"/>
      <c r="H2467" s="76" t="s">
        <v>22431</v>
      </c>
    </row>
    <row r="2468" spans="1:8" ht="25.5" x14ac:dyDescent="0.2">
      <c r="A2468" s="73" t="s">
        <v>22432</v>
      </c>
      <c r="B2468" s="73" t="s">
        <v>11933</v>
      </c>
      <c r="C2468" s="73" t="s">
        <v>11935</v>
      </c>
      <c r="D2468" s="73"/>
      <c r="E2468" s="73"/>
      <c r="F2468" s="73"/>
      <c r="G2468" s="73"/>
      <c r="H2468" s="14" t="s">
        <v>22433</v>
      </c>
    </row>
    <row r="2469" spans="1:8" ht="63.75" x14ac:dyDescent="0.2">
      <c r="A2469" s="73" t="s">
        <v>22434</v>
      </c>
      <c r="B2469" s="73" t="s">
        <v>11952</v>
      </c>
      <c r="C2469" s="73" t="s">
        <v>11953</v>
      </c>
      <c r="D2469" s="73"/>
      <c r="E2469" s="73"/>
      <c r="F2469" s="73"/>
      <c r="G2469" s="73"/>
      <c r="H2469" s="74" t="s">
        <v>22435</v>
      </c>
    </row>
    <row r="2470" spans="1:8" ht="25.5" x14ac:dyDescent="0.2">
      <c r="A2470" s="46" t="s">
        <v>22436</v>
      </c>
      <c r="B2470" s="46" t="s">
        <v>11995</v>
      </c>
      <c r="C2470" s="46" t="s">
        <v>11994</v>
      </c>
      <c r="D2470" s="46"/>
      <c r="E2470" s="46"/>
      <c r="F2470" s="46"/>
      <c r="G2470" s="46"/>
      <c r="H2470" s="76" t="s">
        <v>22437</v>
      </c>
    </row>
    <row r="2471" spans="1:8" ht="51" x14ac:dyDescent="0.2">
      <c r="A2471" s="74" t="s">
        <v>22438</v>
      </c>
      <c r="B2471" s="74" t="s">
        <v>12096</v>
      </c>
      <c r="C2471" s="74" t="s">
        <v>22439</v>
      </c>
      <c r="D2471" s="74"/>
      <c r="E2471" s="74"/>
      <c r="F2471" s="74"/>
      <c r="G2471" s="74"/>
      <c r="H2471" s="73" t="s">
        <v>22440</v>
      </c>
    </row>
    <row r="2472" spans="1:8" ht="51" x14ac:dyDescent="0.2">
      <c r="A2472" s="74" t="s">
        <v>22441</v>
      </c>
      <c r="B2472" s="74" t="s">
        <v>12099</v>
      </c>
      <c r="C2472" s="74" t="s">
        <v>22442</v>
      </c>
      <c r="D2472" s="74"/>
      <c r="E2472" s="74"/>
      <c r="F2472" s="74"/>
      <c r="G2472" s="74"/>
      <c r="H2472" s="73" t="s">
        <v>22443</v>
      </c>
    </row>
    <row r="2473" spans="1:8" ht="25.5" x14ac:dyDescent="0.2">
      <c r="A2473" s="46" t="s">
        <v>22444</v>
      </c>
      <c r="B2473" s="46" t="s">
        <v>12151</v>
      </c>
      <c r="C2473" s="46" t="s">
        <v>12152</v>
      </c>
      <c r="D2473" s="46"/>
      <c r="E2473" s="46"/>
      <c r="F2473" s="46"/>
      <c r="G2473" s="46"/>
      <c r="H2473" s="76" t="s">
        <v>22445</v>
      </c>
    </row>
    <row r="2474" spans="1:8" ht="25.5" x14ac:dyDescent="0.2">
      <c r="A2474" s="74" t="s">
        <v>22446</v>
      </c>
      <c r="B2474" s="74" t="s">
        <v>12162</v>
      </c>
      <c r="C2474" s="74" t="s">
        <v>22447</v>
      </c>
      <c r="D2474" s="74"/>
      <c r="E2474" s="74"/>
      <c r="F2474" s="74"/>
      <c r="G2474" s="74"/>
      <c r="H2474" s="73" t="s">
        <v>22448</v>
      </c>
    </row>
  </sheetData>
  <autoFilter ref="A1:AF2474" xr:uid="{00000000-0009-0000-0000-00000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База КазНИИСА 04.2026</vt:lpstr>
      <vt:lpstr>Список сводный д.сад (копия)</vt:lpstr>
      <vt:lpstr>Подбор</vt:lpstr>
      <vt:lpstr>Лист2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Pine</dc:creator>
  <cp:lastModifiedBy>Eldar Nurakhmet</cp:lastModifiedBy>
  <dcterms:modified xsi:type="dcterms:W3CDTF">2026-07-08T06:20:30Z</dcterms:modified>
</cp:coreProperties>
</file>